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ACER\Documents\Files ni Precious\excel ko\final version\github\"/>
    </mc:Choice>
  </mc:AlternateContent>
  <xr:revisionPtr revIDLastSave="0" documentId="13_ncr:1_{FCEB1C0C-505E-4006-BD2D-CE2BCB88E2A6}" xr6:coauthVersionLast="47" xr6:coauthVersionMax="47" xr10:uidLastSave="{00000000-0000-0000-0000-000000000000}"/>
  <bookViews>
    <workbookView xWindow="-108" yWindow="-108" windowWidth="23256" windowHeight="12720" tabRatio="847" firstSheet="2" activeTab="2" xr2:uid="{6C9D336E-3811-484B-849D-E0CF3A988800}"/>
  </bookViews>
  <sheets>
    <sheet name="DO NOT DELETE" sheetId="9" state="hidden" r:id="rId1"/>
    <sheet name="Sheet1" sheetId="6" state="hidden" r:id="rId2"/>
    <sheet name="1w slab" sheetId="8" r:id="rId3"/>
  </sheets>
  <definedNames>
    <definedName name="_xlnm.Print_Area" localSheetId="2">'1w slab'!$A$1:$Q$57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8" l="1"/>
  <c r="I34" i="8"/>
  <c r="M33" i="8"/>
  <c r="M11" i="8"/>
  <c r="I12" i="8"/>
  <c r="F19" i="8" l="1"/>
  <c r="K31" i="8"/>
  <c r="K19" i="8"/>
  <c r="C21" i="8"/>
  <c r="C20" i="8"/>
  <c r="A21" i="8"/>
  <c r="I65" i="8" s="1"/>
  <c r="A20" i="8"/>
  <c r="I64" i="8" s="1"/>
  <c r="C23" i="8"/>
  <c r="C24" i="8" l="1"/>
  <c r="F24" i="8" s="1"/>
  <c r="C6" i="8" l="1"/>
  <c r="E6" i="8" s="1"/>
  <c r="K41" i="8"/>
  <c r="K24" i="8"/>
  <c r="K25" i="8"/>
  <c r="K47" i="8" s="1"/>
  <c r="K7" i="8"/>
  <c r="K5" i="8"/>
  <c r="K8" i="8" s="1"/>
  <c r="C28" i="8" l="1"/>
  <c r="C32" i="8" s="1"/>
  <c r="C44" i="8" s="1"/>
  <c r="K18" i="8"/>
  <c r="K23" i="8"/>
  <c r="C25" i="8"/>
  <c r="K51" i="8"/>
  <c r="K45" i="8"/>
  <c r="K40" i="8"/>
  <c r="K60" i="8" l="1"/>
  <c r="K61" i="8"/>
  <c r="C43" i="8"/>
  <c r="K26" i="8"/>
  <c r="N26" i="8" s="1"/>
  <c r="K57" i="8" s="1"/>
  <c r="K48" i="8"/>
  <c r="K46" i="8"/>
  <c r="K64" i="8" l="1"/>
  <c r="K65" i="8"/>
  <c r="N48" i="8"/>
  <c r="K54" i="8" s="1"/>
  <c r="C46" i="8" l="1"/>
  <c r="K34" i="8" l="1"/>
  <c r="K35" i="8" s="1"/>
  <c r="K36" i="8" s="1"/>
  <c r="N36" i="8" s="1"/>
  <c r="K39" i="8" s="1"/>
  <c r="K42" i="8" s="1"/>
  <c r="N42" i="8" s="1"/>
  <c r="K53" i="8" s="1"/>
  <c r="K12" i="8"/>
  <c r="K13" i="8" s="1"/>
  <c r="K14" i="8" s="1"/>
  <c r="N14" i="8" s="1"/>
  <c r="A46" i="8"/>
  <c r="K17" i="8" l="1"/>
  <c r="K20" i="8" s="1"/>
  <c r="N20" i="8" s="1"/>
  <c r="K56" i="8" s="1"/>
</calcChain>
</file>

<file path=xl/sharedStrings.xml><?xml version="1.0" encoding="utf-8"?>
<sst xmlns="http://schemas.openxmlformats.org/spreadsheetml/2006/main" count="273" uniqueCount="128">
  <si>
    <t>f'c</t>
  </si>
  <si>
    <t>mm</t>
  </si>
  <si>
    <t>fy</t>
  </si>
  <si>
    <t>MPa</t>
  </si>
  <si>
    <t>KN/m</t>
  </si>
  <si>
    <t>KNm</t>
  </si>
  <si>
    <t>KN</t>
  </si>
  <si>
    <t>mm^2</t>
  </si>
  <si>
    <t>=</t>
  </si>
  <si>
    <t>Clear cover</t>
  </si>
  <si>
    <t>Main bar diameter</t>
  </si>
  <si>
    <t>Temperature bar diameter</t>
  </si>
  <si>
    <t>d</t>
  </si>
  <si>
    <t>Dead Load</t>
  </si>
  <si>
    <t>Weight of slab</t>
  </si>
  <si>
    <t>SLAB DIMENSION</t>
  </si>
  <si>
    <t>I. MATERIAL PROPERTIES</t>
  </si>
  <si>
    <t>II. SECTION PROPERTIES</t>
  </si>
  <si>
    <t>Slab volume</t>
  </si>
  <si>
    <t>m^3</t>
  </si>
  <si>
    <t>KN/m^3</t>
  </si>
  <si>
    <t>Floor live load</t>
  </si>
  <si>
    <t>kPa</t>
  </si>
  <si>
    <t>Governing Load Combination</t>
  </si>
  <si>
    <t>IV. LOADINGS</t>
  </si>
  <si>
    <t>Live Load</t>
  </si>
  <si>
    <t>V. LOAD COMBINATION</t>
  </si>
  <si>
    <t>Wu=1.4D</t>
  </si>
  <si>
    <t>Wu=1.2D+1.6L</t>
  </si>
  <si>
    <t>β = 0.85-[0.05(f'c-28)/7]</t>
  </si>
  <si>
    <t>ρmin = 1.4/fy</t>
  </si>
  <si>
    <t>ρmax = 0.85f'cβ(3/8)/fy</t>
  </si>
  <si>
    <t>ρ = (0.85f'c/fy){1-[1-((2Rn)/(0.85f'c))^(1/2)]}</t>
  </si>
  <si>
    <t>therefore, use ρ =</t>
  </si>
  <si>
    <t>As = ρbd</t>
  </si>
  <si>
    <t>φ</t>
  </si>
  <si>
    <t>Rn=Mu/φbd^2</t>
  </si>
  <si>
    <t>S=3h</t>
  </si>
  <si>
    <t>S=450</t>
  </si>
  <si>
    <t>S=Abar(1000)/As</t>
  </si>
  <si>
    <t>h=(L/20)(fy factor)</t>
  </si>
  <si>
    <t>Main bars</t>
  </si>
  <si>
    <t>Temperature bars</t>
  </si>
  <si>
    <t>As=0.002bh</t>
  </si>
  <si>
    <t>S=5h</t>
  </si>
  <si>
    <t>LRFD load combinations</t>
  </si>
  <si>
    <t>AT MIDSPAN</t>
  </si>
  <si>
    <t>AT SUPPORT</t>
  </si>
  <si>
    <t>VI. DESIGN RESULTS</t>
  </si>
  <si>
    <t>mm OC</t>
  </si>
  <si>
    <t>Support</t>
  </si>
  <si>
    <t>Midspan</t>
  </si>
  <si>
    <t>Slab thickness</t>
  </si>
  <si>
    <t>VOLUME</t>
  </si>
  <si>
    <t>EQUIVALENT UNIFORM LOAD</t>
  </si>
  <si>
    <t>fy used for main bars and temperature bars is the same</t>
  </si>
  <si>
    <t>h is rounded up to nearest 10</t>
  </si>
  <si>
    <t>s is rounded down to nearest 5</t>
  </si>
  <si>
    <t>GENERAL NOTES:</t>
  </si>
  <si>
    <t>say, h =</t>
  </si>
  <si>
    <t>therefore, use S =</t>
  </si>
  <si>
    <t>TAKE OFF (DO NOT PRINT)</t>
  </si>
  <si>
    <t>bat mo inunhide???!!!</t>
  </si>
  <si>
    <t xml:space="preserve">support my other side project: </t>
  </si>
  <si>
    <t>https://youtube.com/@preexclamation</t>
  </si>
  <si>
    <t>if you received this file from anyone except someone named Precious, then please mag sori ka kay lord kasi you are stealing. or sa mama o if atheist ka</t>
  </si>
  <si>
    <t>preciousmaryangelicavbarcena@gmail.com</t>
  </si>
  <si>
    <t>no fr, thanks for supporting my ms excel side project. ive lost interest in my course and I only get my motivation to continue from my side projects.</t>
  </si>
  <si>
    <t>contact me at:</t>
  </si>
  <si>
    <t>ONE WAY SLAB DESIGN</t>
  </si>
  <si>
    <t>SLAB 1</t>
  </si>
  <si>
    <t>Longer Side</t>
  </si>
  <si>
    <t>Shorter Side</t>
  </si>
  <si>
    <t>L/S</t>
  </si>
  <si>
    <t>Floor fills and finishes</t>
  </si>
  <si>
    <t>Frame walls and partitions</t>
  </si>
  <si>
    <t>Concrete masonry walls</t>
  </si>
  <si>
    <t>h=(L/n)(fy factor)</t>
  </si>
  <si>
    <t>Support condition</t>
  </si>
  <si>
    <t>Simply supported</t>
  </si>
  <si>
    <t>One end continuos</t>
  </si>
  <si>
    <t>Both end continuous</t>
  </si>
  <si>
    <t>Cantilever</t>
  </si>
  <si>
    <t>denominator</t>
  </si>
  <si>
    <t>h=(L/24)(fy factor)</t>
  </si>
  <si>
    <t>h=(L/28)(fy factor)</t>
  </si>
  <si>
    <t>h=(L/10)(fy factor)</t>
  </si>
  <si>
    <t>thickness</t>
  </si>
  <si>
    <t>fy factor = 0.4+(fy/700) if fy&lt;420 otherwise, use 1</t>
  </si>
  <si>
    <t>therefore, use n =</t>
  </si>
  <si>
    <t>SLAB THICKNESS</t>
  </si>
  <si>
    <t>MOMENT COEFFICIENT</t>
  </si>
  <si>
    <t>Negative moment - other face of any interior support</t>
  </si>
  <si>
    <t>Negative moment - interior face of exterior support intergral with beam support</t>
  </si>
  <si>
    <t>Negative moment - interior face of exterior support intergral with beam column</t>
  </si>
  <si>
    <t>Negative moment - exterior face of first interior support (2 spans)</t>
  </si>
  <si>
    <t>Negative moment - exterior face of first interior support (more than 2 spans)</t>
  </si>
  <si>
    <t>Mu=Wu(Ln)^2/11</t>
  </si>
  <si>
    <t>Mu=Wu(Ln)^2/14</t>
  </si>
  <si>
    <t>Mu=Wu(Ln)^2/16</t>
  </si>
  <si>
    <t>Mu=Wu(Lna)^2/11</t>
  </si>
  <si>
    <t>Mu=Wu(Lna)^2/19</t>
  </si>
  <si>
    <t>Mu=Wu(Lna)^2/10</t>
  </si>
  <si>
    <t>Mu=Wu(Lna)^2/24</t>
  </si>
  <si>
    <t>Mu=Wu(Lna)^2/16</t>
  </si>
  <si>
    <t>moment</t>
  </si>
  <si>
    <t>Positive moment - end span - discontinuous end unrestrained</t>
  </si>
  <si>
    <t>Positive moment - end span - discontinuous end integral with support</t>
  </si>
  <si>
    <t>Positive moment - interior span</t>
  </si>
  <si>
    <t>Side parallel to main bars</t>
  </si>
  <si>
    <t>VI. DESIGN OF SPACING (MOMENT COEFFICIENT METHOD)</t>
  </si>
  <si>
    <t>Ceilings, roof and wall covering</t>
  </si>
  <si>
    <t>therefore, use L =</t>
  </si>
  <si>
    <t>KPa</t>
  </si>
  <si>
    <t>Clear left adjacent span</t>
  </si>
  <si>
    <t>Clear right adjacent span</t>
  </si>
  <si>
    <t>Average of adjacent clear spans, Lna</t>
  </si>
  <si>
    <t>Volume of slab</t>
  </si>
  <si>
    <t>Denominator</t>
  </si>
  <si>
    <t>Mu=Wu(Lna)^2/12</t>
  </si>
  <si>
    <t>Negative moment - cantilever support</t>
  </si>
  <si>
    <t>Description</t>
  </si>
  <si>
    <r>
      <t>γ</t>
    </r>
    <r>
      <rPr>
        <sz val="12.65"/>
        <color theme="1"/>
        <rFont val="Arial"/>
        <family val="2"/>
      </rPr>
      <t>concrete</t>
    </r>
  </si>
  <si>
    <t>Weight = γ * volume</t>
  </si>
  <si>
    <t>TAKE OFF - GIVES OFF WEIGHT OF MEMBER AND WEIGHT OF MEMBER AS LOAD FOR LOAD TRANSFER</t>
  </si>
  <si>
    <t>Weight to line load = weight in KN / Length kung saan ipapatong</t>
  </si>
  <si>
    <t>Weight to floor load = weight in KN / Area kung saan ipapatong</t>
  </si>
  <si>
    <t>indicates input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</si>
</sst>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17"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b/>
      <sz val="11"/>
      <color theme="1"/>
      <name val="Arial"/>
      <family val="2"/>
    </font>
    <font>
      <b/>
      <sz val="11"/>
      <color rgb="FFFF0000"/>
      <name val="Arial"/>
      <family val="2"/>
    </font>
    <font>
      <sz val="11"/>
      <color theme="1"/>
      <name val="Calibri"/>
      <family val="2"/>
    </font>
    <font>
      <sz val="12.65"/>
      <color theme="1"/>
      <name val="Arial"/>
      <family val="2"/>
    </font>
    <font>
      <b/>
      <sz val="22"/>
      <color theme="1"/>
      <name val="Arial"/>
      <family val="2"/>
    </font>
    <font>
      <b/>
      <sz val="16"/>
      <color rgb="FFFF0000"/>
      <name val="Arial"/>
      <family val="2"/>
    </font>
    <font>
      <sz val="11"/>
      <color rgb="FFFF0000"/>
      <name val="Arial"/>
      <family val="2"/>
    </font>
    <font>
      <u/>
      <sz val="11"/>
      <color theme="10"/>
      <name val="Calibri"/>
      <family val="2"/>
      <scheme val="minor"/>
    </font>
    <font>
      <b/>
      <sz val="11"/>
      <color theme="0"/>
      <name val="Arial"/>
      <family val="2"/>
    </font>
    <font>
      <sz val="8"/>
      <color theme="1"/>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3" fillId="0" borderId="0" applyNumberFormat="0" applyFill="0" applyBorder="0" applyAlignment="0" applyProtection="0"/>
  </cellStyleXfs>
  <cellXfs count="94">
    <xf numFmtId="0" fontId="0" fillId="0" borderId="0" xfId="0"/>
    <xf numFmtId="0" fontId="5" fillId="0" borderId="0" xfId="0" applyFont="1"/>
    <xf numFmtId="0" fontId="5" fillId="0" borderId="0" xfId="0" applyFont="1" applyProtection="1">
      <protection locked="0"/>
    </xf>
    <xf numFmtId="0" fontId="6" fillId="0" borderId="0" xfId="0" applyFont="1"/>
    <xf numFmtId="0" fontId="5" fillId="0" borderId="0" xfId="0" applyFont="1" applyAlignment="1" applyProtection="1">
      <alignment horizontal="right"/>
      <protection locked="0"/>
    </xf>
    <xf numFmtId="0" fontId="7" fillId="0" borderId="0" xfId="0" applyFont="1" applyProtection="1">
      <protection locked="0"/>
    </xf>
    <xf numFmtId="0" fontId="4" fillId="0" borderId="0" xfId="0" applyFont="1"/>
    <xf numFmtId="0" fontId="13" fillId="0" borderId="0" xfId="1"/>
    <xf numFmtId="0" fontId="4" fillId="2" borderId="5" xfId="0" applyFont="1" applyFill="1" applyBorder="1" applyProtection="1">
      <protection locked="0"/>
    </xf>
    <xf numFmtId="0" fontId="7" fillId="2" borderId="0" xfId="0" applyFont="1" applyFill="1" applyAlignment="1">
      <alignment horizontal="left"/>
    </xf>
    <xf numFmtId="0" fontId="6" fillId="2" borderId="0" xfId="0" applyFont="1" applyFill="1" applyAlignment="1">
      <alignment horizontal="left"/>
    </xf>
    <xf numFmtId="0" fontId="6" fillId="2" borderId="0" xfId="0" applyFont="1" applyFill="1" applyAlignment="1">
      <alignment horizontal="left" indent="1"/>
    </xf>
    <xf numFmtId="0" fontId="11" fillId="2" borderId="0" xfId="0" applyFont="1" applyFill="1" applyAlignment="1">
      <alignment horizontal="center"/>
    </xf>
    <xf numFmtId="0" fontId="1" fillId="0" borderId="0" xfId="0" applyFont="1"/>
    <xf numFmtId="0" fontId="1" fillId="0" borderId="10" xfId="0" applyFont="1" applyBorder="1"/>
    <xf numFmtId="0" fontId="8" fillId="0" borderId="0" xfId="0" applyFont="1"/>
    <xf numFmtId="0" fontId="10" fillId="0" borderId="0" xfId="0" applyFont="1" applyProtection="1">
      <protection locked="0"/>
    </xf>
    <xf numFmtId="0" fontId="4" fillId="0" borderId="0" xfId="0" applyFont="1" applyProtection="1">
      <protection locked="0"/>
    </xf>
    <xf numFmtId="0" fontId="11" fillId="0" borderId="0" xfId="0" applyFont="1" applyProtection="1">
      <protection locked="0"/>
    </xf>
    <xf numFmtId="0" fontId="4" fillId="0" borderId="0" xfId="0" applyFont="1" applyAlignment="1" applyProtection="1">
      <alignment horizontal="left"/>
      <protection locked="0"/>
    </xf>
    <xf numFmtId="0" fontId="4" fillId="0" borderId="0" xfId="0" quotePrefix="1" applyFont="1" applyAlignment="1" applyProtection="1">
      <alignment horizontal="left"/>
      <protection locked="0"/>
    </xf>
    <xf numFmtId="0" fontId="4" fillId="0" borderId="0" xfId="0" applyFont="1" applyAlignment="1" applyProtection="1">
      <alignment horizontal="right"/>
      <protection locked="0"/>
    </xf>
    <xf numFmtId="0" fontId="4" fillId="0" borderId="0" xfId="0" applyFont="1" applyAlignment="1" applyProtection="1">
      <alignment horizontal="left" indent="1"/>
      <protection locked="0"/>
    </xf>
    <xf numFmtId="0" fontId="11" fillId="0" borderId="0" xfId="0" applyFont="1" applyAlignment="1" applyProtection="1">
      <alignment horizontal="center"/>
      <protection locked="0"/>
    </xf>
    <xf numFmtId="0" fontId="2" fillId="2" borderId="5" xfId="0" applyFont="1" applyFill="1" applyBorder="1" applyAlignment="1" applyProtection="1">
      <alignment horizontal="right"/>
      <protection locked="0"/>
    </xf>
    <xf numFmtId="0" fontId="4" fillId="2" borderId="5" xfId="0" applyFont="1" applyFill="1" applyBorder="1" applyAlignment="1" applyProtection="1">
      <alignment horizontal="center"/>
      <protection locked="0"/>
    </xf>
    <xf numFmtId="0" fontId="4" fillId="2" borderId="5" xfId="0" applyFont="1" applyFill="1" applyBorder="1" applyAlignment="1" applyProtection="1">
      <alignment horizontal="right"/>
      <protection locked="0"/>
    </xf>
    <xf numFmtId="0" fontId="4" fillId="0" borderId="0" xfId="0" applyFont="1" applyAlignment="1" applyProtection="1">
      <alignment horizontal="center"/>
      <protection locked="0"/>
    </xf>
    <xf numFmtId="0" fontId="4" fillId="2" borderId="0" xfId="0" applyFont="1" applyFill="1"/>
    <xf numFmtId="0" fontId="4" fillId="2" borderId="0" xfId="0" applyFont="1" applyFill="1" applyAlignment="1">
      <alignment horizontal="left"/>
    </xf>
    <xf numFmtId="0" fontId="4" fillId="2" borderId="4" xfId="0" applyFont="1" applyFill="1" applyBorder="1"/>
    <xf numFmtId="0" fontId="4" fillId="2" borderId="0" xfId="0" applyFont="1" applyFill="1" applyAlignment="1">
      <alignment horizontal="left" indent="1"/>
    </xf>
    <xf numFmtId="164" fontId="4" fillId="2" borderId="0" xfId="0" applyNumberFormat="1" applyFont="1" applyFill="1"/>
    <xf numFmtId="0" fontId="8" fillId="2" borderId="0" xfId="0" applyFont="1" applyFill="1" applyAlignment="1">
      <alignment horizontal="left"/>
    </xf>
    <xf numFmtId="165" fontId="4" fillId="2" borderId="0" xfId="0" applyNumberFormat="1" applyFont="1" applyFill="1"/>
    <xf numFmtId="0" fontId="4" fillId="2" borderId="3" xfId="0" applyFont="1" applyFill="1" applyBorder="1" applyAlignment="1">
      <alignment horizontal="left"/>
    </xf>
    <xf numFmtId="0" fontId="4" fillId="2" borderId="0" xfId="0" quotePrefix="1" applyFont="1" applyFill="1"/>
    <xf numFmtId="0" fontId="5" fillId="2" borderId="0" xfId="0" applyFont="1" applyFill="1"/>
    <xf numFmtId="0" fontId="4" fillId="2" borderId="0" xfId="0" applyFont="1" applyFill="1" applyAlignment="1">
      <alignment horizontal="right"/>
    </xf>
    <xf numFmtId="0" fontId="7" fillId="2" borderId="3" xfId="0" applyFont="1" applyFill="1" applyBorder="1" applyAlignment="1">
      <alignment horizontal="left"/>
    </xf>
    <xf numFmtId="0" fontId="4" fillId="2" borderId="0" xfId="0" applyFont="1" applyFill="1" applyAlignment="1">
      <alignment horizontal="left" indent="2"/>
    </xf>
    <xf numFmtId="0" fontId="1" fillId="2" borderId="3" xfId="0" applyFont="1" applyFill="1" applyBorder="1" applyAlignment="1">
      <alignment horizontal="left"/>
    </xf>
    <xf numFmtId="0" fontId="3" fillId="2" borderId="0" xfId="0" applyFont="1" applyFill="1" applyAlignment="1">
      <alignment horizontal="right"/>
    </xf>
    <xf numFmtId="0" fontId="7" fillId="2" borderId="0" xfId="0" applyFont="1" applyFill="1"/>
    <xf numFmtId="1" fontId="4" fillId="2" borderId="0" xfId="0" applyNumberFormat="1" applyFont="1" applyFill="1"/>
    <xf numFmtId="0" fontId="6" fillId="2" borderId="3" xfId="0" applyFont="1" applyFill="1" applyBorder="1" applyAlignment="1">
      <alignment horizontal="left"/>
    </xf>
    <xf numFmtId="0" fontId="4" fillId="2" borderId="3" xfId="0" applyFont="1" applyFill="1" applyBorder="1" applyAlignment="1">
      <alignment horizontal="left" indent="1"/>
    </xf>
    <xf numFmtId="164" fontId="4" fillId="2" borderId="0" xfId="0" applyNumberFormat="1" applyFont="1" applyFill="1" applyAlignment="1">
      <alignment horizontal="right"/>
    </xf>
    <xf numFmtId="2" fontId="4" fillId="2" borderId="0" xfId="0" applyNumberFormat="1" applyFont="1" applyFill="1"/>
    <xf numFmtId="0" fontId="2" fillId="2" borderId="3" xfId="0" applyFont="1" applyFill="1" applyBorder="1" applyAlignment="1">
      <alignment horizontal="left" indent="1"/>
    </xf>
    <xf numFmtId="0" fontId="4" fillId="2" borderId="7" xfId="0" applyFont="1" applyFill="1" applyBorder="1"/>
    <xf numFmtId="0" fontId="4" fillId="2" borderId="7" xfId="0" applyFont="1" applyFill="1" applyBorder="1" applyAlignment="1">
      <alignment horizontal="left"/>
    </xf>
    <xf numFmtId="0" fontId="4" fillId="2" borderId="7" xfId="0" applyFont="1" applyFill="1" applyBorder="1" applyAlignment="1">
      <alignment horizontal="left" indent="1"/>
    </xf>
    <xf numFmtId="0" fontId="4" fillId="2" borderId="8" xfId="0" applyFont="1" applyFill="1" applyBorder="1"/>
    <xf numFmtId="0" fontId="12" fillId="0" borderId="0" xfId="0" applyFont="1"/>
    <xf numFmtId="0" fontId="4" fillId="0" borderId="0" xfId="0" quotePrefix="1" applyFont="1"/>
    <xf numFmtId="2" fontId="4" fillId="0" borderId="0" xfId="0" applyNumberFormat="1" applyFont="1"/>
    <xf numFmtId="0" fontId="11" fillId="2" borderId="3" xfId="0" applyFont="1" applyFill="1" applyBorder="1" applyAlignment="1">
      <alignment horizontal="center"/>
    </xf>
    <xf numFmtId="0" fontId="11" fillId="2" borderId="4" xfId="0" applyFont="1" applyFill="1" applyBorder="1" applyAlignment="1">
      <alignment horizontal="center"/>
    </xf>
    <xf numFmtId="0" fontId="2" fillId="2" borderId="3" xfId="0" applyFont="1" applyFill="1" applyBorder="1" applyAlignment="1">
      <alignment horizontal="left"/>
    </xf>
    <xf numFmtId="0" fontId="4" fillId="2" borderId="0" xfId="0" applyFont="1" applyFill="1" applyAlignment="1">
      <alignment horizontal="center"/>
    </xf>
    <xf numFmtId="0" fontId="2" fillId="2" borderId="0" xfId="0" applyFont="1" applyFill="1" applyAlignment="1">
      <alignment horizontal="right"/>
    </xf>
    <xf numFmtId="0" fontId="2" fillId="2" borderId="0" xfId="0" applyFont="1" applyFill="1" applyAlignment="1">
      <alignment horizontal="left"/>
    </xf>
    <xf numFmtId="0" fontId="6" fillId="2" borderId="0" xfId="0" applyFont="1" applyFill="1" applyAlignment="1">
      <alignment horizontal="right"/>
    </xf>
    <xf numFmtId="165" fontId="4" fillId="2" borderId="0" xfId="0" applyNumberFormat="1" applyFont="1" applyFill="1" applyAlignment="1">
      <alignment horizontal="center"/>
    </xf>
    <xf numFmtId="0" fontId="2" fillId="2" borderId="0" xfId="0" quotePrefix="1" applyFont="1" applyFill="1"/>
    <xf numFmtId="0" fontId="5" fillId="2" borderId="0" xfId="0" applyFont="1" applyFill="1" applyAlignment="1">
      <alignment horizontal="left"/>
    </xf>
    <xf numFmtId="0" fontId="2" fillId="2" borderId="0" xfId="0" applyFont="1" applyFill="1"/>
    <xf numFmtId="0" fontId="4" fillId="2" borderId="4" xfId="0" applyFont="1" applyFill="1" applyBorder="1" applyAlignment="1">
      <alignment horizontal="left" indent="1"/>
    </xf>
    <xf numFmtId="0" fontId="4" fillId="2" borderId="3" xfId="0" applyFont="1" applyFill="1" applyBorder="1"/>
    <xf numFmtId="0" fontId="4" fillId="2" borderId="6" xfId="0" applyFont="1" applyFill="1" applyBorder="1"/>
    <xf numFmtId="0" fontId="4" fillId="2" borderId="7" xfId="0" applyFont="1" applyFill="1" applyBorder="1" applyAlignment="1">
      <alignment horizontal="right"/>
    </xf>
    <xf numFmtId="0" fontId="4" fillId="2" borderId="7" xfId="0" applyFont="1" applyFill="1" applyBorder="1" applyAlignment="1">
      <alignment horizontal="center"/>
    </xf>
    <xf numFmtId="0" fontId="2" fillId="0" borderId="0" xfId="0" applyFont="1"/>
    <xf numFmtId="164" fontId="4" fillId="0" borderId="0" xfId="0" applyNumberFormat="1" applyFont="1"/>
    <xf numFmtId="0" fontId="1" fillId="0" borderId="11" xfId="0" applyFont="1" applyBorder="1"/>
    <xf numFmtId="0" fontId="1" fillId="0" borderId="11" xfId="0" applyFont="1" applyBorder="1" applyAlignment="1">
      <alignment horizontal="left" indent="1"/>
    </xf>
    <xf numFmtId="0" fontId="1" fillId="0" borderId="11" xfId="0" applyFont="1" applyBorder="1" applyAlignment="1" applyProtection="1">
      <alignment horizontal="left"/>
      <protection locked="0"/>
    </xf>
    <xf numFmtId="12" fontId="1" fillId="0" borderId="0" xfId="0" applyNumberFormat="1" applyFont="1"/>
    <xf numFmtId="0" fontId="1" fillId="0" borderId="12" xfId="0" applyFont="1" applyBorder="1"/>
    <xf numFmtId="0" fontId="1" fillId="0" borderId="12" xfId="0" applyFont="1" applyBorder="1" applyAlignment="1">
      <alignment horizontal="left" indent="1"/>
    </xf>
    <xf numFmtId="0" fontId="1" fillId="0" borderId="12" xfId="0" applyFont="1" applyBorder="1" applyAlignment="1" applyProtection="1">
      <alignment horizontal="left"/>
      <protection locked="0"/>
    </xf>
    <xf numFmtId="0" fontId="15" fillId="0" borderId="5" xfId="0" applyFont="1" applyBorder="1"/>
    <xf numFmtId="0" fontId="15" fillId="0" borderId="0" xfId="0" applyFont="1"/>
    <xf numFmtId="0" fontId="16" fillId="0" borderId="0" xfId="0" applyFont="1" applyAlignment="1">
      <alignment horizontal="left"/>
    </xf>
    <xf numFmtId="0" fontId="14" fillId="3" borderId="0" xfId="0" applyFont="1" applyFill="1" applyAlignment="1">
      <alignment horizontal="center"/>
    </xf>
    <xf numFmtId="0" fontId="4" fillId="2" borderId="0" xfId="0" applyFont="1" applyFill="1" applyAlignment="1">
      <alignment horizontal="center" vertical="center" wrapText="1"/>
    </xf>
    <xf numFmtId="0" fontId="4" fillId="2" borderId="4" xfId="0" applyFont="1" applyFill="1" applyBorder="1" applyAlignment="1">
      <alignment horizontal="center" vertical="center" wrapText="1"/>
    </xf>
    <xf numFmtId="0" fontId="10" fillId="2" borderId="9" xfId="0" applyFont="1" applyFill="1" applyBorder="1" applyAlignment="1">
      <alignment horizontal="center"/>
    </xf>
    <xf numFmtId="0" fontId="10" fillId="2" borderId="1" xfId="0" applyFont="1" applyFill="1" applyBorder="1" applyAlignment="1">
      <alignment horizontal="center"/>
    </xf>
    <xf numFmtId="0" fontId="10" fillId="2" borderId="2" xfId="0" applyFont="1" applyFill="1" applyBorder="1" applyAlignment="1">
      <alignment horizontal="center"/>
    </xf>
    <xf numFmtId="0" fontId="11" fillId="2" borderId="3" xfId="0" applyFont="1" applyFill="1" applyBorder="1" applyAlignment="1" applyProtection="1">
      <alignment horizontal="center"/>
      <protection locked="0"/>
    </xf>
    <xf numFmtId="0" fontId="11" fillId="2" borderId="0" xfId="0" applyFont="1" applyFill="1" applyAlignment="1" applyProtection="1">
      <alignment horizontal="center"/>
      <protection locked="0"/>
    </xf>
    <xf numFmtId="0" fontId="11" fillId="2" borderId="4" xfId="0" applyFont="1" applyFill="1" applyBorder="1" applyAlignment="1" applyProtection="1">
      <alignment horizontal="center"/>
      <protection locked="0"/>
    </xf>
  </cellXfs>
  <cellStyles count="2">
    <cellStyle name="Hyperlink" xfId="1" builtinId="8"/>
    <cellStyle name="Normal" xfId="0" builtinId="0"/>
  </cellStyles>
  <dxfs count="12">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border diagonalUp="0" diagonalDown="0" outline="0">
        <left style="medium">
          <color indexed="64"/>
        </left>
        <right style="medium">
          <color indexed="64"/>
        </right>
        <top/>
        <bottom/>
      </border>
      <protection locked="0" hidden="0"/>
    </dxf>
    <dxf>
      <font>
        <b val="0"/>
        <i val="0"/>
        <strike val="0"/>
        <condense val="0"/>
        <extend val="0"/>
        <outline val="0"/>
        <shadow val="0"/>
        <u val="none"/>
        <vertAlign val="baseline"/>
        <sz val="11"/>
        <color theme="1"/>
        <name val="Arial"/>
        <family val="2"/>
        <scheme val="none"/>
      </font>
      <border diagonalUp="0" diagonalDown="0" outline="0">
        <left style="medium">
          <color indexed="64"/>
        </left>
        <right style="medium">
          <color indexed="64"/>
        </right>
        <top/>
        <bottom/>
      </border>
    </dxf>
    <dxf>
      <font>
        <b val="0"/>
        <i val="0"/>
        <strike val="0"/>
        <condense val="0"/>
        <extend val="0"/>
        <outline val="0"/>
        <shadow val="0"/>
        <u val="none"/>
        <vertAlign val="baseline"/>
        <sz val="11"/>
        <color theme="1"/>
        <name val="Arial"/>
        <family val="2"/>
        <scheme val="none"/>
      </font>
      <border diagonalUp="0" diagonalDown="0" outline="0">
        <left style="medium">
          <color indexed="64"/>
        </left>
        <right style="medium">
          <color indexed="64"/>
        </right>
        <top/>
        <bottom/>
      </border>
    </dxf>
    <dxf>
      <font>
        <strike val="0"/>
        <outline val="0"/>
        <shadow val="0"/>
        <u val="none"/>
        <vertAlign val="baseline"/>
        <sz val="11"/>
        <name val="Arial"/>
        <family val="2"/>
        <scheme val="none"/>
      </font>
    </dxf>
    <dxf>
      <border>
        <bottom style="medium">
          <color indexed="64"/>
        </bottom>
      </border>
    </dxf>
    <dxf>
      <font>
        <b val="0"/>
        <i val="0"/>
        <strike val="0"/>
        <condense val="0"/>
        <extend val="0"/>
        <outline val="0"/>
        <shadow val="0"/>
        <u val="none"/>
        <vertAlign val="baseline"/>
        <sz val="11"/>
        <color theme="1"/>
        <name val="Arial"/>
        <family val="2"/>
        <scheme val="none"/>
      </font>
      <border diagonalUp="0" diagonalDown="0" outline="0">
        <left style="medium">
          <color indexed="64"/>
        </left>
        <right style="medium">
          <color indexed="64"/>
        </right>
        <top/>
        <bottom/>
      </border>
    </dxf>
    <dxf>
      <font>
        <b val="0"/>
        <i val="0"/>
        <strike val="0"/>
        <condense val="0"/>
        <extend val="0"/>
        <outline val="0"/>
        <shadow val="0"/>
        <u val="none"/>
        <vertAlign val="baseline"/>
        <sz val="11"/>
        <color theme="1"/>
        <name val="Arial"/>
        <family val="2"/>
        <scheme val="none"/>
      </font>
      <alignment horizontal="left" vertical="bottom" textRotation="0" wrapText="0" indent="1"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1"/>
        <color theme="1"/>
        <name val="Arial"/>
        <family val="2"/>
        <scheme val="none"/>
      </font>
      <border diagonalUp="0" diagonalDown="0" outline="0">
        <left style="medium">
          <color indexed="64"/>
        </left>
        <right style="medium">
          <color indexed="64"/>
        </right>
        <top/>
        <bottom/>
      </border>
    </dxf>
    <dxf>
      <font>
        <b val="0"/>
        <i val="0"/>
        <strike val="0"/>
        <condense val="0"/>
        <extend val="0"/>
        <outline val="0"/>
        <shadow val="0"/>
        <u val="none"/>
        <vertAlign val="baseline"/>
        <sz val="11"/>
        <color theme="1"/>
        <name val="Arial"/>
        <family val="2"/>
        <scheme val="none"/>
      </font>
      <border diagonalUp="0" diagonalDown="0" outline="0">
        <left style="medium">
          <color indexed="64"/>
        </left>
        <right style="medium">
          <color indexed="64"/>
        </right>
        <top/>
        <bottom/>
      </border>
    </dxf>
    <dxf>
      <font>
        <strike val="0"/>
        <outline val="0"/>
        <shadow val="0"/>
        <u val="none"/>
        <vertAlign val="baseline"/>
        <sz val="11"/>
        <name val="Arial"/>
        <family val="2"/>
        <scheme val="none"/>
      </font>
    </dxf>
    <dxf>
      <border>
        <bottom style="medium">
          <color indexed="64"/>
        </bottom>
      </border>
    </dxf>
    <dxf>
      <font>
        <b val="0"/>
        <i val="0"/>
        <strike val="0"/>
        <condense val="0"/>
        <extend val="0"/>
        <outline val="0"/>
        <shadow val="0"/>
        <u val="none"/>
        <vertAlign val="baseline"/>
        <sz val="11"/>
        <color theme="1"/>
        <name val="Arial"/>
        <family val="2"/>
        <scheme val="none"/>
      </font>
      <border diagonalUp="0" diagonalDown="0" outline="0">
        <left style="medium">
          <color indexed="64"/>
        </left>
        <right style="medium">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4</xdr:col>
      <xdr:colOff>3123211</xdr:colOff>
      <xdr:row>17</xdr:row>
      <xdr:rowOff>159444</xdr:rowOff>
    </xdr:from>
    <xdr:to>
      <xdr:col>15</xdr:col>
      <xdr:colOff>36616</xdr:colOff>
      <xdr:row>33</xdr:row>
      <xdr:rowOff>33646</xdr:rowOff>
    </xdr:to>
    <xdr:grpSp>
      <xdr:nvGrpSpPr>
        <xdr:cNvPr id="6" name="Group 5">
          <a:extLst>
            <a:ext uri="{FF2B5EF4-FFF2-40B4-BE49-F238E27FC236}">
              <a16:creationId xmlns:a16="http://schemas.microsoft.com/office/drawing/2014/main" id="{481AFF3E-9690-062A-3C77-739128804CD3}"/>
            </a:ext>
          </a:extLst>
        </xdr:cNvPr>
        <xdr:cNvGrpSpPr/>
      </xdr:nvGrpSpPr>
      <xdr:grpSpPr>
        <a:xfrm>
          <a:off x="7063840" y="3174787"/>
          <a:ext cx="9464633" cy="2660945"/>
          <a:chOff x="0" y="3200517"/>
          <a:chExt cx="9252857" cy="2666883"/>
        </a:xfrm>
      </xdr:grpSpPr>
      <xdr:grpSp>
        <xdr:nvGrpSpPr>
          <xdr:cNvPr id="4" name="Group 3">
            <a:extLst>
              <a:ext uri="{FF2B5EF4-FFF2-40B4-BE49-F238E27FC236}">
                <a16:creationId xmlns:a16="http://schemas.microsoft.com/office/drawing/2014/main" id="{BED06426-F7F8-FF06-8C30-EAB43F50AC0F}"/>
              </a:ext>
            </a:extLst>
          </xdr:cNvPr>
          <xdr:cNvGrpSpPr/>
        </xdr:nvGrpSpPr>
        <xdr:grpSpPr>
          <a:xfrm>
            <a:off x="0" y="3200517"/>
            <a:ext cx="9252857" cy="2666883"/>
            <a:chOff x="498181" y="3167860"/>
            <a:chExt cx="8123941" cy="2261941"/>
          </a:xfrm>
        </xdr:grpSpPr>
        <xdr:pic>
          <xdr:nvPicPr>
            <xdr:cNvPr id="2" name="Picture 1">
              <a:extLst>
                <a:ext uri="{FF2B5EF4-FFF2-40B4-BE49-F238E27FC236}">
                  <a16:creationId xmlns:a16="http://schemas.microsoft.com/office/drawing/2014/main" id="{53D74FF2-402E-075B-3549-6EA2ACC80973}"/>
                </a:ext>
              </a:extLst>
            </xdr:cNvPr>
            <xdr:cNvPicPr>
              <a:picLocks noChangeAspect="1"/>
            </xdr:cNvPicPr>
          </xdr:nvPicPr>
          <xdr:blipFill>
            <a:blip xmlns:r="http://schemas.openxmlformats.org/officeDocument/2006/relationships" r:embed="rId1"/>
            <a:stretch>
              <a:fillRect/>
            </a:stretch>
          </xdr:blipFill>
          <xdr:spPr>
            <a:xfrm>
              <a:off x="2312061" y="3167860"/>
              <a:ext cx="4349995" cy="1318510"/>
            </a:xfrm>
            <a:prstGeom prst="rect">
              <a:avLst/>
            </a:prstGeom>
          </xdr:spPr>
        </xdr:pic>
        <xdr:pic>
          <xdr:nvPicPr>
            <xdr:cNvPr id="3" name="Picture 2">
              <a:extLst>
                <a:ext uri="{FF2B5EF4-FFF2-40B4-BE49-F238E27FC236}">
                  <a16:creationId xmlns:a16="http://schemas.microsoft.com/office/drawing/2014/main" id="{039113BB-08D7-A7F9-4D0D-7C9E935F44A9}"/>
                </a:ext>
              </a:extLst>
            </xdr:cNvPr>
            <xdr:cNvPicPr>
              <a:picLocks noChangeAspect="1"/>
            </xdr:cNvPicPr>
          </xdr:nvPicPr>
          <xdr:blipFill>
            <a:blip xmlns:r="http://schemas.openxmlformats.org/officeDocument/2006/relationships" r:embed="rId2"/>
            <a:stretch>
              <a:fillRect/>
            </a:stretch>
          </xdr:blipFill>
          <xdr:spPr>
            <a:xfrm>
              <a:off x="498181" y="4386943"/>
              <a:ext cx="8123941" cy="1042858"/>
            </a:xfrm>
            <a:prstGeom prst="rect">
              <a:avLst/>
            </a:prstGeom>
          </xdr:spPr>
        </xdr:pic>
      </xdr:grpSp>
      <xdr:sp macro="" textlink="">
        <xdr:nvSpPr>
          <xdr:cNvPr id="5" name="TextBox 4">
            <a:extLst>
              <a:ext uri="{FF2B5EF4-FFF2-40B4-BE49-F238E27FC236}">
                <a16:creationId xmlns:a16="http://schemas.microsoft.com/office/drawing/2014/main" id="{4755486C-F46C-D570-C596-A6F8E84D9D68}"/>
              </a:ext>
            </a:extLst>
          </xdr:cNvPr>
          <xdr:cNvSpPr txBox="1"/>
        </xdr:nvSpPr>
        <xdr:spPr>
          <a:xfrm>
            <a:off x="3015342" y="4397829"/>
            <a:ext cx="2884027" cy="293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500" b="1"/>
              <a:t>SUPPORT</a:t>
            </a:r>
            <a:r>
              <a:rPr lang="en-PH" sz="1500" b="1" baseline="0"/>
              <a:t> CONDITIONS</a:t>
            </a:r>
            <a:endParaRPr lang="en-PH" sz="1500" b="1"/>
          </a:p>
        </xdr:txBody>
      </xdr:sp>
    </xdr:grpSp>
    <xdr:clientData/>
  </xdr:twoCellAnchor>
  <xdr:twoCellAnchor>
    <xdr:from>
      <xdr:col>0</xdr:col>
      <xdr:colOff>0</xdr:colOff>
      <xdr:row>16</xdr:row>
      <xdr:rowOff>126786</xdr:rowOff>
    </xdr:from>
    <xdr:to>
      <xdr:col>6</xdr:col>
      <xdr:colOff>1121570</xdr:colOff>
      <xdr:row>49</xdr:row>
      <xdr:rowOff>15504</xdr:rowOff>
    </xdr:to>
    <xdr:grpSp>
      <xdr:nvGrpSpPr>
        <xdr:cNvPr id="12" name="Group 11">
          <a:extLst>
            <a:ext uri="{FF2B5EF4-FFF2-40B4-BE49-F238E27FC236}">
              <a16:creationId xmlns:a16="http://schemas.microsoft.com/office/drawing/2014/main" id="{DDDFE69F-945A-A0EE-AC80-BFF45DEEC0D2}"/>
            </a:ext>
          </a:extLst>
        </xdr:cNvPr>
        <xdr:cNvGrpSpPr/>
      </xdr:nvGrpSpPr>
      <xdr:grpSpPr>
        <a:xfrm>
          <a:off x="0" y="2967957"/>
          <a:ext cx="10940484" cy="5636376"/>
          <a:chOff x="3614058" y="4931345"/>
          <a:chExt cx="10925640" cy="5642313"/>
        </a:xfrm>
      </xdr:grpSpPr>
      <xdr:pic>
        <xdr:nvPicPr>
          <xdr:cNvPr id="7" name="Picture 6">
            <a:extLst>
              <a:ext uri="{FF2B5EF4-FFF2-40B4-BE49-F238E27FC236}">
                <a16:creationId xmlns:a16="http://schemas.microsoft.com/office/drawing/2014/main" id="{EBCA2DEE-1EE6-4620-A7F2-08D4DE394B8E}"/>
              </a:ext>
            </a:extLst>
          </xdr:cNvPr>
          <xdr:cNvPicPr>
            <a:picLocks noChangeAspect="1"/>
          </xdr:cNvPicPr>
        </xdr:nvPicPr>
        <xdr:blipFill>
          <a:blip xmlns:r="http://schemas.openxmlformats.org/officeDocument/2006/relationships" r:embed="rId3"/>
          <a:stretch>
            <a:fillRect/>
          </a:stretch>
        </xdr:blipFill>
        <xdr:spPr>
          <a:xfrm>
            <a:off x="3614058" y="5061857"/>
            <a:ext cx="7646653" cy="1458402"/>
          </a:xfrm>
          <a:prstGeom prst="rect">
            <a:avLst/>
          </a:prstGeom>
        </xdr:spPr>
      </xdr:pic>
      <xdr:pic>
        <xdr:nvPicPr>
          <xdr:cNvPr id="8" name="Picture 7">
            <a:extLst>
              <a:ext uri="{FF2B5EF4-FFF2-40B4-BE49-F238E27FC236}">
                <a16:creationId xmlns:a16="http://schemas.microsoft.com/office/drawing/2014/main" id="{0A66C1C9-42BE-4A24-9DFD-17D52B167079}"/>
              </a:ext>
            </a:extLst>
          </xdr:cNvPr>
          <xdr:cNvPicPr>
            <a:picLocks noChangeAspect="1"/>
          </xdr:cNvPicPr>
        </xdr:nvPicPr>
        <xdr:blipFill>
          <a:blip xmlns:r="http://schemas.openxmlformats.org/officeDocument/2006/relationships" r:embed="rId4"/>
          <a:stretch>
            <a:fillRect/>
          </a:stretch>
        </xdr:blipFill>
        <xdr:spPr>
          <a:xfrm>
            <a:off x="3717471" y="6360474"/>
            <a:ext cx="6908325" cy="1517768"/>
          </a:xfrm>
          <a:prstGeom prst="rect">
            <a:avLst/>
          </a:prstGeom>
        </xdr:spPr>
      </xdr:pic>
      <xdr:pic>
        <xdr:nvPicPr>
          <xdr:cNvPr id="9" name="Picture 8">
            <a:extLst>
              <a:ext uri="{FF2B5EF4-FFF2-40B4-BE49-F238E27FC236}">
                <a16:creationId xmlns:a16="http://schemas.microsoft.com/office/drawing/2014/main" id="{101D99E2-AF79-42C8-91B6-EB520FE0E52B}"/>
              </a:ext>
            </a:extLst>
          </xdr:cNvPr>
          <xdr:cNvPicPr>
            <a:picLocks noChangeAspect="1"/>
          </xdr:cNvPicPr>
        </xdr:nvPicPr>
        <xdr:blipFill>
          <a:blip xmlns:r="http://schemas.openxmlformats.org/officeDocument/2006/relationships" r:embed="rId5"/>
          <a:stretch>
            <a:fillRect/>
          </a:stretch>
        </xdr:blipFill>
        <xdr:spPr>
          <a:xfrm>
            <a:off x="3736521" y="7806789"/>
            <a:ext cx="10803177" cy="1419669"/>
          </a:xfrm>
          <a:prstGeom prst="rect">
            <a:avLst/>
          </a:prstGeom>
        </xdr:spPr>
      </xdr:pic>
      <xdr:pic>
        <xdr:nvPicPr>
          <xdr:cNvPr id="10" name="Picture 9">
            <a:extLst>
              <a:ext uri="{FF2B5EF4-FFF2-40B4-BE49-F238E27FC236}">
                <a16:creationId xmlns:a16="http://schemas.microsoft.com/office/drawing/2014/main" id="{EEE49622-1940-45EB-BE29-EDDD91AB0D0E}"/>
              </a:ext>
            </a:extLst>
          </xdr:cNvPr>
          <xdr:cNvPicPr>
            <a:picLocks noChangeAspect="1"/>
          </xdr:cNvPicPr>
        </xdr:nvPicPr>
        <xdr:blipFill>
          <a:blip xmlns:r="http://schemas.openxmlformats.org/officeDocument/2006/relationships" r:embed="rId6"/>
          <a:stretch>
            <a:fillRect/>
          </a:stretch>
        </xdr:blipFill>
        <xdr:spPr>
          <a:xfrm>
            <a:off x="3709307" y="9171463"/>
            <a:ext cx="10012136" cy="1402195"/>
          </a:xfrm>
          <a:prstGeom prst="rect">
            <a:avLst/>
          </a:prstGeom>
        </xdr:spPr>
      </xdr:pic>
      <xdr:sp macro="" textlink="">
        <xdr:nvSpPr>
          <xdr:cNvPr id="11" name="TextBox 10">
            <a:extLst>
              <a:ext uri="{FF2B5EF4-FFF2-40B4-BE49-F238E27FC236}">
                <a16:creationId xmlns:a16="http://schemas.microsoft.com/office/drawing/2014/main" id="{B60A410B-3E14-4A77-B93D-C3FCCA706ECD}"/>
              </a:ext>
            </a:extLst>
          </xdr:cNvPr>
          <xdr:cNvSpPr txBox="1"/>
        </xdr:nvSpPr>
        <xdr:spPr>
          <a:xfrm>
            <a:off x="5747657" y="4931345"/>
            <a:ext cx="2884027" cy="293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500" b="1"/>
              <a:t>MOMENT COEFFICIENT</a:t>
            </a:r>
          </a:p>
        </xdr:txBody>
      </xdr:sp>
    </xdr:grpSp>
    <xdr:clientData/>
  </xdr:twoCellAnchor>
  <xdr:twoCellAnchor>
    <xdr:from>
      <xdr:col>0</xdr:col>
      <xdr:colOff>0</xdr:colOff>
      <xdr:row>51</xdr:row>
      <xdr:rowOff>102294</xdr:rowOff>
    </xdr:from>
    <xdr:to>
      <xdr:col>22</xdr:col>
      <xdr:colOff>405330</xdr:colOff>
      <xdr:row>108</xdr:row>
      <xdr:rowOff>171793</xdr:rowOff>
    </xdr:to>
    <xdr:grpSp>
      <xdr:nvGrpSpPr>
        <xdr:cNvPr id="18" name="Group 17">
          <a:extLst>
            <a:ext uri="{FF2B5EF4-FFF2-40B4-BE49-F238E27FC236}">
              <a16:creationId xmlns:a16="http://schemas.microsoft.com/office/drawing/2014/main" id="{0939A12A-F41B-FF70-D933-03D32E75156D}"/>
            </a:ext>
          </a:extLst>
        </xdr:cNvPr>
        <xdr:cNvGrpSpPr/>
      </xdr:nvGrpSpPr>
      <xdr:grpSpPr>
        <a:xfrm>
          <a:off x="0" y="9039465"/>
          <a:ext cx="21164387" cy="9997271"/>
          <a:chOff x="0" y="7817544"/>
          <a:chExt cx="20941230" cy="9842149"/>
        </a:xfrm>
      </xdr:grpSpPr>
      <xdr:grpSp>
        <xdr:nvGrpSpPr>
          <xdr:cNvPr id="13" name="Group 12">
            <a:extLst>
              <a:ext uri="{FF2B5EF4-FFF2-40B4-BE49-F238E27FC236}">
                <a16:creationId xmlns:a16="http://schemas.microsoft.com/office/drawing/2014/main" id="{8F4717FC-AA29-4C0B-BC7D-F326641EB77E}"/>
              </a:ext>
            </a:extLst>
          </xdr:cNvPr>
          <xdr:cNvGrpSpPr/>
        </xdr:nvGrpSpPr>
        <xdr:grpSpPr>
          <a:xfrm>
            <a:off x="0" y="8071757"/>
            <a:ext cx="20941230" cy="9587936"/>
            <a:chOff x="249382" y="3034146"/>
            <a:chExt cx="20946353" cy="10214263"/>
          </a:xfrm>
        </xdr:grpSpPr>
        <xdr:pic>
          <xdr:nvPicPr>
            <xdr:cNvPr id="14" name="Picture 13">
              <a:extLst>
                <a:ext uri="{FF2B5EF4-FFF2-40B4-BE49-F238E27FC236}">
                  <a16:creationId xmlns:a16="http://schemas.microsoft.com/office/drawing/2014/main" id="{B4B86EB8-59B1-B9B6-554D-BAC332450986}"/>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49382" y="3048000"/>
              <a:ext cx="7353300" cy="1020040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Picture 14">
              <a:extLst>
                <a:ext uri="{FF2B5EF4-FFF2-40B4-BE49-F238E27FC236}">
                  <a16:creationId xmlns:a16="http://schemas.microsoft.com/office/drawing/2014/main" id="{242C1741-C8A0-2BA7-F514-30CEC16E2B9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633855" y="3034146"/>
              <a:ext cx="6766560" cy="954578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 name="Picture 15">
              <a:extLst>
                <a:ext uri="{FF2B5EF4-FFF2-40B4-BE49-F238E27FC236}">
                  <a16:creationId xmlns:a16="http://schemas.microsoft.com/office/drawing/2014/main" id="{46D2A082-1E50-1AF8-DA80-ECEF7B168AE5}"/>
                </a:ext>
              </a:extLst>
            </xdr:cNvPr>
            <xdr:cNvPicPr>
              <a:picLocks noChangeAspect="1"/>
            </xdr:cNvPicPr>
          </xdr:nvPicPr>
          <xdr:blipFill>
            <a:blip xmlns:r="http://schemas.openxmlformats.org/officeDocument/2006/relationships" r:embed="rId9"/>
            <a:stretch>
              <a:fillRect/>
            </a:stretch>
          </xdr:blipFill>
          <xdr:spPr>
            <a:xfrm>
              <a:off x="14367164" y="3048001"/>
              <a:ext cx="6828571" cy="9457143"/>
            </a:xfrm>
            <a:prstGeom prst="rect">
              <a:avLst/>
            </a:prstGeom>
          </xdr:spPr>
        </xdr:pic>
      </xdr:grpSp>
      <xdr:sp macro="" textlink="">
        <xdr:nvSpPr>
          <xdr:cNvPr id="17" name="TextBox 16">
            <a:extLst>
              <a:ext uri="{FF2B5EF4-FFF2-40B4-BE49-F238E27FC236}">
                <a16:creationId xmlns:a16="http://schemas.microsoft.com/office/drawing/2014/main" id="{0F960B13-CABE-43BB-9B41-974B07F99759}"/>
              </a:ext>
            </a:extLst>
          </xdr:cNvPr>
          <xdr:cNvSpPr txBox="1"/>
        </xdr:nvSpPr>
        <xdr:spPr>
          <a:xfrm>
            <a:off x="8457211" y="7817544"/>
            <a:ext cx="2879632" cy="288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500" b="1"/>
              <a:t>NSCP LOADING CRITERIA</a:t>
            </a: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9486AD-1ABE-4554-B847-5397DB78809A}" name="Table1" displayName="Table1" ref="A7:C11" totalsRowShown="0" headerRowDxfId="11" dataDxfId="9" headerRowBorderDxfId="10">
  <autoFilter ref="A7:C11" xr:uid="{FF9486AD-1ABE-4554-B847-5397DB78809A}"/>
  <tableColumns count="3">
    <tableColumn id="1" xr3:uid="{0A5252E9-A123-47CA-949D-A92094682E7A}" name="Support condition" dataDxfId="8"/>
    <tableColumn id="2" xr3:uid="{8CC4DF4D-2373-4254-8B0F-55E8BF141B9F}" name="denominator" dataDxfId="7"/>
    <tableColumn id="3" xr3:uid="{08DE1E12-9E50-48BF-87A5-D3D679B920AB}" name="thickness" dataDxfId="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107583-E3DE-49A5-A65E-6E6E2D0C9B2D}" name="Table2" displayName="Table2" ref="E7:G16" totalsRowShown="0" headerRowDxfId="5" dataDxfId="3" headerRowBorderDxfId="4">
  <autoFilter ref="E7:G16" xr:uid="{98107583-E3DE-49A5-A65E-6E6E2D0C9B2D}"/>
  <tableColumns count="3">
    <tableColumn id="1" xr3:uid="{ED61E29F-B721-43A7-BB7E-A7767F768B08}" name="Description" dataDxfId="2"/>
    <tableColumn id="2" xr3:uid="{51078EB4-5F6D-41C8-A4CE-88377B4556CD}" name="denominator" dataDxfId="1"/>
    <tableColumn id="3" xr3:uid="{13346ABB-D954-45DF-A742-360B68EE03BA}" name="moment"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preciousmaryangelicavbarcena@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58CF8-DF7D-44E9-872F-8EC623FB7D7E}">
  <sheetPr>
    <tabColor rgb="FFFF0000"/>
  </sheetPr>
  <dimension ref="A1:S16"/>
  <sheetViews>
    <sheetView zoomScale="70" zoomScaleNormal="70" workbookViewId="0">
      <selection activeCell="I7" sqref="I7"/>
    </sheetView>
  </sheetViews>
  <sheetFormatPr defaultRowHeight="13.8" x14ac:dyDescent="0.25"/>
  <cols>
    <col min="1" max="1" width="19.44140625" style="13" bestFit="1" customWidth="1"/>
    <col min="2" max="2" width="13.88671875" style="13" customWidth="1"/>
    <col min="3" max="3" width="18.5546875" style="13" bestFit="1" customWidth="1"/>
    <col min="4" max="4" width="5.44140625" style="13" customWidth="1"/>
    <col min="5" max="5" width="71.44140625" style="13" bestFit="1" customWidth="1"/>
    <col min="6" max="6" width="14.21875" style="13" bestFit="1" customWidth="1"/>
    <col min="7" max="7" width="17.5546875" style="13" bestFit="1" customWidth="1"/>
    <col min="8" max="8" width="14.44140625" style="13" customWidth="1"/>
    <col min="9" max="9" width="11.88671875" style="13" customWidth="1"/>
    <col min="10" max="16384" width="8.88671875" style="13"/>
  </cols>
  <sheetData>
    <row r="1" spans="1:19" x14ac:dyDescent="0.25">
      <c r="A1" s="3" t="s">
        <v>58</v>
      </c>
      <c r="B1" s="1"/>
      <c r="C1" s="1"/>
      <c r="D1" s="1"/>
      <c r="E1" s="3" t="s">
        <v>124</v>
      </c>
      <c r="F1" s="1"/>
      <c r="G1" s="1"/>
      <c r="H1" s="1"/>
      <c r="I1" s="82"/>
      <c r="J1" s="84" t="s">
        <v>127</v>
      </c>
      <c r="K1" s="83"/>
      <c r="O1" s="1"/>
      <c r="P1" s="1"/>
      <c r="Q1" s="1"/>
      <c r="R1" s="1"/>
      <c r="S1" s="1"/>
    </row>
    <row r="2" spans="1:19" ht="14.4" x14ac:dyDescent="0.3">
      <c r="A2" s="6" t="s">
        <v>55</v>
      </c>
      <c r="B2" s="1"/>
      <c r="C2" s="1"/>
      <c r="D2" s="1"/>
      <c r="E2" s="13" t="s">
        <v>123</v>
      </c>
      <c r="F2" s="1"/>
      <c r="G2" s="15"/>
      <c r="H2" s="1"/>
      <c r="I2" s="1"/>
      <c r="J2" s="1"/>
      <c r="K2" s="1"/>
      <c r="O2" s="1"/>
      <c r="P2" s="1"/>
      <c r="Q2" s="1"/>
      <c r="R2" s="1"/>
      <c r="S2" s="1"/>
    </row>
    <row r="3" spans="1:19" x14ac:dyDescent="0.25">
      <c r="A3" s="6" t="s">
        <v>56</v>
      </c>
      <c r="B3" s="1"/>
      <c r="C3" s="1"/>
      <c r="D3" s="1"/>
      <c r="E3" s="13" t="s">
        <v>126</v>
      </c>
      <c r="F3" s="1"/>
      <c r="G3" s="1"/>
      <c r="I3" s="1"/>
      <c r="J3" s="1"/>
      <c r="K3" s="1"/>
      <c r="O3" s="1"/>
      <c r="P3" s="1"/>
      <c r="Q3" s="1"/>
      <c r="R3" s="1"/>
      <c r="S3" s="1"/>
    </row>
    <row r="4" spans="1:19" x14ac:dyDescent="0.25">
      <c r="A4" s="6" t="s">
        <v>57</v>
      </c>
      <c r="B4" s="1"/>
      <c r="C4" s="1"/>
      <c r="D4" s="1"/>
      <c r="E4" s="13" t="s">
        <v>125</v>
      </c>
      <c r="F4" s="1"/>
      <c r="G4" s="1"/>
      <c r="I4" s="1"/>
      <c r="J4" s="1"/>
      <c r="K4" s="1"/>
      <c r="O4" s="1"/>
      <c r="P4" s="1"/>
      <c r="Q4" s="1"/>
      <c r="R4" s="1"/>
      <c r="S4" s="1"/>
    </row>
    <row r="5" spans="1:19" x14ac:dyDescent="0.25">
      <c r="A5" s="6"/>
      <c r="B5" s="1"/>
      <c r="C5" s="1"/>
      <c r="D5" s="1"/>
      <c r="F5" s="1"/>
      <c r="G5" s="1"/>
      <c r="I5" s="1"/>
      <c r="J5" s="1"/>
      <c r="K5" s="1"/>
      <c r="O5" s="1"/>
      <c r="P5" s="1"/>
      <c r="Q5" s="1"/>
      <c r="R5" s="1"/>
      <c r="S5" s="1"/>
    </row>
    <row r="6" spans="1:19" ht="14.4" thickBot="1" x14ac:dyDescent="0.3">
      <c r="A6" s="85" t="s">
        <v>90</v>
      </c>
      <c r="B6" s="85"/>
      <c r="C6" s="85"/>
      <c r="E6" s="85" t="s">
        <v>91</v>
      </c>
      <c r="F6" s="85"/>
      <c r="G6" s="85"/>
      <c r="M6" s="83"/>
    </row>
    <row r="7" spans="1:19" ht="14.4" thickBot="1" x14ac:dyDescent="0.3">
      <c r="A7" s="14" t="s">
        <v>78</v>
      </c>
      <c r="B7" s="14" t="s">
        <v>83</v>
      </c>
      <c r="C7" s="14" t="s">
        <v>87</v>
      </c>
      <c r="E7" s="14" t="s">
        <v>121</v>
      </c>
      <c r="F7" s="14" t="s">
        <v>83</v>
      </c>
      <c r="G7" s="14" t="s">
        <v>105</v>
      </c>
    </row>
    <row r="8" spans="1:19" x14ac:dyDescent="0.25">
      <c r="A8" s="75" t="s">
        <v>79</v>
      </c>
      <c r="B8" s="75">
        <v>20</v>
      </c>
      <c r="C8" s="76" t="s">
        <v>40</v>
      </c>
      <c r="E8" s="75" t="s">
        <v>106</v>
      </c>
      <c r="F8" s="75">
        <v>11</v>
      </c>
      <c r="G8" s="77" t="s">
        <v>97</v>
      </c>
      <c r="H8" s="78"/>
    </row>
    <row r="9" spans="1:19" x14ac:dyDescent="0.25">
      <c r="A9" s="75" t="s">
        <v>80</v>
      </c>
      <c r="B9" s="75">
        <v>24</v>
      </c>
      <c r="C9" s="76" t="s">
        <v>84</v>
      </c>
      <c r="E9" s="75" t="s">
        <v>107</v>
      </c>
      <c r="F9" s="75">
        <v>14</v>
      </c>
      <c r="G9" s="77" t="s">
        <v>98</v>
      </c>
    </row>
    <row r="10" spans="1:19" x14ac:dyDescent="0.25">
      <c r="A10" s="75" t="s">
        <v>81</v>
      </c>
      <c r="B10" s="75">
        <v>28</v>
      </c>
      <c r="C10" s="76" t="s">
        <v>85</v>
      </c>
      <c r="E10" s="75" t="s">
        <v>108</v>
      </c>
      <c r="F10" s="75">
        <v>16</v>
      </c>
      <c r="G10" s="77" t="s">
        <v>99</v>
      </c>
    </row>
    <row r="11" spans="1:19" ht="14.4" thickBot="1" x14ac:dyDescent="0.3">
      <c r="A11" s="79" t="s">
        <v>82</v>
      </c>
      <c r="B11" s="79">
        <v>10</v>
      </c>
      <c r="C11" s="80" t="s">
        <v>86</v>
      </c>
      <c r="E11" s="75" t="s">
        <v>95</v>
      </c>
      <c r="F11" s="75">
        <v>9</v>
      </c>
      <c r="G11" s="77" t="s">
        <v>101</v>
      </c>
    </row>
    <row r="12" spans="1:19" x14ac:dyDescent="0.25">
      <c r="E12" s="75" t="s">
        <v>96</v>
      </c>
      <c r="F12" s="75">
        <v>10</v>
      </c>
      <c r="G12" s="77" t="s">
        <v>102</v>
      </c>
    </row>
    <row r="13" spans="1:19" x14ac:dyDescent="0.25">
      <c r="E13" s="75" t="s">
        <v>92</v>
      </c>
      <c r="F13" s="75">
        <v>11</v>
      </c>
      <c r="G13" s="77" t="s">
        <v>100</v>
      </c>
    </row>
    <row r="14" spans="1:19" x14ac:dyDescent="0.25">
      <c r="E14" s="75" t="s">
        <v>93</v>
      </c>
      <c r="F14" s="75">
        <v>24</v>
      </c>
      <c r="G14" s="77" t="s">
        <v>103</v>
      </c>
    </row>
    <row r="15" spans="1:19" x14ac:dyDescent="0.25">
      <c r="E15" s="75" t="s">
        <v>94</v>
      </c>
      <c r="F15" s="75">
        <v>16</v>
      </c>
      <c r="G15" s="77" t="s">
        <v>104</v>
      </c>
    </row>
    <row r="16" spans="1:19" ht="14.4" thickBot="1" x14ac:dyDescent="0.3">
      <c r="E16" s="79" t="s">
        <v>120</v>
      </c>
      <c r="F16" s="79">
        <v>2</v>
      </c>
      <c r="G16" s="81" t="s">
        <v>119</v>
      </c>
    </row>
  </sheetData>
  <mergeCells count="2">
    <mergeCell ref="A6:C6"/>
    <mergeCell ref="E6:G6"/>
  </mergeCells>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15E03-F699-4114-87E0-5DF52302315C}">
  <dimension ref="A1:A13"/>
  <sheetViews>
    <sheetView workbookViewId="0">
      <selection activeCell="A10" sqref="A10"/>
    </sheetView>
  </sheetViews>
  <sheetFormatPr defaultRowHeight="14.4" x14ac:dyDescent="0.3"/>
  <sheetData>
    <row r="1" spans="1:1" x14ac:dyDescent="0.3">
      <c r="A1" t="s">
        <v>62</v>
      </c>
    </row>
    <row r="3" spans="1:1" x14ac:dyDescent="0.3">
      <c r="A3" t="s">
        <v>65</v>
      </c>
    </row>
    <row r="4" spans="1:1" x14ac:dyDescent="0.3">
      <c r="A4" t="s">
        <v>67</v>
      </c>
    </row>
    <row r="10" spans="1:1" x14ac:dyDescent="0.3">
      <c r="A10" t="s">
        <v>63</v>
      </c>
    </row>
    <row r="11" spans="1:1" x14ac:dyDescent="0.3">
      <c r="A11" t="s">
        <v>64</v>
      </c>
    </row>
    <row r="12" spans="1:1" x14ac:dyDescent="0.3">
      <c r="A12" t="s">
        <v>68</v>
      </c>
    </row>
    <row r="13" spans="1:1" x14ac:dyDescent="0.3">
      <c r="A13" s="7" t="s">
        <v>66</v>
      </c>
    </row>
  </sheetData>
  <hyperlinks>
    <hyperlink ref="A13" r:id="rId1" xr:uid="{EFA31C4A-9D93-4BA5-A065-3EB33C7DB3D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B7D31-4521-4D3F-A098-87B6952B2236}">
  <sheetPr>
    <pageSetUpPr fitToPage="1"/>
  </sheetPr>
  <dimension ref="A1:Y133"/>
  <sheetViews>
    <sheetView tabSelected="1" view="pageBreakPreview" zoomScale="40" zoomScaleNormal="44" zoomScaleSheetLayoutView="40" zoomScalePageLayoutView="10" workbookViewId="0">
      <selection sqref="A1:Q1"/>
    </sheetView>
  </sheetViews>
  <sheetFormatPr defaultRowHeight="13.8" x14ac:dyDescent="0.25"/>
  <cols>
    <col min="1" max="1" width="48.5546875" style="19" bestFit="1" customWidth="1"/>
    <col min="2" max="2" width="2" style="17" bestFit="1" customWidth="1"/>
    <col min="3" max="3" width="18.77734375" style="17" bestFit="1" customWidth="1"/>
    <col min="4" max="4" width="7.88671875" style="17" bestFit="1" customWidth="1"/>
    <col min="5" max="5" width="20.109375" style="21" bestFit="1" customWidth="1"/>
    <col min="6" max="6" width="8.5546875" style="27" bestFit="1" customWidth="1"/>
    <col min="7" max="7" width="5.44140625" style="19" bestFit="1" customWidth="1"/>
    <col min="8" max="8" width="3.44140625" style="17" bestFit="1" customWidth="1"/>
    <col min="9" max="9" width="41.5546875" style="17" customWidth="1"/>
    <col min="10" max="10" width="4.5546875" style="17" customWidth="1"/>
    <col min="11" max="11" width="9.88671875" style="17" bestFit="1" customWidth="1"/>
    <col min="12" max="12" width="8.21875" style="17" bestFit="1" customWidth="1"/>
    <col min="13" max="13" width="17.21875" style="17" bestFit="1" customWidth="1"/>
    <col min="14" max="14" width="8.21875" style="17" bestFit="1" customWidth="1"/>
    <col min="15" max="15" width="4.33203125" style="17" bestFit="1" customWidth="1"/>
    <col min="16" max="16" width="8.21875" style="17" bestFit="1" customWidth="1"/>
    <col min="17" max="17" width="17.44140625" style="17" bestFit="1" customWidth="1"/>
    <col min="18" max="16384" width="8.88671875" style="17"/>
  </cols>
  <sheetData>
    <row r="1" spans="1:22" ht="28.2" x14ac:dyDescent="0.5">
      <c r="A1" s="88" t="s">
        <v>69</v>
      </c>
      <c r="B1" s="89"/>
      <c r="C1" s="89"/>
      <c r="D1" s="89"/>
      <c r="E1" s="89"/>
      <c r="F1" s="89"/>
      <c r="G1" s="89"/>
      <c r="H1" s="89"/>
      <c r="I1" s="89"/>
      <c r="J1" s="89"/>
      <c r="K1" s="89"/>
      <c r="L1" s="89"/>
      <c r="M1" s="89"/>
      <c r="N1" s="89"/>
      <c r="O1" s="89"/>
      <c r="P1" s="89"/>
      <c r="Q1" s="90"/>
      <c r="R1" s="16"/>
      <c r="S1" s="16"/>
      <c r="T1" s="16"/>
      <c r="U1" s="16"/>
      <c r="V1" s="16"/>
    </row>
    <row r="2" spans="1:22" ht="21" x14ac:dyDescent="0.4">
      <c r="A2" s="91" t="s">
        <v>70</v>
      </c>
      <c r="B2" s="92"/>
      <c r="C2" s="92"/>
      <c r="D2" s="92"/>
      <c r="E2" s="92"/>
      <c r="F2" s="92"/>
      <c r="G2" s="92"/>
      <c r="H2" s="92"/>
      <c r="I2" s="92"/>
      <c r="J2" s="92"/>
      <c r="K2" s="92"/>
      <c r="L2" s="92"/>
      <c r="M2" s="92"/>
      <c r="N2" s="92"/>
      <c r="O2" s="92"/>
      <c r="P2" s="92"/>
      <c r="Q2" s="93"/>
      <c r="R2" s="18"/>
      <c r="S2" s="18"/>
      <c r="T2" s="18"/>
      <c r="U2" s="18"/>
      <c r="V2" s="18"/>
    </row>
    <row r="3" spans="1:22" ht="21" x14ac:dyDescent="0.4">
      <c r="A3" s="57"/>
      <c r="B3" s="12"/>
      <c r="C3" s="12"/>
      <c r="D3" s="12"/>
      <c r="E3" s="12"/>
      <c r="F3" s="12"/>
      <c r="G3" s="12"/>
      <c r="H3" s="12"/>
      <c r="I3" s="12"/>
      <c r="J3" s="12"/>
      <c r="K3" s="12"/>
      <c r="L3" s="12"/>
      <c r="M3" s="12"/>
      <c r="N3" s="12"/>
      <c r="O3" s="12"/>
      <c r="P3" s="12"/>
      <c r="Q3" s="58"/>
      <c r="R3" s="23"/>
      <c r="S3" s="23"/>
      <c r="T3" s="18"/>
      <c r="U3" s="18"/>
      <c r="V3" s="18"/>
    </row>
    <row r="4" spans="1:22" ht="13.8" customHeight="1" x14ac:dyDescent="0.25">
      <c r="A4" s="59" t="s">
        <v>71</v>
      </c>
      <c r="B4" s="36" t="s">
        <v>8</v>
      </c>
      <c r="C4" s="8">
        <v>2500</v>
      </c>
      <c r="D4" s="28" t="s">
        <v>1</v>
      </c>
      <c r="E4" s="38"/>
      <c r="F4" s="60"/>
      <c r="G4" s="29"/>
      <c r="H4" s="28"/>
      <c r="I4" s="9" t="s">
        <v>110</v>
      </c>
      <c r="J4" s="28"/>
      <c r="K4" s="28"/>
      <c r="L4" s="28"/>
      <c r="M4" s="38"/>
      <c r="N4" s="60"/>
      <c r="O4" s="29"/>
      <c r="P4" s="28"/>
      <c r="Q4" s="30"/>
    </row>
    <row r="5" spans="1:22" ht="13.8" customHeight="1" x14ac:dyDescent="0.25">
      <c r="A5" s="59" t="s">
        <v>72</v>
      </c>
      <c r="B5" s="36" t="s">
        <v>8</v>
      </c>
      <c r="C5" s="8">
        <v>2000</v>
      </c>
      <c r="D5" s="28" t="s">
        <v>1</v>
      </c>
      <c r="E5" s="38"/>
      <c r="F5" s="60"/>
      <c r="G5" s="29"/>
      <c r="H5" s="28"/>
      <c r="I5" s="29" t="s">
        <v>29</v>
      </c>
      <c r="J5" s="28" t="s">
        <v>8</v>
      </c>
      <c r="K5" s="28">
        <f>IF(C10&lt;28,0.85,0.85-((0.05/7)*(C10-28)))</f>
        <v>0.85</v>
      </c>
      <c r="L5" s="28"/>
      <c r="M5" s="61"/>
      <c r="N5" s="60"/>
      <c r="O5" s="62"/>
      <c r="P5" s="28"/>
      <c r="Q5" s="30"/>
    </row>
    <row r="6" spans="1:22" ht="13.8" customHeight="1" x14ac:dyDescent="0.3">
      <c r="A6" s="59" t="s">
        <v>73</v>
      </c>
      <c r="B6" s="36" t="s">
        <v>8</v>
      </c>
      <c r="C6" s="28">
        <f>C4/C5</f>
        <v>1.25</v>
      </c>
      <c r="D6" s="28" t="s">
        <v>1</v>
      </c>
      <c r="E6" s="63" t="str">
        <f>IF(OR(C5&lt;=3000,C6&gt;=2),"","CAN NOT DESIGN AS ONE WAY")</f>
        <v/>
      </c>
      <c r="F6" s="60"/>
      <c r="G6" s="29"/>
      <c r="H6" s="28"/>
      <c r="I6" s="33" t="s">
        <v>35</v>
      </c>
      <c r="J6" s="28" t="s">
        <v>8</v>
      </c>
      <c r="K6" s="28">
        <v>0.9</v>
      </c>
      <c r="L6" s="28"/>
      <c r="M6" s="38"/>
      <c r="N6" s="60"/>
      <c r="O6" s="29"/>
      <c r="P6" s="28"/>
      <c r="Q6" s="30"/>
    </row>
    <row r="7" spans="1:22" ht="13.8" customHeight="1" x14ac:dyDescent="0.25">
      <c r="A7" s="35"/>
      <c r="B7" s="36"/>
      <c r="C7" s="28"/>
      <c r="D7" s="28"/>
      <c r="E7" s="38"/>
      <c r="F7" s="60"/>
      <c r="G7" s="29"/>
      <c r="H7" s="28"/>
      <c r="I7" s="29" t="s">
        <v>30</v>
      </c>
      <c r="J7" s="28" t="s">
        <v>8</v>
      </c>
      <c r="K7" s="34">
        <f>1.4/C11</f>
        <v>5.0724637681159417E-3</v>
      </c>
      <c r="L7" s="28"/>
      <c r="M7" s="38"/>
      <c r="N7" s="60"/>
      <c r="O7" s="29"/>
      <c r="P7" s="28"/>
      <c r="Q7" s="30"/>
    </row>
    <row r="8" spans="1:22" ht="13.8" customHeight="1" x14ac:dyDescent="0.25">
      <c r="A8" s="39" t="s">
        <v>16</v>
      </c>
      <c r="B8" s="28"/>
      <c r="C8" s="28"/>
      <c r="D8" s="28"/>
      <c r="E8" s="38"/>
      <c r="F8" s="60"/>
      <c r="G8" s="29"/>
      <c r="H8" s="28"/>
      <c r="I8" s="29" t="s">
        <v>31</v>
      </c>
      <c r="J8" s="28" t="s">
        <v>8</v>
      </c>
      <c r="K8" s="34">
        <f>(0.85*C10*K5*(3/8)/C11)</f>
        <v>2.03203125E-2</v>
      </c>
      <c r="L8" s="28"/>
      <c r="M8" s="38"/>
      <c r="N8" s="60"/>
      <c r="O8" s="29"/>
      <c r="P8" s="28"/>
      <c r="Q8" s="30"/>
    </row>
    <row r="9" spans="1:22" ht="13.8" customHeight="1" x14ac:dyDescent="0.3">
      <c r="A9" s="41" t="s">
        <v>122</v>
      </c>
      <c r="B9" s="36" t="s">
        <v>8</v>
      </c>
      <c r="C9" s="8">
        <v>24</v>
      </c>
      <c r="D9" s="28" t="s">
        <v>20</v>
      </c>
      <c r="E9" s="38"/>
      <c r="F9" s="60"/>
      <c r="G9" s="29"/>
      <c r="H9" s="28"/>
      <c r="I9" s="33"/>
      <c r="J9" s="28"/>
      <c r="K9" s="28"/>
      <c r="L9" s="28"/>
      <c r="M9" s="38"/>
      <c r="N9" s="60"/>
      <c r="O9" s="29"/>
      <c r="P9" s="28"/>
      <c r="Q9" s="30"/>
    </row>
    <row r="10" spans="1:22" ht="13.8" customHeight="1" x14ac:dyDescent="0.25">
      <c r="A10" s="35" t="s">
        <v>0</v>
      </c>
      <c r="B10" s="36" t="s">
        <v>8</v>
      </c>
      <c r="C10" s="8">
        <v>20.7</v>
      </c>
      <c r="D10" s="28" t="s">
        <v>3</v>
      </c>
      <c r="E10" s="38"/>
      <c r="F10" s="60"/>
      <c r="G10" s="29"/>
      <c r="H10" s="28"/>
      <c r="I10" s="10" t="s">
        <v>46</v>
      </c>
      <c r="J10" s="28"/>
      <c r="K10" s="28"/>
      <c r="L10" s="28"/>
      <c r="M10" s="38"/>
      <c r="N10" s="60"/>
      <c r="O10" s="29"/>
      <c r="P10" s="28"/>
      <c r="Q10" s="30"/>
    </row>
    <row r="11" spans="1:22" ht="13.8" customHeight="1" x14ac:dyDescent="0.25">
      <c r="A11" s="35" t="s">
        <v>2</v>
      </c>
      <c r="B11" s="36" t="s">
        <v>8</v>
      </c>
      <c r="C11" s="8">
        <v>276</v>
      </c>
      <c r="D11" s="28" t="s">
        <v>3</v>
      </c>
      <c r="E11" s="38"/>
      <c r="F11" s="60"/>
      <c r="G11" s="29"/>
      <c r="H11" s="28"/>
      <c r="I11" s="62" t="s">
        <v>118</v>
      </c>
      <c r="J11" s="28" t="s">
        <v>8</v>
      </c>
      <c r="K11" s="24">
        <v>14</v>
      </c>
      <c r="L11" s="28"/>
      <c r="M11" s="86" t="str">
        <f>_xlfn.XLOOKUP(K11,'DO NOT DELETE'!$F$8:$F$10,'DO NOT DELETE'!$E$8:$E$10)</f>
        <v>Positive moment - end span - discontinuous end integral with support</v>
      </c>
      <c r="N11" s="86"/>
      <c r="O11" s="86"/>
      <c r="P11" s="86"/>
      <c r="Q11" s="87"/>
    </row>
    <row r="12" spans="1:22" ht="13.8" customHeight="1" x14ac:dyDescent="0.25">
      <c r="A12" s="35"/>
      <c r="B12" s="28"/>
      <c r="C12" s="28"/>
      <c r="D12" s="28"/>
      <c r="E12" s="38"/>
      <c r="F12" s="60"/>
      <c r="G12" s="29"/>
      <c r="H12" s="28"/>
      <c r="I12" s="62" t="str">
        <f>_xlfn.XLOOKUP(K11,'DO NOT DELETE'!$F$8:$F$10,'DO NOT DELETE'!$G$8:$G$10)</f>
        <v>Mu=Wu(Ln)^2/14</v>
      </c>
      <c r="J12" s="28" t="s">
        <v>8</v>
      </c>
      <c r="K12" s="32">
        <f>(1/K11)*C46*(C20/1000)^2</f>
        <v>3.6022337662337658</v>
      </c>
      <c r="L12" s="28" t="s">
        <v>5</v>
      </c>
      <c r="M12" s="86"/>
      <c r="N12" s="86"/>
      <c r="O12" s="86"/>
      <c r="P12" s="86"/>
      <c r="Q12" s="87"/>
    </row>
    <row r="13" spans="1:22" ht="13.8" customHeight="1" x14ac:dyDescent="0.25">
      <c r="A13" s="39" t="s">
        <v>17</v>
      </c>
      <c r="B13" s="28"/>
      <c r="C13" s="28"/>
      <c r="D13" s="28"/>
      <c r="E13" s="38"/>
      <c r="F13" s="60"/>
      <c r="G13" s="29"/>
      <c r="H13" s="28"/>
      <c r="I13" s="29" t="s">
        <v>36</v>
      </c>
      <c r="J13" s="28" t="s">
        <v>8</v>
      </c>
      <c r="K13" s="32">
        <f>(K12*10^6)/(0.9*1000*((C25^2)))</f>
        <v>0.73091343361613625</v>
      </c>
      <c r="L13" s="28" t="s">
        <v>6</v>
      </c>
      <c r="M13" s="38"/>
      <c r="N13" s="60"/>
      <c r="O13" s="29"/>
      <c r="P13" s="28"/>
      <c r="Q13" s="30"/>
    </row>
    <row r="14" spans="1:22" ht="13.8" customHeight="1" x14ac:dyDescent="0.25">
      <c r="A14" s="35" t="s">
        <v>9</v>
      </c>
      <c r="B14" s="36" t="s">
        <v>8</v>
      </c>
      <c r="C14" s="28">
        <v>20</v>
      </c>
      <c r="D14" s="28" t="s">
        <v>1</v>
      </c>
      <c r="E14" s="38"/>
      <c r="F14" s="60"/>
      <c r="G14" s="29"/>
      <c r="H14" s="28"/>
      <c r="I14" s="29" t="s">
        <v>32</v>
      </c>
      <c r="J14" s="28" t="s">
        <v>8</v>
      </c>
      <c r="K14" s="34">
        <f>((0.85*C10)/C11)*(1-SQRT(1-(2*K13)/(0.85*C10)))</f>
        <v>2.7056532305055696E-3</v>
      </c>
      <c r="L14" s="28"/>
      <c r="M14" s="38" t="s">
        <v>33</v>
      </c>
      <c r="N14" s="64">
        <f>IF(K8&lt;K7,K7,IF(K14&gt;K8,K14,K14))</f>
        <v>2.7056532305055696E-3</v>
      </c>
      <c r="O14" s="29"/>
      <c r="P14" s="28"/>
      <c r="Q14" s="30"/>
    </row>
    <row r="15" spans="1:22" ht="13.8" customHeight="1" x14ac:dyDescent="0.25">
      <c r="A15" s="35" t="s">
        <v>10</v>
      </c>
      <c r="B15" s="36" t="s">
        <v>8</v>
      </c>
      <c r="C15" s="28">
        <v>12</v>
      </c>
      <c r="D15" s="28" t="s">
        <v>1</v>
      </c>
      <c r="E15" s="38"/>
      <c r="F15" s="60"/>
      <c r="G15" s="29"/>
      <c r="H15" s="28"/>
      <c r="I15" s="29"/>
      <c r="J15" s="28"/>
      <c r="K15" s="32"/>
      <c r="L15" s="28"/>
      <c r="M15" s="38"/>
      <c r="N15" s="60"/>
      <c r="O15" s="29"/>
      <c r="P15" s="28"/>
      <c r="Q15" s="30"/>
    </row>
    <row r="16" spans="1:22" ht="13.8" customHeight="1" x14ac:dyDescent="0.25">
      <c r="A16" s="35" t="s">
        <v>11</v>
      </c>
      <c r="B16" s="36" t="s">
        <v>8</v>
      </c>
      <c r="C16" s="28">
        <v>10</v>
      </c>
      <c r="D16" s="28" t="s">
        <v>1</v>
      </c>
      <c r="E16" s="38"/>
      <c r="F16" s="60"/>
      <c r="G16" s="29"/>
      <c r="H16" s="28"/>
      <c r="I16" s="11" t="s">
        <v>41</v>
      </c>
      <c r="J16" s="28"/>
      <c r="K16" s="28"/>
      <c r="L16" s="28"/>
      <c r="M16" s="38"/>
      <c r="N16" s="60"/>
      <c r="O16" s="29"/>
      <c r="P16" s="28"/>
      <c r="Q16" s="30"/>
    </row>
    <row r="17" spans="1:17" ht="13.8" customHeight="1" x14ac:dyDescent="0.25">
      <c r="A17" s="35"/>
      <c r="B17" s="36"/>
      <c r="C17" s="28"/>
      <c r="D17" s="28"/>
      <c r="E17" s="38"/>
      <c r="F17" s="60"/>
      <c r="G17" s="29"/>
      <c r="H17" s="28"/>
      <c r="I17" s="40" t="s">
        <v>34</v>
      </c>
      <c r="J17" s="28" t="s">
        <v>8</v>
      </c>
      <c r="K17" s="32">
        <f>N14*1000*C25</f>
        <v>200.21833905741215</v>
      </c>
      <c r="L17" s="28" t="s">
        <v>7</v>
      </c>
      <c r="M17" s="38"/>
      <c r="N17" s="60"/>
      <c r="O17" s="29"/>
      <c r="P17" s="28"/>
      <c r="Q17" s="30"/>
    </row>
    <row r="18" spans="1:17" ht="13.8" customHeight="1" x14ac:dyDescent="0.25">
      <c r="A18" s="45" t="s">
        <v>15</v>
      </c>
      <c r="B18" s="28"/>
      <c r="C18" s="28"/>
      <c r="D18" s="28"/>
      <c r="E18" s="38"/>
      <c r="F18" s="60"/>
      <c r="G18" s="29"/>
      <c r="H18" s="28"/>
      <c r="I18" s="40" t="s">
        <v>37</v>
      </c>
      <c r="J18" s="28" t="s">
        <v>8</v>
      </c>
      <c r="K18" s="28">
        <f>F24*3</f>
        <v>300</v>
      </c>
      <c r="L18" s="37" t="s">
        <v>1</v>
      </c>
      <c r="M18" s="38"/>
      <c r="N18" s="60"/>
      <c r="O18" s="29"/>
      <c r="P18" s="28"/>
      <c r="Q18" s="30"/>
    </row>
    <row r="19" spans="1:17" ht="13.8" customHeight="1" x14ac:dyDescent="0.25">
      <c r="A19" s="49" t="s">
        <v>109</v>
      </c>
      <c r="B19" s="65" t="s">
        <v>8</v>
      </c>
      <c r="C19" s="25" t="s">
        <v>72</v>
      </c>
      <c r="D19" s="28"/>
      <c r="E19" s="61" t="s">
        <v>112</v>
      </c>
      <c r="F19" s="60">
        <f>_xlfn.XLOOKUP(C19,A4:A5,C4:C5)</f>
        <v>2000</v>
      </c>
      <c r="G19" s="62" t="s">
        <v>1</v>
      </c>
      <c r="H19" s="28"/>
      <c r="I19" s="40" t="s">
        <v>38</v>
      </c>
      <c r="J19" s="28" t="s">
        <v>8</v>
      </c>
      <c r="K19" s="28">
        <f>450</f>
        <v>450</v>
      </c>
      <c r="L19" s="37" t="s">
        <v>1</v>
      </c>
      <c r="M19" s="38"/>
      <c r="N19" s="60"/>
      <c r="O19" s="66"/>
      <c r="P19" s="28"/>
      <c r="Q19" s="30"/>
    </row>
    <row r="20" spans="1:17" ht="13.8" customHeight="1" x14ac:dyDescent="0.25">
      <c r="A20" s="49" t="str">
        <f>"Clear span of "&amp;C19&amp;", Ln"</f>
        <v>Clear span of Shorter Side, Ln</v>
      </c>
      <c r="B20" s="28" t="s">
        <v>8</v>
      </c>
      <c r="C20" s="26">
        <f>2000-300</f>
        <v>1700</v>
      </c>
      <c r="D20" s="67" t="s">
        <v>1</v>
      </c>
      <c r="E20" s="61"/>
      <c r="F20" s="60"/>
      <c r="G20" s="62"/>
      <c r="H20" s="28"/>
      <c r="I20" s="40" t="s">
        <v>39</v>
      </c>
      <c r="J20" s="28" t="s">
        <v>8</v>
      </c>
      <c r="K20" s="32">
        <f>(1000*(PI()*(C15^2)/4))/K17</f>
        <v>564.87001171656982</v>
      </c>
      <c r="L20" s="37" t="s">
        <v>1</v>
      </c>
      <c r="M20" s="42" t="s">
        <v>60</v>
      </c>
      <c r="N20" s="60">
        <f>ROUNDDOWN(MIN(K18:K20)/5, 0) * 5</f>
        <v>300</v>
      </c>
      <c r="O20" s="29" t="s">
        <v>1</v>
      </c>
      <c r="P20" s="28"/>
      <c r="Q20" s="30"/>
    </row>
    <row r="21" spans="1:17" ht="13.8" customHeight="1" x14ac:dyDescent="0.25">
      <c r="A21" s="46" t="str">
        <f>"Clear span of "&amp;IF(C19="Shorter Side","Longer Side","Shorter Side")</f>
        <v>Clear span of Longer Side</v>
      </c>
      <c r="B21" s="28"/>
      <c r="C21" s="26">
        <f>2500-300</f>
        <v>2200</v>
      </c>
      <c r="D21" s="67"/>
      <c r="E21" s="61"/>
      <c r="F21" s="60"/>
      <c r="G21" s="62"/>
      <c r="H21" s="28"/>
      <c r="I21" s="29"/>
      <c r="J21" s="28"/>
      <c r="K21" s="28"/>
      <c r="L21" s="37"/>
      <c r="M21" s="38"/>
      <c r="N21" s="60"/>
      <c r="O21" s="29"/>
      <c r="P21" s="28"/>
      <c r="Q21" s="30"/>
    </row>
    <row r="22" spans="1:17" s="22" customFormat="1" ht="13.8" customHeight="1" x14ac:dyDescent="0.25">
      <c r="A22" s="49" t="s">
        <v>78</v>
      </c>
      <c r="B22" s="36" t="s">
        <v>8</v>
      </c>
      <c r="C22" s="25" t="s">
        <v>80</v>
      </c>
      <c r="D22" s="31"/>
      <c r="E22" s="61" t="s">
        <v>89</v>
      </c>
      <c r="F22" s="60">
        <f>_xlfn.XLOOKUP(C22,'DO NOT DELETE'!$A$8:$A$11,'DO NOT DELETE'!$B$8:$B$11)</f>
        <v>24</v>
      </c>
      <c r="G22" s="31"/>
      <c r="H22" s="31"/>
      <c r="I22" s="11" t="s">
        <v>42</v>
      </c>
      <c r="J22" s="28"/>
      <c r="K22" s="28"/>
      <c r="L22" s="43"/>
      <c r="M22" s="38"/>
      <c r="N22" s="60"/>
      <c r="O22" s="66"/>
      <c r="P22" s="28"/>
      <c r="Q22" s="68"/>
    </row>
    <row r="23" spans="1:17" x14ac:dyDescent="0.25">
      <c r="A23" s="49" t="s">
        <v>88</v>
      </c>
      <c r="B23" s="36" t="s">
        <v>8</v>
      </c>
      <c r="C23" s="28">
        <f>IF(C11&lt;415,(0.4+(C11/700)),1)</f>
        <v>0.79428571428571426</v>
      </c>
      <c r="D23" s="28"/>
      <c r="E23" s="38"/>
      <c r="F23" s="60"/>
      <c r="G23" s="29"/>
      <c r="H23" s="28"/>
      <c r="I23" s="40" t="s">
        <v>43</v>
      </c>
      <c r="J23" s="28" t="s">
        <v>8</v>
      </c>
      <c r="K23" s="44">
        <f>0.002*1000*F24</f>
        <v>200</v>
      </c>
      <c r="L23" s="28" t="s">
        <v>7</v>
      </c>
      <c r="M23" s="38"/>
      <c r="N23" s="60"/>
      <c r="O23" s="66"/>
      <c r="P23" s="28"/>
      <c r="Q23" s="30"/>
    </row>
    <row r="24" spans="1:17" x14ac:dyDescent="0.25">
      <c r="A24" s="49" t="s">
        <v>77</v>
      </c>
      <c r="B24" s="36" t="s">
        <v>8</v>
      </c>
      <c r="C24" s="28">
        <f>(C23*(F19/F22))</f>
        <v>66.19047619047619</v>
      </c>
      <c r="D24" s="28" t="s">
        <v>1</v>
      </c>
      <c r="E24" s="42" t="s">
        <v>59</v>
      </c>
      <c r="F24" s="60">
        <f>IF(C24&gt;=100,ROUNDUP(C24/10, 0) * 10,100)</f>
        <v>100</v>
      </c>
      <c r="G24" s="29" t="s">
        <v>1</v>
      </c>
      <c r="H24" s="28"/>
      <c r="I24" s="40" t="s">
        <v>44</v>
      </c>
      <c r="J24" s="28" t="s">
        <v>8</v>
      </c>
      <c r="K24" s="28">
        <f>F24*5</f>
        <v>500</v>
      </c>
      <c r="L24" s="37" t="s">
        <v>1</v>
      </c>
      <c r="M24" s="38"/>
      <c r="N24" s="60"/>
      <c r="O24" s="29"/>
      <c r="P24" s="28"/>
      <c r="Q24" s="30"/>
    </row>
    <row r="25" spans="1:17" x14ac:dyDescent="0.25">
      <c r="A25" s="46" t="s">
        <v>12</v>
      </c>
      <c r="B25" s="36" t="s">
        <v>8</v>
      </c>
      <c r="C25" s="28">
        <f>F24-C14-(0.5*C15)</f>
        <v>74</v>
      </c>
      <c r="D25" s="28" t="s">
        <v>1</v>
      </c>
      <c r="E25" s="38"/>
      <c r="F25" s="60"/>
      <c r="G25" s="29"/>
      <c r="H25" s="28"/>
      <c r="I25" s="40" t="s">
        <v>38</v>
      </c>
      <c r="J25" s="28" t="s">
        <v>8</v>
      </c>
      <c r="K25" s="28">
        <f>450</f>
        <v>450</v>
      </c>
      <c r="L25" s="37" t="s">
        <v>1</v>
      </c>
      <c r="M25" s="38"/>
      <c r="N25" s="60"/>
      <c r="O25" s="66"/>
      <c r="P25" s="28"/>
      <c r="Q25" s="30"/>
    </row>
    <row r="26" spans="1:17" x14ac:dyDescent="0.25">
      <c r="A26" s="35"/>
      <c r="B26" s="36"/>
      <c r="C26" s="28"/>
      <c r="D26" s="28"/>
      <c r="E26" s="38"/>
      <c r="F26" s="60"/>
      <c r="G26" s="29"/>
      <c r="H26" s="28"/>
      <c r="I26" s="40" t="s">
        <v>39</v>
      </c>
      <c r="J26" s="28" t="s">
        <v>8</v>
      </c>
      <c r="K26" s="32">
        <f>(1000*(PI()*(C16^2)/4))/K23</f>
        <v>392.69908169872417</v>
      </c>
      <c r="L26" s="37" t="s">
        <v>1</v>
      </c>
      <c r="M26" s="42" t="s">
        <v>60</v>
      </c>
      <c r="N26" s="60">
        <f>ROUNDDOWN(MIN(K24:K26)/5, 0) * 5</f>
        <v>390</v>
      </c>
      <c r="O26" s="29" t="s">
        <v>1</v>
      </c>
      <c r="P26" s="28"/>
      <c r="Q26" s="30"/>
    </row>
    <row r="27" spans="1:17" x14ac:dyDescent="0.25">
      <c r="A27" s="45" t="s">
        <v>53</v>
      </c>
      <c r="B27" s="36"/>
      <c r="C27" s="28"/>
      <c r="D27" s="28"/>
      <c r="E27" s="38"/>
      <c r="F27" s="60"/>
      <c r="G27" s="29"/>
      <c r="H27" s="28"/>
      <c r="I27" s="29"/>
      <c r="J27" s="28"/>
      <c r="K27" s="28"/>
      <c r="L27" s="28"/>
      <c r="M27" s="38"/>
      <c r="N27" s="60"/>
      <c r="O27" s="66"/>
      <c r="P27" s="28"/>
      <c r="Q27" s="30"/>
    </row>
    <row r="28" spans="1:17" x14ac:dyDescent="0.25">
      <c r="A28" s="46" t="s">
        <v>18</v>
      </c>
      <c r="B28" s="36" t="s">
        <v>8</v>
      </c>
      <c r="C28" s="32">
        <f>C4*C5*F24/(1000^3)</f>
        <v>0.5</v>
      </c>
      <c r="D28" s="28" t="s">
        <v>19</v>
      </c>
      <c r="E28" s="38"/>
      <c r="F28" s="60"/>
      <c r="G28" s="29"/>
      <c r="H28" s="28"/>
      <c r="I28" s="10" t="s">
        <v>47</v>
      </c>
      <c r="J28" s="28"/>
      <c r="K28" s="28"/>
      <c r="L28" s="28"/>
      <c r="M28" s="38"/>
      <c r="N28" s="60"/>
      <c r="O28" s="66"/>
      <c r="P28" s="28"/>
      <c r="Q28" s="30"/>
    </row>
    <row r="29" spans="1:17" x14ac:dyDescent="0.25">
      <c r="A29" s="35"/>
      <c r="B29" s="28"/>
      <c r="C29" s="28"/>
      <c r="D29" s="28"/>
      <c r="E29" s="38"/>
      <c r="F29" s="60"/>
      <c r="G29" s="29"/>
      <c r="H29" s="28"/>
      <c r="I29" s="62" t="s">
        <v>114</v>
      </c>
      <c r="J29" s="28" t="s">
        <v>8</v>
      </c>
      <c r="K29" s="8">
        <v>0</v>
      </c>
      <c r="L29" s="67" t="s">
        <v>1</v>
      </c>
      <c r="M29" s="38"/>
      <c r="N29" s="60"/>
      <c r="O29" s="66"/>
      <c r="P29" s="28"/>
      <c r="Q29" s="30"/>
    </row>
    <row r="30" spans="1:17" x14ac:dyDescent="0.25">
      <c r="A30" s="39" t="s">
        <v>24</v>
      </c>
      <c r="B30" s="28"/>
      <c r="C30" s="28"/>
      <c r="D30" s="28"/>
      <c r="E30" s="38"/>
      <c r="F30" s="60"/>
      <c r="G30" s="29"/>
      <c r="H30" s="28"/>
      <c r="I30" s="62" t="s">
        <v>115</v>
      </c>
      <c r="J30" s="28" t="s">
        <v>8</v>
      </c>
      <c r="K30" s="8">
        <v>1700</v>
      </c>
      <c r="L30" s="67" t="s">
        <v>1</v>
      </c>
      <c r="M30" s="38"/>
      <c r="N30" s="60"/>
      <c r="O30" s="66"/>
      <c r="P30" s="28"/>
      <c r="Q30" s="30"/>
    </row>
    <row r="31" spans="1:17" x14ac:dyDescent="0.25">
      <c r="A31" s="35" t="s">
        <v>13</v>
      </c>
      <c r="B31" s="36"/>
      <c r="C31" s="28"/>
      <c r="D31" s="28"/>
      <c r="E31" s="38"/>
      <c r="F31" s="60"/>
      <c r="G31" s="29"/>
      <c r="H31" s="28"/>
      <c r="I31" s="62" t="s">
        <v>116</v>
      </c>
      <c r="J31" s="28" t="s">
        <v>8</v>
      </c>
      <c r="K31" s="8">
        <f>AVERAGE(K29:K30)</f>
        <v>850</v>
      </c>
      <c r="L31" s="67" t="s">
        <v>1</v>
      </c>
      <c r="M31" s="38"/>
      <c r="N31" s="60"/>
      <c r="O31" s="66"/>
      <c r="P31" s="28"/>
      <c r="Q31" s="30"/>
    </row>
    <row r="32" spans="1:17" x14ac:dyDescent="0.25">
      <c r="A32" s="46" t="s">
        <v>14</v>
      </c>
      <c r="B32" s="36" t="s">
        <v>8</v>
      </c>
      <c r="C32" s="48">
        <f>C9*C28/(C20*C21/(1000^2))</f>
        <v>3.2085561497326203</v>
      </c>
      <c r="D32" s="67" t="s">
        <v>113</v>
      </c>
      <c r="E32" s="38"/>
      <c r="F32" s="60"/>
      <c r="G32" s="29"/>
      <c r="H32" s="28"/>
      <c r="I32" s="28"/>
      <c r="J32" s="28"/>
      <c r="K32" s="28"/>
      <c r="L32" s="28"/>
      <c r="M32" s="38"/>
      <c r="N32" s="60"/>
      <c r="O32" s="66"/>
      <c r="P32" s="28"/>
      <c r="Q32" s="30"/>
    </row>
    <row r="33" spans="1:25" ht="13.8" customHeight="1" x14ac:dyDescent="0.25">
      <c r="A33" s="49" t="s">
        <v>74</v>
      </c>
      <c r="B33" s="36" t="s">
        <v>8</v>
      </c>
      <c r="C33" s="8">
        <v>2.4</v>
      </c>
      <c r="D33" s="67" t="s">
        <v>22</v>
      </c>
      <c r="E33" s="61"/>
      <c r="F33" s="60"/>
      <c r="G33" s="62"/>
      <c r="H33" s="28"/>
      <c r="I33" s="62" t="s">
        <v>118</v>
      </c>
      <c r="J33" s="28" t="s">
        <v>8</v>
      </c>
      <c r="K33" s="24">
        <v>24</v>
      </c>
      <c r="L33" s="28"/>
      <c r="M33" s="86" t="str">
        <f>_xlfn.XLOOKUP(K33,'DO NOT DELETE'!$F$11:$F$16,'DO NOT DELETE'!$E$11:$E$16)</f>
        <v>Negative moment - interior face of exterior support intergral with beam support</v>
      </c>
      <c r="N33" s="86"/>
      <c r="O33" s="86"/>
      <c r="P33" s="86"/>
      <c r="Q33" s="87"/>
    </row>
    <row r="34" spans="1:25" x14ac:dyDescent="0.25">
      <c r="A34" s="49" t="s">
        <v>111</v>
      </c>
      <c r="B34" s="36" t="s">
        <v>8</v>
      </c>
      <c r="C34" s="8">
        <v>2.2999999999999998</v>
      </c>
      <c r="D34" s="28" t="s">
        <v>22</v>
      </c>
      <c r="E34" s="61"/>
      <c r="F34" s="60"/>
      <c r="G34" s="62"/>
      <c r="H34" s="28"/>
      <c r="I34" s="62" t="str">
        <f>_xlfn.XLOOKUP(K33,'DO NOT DELETE'!$F$11:$F$16,'DO NOT DELETE'!$G$11:$G$16)</f>
        <v>Mu=Wu(Lna)^2/24</v>
      </c>
      <c r="J34" s="28" t="s">
        <v>8</v>
      </c>
      <c r="K34" s="32">
        <f>C46*(K31^2)/K33/(1000^2)</f>
        <v>0.52532575757575761</v>
      </c>
      <c r="L34" s="28" t="s">
        <v>5</v>
      </c>
      <c r="M34" s="86"/>
      <c r="N34" s="86"/>
      <c r="O34" s="86"/>
      <c r="P34" s="86"/>
      <c r="Q34" s="87"/>
    </row>
    <row r="35" spans="1:25" x14ac:dyDescent="0.25">
      <c r="A35" s="49" t="s">
        <v>76</v>
      </c>
      <c r="B35" s="36" t="s">
        <v>8</v>
      </c>
      <c r="C35" s="8">
        <v>3.2</v>
      </c>
      <c r="D35" s="28" t="s">
        <v>22</v>
      </c>
      <c r="E35" s="61"/>
      <c r="F35" s="60"/>
      <c r="G35" s="62"/>
      <c r="H35" s="28"/>
      <c r="I35" s="29" t="s">
        <v>36</v>
      </c>
      <c r="J35" s="28" t="s">
        <v>8</v>
      </c>
      <c r="K35" s="32">
        <f>(K34*10^6)/(0.9*1000*((C25^2)))</f>
        <v>0.10659154240235322</v>
      </c>
      <c r="L35" s="28" t="s">
        <v>6</v>
      </c>
      <c r="M35" s="38"/>
      <c r="N35" s="60"/>
      <c r="O35" s="9"/>
      <c r="P35" s="28"/>
      <c r="Q35" s="30"/>
    </row>
    <row r="36" spans="1:25" x14ac:dyDescent="0.25">
      <c r="A36" s="49" t="s">
        <v>75</v>
      </c>
      <c r="B36" s="36" t="s">
        <v>8</v>
      </c>
      <c r="C36" s="8">
        <v>0.9</v>
      </c>
      <c r="D36" s="28" t="s">
        <v>22</v>
      </c>
      <c r="E36" s="61"/>
      <c r="F36" s="60"/>
      <c r="G36" s="62"/>
      <c r="H36" s="28"/>
      <c r="I36" s="29" t="s">
        <v>32</v>
      </c>
      <c r="J36" s="28" t="s">
        <v>8</v>
      </c>
      <c r="K36" s="34">
        <f>((0.85*C10)/C11)*(1-SQRT(1-(2*K35)/(0.85*C10)))</f>
        <v>3.8737819640826039E-4</v>
      </c>
      <c r="L36" s="28"/>
      <c r="M36" s="38" t="s">
        <v>33</v>
      </c>
      <c r="N36" s="64">
        <f>IF(K8&lt;K7,K7,IF(K36&gt;K8,K36,K36))</f>
        <v>3.8737819640826039E-4</v>
      </c>
      <c r="O36" s="29"/>
      <c r="P36" s="28"/>
      <c r="Q36" s="30"/>
    </row>
    <row r="37" spans="1:25" x14ac:dyDescent="0.25">
      <c r="A37" s="35"/>
      <c r="B37" s="28"/>
      <c r="C37" s="28"/>
      <c r="D37" s="28"/>
      <c r="E37" s="38"/>
      <c r="F37" s="60"/>
      <c r="G37" s="29"/>
      <c r="H37" s="28"/>
      <c r="I37" s="29"/>
      <c r="J37" s="28" t="s">
        <v>8</v>
      </c>
      <c r="K37" s="28"/>
      <c r="L37" s="28"/>
      <c r="M37" s="38"/>
      <c r="N37" s="60"/>
      <c r="O37" s="29"/>
      <c r="P37" s="28"/>
      <c r="Q37" s="30"/>
    </row>
    <row r="38" spans="1:25" x14ac:dyDescent="0.25">
      <c r="A38" s="35" t="s">
        <v>25</v>
      </c>
      <c r="B38" s="28"/>
      <c r="C38" s="28"/>
      <c r="D38" s="28"/>
      <c r="E38" s="38"/>
      <c r="F38" s="60"/>
      <c r="G38" s="29"/>
      <c r="H38" s="28"/>
      <c r="I38" s="11" t="s">
        <v>41</v>
      </c>
      <c r="J38" s="28"/>
      <c r="K38" s="28"/>
      <c r="L38" s="28"/>
      <c r="M38" s="38"/>
      <c r="N38" s="60"/>
      <c r="O38" s="29"/>
      <c r="P38" s="28"/>
      <c r="Q38" s="30"/>
    </row>
    <row r="39" spans="1:25" x14ac:dyDescent="0.25">
      <c r="A39" s="46" t="s">
        <v>21</v>
      </c>
      <c r="B39" s="36" t="s">
        <v>8</v>
      </c>
      <c r="C39" s="8">
        <v>1.9</v>
      </c>
      <c r="D39" s="28" t="s">
        <v>22</v>
      </c>
      <c r="E39" s="61"/>
      <c r="F39" s="60"/>
      <c r="G39" s="62"/>
      <c r="H39" s="28"/>
      <c r="I39" s="40" t="s">
        <v>34</v>
      </c>
      <c r="J39" s="28" t="s">
        <v>8</v>
      </c>
      <c r="K39" s="47">
        <f>N36*1000*C25</f>
        <v>28.665986534211267</v>
      </c>
      <c r="L39" s="28" t="s">
        <v>7</v>
      </c>
      <c r="M39" s="38"/>
      <c r="N39" s="60"/>
      <c r="O39" s="29"/>
      <c r="P39" s="28"/>
      <c r="Q39" s="30"/>
    </row>
    <row r="40" spans="1:25" x14ac:dyDescent="0.25">
      <c r="A40" s="35"/>
      <c r="B40" s="28"/>
      <c r="C40" s="28"/>
      <c r="D40" s="28"/>
      <c r="E40" s="38"/>
      <c r="F40" s="60"/>
      <c r="G40" s="29"/>
      <c r="H40" s="28"/>
      <c r="I40" s="40" t="s">
        <v>37</v>
      </c>
      <c r="J40" s="28" t="s">
        <v>8</v>
      </c>
      <c r="K40" s="28">
        <f>F24*3</f>
        <v>300</v>
      </c>
      <c r="L40" s="37" t="s">
        <v>1</v>
      </c>
      <c r="M40" s="38"/>
      <c r="N40" s="60"/>
      <c r="O40" s="29"/>
      <c r="P40" s="28"/>
      <c r="Q40" s="30"/>
    </row>
    <row r="41" spans="1:25" x14ac:dyDescent="0.25">
      <c r="A41" s="39" t="s">
        <v>26</v>
      </c>
      <c r="B41" s="28"/>
      <c r="C41" s="28"/>
      <c r="D41" s="28"/>
      <c r="E41" s="38"/>
      <c r="F41" s="60"/>
      <c r="G41" s="29"/>
      <c r="H41" s="28"/>
      <c r="I41" s="40" t="s">
        <v>38</v>
      </c>
      <c r="J41" s="28" t="s">
        <v>8</v>
      </c>
      <c r="K41" s="28">
        <f>450</f>
        <v>450</v>
      </c>
      <c r="L41" s="37" t="s">
        <v>1</v>
      </c>
      <c r="M41" s="38"/>
      <c r="N41" s="60"/>
      <c r="O41" s="29"/>
      <c r="P41" s="28"/>
      <c r="Q41" s="30"/>
    </row>
    <row r="42" spans="1:25" x14ac:dyDescent="0.25">
      <c r="A42" s="35" t="s">
        <v>45</v>
      </c>
      <c r="B42" s="28"/>
      <c r="C42" s="28"/>
      <c r="D42" s="28"/>
      <c r="E42" s="38"/>
      <c r="F42" s="60"/>
      <c r="G42" s="29"/>
      <c r="H42" s="28"/>
      <c r="I42" s="40" t="s">
        <v>39</v>
      </c>
      <c r="J42" s="28" t="s">
        <v>8</v>
      </c>
      <c r="K42" s="47">
        <f>(1000*(PI()*(C15^2)/4))/K39</f>
        <v>3945.3494961443994</v>
      </c>
      <c r="L42" s="37" t="s">
        <v>1</v>
      </c>
      <c r="M42" s="42" t="s">
        <v>60</v>
      </c>
      <c r="N42" s="60">
        <f>ROUNDDOWN(MIN(K40:K42)/5, 0) * 5</f>
        <v>300</v>
      </c>
      <c r="O42" s="29" t="s">
        <v>1</v>
      </c>
      <c r="P42" s="28"/>
      <c r="Q42" s="30"/>
    </row>
    <row r="43" spans="1:25" x14ac:dyDescent="0.25">
      <c r="A43" s="46" t="s">
        <v>27</v>
      </c>
      <c r="B43" s="28" t="s">
        <v>8</v>
      </c>
      <c r="C43" s="32">
        <f>(1.4*(SUM(C32:C36)))</f>
        <v>16.811978609625669</v>
      </c>
      <c r="D43" s="28" t="s">
        <v>4</v>
      </c>
      <c r="E43" s="38"/>
      <c r="F43" s="60"/>
      <c r="G43" s="29"/>
      <c r="H43" s="28"/>
      <c r="I43" s="29"/>
      <c r="J43" s="28" t="s">
        <v>8</v>
      </c>
      <c r="K43" s="28"/>
      <c r="L43" s="28"/>
      <c r="M43" s="38"/>
      <c r="N43" s="60"/>
      <c r="O43" s="29"/>
      <c r="P43" s="28"/>
      <c r="Q43" s="30"/>
    </row>
    <row r="44" spans="1:25" x14ac:dyDescent="0.25">
      <c r="A44" s="46" t="s">
        <v>28</v>
      </c>
      <c r="B44" s="28" t="s">
        <v>8</v>
      </c>
      <c r="C44" s="32">
        <f>(1.2*(SUM(C32:C36))+(1.6*C39))</f>
        <v>17.450267379679143</v>
      </c>
      <c r="D44" s="28" t="s">
        <v>4</v>
      </c>
      <c r="E44" s="38"/>
      <c r="F44" s="60"/>
      <c r="G44" s="29"/>
      <c r="H44" s="28"/>
      <c r="I44" s="11" t="s">
        <v>42</v>
      </c>
      <c r="J44" s="28"/>
      <c r="K44" s="28"/>
      <c r="L44" s="28"/>
      <c r="M44" s="38"/>
      <c r="N44" s="60"/>
      <c r="O44" s="29"/>
      <c r="P44" s="28"/>
      <c r="Q44" s="30"/>
    </row>
    <row r="45" spans="1:25" x14ac:dyDescent="0.25">
      <c r="A45" s="35" t="s">
        <v>23</v>
      </c>
      <c r="B45" s="28"/>
      <c r="C45" s="28"/>
      <c r="D45" s="28"/>
      <c r="E45" s="38"/>
      <c r="F45" s="60"/>
      <c r="G45" s="29"/>
      <c r="H45" s="28"/>
      <c r="I45" s="40" t="s">
        <v>43</v>
      </c>
      <c r="J45" s="28" t="s">
        <v>8</v>
      </c>
      <c r="K45" s="28">
        <f>0.002*1000*F24</f>
        <v>200</v>
      </c>
      <c r="L45" s="28" t="s">
        <v>7</v>
      </c>
      <c r="M45" s="38"/>
      <c r="N45" s="60"/>
      <c r="O45" s="29"/>
      <c r="P45" s="28"/>
      <c r="Q45" s="30"/>
    </row>
    <row r="46" spans="1:25" x14ac:dyDescent="0.25">
      <c r="A46" s="46" t="str">
        <f>_xlfn.XLOOKUP(C46,C43:C44,A43:A44)</f>
        <v>Wu=1.2D+1.6L</v>
      </c>
      <c r="B46" s="28" t="s">
        <v>8</v>
      </c>
      <c r="C46" s="32">
        <f>MAX(C43:C44)</f>
        <v>17.450267379679143</v>
      </c>
      <c r="D46" s="28" t="s">
        <v>4</v>
      </c>
      <c r="E46" s="38"/>
      <c r="F46" s="60"/>
      <c r="G46" s="29"/>
      <c r="H46" s="28"/>
      <c r="I46" s="40" t="s">
        <v>44</v>
      </c>
      <c r="J46" s="28" t="s">
        <v>8</v>
      </c>
      <c r="K46" s="28">
        <f>K24</f>
        <v>500</v>
      </c>
      <c r="L46" s="37" t="s">
        <v>1</v>
      </c>
      <c r="M46" s="38"/>
      <c r="N46" s="60"/>
      <c r="O46" s="29"/>
      <c r="P46" s="28"/>
      <c r="Q46" s="30"/>
    </row>
    <row r="47" spans="1:25" x14ac:dyDescent="0.25">
      <c r="A47" s="35"/>
      <c r="B47" s="28"/>
      <c r="C47" s="28"/>
      <c r="D47" s="28"/>
      <c r="E47" s="38"/>
      <c r="F47" s="60"/>
      <c r="G47" s="29"/>
      <c r="H47" s="28"/>
      <c r="I47" s="40" t="s">
        <v>38</v>
      </c>
      <c r="J47" s="28" t="s">
        <v>8</v>
      </c>
      <c r="K47" s="28">
        <f>K25</f>
        <v>450</v>
      </c>
      <c r="L47" s="37" t="s">
        <v>1</v>
      </c>
      <c r="M47" s="38"/>
      <c r="N47" s="60"/>
      <c r="O47" s="29"/>
      <c r="P47" s="28"/>
      <c r="Q47" s="30"/>
    </row>
    <row r="48" spans="1:25" x14ac:dyDescent="0.25">
      <c r="A48" s="35"/>
      <c r="B48" s="28"/>
      <c r="C48" s="28"/>
      <c r="D48" s="28"/>
      <c r="E48" s="38"/>
      <c r="F48" s="60"/>
      <c r="G48" s="29"/>
      <c r="H48" s="28"/>
      <c r="I48" s="40" t="s">
        <v>39</v>
      </c>
      <c r="J48" s="28" t="s">
        <v>8</v>
      </c>
      <c r="K48" s="32">
        <f>(1000*(PI()*(C16^2)/4))/K23</f>
        <v>392.69908169872417</v>
      </c>
      <c r="L48" s="37" t="s">
        <v>1</v>
      </c>
      <c r="M48" s="42" t="s">
        <v>60</v>
      </c>
      <c r="N48" s="60">
        <f>ROUNDDOWN(MIN(K46:K48)/5, 0) * 5</f>
        <v>390</v>
      </c>
      <c r="O48" s="29" t="s">
        <v>1</v>
      </c>
      <c r="P48" s="28"/>
      <c r="Q48" s="30"/>
      <c r="X48" s="19"/>
      <c r="Y48" s="19"/>
    </row>
    <row r="49" spans="1:17" x14ac:dyDescent="0.25">
      <c r="A49" s="69"/>
      <c r="B49" s="28"/>
      <c r="C49" s="28"/>
      <c r="D49" s="28"/>
      <c r="E49" s="28"/>
      <c r="F49" s="28"/>
      <c r="G49" s="28"/>
      <c r="H49" s="28"/>
      <c r="I49" s="29"/>
      <c r="J49" s="28"/>
      <c r="K49" s="28"/>
      <c r="L49" s="28"/>
      <c r="M49" s="38"/>
      <c r="N49" s="60"/>
      <c r="O49" s="29"/>
      <c r="P49" s="28"/>
      <c r="Q49" s="30"/>
    </row>
    <row r="50" spans="1:17" x14ac:dyDescent="0.25">
      <c r="A50" s="69"/>
      <c r="B50" s="28"/>
      <c r="C50" s="28"/>
      <c r="D50" s="28"/>
      <c r="E50" s="28"/>
      <c r="F50" s="28"/>
      <c r="G50" s="28"/>
      <c r="H50" s="28"/>
      <c r="I50" s="9" t="s">
        <v>48</v>
      </c>
      <c r="J50" s="28"/>
      <c r="K50" s="28"/>
      <c r="L50" s="28"/>
      <c r="M50" s="38"/>
      <c r="N50" s="60"/>
      <c r="O50" s="29"/>
      <c r="P50" s="28"/>
      <c r="Q50" s="30"/>
    </row>
    <row r="51" spans="1:17" x14ac:dyDescent="0.25">
      <c r="A51" s="69"/>
      <c r="B51" s="28"/>
      <c r="C51" s="28"/>
      <c r="D51" s="28"/>
      <c r="E51" s="28"/>
      <c r="F51" s="28"/>
      <c r="G51" s="28"/>
      <c r="H51" s="28"/>
      <c r="I51" s="28" t="s">
        <v>52</v>
      </c>
      <c r="J51" s="28" t="s">
        <v>8</v>
      </c>
      <c r="K51" s="28">
        <f>F24</f>
        <v>100</v>
      </c>
      <c r="L51" s="28" t="s">
        <v>1</v>
      </c>
      <c r="M51" s="38"/>
      <c r="N51" s="60"/>
      <c r="O51" s="29"/>
      <c r="P51" s="28"/>
      <c r="Q51" s="30"/>
    </row>
    <row r="52" spans="1:17" x14ac:dyDescent="0.25">
      <c r="A52" s="69"/>
      <c r="B52" s="28"/>
      <c r="C52" s="28"/>
      <c r="D52" s="28"/>
      <c r="E52" s="28"/>
      <c r="F52" s="28"/>
      <c r="G52" s="28"/>
      <c r="H52" s="28"/>
      <c r="I52" s="28" t="s">
        <v>50</v>
      </c>
      <c r="J52" s="28" t="s">
        <v>8</v>
      </c>
      <c r="K52" s="28"/>
      <c r="L52" s="28"/>
      <c r="M52" s="38"/>
      <c r="N52" s="60"/>
      <c r="O52" s="29"/>
      <c r="P52" s="28"/>
      <c r="Q52" s="30"/>
    </row>
    <row r="53" spans="1:17" x14ac:dyDescent="0.25">
      <c r="A53" s="69"/>
      <c r="B53" s="28"/>
      <c r="C53" s="28"/>
      <c r="D53" s="28"/>
      <c r="E53" s="28"/>
      <c r="F53" s="28"/>
      <c r="G53" s="28"/>
      <c r="H53" s="28"/>
      <c r="I53" s="31" t="s">
        <v>41</v>
      </c>
      <c r="J53" s="28" t="s">
        <v>8</v>
      </c>
      <c r="K53" s="28">
        <f>N42</f>
        <v>300</v>
      </c>
      <c r="L53" s="67" t="s">
        <v>49</v>
      </c>
      <c r="M53" s="38"/>
      <c r="N53" s="60"/>
      <c r="O53" s="29"/>
      <c r="P53" s="28"/>
      <c r="Q53" s="30"/>
    </row>
    <row r="54" spans="1:17" x14ac:dyDescent="0.25">
      <c r="A54" s="69"/>
      <c r="B54" s="28"/>
      <c r="C54" s="28"/>
      <c r="D54" s="28"/>
      <c r="E54" s="28"/>
      <c r="F54" s="28"/>
      <c r="G54" s="28"/>
      <c r="H54" s="28"/>
      <c r="I54" s="31" t="s">
        <v>42</v>
      </c>
      <c r="J54" s="28" t="s">
        <v>8</v>
      </c>
      <c r="K54" s="28">
        <f>N48</f>
        <v>390</v>
      </c>
      <c r="L54" s="28" t="s">
        <v>49</v>
      </c>
      <c r="M54" s="38"/>
      <c r="N54" s="60"/>
      <c r="O54" s="29"/>
      <c r="P54" s="28"/>
      <c r="Q54" s="30"/>
    </row>
    <row r="55" spans="1:17" x14ac:dyDescent="0.25">
      <c r="A55" s="69"/>
      <c r="B55" s="28"/>
      <c r="C55" s="28"/>
      <c r="D55" s="28"/>
      <c r="E55" s="28"/>
      <c r="F55" s="28"/>
      <c r="G55" s="28"/>
      <c r="H55" s="28"/>
      <c r="I55" s="28" t="s">
        <v>51</v>
      </c>
      <c r="J55" s="28" t="s">
        <v>8</v>
      </c>
      <c r="K55" s="28"/>
      <c r="L55" s="28"/>
      <c r="M55" s="38"/>
      <c r="N55" s="60"/>
      <c r="O55" s="29"/>
      <c r="P55" s="28"/>
      <c r="Q55" s="30"/>
    </row>
    <row r="56" spans="1:17" x14ac:dyDescent="0.25">
      <c r="A56" s="69"/>
      <c r="B56" s="28"/>
      <c r="C56" s="28"/>
      <c r="D56" s="28"/>
      <c r="E56" s="28"/>
      <c r="F56" s="28"/>
      <c r="G56" s="28"/>
      <c r="H56" s="28"/>
      <c r="I56" s="31" t="s">
        <v>41</v>
      </c>
      <c r="J56" s="28" t="s">
        <v>8</v>
      </c>
      <c r="K56" s="28">
        <f>N20</f>
        <v>300</v>
      </c>
      <c r="L56" s="28" t="s">
        <v>49</v>
      </c>
      <c r="M56" s="38"/>
      <c r="N56" s="60"/>
      <c r="O56" s="29"/>
      <c r="P56" s="28"/>
      <c r="Q56" s="30"/>
    </row>
    <row r="57" spans="1:17" ht="14.4" thickBot="1" x14ac:dyDescent="0.3">
      <c r="A57" s="70"/>
      <c r="B57" s="50"/>
      <c r="C57" s="50"/>
      <c r="D57" s="50"/>
      <c r="E57" s="50"/>
      <c r="F57" s="50"/>
      <c r="G57" s="50"/>
      <c r="H57" s="50"/>
      <c r="I57" s="52" t="s">
        <v>42</v>
      </c>
      <c r="J57" s="50" t="s">
        <v>8</v>
      </c>
      <c r="K57" s="50">
        <f>N26</f>
        <v>390</v>
      </c>
      <c r="L57" s="50" t="s">
        <v>49</v>
      </c>
      <c r="M57" s="71"/>
      <c r="N57" s="72"/>
      <c r="O57" s="51"/>
      <c r="P57" s="50"/>
      <c r="Q57" s="53"/>
    </row>
    <row r="58" spans="1:17" x14ac:dyDescent="0.25">
      <c r="A58" s="6"/>
      <c r="B58" s="6"/>
      <c r="C58" s="6"/>
      <c r="D58" s="6"/>
      <c r="E58" s="6"/>
      <c r="F58" s="6"/>
      <c r="G58" s="6"/>
      <c r="H58" s="6"/>
      <c r="I58" s="6"/>
      <c r="J58" s="6"/>
      <c r="K58" s="6"/>
      <c r="L58" s="6"/>
      <c r="M58" s="6"/>
      <c r="N58" s="6"/>
      <c r="O58" s="6"/>
      <c r="P58" s="6"/>
      <c r="Q58" s="6"/>
    </row>
    <row r="59" spans="1:17" x14ac:dyDescent="0.25">
      <c r="A59" s="6"/>
      <c r="B59" s="6"/>
      <c r="C59" s="6"/>
      <c r="D59" s="6"/>
      <c r="E59" s="6"/>
      <c r="F59" s="6"/>
      <c r="G59" s="6"/>
      <c r="H59" s="6"/>
      <c r="I59" s="54" t="s">
        <v>61</v>
      </c>
      <c r="J59" s="55"/>
      <c r="K59" s="6"/>
      <c r="L59" s="6"/>
      <c r="M59" s="6"/>
      <c r="N59" s="6"/>
      <c r="O59" s="6"/>
      <c r="P59" s="6"/>
      <c r="Q59" s="6"/>
    </row>
    <row r="60" spans="1:17" x14ac:dyDescent="0.25">
      <c r="A60" s="6"/>
      <c r="B60" s="6"/>
      <c r="C60" s="6"/>
      <c r="D60" s="6"/>
      <c r="E60" s="6"/>
      <c r="F60" s="6"/>
      <c r="G60" s="6"/>
      <c r="H60" s="6"/>
      <c r="I60" s="73" t="s">
        <v>117</v>
      </c>
      <c r="J60" s="55" t="s">
        <v>8</v>
      </c>
      <c r="K60" s="74">
        <f>C28</f>
        <v>0.5</v>
      </c>
      <c r="L60" s="6" t="s">
        <v>19</v>
      </c>
      <c r="M60" s="6"/>
      <c r="N60" s="6"/>
      <c r="O60" s="6"/>
      <c r="P60" s="6"/>
      <c r="Q60" s="6"/>
    </row>
    <row r="61" spans="1:17" x14ac:dyDescent="0.25">
      <c r="A61" s="6"/>
      <c r="B61" s="6"/>
      <c r="C61" s="6"/>
      <c r="D61" s="6"/>
      <c r="E61" s="6"/>
      <c r="F61" s="6"/>
      <c r="G61" s="6"/>
      <c r="H61" s="6"/>
      <c r="I61" s="73" t="s">
        <v>14</v>
      </c>
      <c r="J61" s="55" t="s">
        <v>8</v>
      </c>
      <c r="K61" s="56">
        <f>C9*C28</f>
        <v>12</v>
      </c>
      <c r="L61" s="6" t="s">
        <v>6</v>
      </c>
      <c r="M61" s="6"/>
      <c r="N61" s="6"/>
      <c r="O61" s="6"/>
      <c r="P61" s="6"/>
      <c r="Q61" s="6"/>
    </row>
    <row r="62" spans="1:17" x14ac:dyDescent="0.25">
      <c r="A62" s="6"/>
      <c r="B62" s="6"/>
      <c r="C62" s="6"/>
      <c r="D62" s="6"/>
      <c r="E62" s="6"/>
      <c r="F62" s="6"/>
      <c r="G62" s="6"/>
      <c r="H62" s="6"/>
      <c r="I62" s="6"/>
      <c r="J62" s="55"/>
      <c r="K62" s="6"/>
      <c r="L62" s="6"/>
      <c r="M62" s="6"/>
      <c r="N62" s="6"/>
      <c r="O62" s="6"/>
      <c r="P62" s="6"/>
      <c r="Q62" s="6"/>
    </row>
    <row r="63" spans="1:17" x14ac:dyDescent="0.25">
      <c r="A63" s="6"/>
      <c r="B63" s="6"/>
      <c r="C63" s="6"/>
      <c r="D63" s="6"/>
      <c r="E63" s="6"/>
      <c r="F63" s="6"/>
      <c r="G63" s="6"/>
      <c r="H63" s="6"/>
      <c r="I63" s="6" t="s">
        <v>54</v>
      </c>
      <c r="J63" s="55"/>
      <c r="K63" s="6"/>
      <c r="L63" s="6"/>
      <c r="M63" s="6"/>
      <c r="N63" s="6"/>
      <c r="O63" s="6"/>
      <c r="P63" s="6"/>
      <c r="Q63" s="6"/>
    </row>
    <row r="64" spans="1:17" x14ac:dyDescent="0.25">
      <c r="A64" s="6"/>
      <c r="B64" s="6"/>
      <c r="C64" s="6"/>
      <c r="D64" s="6"/>
      <c r="E64" s="6"/>
      <c r="F64" s="6"/>
      <c r="G64" s="6"/>
      <c r="H64" s="6"/>
      <c r="I64" s="13" t="str">
        <f>"Wslab along "&amp;A20</f>
        <v>Wslab along Clear span of Shorter Side, Ln</v>
      </c>
      <c r="J64" s="55" t="s">
        <v>8</v>
      </c>
      <c r="K64" s="74">
        <f>K61/'1w slab'!C20*1000</f>
        <v>7.0588235294117654</v>
      </c>
      <c r="L64" s="6" t="s">
        <v>4</v>
      </c>
      <c r="M64" s="6"/>
      <c r="N64" s="6"/>
      <c r="O64" s="6"/>
      <c r="P64" s="6"/>
      <c r="Q64" s="6"/>
    </row>
    <row r="65" spans="1:17" x14ac:dyDescent="0.25">
      <c r="A65" s="6"/>
      <c r="B65" s="6"/>
      <c r="C65" s="6"/>
      <c r="D65" s="6"/>
      <c r="E65" s="6"/>
      <c r="F65" s="6"/>
      <c r="G65" s="6"/>
      <c r="H65" s="6"/>
      <c r="I65" s="13" t="str">
        <f>"Wslab along "&amp;A21</f>
        <v>Wslab along Clear span of Longer Side</v>
      </c>
      <c r="J65" s="55" t="s">
        <v>8</v>
      </c>
      <c r="K65" s="74">
        <f>K61/'1w slab'!C21*1000</f>
        <v>5.454545454545455</v>
      </c>
      <c r="L65" s="6" t="s">
        <v>4</v>
      </c>
      <c r="M65" s="6"/>
      <c r="N65" s="6"/>
      <c r="O65" s="6"/>
      <c r="P65" s="6"/>
      <c r="Q65" s="6"/>
    </row>
    <row r="66" spans="1:17" x14ac:dyDescent="0.25">
      <c r="A66" s="17"/>
      <c r="E66" s="17"/>
      <c r="F66" s="17"/>
      <c r="G66" s="17"/>
    </row>
    <row r="67" spans="1:17" x14ac:dyDescent="0.25">
      <c r="A67" s="17"/>
      <c r="E67" s="17"/>
      <c r="F67" s="17"/>
      <c r="G67" s="17"/>
    </row>
    <row r="68" spans="1:17" x14ac:dyDescent="0.25">
      <c r="A68" s="17"/>
      <c r="E68" s="17"/>
      <c r="F68" s="17"/>
      <c r="G68" s="17"/>
    </row>
    <row r="69" spans="1:17" x14ac:dyDescent="0.25">
      <c r="A69" s="17"/>
      <c r="E69" s="17"/>
      <c r="F69" s="17"/>
      <c r="G69" s="17"/>
    </row>
    <row r="70" spans="1:17" x14ac:dyDescent="0.25">
      <c r="A70" s="17"/>
      <c r="E70" s="17"/>
      <c r="F70" s="17"/>
      <c r="G70" s="17"/>
    </row>
    <row r="71" spans="1:17" x14ac:dyDescent="0.25">
      <c r="A71" s="17"/>
      <c r="E71" s="17"/>
      <c r="F71" s="17"/>
      <c r="G71" s="17"/>
    </row>
    <row r="72" spans="1:17" x14ac:dyDescent="0.25">
      <c r="A72" s="17"/>
      <c r="E72" s="17"/>
      <c r="F72" s="17"/>
      <c r="G72" s="17"/>
    </row>
    <row r="73" spans="1:17" x14ac:dyDescent="0.25">
      <c r="A73" s="17"/>
      <c r="E73" s="17"/>
      <c r="F73" s="17"/>
      <c r="G73" s="17"/>
    </row>
    <row r="74" spans="1:17" x14ac:dyDescent="0.25">
      <c r="A74" s="17"/>
      <c r="E74" s="17"/>
      <c r="F74" s="17"/>
      <c r="G74" s="17"/>
    </row>
    <row r="75" spans="1:17" x14ac:dyDescent="0.25">
      <c r="A75" s="17"/>
      <c r="E75" s="17"/>
      <c r="F75" s="17"/>
      <c r="G75" s="17"/>
    </row>
    <row r="76" spans="1:17" x14ac:dyDescent="0.25">
      <c r="A76" s="17"/>
      <c r="E76" s="17"/>
      <c r="F76" s="17"/>
      <c r="G76" s="17"/>
    </row>
    <row r="77" spans="1:17" x14ac:dyDescent="0.25">
      <c r="A77" s="17"/>
      <c r="E77" s="17"/>
      <c r="F77" s="17"/>
      <c r="G77" s="17"/>
    </row>
    <row r="78" spans="1:17" x14ac:dyDescent="0.25">
      <c r="A78" s="17"/>
      <c r="E78" s="17"/>
      <c r="F78" s="17"/>
      <c r="G78" s="17"/>
    </row>
    <row r="79" spans="1:17" x14ac:dyDescent="0.25">
      <c r="A79" s="17"/>
      <c r="E79" s="17"/>
      <c r="F79" s="17"/>
      <c r="G79" s="17"/>
    </row>
    <row r="80" spans="1:17" x14ac:dyDescent="0.25">
      <c r="A80" s="17"/>
      <c r="E80" s="17"/>
      <c r="F80" s="17"/>
      <c r="G80" s="17"/>
    </row>
    <row r="81" spans="1:15" x14ac:dyDescent="0.25">
      <c r="A81" s="17"/>
      <c r="E81" s="17"/>
      <c r="F81" s="17"/>
      <c r="G81" s="17"/>
    </row>
    <row r="82" spans="1:15" x14ac:dyDescent="0.25">
      <c r="A82" s="17"/>
      <c r="E82" s="17"/>
      <c r="F82" s="17"/>
      <c r="G82" s="17"/>
    </row>
    <row r="83" spans="1:15" x14ac:dyDescent="0.25">
      <c r="A83" s="17"/>
      <c r="E83" s="17"/>
      <c r="F83" s="17"/>
      <c r="G83" s="17"/>
    </row>
    <row r="84" spans="1:15" x14ac:dyDescent="0.25">
      <c r="A84" s="17"/>
      <c r="E84" s="17"/>
      <c r="F84" s="17"/>
      <c r="G84" s="17"/>
    </row>
    <row r="85" spans="1:15" x14ac:dyDescent="0.25">
      <c r="A85" s="17"/>
      <c r="E85" s="17"/>
      <c r="F85" s="17"/>
      <c r="G85" s="17"/>
    </row>
    <row r="86" spans="1:15" x14ac:dyDescent="0.25">
      <c r="A86" s="17"/>
      <c r="E86" s="17"/>
      <c r="F86" s="17"/>
      <c r="G86" s="17"/>
    </row>
    <row r="87" spans="1:15" x14ac:dyDescent="0.25">
      <c r="A87" s="17"/>
      <c r="E87" s="17"/>
      <c r="F87" s="17"/>
      <c r="G87" s="17"/>
    </row>
    <row r="88" spans="1:15" x14ac:dyDescent="0.25">
      <c r="A88" s="17"/>
      <c r="E88" s="17"/>
      <c r="F88" s="17"/>
      <c r="G88" s="17"/>
    </row>
    <row r="89" spans="1:15" x14ac:dyDescent="0.25">
      <c r="A89" s="17"/>
      <c r="E89" s="17"/>
      <c r="F89" s="17"/>
      <c r="G89" s="17"/>
    </row>
    <row r="90" spans="1:15" x14ac:dyDescent="0.25">
      <c r="A90" s="17"/>
      <c r="E90" s="17"/>
      <c r="F90" s="17"/>
      <c r="G90" s="17"/>
    </row>
    <row r="91" spans="1:15" x14ac:dyDescent="0.25">
      <c r="A91" s="17"/>
      <c r="E91" s="17"/>
      <c r="F91" s="17"/>
      <c r="G91" s="17"/>
    </row>
    <row r="92" spans="1:15" x14ac:dyDescent="0.25">
      <c r="A92" s="17"/>
      <c r="E92" s="17"/>
      <c r="F92" s="17"/>
      <c r="G92" s="17"/>
    </row>
    <row r="93" spans="1:15" x14ac:dyDescent="0.25">
      <c r="A93" s="17"/>
      <c r="E93" s="17"/>
      <c r="F93" s="17"/>
      <c r="G93" s="17"/>
    </row>
    <row r="94" spans="1:15" x14ac:dyDescent="0.25">
      <c r="A94" s="17"/>
      <c r="E94" s="17"/>
      <c r="F94" s="17"/>
      <c r="G94" s="17"/>
      <c r="O94" s="2"/>
    </row>
    <row r="95" spans="1:15" x14ac:dyDescent="0.25">
      <c r="A95" s="17"/>
      <c r="E95" s="17"/>
      <c r="F95" s="17"/>
      <c r="G95" s="17"/>
      <c r="O95" s="2"/>
    </row>
    <row r="96" spans="1:15" x14ac:dyDescent="0.25">
      <c r="A96" s="17"/>
      <c r="E96" s="17"/>
      <c r="F96" s="17"/>
      <c r="G96" s="17"/>
      <c r="O96" s="2"/>
    </row>
    <row r="97" spans="1:24" x14ac:dyDescent="0.25">
      <c r="A97" s="17"/>
      <c r="E97" s="17"/>
      <c r="F97" s="17"/>
      <c r="G97" s="17"/>
      <c r="O97" s="2"/>
    </row>
    <row r="98" spans="1:24" x14ac:dyDescent="0.25">
      <c r="A98" s="17"/>
      <c r="E98" s="17"/>
      <c r="F98" s="17"/>
      <c r="G98" s="17"/>
      <c r="O98" s="2"/>
    </row>
    <row r="99" spans="1:24" x14ac:dyDescent="0.25">
      <c r="A99" s="17"/>
      <c r="E99" s="17"/>
      <c r="F99" s="17"/>
      <c r="G99" s="17"/>
      <c r="O99" s="4"/>
    </row>
    <row r="100" spans="1:24" x14ac:dyDescent="0.25">
      <c r="A100" s="17"/>
      <c r="E100" s="17"/>
      <c r="F100" s="17"/>
      <c r="G100" s="17"/>
      <c r="O100" s="2"/>
    </row>
    <row r="101" spans="1:24" x14ac:dyDescent="0.25">
      <c r="A101" s="17"/>
      <c r="E101" s="17"/>
      <c r="F101" s="17"/>
      <c r="G101" s="17"/>
      <c r="O101" s="2"/>
    </row>
    <row r="102" spans="1:24" x14ac:dyDescent="0.25">
      <c r="A102" s="17"/>
      <c r="O102" s="2"/>
    </row>
    <row r="103" spans="1:24" x14ac:dyDescent="0.25">
      <c r="A103" s="17"/>
      <c r="O103" s="2"/>
    </row>
    <row r="104" spans="1:24" x14ac:dyDescent="0.25">
      <c r="A104" s="17"/>
      <c r="O104" s="2"/>
    </row>
    <row r="105" spans="1:24" x14ac:dyDescent="0.25">
      <c r="A105" s="17"/>
      <c r="O105" s="5"/>
    </row>
    <row r="106" spans="1:24" x14ac:dyDescent="0.25">
      <c r="A106" s="17"/>
    </row>
    <row r="107" spans="1:24" x14ac:dyDescent="0.25">
      <c r="A107" s="17"/>
    </row>
    <row r="108" spans="1:24" x14ac:dyDescent="0.25">
      <c r="A108" s="17"/>
    </row>
    <row r="109" spans="1:24" x14ac:dyDescent="0.25">
      <c r="A109" s="17"/>
    </row>
    <row r="110" spans="1:24" x14ac:dyDescent="0.25">
      <c r="A110" s="17"/>
      <c r="T110" s="19"/>
      <c r="X110" s="19"/>
    </row>
    <row r="124" spans="13:15" x14ac:dyDescent="0.25">
      <c r="M124" s="19"/>
      <c r="N124" s="20"/>
      <c r="O124" s="21"/>
    </row>
    <row r="125" spans="13:15" x14ac:dyDescent="0.25">
      <c r="M125" s="19"/>
      <c r="N125" s="20"/>
      <c r="O125" s="21"/>
    </row>
    <row r="126" spans="13:15" x14ac:dyDescent="0.25">
      <c r="M126" s="19"/>
      <c r="N126" s="20"/>
      <c r="O126" s="21"/>
    </row>
    <row r="127" spans="13:15" x14ac:dyDescent="0.25">
      <c r="M127" s="22"/>
      <c r="N127" s="20"/>
      <c r="O127" s="21"/>
    </row>
    <row r="128" spans="13:15" x14ac:dyDescent="0.25">
      <c r="M128" s="22"/>
      <c r="N128" s="20"/>
      <c r="O128" s="21"/>
    </row>
    <row r="129" spans="13:15" x14ac:dyDescent="0.25">
      <c r="M129" s="22"/>
      <c r="N129" s="20"/>
      <c r="O129" s="21"/>
    </row>
    <row r="130" spans="13:15" x14ac:dyDescent="0.25">
      <c r="M130" s="19"/>
      <c r="N130" s="20"/>
      <c r="O130" s="21"/>
    </row>
    <row r="131" spans="13:15" x14ac:dyDescent="0.25">
      <c r="M131" s="22"/>
      <c r="N131" s="20"/>
      <c r="O131" s="21"/>
    </row>
    <row r="132" spans="13:15" x14ac:dyDescent="0.25">
      <c r="M132" s="22"/>
      <c r="N132" s="20"/>
      <c r="O132" s="21"/>
    </row>
    <row r="133" spans="13:15" x14ac:dyDescent="0.25">
      <c r="M133" s="22"/>
      <c r="O133" s="21"/>
    </row>
  </sheetData>
  <mergeCells count="4">
    <mergeCell ref="M11:Q12"/>
    <mergeCell ref="M33:Q34"/>
    <mergeCell ref="A1:Q1"/>
    <mergeCell ref="A2:Q2"/>
  </mergeCells>
  <dataValidations disablePrompts="1" count="12">
    <dataValidation allowBlank="1" showInputMessage="1" showErrorMessage="1" promptTitle="Riser span" prompt="Total span of steps." sqref="C7" xr:uid="{193EB9CC-C2C1-4BB7-AA37-7F252A7CDA93}"/>
    <dataValidation allowBlank="1" showInputMessage="1" showErrorMessage="1" promptTitle="Floor Live Load" prompt="Refer to NSCP 2015 Table 205-1." sqref="C44:C45 C41:C42 C39" xr:uid="{FAB53906-7EE7-4507-A0BF-95F0C53E7735}"/>
    <dataValidation allowBlank="1" showInputMessage="1" showErrorMessage="1" promptTitle="Specific Weight" prompt="Specific weight or unit weight of concrete." sqref="C9" xr:uid="{E29C53F8-F522-4C56-8E8E-AEFD9B7BA1F4}"/>
    <dataValidation allowBlank="1" showInputMessage="1" showErrorMessage="1" promptTitle="Ceilings, roof and wall covering" prompt="Refer to NSCP 2015 Table 204-2." sqref="C34" xr:uid="{59233BA5-2E38-4C05-8097-4D5B4D6E140E}"/>
    <dataValidation allowBlank="1" showInputMessage="1" showErrorMessage="1" promptTitle="Floor fills and finishes" prompt="Refer to NSCP 2015 Table 204-2." sqref="C33" xr:uid="{9113E4FA-BF14-4FD3-9700-E6244F5767F9}"/>
    <dataValidation type="decimal" operator="greaterThanOrEqual" allowBlank="1" showInputMessage="1" showErrorMessage="1" errorTitle="Input error" error="Clear cover must be 20mm or greater." sqref="C14" xr:uid="{A817E5A0-77D9-4431-ADFC-5FF16CFFCFB1}">
      <formula1>20</formula1>
    </dataValidation>
    <dataValidation type="list" allowBlank="1" showInputMessage="1" showErrorMessage="1" sqref="C15:C17" xr:uid="{148D6971-C16A-421C-A9B2-79E53F477051}">
      <formula1>"10,12,16"</formula1>
    </dataValidation>
    <dataValidation allowBlank="1" showInputMessage="1" showErrorMessage="1" promptTitle="Frame walls and partitions" prompt="Refer to NSCP 2015 Table 204-2." sqref="C36" xr:uid="{70AD7533-E313-4658-A563-B5622D3A4155}"/>
    <dataValidation type="decimal" operator="lessThanOrEqual" allowBlank="1" showInputMessage="1" showErrorMessage="1" errorTitle="Input error" error="As per Sir V, regardless L/S, slabs are permitted to be designed as one way slab if shorter side is not more than 3m._x000a_In cases where more than 3m is allowed, contact the owner of this workbook." promptTitle="Shorter Side" prompt="Center to center length of shorter side of slab from supports." sqref="C5" xr:uid="{21B6CAC7-D4FF-4395-960F-4CE940E14FB2}">
      <formula1>3000</formula1>
    </dataValidation>
    <dataValidation type="list" allowBlank="1" showInputMessage="1" showErrorMessage="1" promptTitle="Direction of main bars" prompt="Weight of one way slabs are transferred along its longer side. Hence main bars are inserted perpendicular to this side. However, in real life scenarios, main bars may be inserted parallel to ease up setting of rebar." sqref="C19" xr:uid="{15408463-330D-4948-B2CD-CFC75B128DFD}">
      <formula1>$A$4:$A$5</formula1>
    </dataValidation>
    <dataValidation allowBlank="1" showInputMessage="1" showErrorMessage="1" promptTitle="Concrete masonry walls" prompt="Walls not carried by beam. It is given by the unit weight of walls (refer to NSCP 2015 Table 204-2) multiplied by its volume divided by the floor area." sqref="C35" xr:uid="{4131AB81-DFDA-448B-9A8C-7DA57AFAA2FD}"/>
    <dataValidation errorStyle="warning" allowBlank="1" showInputMessage="1" showErrorMessage="1" errorTitle="Warning" error="Input value for Longer Side must be its center-to-center length." promptTitle="Longer Side" prompt="Center to center length of longer side of slab from supports." sqref="C4" xr:uid="{7155CBD8-D8D6-45B5-9BB5-B3E860DC0051}"/>
  </dataValidations>
  <pageMargins left="0.7" right="0.7" top="0.75" bottom="0.75" header="0.3" footer="0.3"/>
  <pageSetup paperSize="9" scale="55" orientation="landscape" horizontalDpi="4294967293" verticalDpi="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promptTitle="L/n" prompt="h=L/n_x000a_where:_x000a_n = 20 for simply supported_x000a_n =24 for one end continuous_x000a_n = 28 for both ends continuous_x000a_n = 10 for cantilever" xr:uid="{C5EC0B95-E9B8-4099-A4B7-72C79D2BC113}">
          <x14:formula1>
            <xm:f>'DO NOT DELETE'!$A$8:$A$11</xm:f>
          </x14:formula1>
          <xm:sqref>C22</xm:sqref>
        </x14:dataValidation>
        <x14:dataValidation type="list" allowBlank="1" showInputMessage="1" showErrorMessage="1" xr:uid="{C3D94C22-E369-4E97-A4D4-4852B0C9AB0D}">
          <x14:formula1>
            <xm:f>'DO NOT DELETE'!$F$8:$F$10</xm:f>
          </x14:formula1>
          <xm:sqref>K11</xm:sqref>
        </x14:dataValidation>
        <x14:dataValidation type="list" allowBlank="1" showInputMessage="1" showErrorMessage="1" xr:uid="{4DCB9776-FB75-4F49-B336-83116C9B9AE9}">
          <x14:formula1>
            <xm:f>'DO NOT DELETE'!$F$11:$F$16</xm:f>
          </x14:formula1>
          <xm:sqref>K33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DO NOT DELETE</vt:lpstr>
      <vt:lpstr>Sheet1</vt:lpstr>
      <vt:lpstr>1w slab</vt:lpstr>
      <vt:lpstr>'1w slab'!Print_Area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PRECIOUS MARY ANGELICA V. BARCENA</cp:lastModifiedBy>
  <cp:lastPrinted>2024-02-23T16:16:58Z</cp:lastPrinted>
  <dcterms:created xsi:type="dcterms:W3CDTF">2023-11-23T11:55:14Z</dcterms:created>
  <dcterms:modified xsi:type="dcterms:W3CDTF">2024-02-28T13:42:19Z</dcterms:modified>
</cp:coreProperties>
</file>