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CER\Documents\Files ni Precious\excel ko\final version\github\"/>
    </mc:Choice>
  </mc:AlternateContent>
  <xr:revisionPtr revIDLastSave="0" documentId="13_ncr:1_{1A3061E1-C27C-489F-AB19-3F25F1B83B31}" xr6:coauthVersionLast="47" xr6:coauthVersionMax="47" xr10:uidLastSave="{00000000-0000-0000-0000-000000000000}"/>
  <bookViews>
    <workbookView xWindow="-108" yWindow="-108" windowWidth="23256" windowHeight="12720" tabRatio="847" firstSheet="2" activeTab="2" xr2:uid="{6C9D336E-3811-484B-849D-E0CF3A988800}"/>
  </bookViews>
  <sheets>
    <sheet name="DO NOT DELETE" sheetId="9" state="hidden" r:id="rId1"/>
    <sheet name="Sheet1" sheetId="6" state="hidden" r:id="rId2"/>
    <sheet name="beam_w eq" sheetId="11" r:id="rId3"/>
  </sheets>
  <definedNames>
    <definedName name="_xlnm.Print_Area" localSheetId="2">'beam_w eq'!$A$1:$O$89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" i="11" l="1"/>
  <c r="F77" i="11" s="1"/>
  <c r="F73" i="11"/>
  <c r="F65" i="11"/>
  <c r="F63" i="11"/>
  <c r="F59" i="11"/>
  <c r="C57" i="11"/>
  <c r="F57" i="11" s="1"/>
  <c r="F51" i="11"/>
  <c r="F47" i="11"/>
  <c r="C47" i="11"/>
  <c r="C81" i="11" l="1"/>
  <c r="C80" i="11"/>
  <c r="C72" i="11"/>
  <c r="C71" i="11"/>
  <c r="C68" i="11"/>
  <c r="C52" i="11"/>
  <c r="C48" i="11"/>
  <c r="C70" i="11" s="1"/>
  <c r="C73" i="11" s="1"/>
  <c r="C85" i="11" s="1"/>
  <c r="C40" i="11"/>
  <c r="C39" i="11"/>
  <c r="C41" i="11" s="1"/>
  <c r="C42" i="11" s="1"/>
  <c r="D32" i="11"/>
  <c r="C32" i="11"/>
  <c r="D31" i="11"/>
  <c r="C31" i="11"/>
  <c r="D30" i="11"/>
  <c r="C36" i="11" s="1" a="1"/>
  <c r="C36" i="11" s="1"/>
  <c r="C30" i="11"/>
  <c r="D29" i="11"/>
  <c r="C29" i="11"/>
  <c r="C35" i="11" s="1"/>
  <c r="C92" i="11" l="1"/>
  <c r="C93" i="11" s="1"/>
  <c r="C96" i="11" s="1"/>
  <c r="C89" i="11"/>
  <c r="C50" i="11"/>
  <c r="C51" i="11" s="1"/>
  <c r="A34" i="11" a="1"/>
  <c r="A34" i="11" s="1"/>
  <c r="C44" i="11"/>
  <c r="C56" i="11"/>
  <c r="C63" i="11" l="1"/>
  <c r="C87" i="11" s="1"/>
  <c r="C59" i="11"/>
  <c r="C84" i="11" s="1"/>
  <c r="C83" i="11"/>
  <c r="C65" i="11"/>
  <c r="C88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<sst xmlns="http://schemas.openxmlformats.org/spreadsheetml/2006/main" count="248" uniqueCount="142">
  <si>
    <t>f'c</t>
  </si>
  <si>
    <t>mm</t>
  </si>
  <si>
    <t>fy</t>
  </si>
  <si>
    <t>MPa</t>
  </si>
  <si>
    <t>KN/m</t>
  </si>
  <si>
    <t>KN</t>
  </si>
  <si>
    <t>mm^2</t>
  </si>
  <si>
    <t>=</t>
  </si>
  <si>
    <t>Clear cover</t>
  </si>
  <si>
    <t>Dead Load</t>
  </si>
  <si>
    <t>I. MATERIAL PROPERTIES</t>
  </si>
  <si>
    <t>II. SECTION PROPERTIES</t>
  </si>
  <si>
    <t>Width</t>
  </si>
  <si>
    <t>m^3</t>
  </si>
  <si>
    <t>KN/m^3</t>
  </si>
  <si>
    <t>Live Load</t>
  </si>
  <si>
    <t>β = 0.85-[0.05(f'c-28)/7]</t>
  </si>
  <si>
    <t>ρmin = 1.4/fy</t>
  </si>
  <si>
    <t>h=(L/20)(fy factor)</t>
  </si>
  <si>
    <t>LRFD load combinations</t>
  </si>
  <si>
    <t>VI. DESIGN RESULTS</t>
  </si>
  <si>
    <t>mm OC</t>
  </si>
  <si>
    <t>Support</t>
  </si>
  <si>
    <t>Midspan</t>
  </si>
  <si>
    <t>EQUIVALENT UNIFORM LOAD</t>
  </si>
  <si>
    <t>fy used for main bars and temperature bars is the same</t>
  </si>
  <si>
    <t>h is rounded up to nearest 10</t>
  </si>
  <si>
    <t>s is rounded down to nearest 5</t>
  </si>
  <si>
    <t>GENERAL NOTES:</t>
  </si>
  <si>
    <t>TAKE OFF (DO NOT PRINT)</t>
  </si>
  <si>
    <t>bat mo inunhide???!!!</t>
  </si>
  <si>
    <t xml:space="preserve">support my other side project: </t>
  </si>
  <si>
    <t>https://youtube.com/@preexclamation</t>
  </si>
  <si>
    <t>if you received this file from anyone except someone named Precious, then please mag sori ka kay lord kasi you are stealing. or sa mama o if atheist ka</t>
  </si>
  <si>
    <t>preciousmaryangelicavbarcena@gmail.com</t>
  </si>
  <si>
    <t>no fr, thanks for supporting my ms excel side project. ive lost interest in my course and I only get my motivation to continue from my side projects.</t>
  </si>
  <si>
    <t>contact me at:</t>
  </si>
  <si>
    <t>Support condition</t>
  </si>
  <si>
    <t>Simply supported</t>
  </si>
  <si>
    <t>One end continuos</t>
  </si>
  <si>
    <t>Both end continuous</t>
  </si>
  <si>
    <t>Cantilever</t>
  </si>
  <si>
    <t>denominator</t>
  </si>
  <si>
    <t>h=(L/24)(fy factor)</t>
  </si>
  <si>
    <t>h=(L/28)(fy factor)</t>
  </si>
  <si>
    <t>h=(L/10)(fy factor)</t>
  </si>
  <si>
    <t>thickness</t>
  </si>
  <si>
    <t>SLAB THICKNESS</t>
  </si>
  <si>
    <t>MOMENT COEFFICIENT</t>
  </si>
  <si>
    <t>Negative moment - other face of any interior support</t>
  </si>
  <si>
    <t>Negative moment - interior face of exterior support intergral with beam support</t>
  </si>
  <si>
    <t>Negative moment - interior face of exterior support intergral with beam column</t>
  </si>
  <si>
    <t>Negative moment - exterior face of first interior support (2 spans)</t>
  </si>
  <si>
    <t>Negative moment - exterior face of first interior support (more than 2 spans)</t>
  </si>
  <si>
    <t>Mu=Wu(Ln)^2/11</t>
  </si>
  <si>
    <t>Mu=Wu(Ln)^2/14</t>
  </si>
  <si>
    <t>Mu=Wu(Ln)^2/16</t>
  </si>
  <si>
    <t>Mu=Wu(Lna)^2/11</t>
  </si>
  <si>
    <t>Mu=Wu(Lna)^2/19</t>
  </si>
  <si>
    <t>Mu=Wu(Lna)^2/10</t>
  </si>
  <si>
    <t>Mu=Wu(Lna)^2/24</t>
  </si>
  <si>
    <t>Mu=Wu(Lna)^2/16</t>
  </si>
  <si>
    <t>moment</t>
  </si>
  <si>
    <t>Positive moment - end span - discontinuous end unrestrained</t>
  </si>
  <si>
    <t>Positive moment - end span - discontinuous end integral with support</t>
  </si>
  <si>
    <t>Positive moment - interior span</t>
  </si>
  <si>
    <t>Mu=Wu(Lna)^2/12</t>
  </si>
  <si>
    <t>Negative moment - cantilever support</t>
  </si>
  <si>
    <t>Description</t>
  </si>
  <si>
    <r>
      <t>γ</t>
    </r>
    <r>
      <rPr>
        <sz val="12.65"/>
        <color theme="1"/>
        <rFont val="Arial"/>
        <family val="2"/>
      </rPr>
      <t>concrete</t>
    </r>
  </si>
  <si>
    <t>Weight = γ * volume</t>
  </si>
  <si>
    <t>TAKE OFF - GIVES OFF WEIGHT OF MEMBER AND WEIGHT OF MEMBER AS LOAD FOR LOAD TRANSFER</t>
  </si>
  <si>
    <t>Weight to line load = weight in KN / Length kung saan ipapatong</t>
  </si>
  <si>
    <t>Weight to floor load = weight in KN / Area kung saan ipapatong</t>
  </si>
  <si>
    <t>BEAM 1</t>
  </si>
  <si>
    <t>Clear span</t>
  </si>
  <si>
    <t>Tension bar diameter</t>
  </si>
  <si>
    <t>Compression bar diameter</t>
  </si>
  <si>
    <t>Stirrup diameter</t>
  </si>
  <si>
    <t>III. LOADINGS</t>
  </si>
  <si>
    <t>(+) Mn max</t>
  </si>
  <si>
    <t>kNm</t>
  </si>
  <si>
    <t>(-) Mn max</t>
  </si>
  <si>
    <t>Seismic Load</t>
  </si>
  <si>
    <t>IV. LOAD COMBINATION</t>
  </si>
  <si>
    <t>+Mu</t>
  </si>
  <si>
    <t>-Mu</t>
  </si>
  <si>
    <t>1.4D</t>
  </si>
  <si>
    <t>1.2D+1.6L</t>
  </si>
  <si>
    <t>1.2D+1L+1E</t>
  </si>
  <si>
    <t>0.9D+1E</t>
  </si>
  <si>
    <t>Governing load combination</t>
  </si>
  <si>
    <t>(+) Mu max</t>
  </si>
  <si>
    <t>(-) Mu max</t>
  </si>
  <si>
    <t>V. BEAM DESIGN</t>
  </si>
  <si>
    <t>ρmax = 0.85f'cβ(3/7)/fy</t>
  </si>
  <si>
    <t>ρ = 0.6ρmax</t>
  </si>
  <si>
    <t>n = d/b = 1.75 to 2.0</t>
  </si>
  <si>
    <t>Rn=ρfy[1-(0.59ρfy/f'c)]</t>
  </si>
  <si>
    <t>DIMENSION</t>
  </si>
  <si>
    <t>b = [Mu/(0.9Rn*n^2)]^1/3</t>
  </si>
  <si>
    <t>say, b=</t>
  </si>
  <si>
    <t>d = nb</t>
  </si>
  <si>
    <t>Y=ΣNnYn/Nt</t>
  </si>
  <si>
    <t>dt = d+y</t>
  </si>
  <si>
    <t>h=dt+cover+dstirrup+0.5db</t>
  </si>
  <si>
    <t>say, h=</t>
  </si>
  <si>
    <t>b/h= at least 0.3</t>
  </si>
  <si>
    <t>b/h &gt; 0.30 therefore, OKAY!</t>
  </si>
  <si>
    <t>FLEXURE REINFORCEMENT AT JOINT FACE</t>
  </si>
  <si>
    <t>For negative moment strength</t>
  </si>
  <si>
    <t>Asreqd(srb)=ρbd</t>
  </si>
  <si>
    <t>ndb</t>
  </si>
  <si>
    <t>pcs</t>
  </si>
  <si>
    <t>say, ndb=</t>
  </si>
  <si>
    <t>For positive moment strength</t>
  </si>
  <si>
    <t>ndb = at least 0.5 of negative</t>
  </si>
  <si>
    <t>FLEXURE REINFORCEMENT AT ANY SECTION</t>
  </si>
  <si>
    <t>ndb = at least 0.25 of max at joint</t>
  </si>
  <si>
    <t>SHEAR REINFORCEMENT AT FACE OF SUPPORT</t>
  </si>
  <si>
    <t>Face of support = 2h</t>
  </si>
  <si>
    <t>Spacing of stirrups</t>
  </si>
  <si>
    <t>d/4</t>
  </si>
  <si>
    <t>6db</t>
  </si>
  <si>
    <t>150mm</t>
  </si>
  <si>
    <t>least governs, therefore</t>
  </si>
  <si>
    <t>say, s=</t>
  </si>
  <si>
    <t>SHEAR REINFORCEMENT AT ANY SECTION</t>
  </si>
  <si>
    <t>d/2</t>
  </si>
  <si>
    <t>Depth</t>
  </si>
  <si>
    <t>Top bars</t>
  </si>
  <si>
    <t>Bottom bars</t>
  </si>
  <si>
    <t>Stirrups</t>
  </si>
  <si>
    <t>Volume of beam</t>
  </si>
  <si>
    <t>Weight of beam</t>
  </si>
  <si>
    <t>Weight of beam along clear span</t>
  </si>
  <si>
    <t>indicates input value</t>
  </si>
  <si>
    <t>SINGLY REINFORCED BEAM DESIGN</t>
  </si>
  <si>
    <t>Mu = 1.4D</t>
  </si>
  <si>
    <t>Mu = 1.2D+1.6L</t>
  </si>
  <si>
    <t>Mu = 1.2D+1L+1E</t>
  </si>
  <si>
    <t>Mu = 0.9D+1E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</si>
</sst>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Calibri"/>
      <family val="2"/>
    </font>
    <font>
      <sz val="12.65"/>
      <color theme="1"/>
      <name val="Arial"/>
      <family val="2"/>
    </font>
    <font>
      <b/>
      <sz val="22"/>
      <color theme="1"/>
      <name val="Arial"/>
      <family val="2"/>
    </font>
    <font>
      <b/>
      <sz val="16"/>
      <color rgb="FFFF0000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11" fillId="0" borderId="0" xfId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indent="1"/>
    </xf>
    <xf numFmtId="0" fontId="1" fillId="0" borderId="0" xfId="0" applyFont="1"/>
    <xf numFmtId="0" fontId="1" fillId="0" borderId="2" xfId="0" applyFont="1" applyBorder="1"/>
    <xf numFmtId="0" fontId="6" fillId="0" borderId="0" xfId="0" applyFont="1"/>
    <xf numFmtId="0" fontId="10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 applyProtection="1">
      <alignment horizontal="left"/>
      <protection locked="0"/>
    </xf>
    <xf numFmtId="12" fontId="1" fillId="0" borderId="0" xfId="0" applyNumberFormat="1" applyFont="1"/>
    <xf numFmtId="0" fontId="1" fillId="0" borderId="4" xfId="0" applyFont="1" applyBorder="1"/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left" indent="1"/>
    </xf>
    <xf numFmtId="0" fontId="14" fillId="0" borderId="1" xfId="0" applyFont="1" applyBorder="1"/>
    <xf numFmtId="0" fontId="14" fillId="0" borderId="0" xfId="0" applyFont="1"/>
    <xf numFmtId="0" fontId="1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0" xfId="0" applyFont="1" applyFill="1" applyAlignment="1">
      <alignment horizontal="right"/>
    </xf>
    <xf numFmtId="0" fontId="4" fillId="2" borderId="0" xfId="0" applyFont="1" applyFill="1"/>
    <xf numFmtId="0" fontId="1" fillId="2" borderId="0" xfId="0" quotePrefix="1" applyFont="1" applyFill="1"/>
    <xf numFmtId="0" fontId="1" fillId="2" borderId="1" xfId="0" applyFont="1" applyFill="1" applyBorder="1" applyProtection="1">
      <protection locked="0"/>
    </xf>
    <xf numFmtId="0" fontId="1" fillId="2" borderId="0" xfId="0" quotePrefix="1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left" indent="2"/>
    </xf>
    <xf numFmtId="0" fontId="1" fillId="2" borderId="0" xfId="0" applyFont="1" applyFill="1" applyAlignment="1">
      <alignment horizontal="left" indent="1"/>
    </xf>
    <xf numFmtId="0" fontId="13" fillId="2" borderId="0" xfId="0" applyFont="1" applyFill="1" applyAlignment="1">
      <alignment horizontal="right"/>
    </xf>
    <xf numFmtId="0" fontId="1" fillId="2" borderId="0" xfId="0" applyFont="1" applyFill="1" applyAlignment="1">
      <alignment horizontal="left" indent="3"/>
    </xf>
    <xf numFmtId="0" fontId="1" fillId="2" borderId="0" xfId="0" quotePrefix="1" applyFont="1" applyFill="1" applyAlignment="1">
      <alignment horizontal="left"/>
    </xf>
    <xf numFmtId="165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 applyProtection="1">
      <alignment horizontal="left"/>
      <protection locked="0"/>
    </xf>
    <xf numFmtId="0" fontId="1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1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3123211</xdr:colOff>
      <xdr:row>17</xdr:row>
      <xdr:rowOff>159444</xdr:rowOff>
    </xdr:from>
    <xdr:to>
      <xdr:col>15</xdr:col>
      <xdr:colOff>36616</xdr:colOff>
      <xdr:row>33</xdr:row>
      <xdr:rowOff>33646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481AFF3E-9690-062A-3C77-739128804CD3}"/>
            </a:ext>
          </a:extLst>
        </xdr:cNvPr>
        <xdr:cNvGrpSpPr/>
      </xdr:nvGrpSpPr>
      <xdr:grpSpPr>
        <a:xfrm>
          <a:off x="7063840" y="3174787"/>
          <a:ext cx="9464633" cy="2660945"/>
          <a:chOff x="0" y="3200517"/>
          <a:chExt cx="9252857" cy="2666883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BED06426-F7F8-FF06-8C30-EAB43F50AC0F}"/>
              </a:ext>
            </a:extLst>
          </xdr:cNvPr>
          <xdr:cNvGrpSpPr/>
        </xdr:nvGrpSpPr>
        <xdr:grpSpPr>
          <a:xfrm>
            <a:off x="0" y="3200517"/>
            <a:ext cx="9252857" cy="2666883"/>
            <a:chOff x="498181" y="3167860"/>
            <a:chExt cx="8123941" cy="2261941"/>
          </a:xfrm>
        </xdr:grpSpPr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3D74FF2-402E-075B-3549-6EA2ACC8097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2312061" y="3167860"/>
              <a:ext cx="4349995" cy="1318510"/>
            </a:xfrm>
            <a:prstGeom prst="rect">
              <a:avLst/>
            </a:prstGeom>
          </xdr:spPr>
        </xdr:pic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39113BB-08D7-A7F9-4D0D-7C9E935F44A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8181" y="4386943"/>
              <a:ext cx="8123941" cy="1042858"/>
            </a:xfrm>
            <a:prstGeom prst="rect">
              <a:avLst/>
            </a:prstGeom>
          </xdr:spPr>
        </xdr:pic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4755486C-F46C-D570-C596-A6F8E84D9D68}"/>
              </a:ext>
            </a:extLst>
          </xdr:cNvPr>
          <xdr:cNvSpPr txBox="1"/>
        </xdr:nvSpPr>
        <xdr:spPr>
          <a:xfrm>
            <a:off x="3015342" y="4397829"/>
            <a:ext cx="2884027" cy="2939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PH" sz="1500" b="1"/>
              <a:t>SUPPORT</a:t>
            </a:r>
            <a:r>
              <a:rPr lang="en-PH" sz="1500" b="1" baseline="0"/>
              <a:t> CONDITIONS</a:t>
            </a:r>
            <a:endParaRPr lang="en-PH" sz="1500" b="1"/>
          </a:p>
        </xdr:txBody>
      </xdr:sp>
    </xdr:grpSp>
    <xdr:clientData/>
  </xdr:twoCellAnchor>
  <xdr:twoCellAnchor>
    <xdr:from>
      <xdr:col>0</xdr:col>
      <xdr:colOff>0</xdr:colOff>
      <xdr:row>16</xdr:row>
      <xdr:rowOff>126786</xdr:rowOff>
    </xdr:from>
    <xdr:to>
      <xdr:col>6</xdr:col>
      <xdr:colOff>1121570</xdr:colOff>
      <xdr:row>49</xdr:row>
      <xdr:rowOff>15504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DDFE69F-945A-A0EE-AC80-BFF45DEEC0D2}"/>
            </a:ext>
          </a:extLst>
        </xdr:cNvPr>
        <xdr:cNvGrpSpPr/>
      </xdr:nvGrpSpPr>
      <xdr:grpSpPr>
        <a:xfrm>
          <a:off x="0" y="2967957"/>
          <a:ext cx="10940484" cy="5636376"/>
          <a:chOff x="3614058" y="4931345"/>
          <a:chExt cx="10925640" cy="5642313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BCA2DEE-1EE6-4620-A7F2-08D4DE394B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614058" y="5061857"/>
            <a:ext cx="7646653" cy="1458402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A66C1C9-42BE-4A24-9DFD-17D52B1670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717471" y="6360474"/>
            <a:ext cx="6908325" cy="1517768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101D99E2-AF79-42C8-91B6-EB520FE0E52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3736521" y="7806789"/>
            <a:ext cx="10803177" cy="1419669"/>
          </a:xfrm>
          <a:prstGeom prst="rect">
            <a:avLst/>
          </a:prstGeom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EEE49622-1940-45EB-BE29-EDDD91AB0D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3709307" y="9171463"/>
            <a:ext cx="10012136" cy="1402195"/>
          </a:xfrm>
          <a:prstGeom prst="rect">
            <a:avLst/>
          </a:prstGeom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B60A410B-3E14-4A77-B93D-C3FCCA706ECD}"/>
              </a:ext>
            </a:extLst>
          </xdr:cNvPr>
          <xdr:cNvSpPr txBox="1"/>
        </xdr:nvSpPr>
        <xdr:spPr>
          <a:xfrm>
            <a:off x="5747657" y="4931345"/>
            <a:ext cx="2884027" cy="2939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PH" sz="1500" b="1"/>
              <a:t>MOMENT COEFFICIENT</a:t>
            </a:r>
          </a:p>
        </xdr:txBody>
      </xdr:sp>
    </xdr:grpSp>
    <xdr:clientData/>
  </xdr:twoCellAnchor>
  <xdr:twoCellAnchor>
    <xdr:from>
      <xdr:col>0</xdr:col>
      <xdr:colOff>0</xdr:colOff>
      <xdr:row>51</xdr:row>
      <xdr:rowOff>102294</xdr:rowOff>
    </xdr:from>
    <xdr:to>
      <xdr:col>22</xdr:col>
      <xdr:colOff>405330</xdr:colOff>
      <xdr:row>108</xdr:row>
      <xdr:rowOff>171793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939A12A-F41B-FF70-D933-03D32E75156D}"/>
            </a:ext>
          </a:extLst>
        </xdr:cNvPr>
        <xdr:cNvGrpSpPr/>
      </xdr:nvGrpSpPr>
      <xdr:grpSpPr>
        <a:xfrm>
          <a:off x="0" y="9039465"/>
          <a:ext cx="21164387" cy="9997271"/>
          <a:chOff x="0" y="7817544"/>
          <a:chExt cx="20941230" cy="9842149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F4717FC-AA29-4C0B-BC7D-F326641EB77E}"/>
              </a:ext>
            </a:extLst>
          </xdr:cNvPr>
          <xdr:cNvGrpSpPr/>
        </xdr:nvGrpSpPr>
        <xdr:grpSpPr>
          <a:xfrm>
            <a:off x="0" y="8071757"/>
            <a:ext cx="20941230" cy="9587936"/>
            <a:chOff x="249382" y="3034146"/>
            <a:chExt cx="20946353" cy="10214263"/>
          </a:xfrm>
        </xdr:grpSpPr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B4B86EB8-59B1-B9B6-554D-BAC332450986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49382" y="3048000"/>
              <a:ext cx="7353300" cy="10200409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242C1741-C8A0-2BA7-F514-30CEC16E2B9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3855" y="3034146"/>
              <a:ext cx="6766560" cy="954578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46D2A082-1E50-1AF8-DA80-ECEF7B168A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4367164" y="3048001"/>
              <a:ext cx="6828571" cy="9457143"/>
            </a:xfrm>
            <a:prstGeom prst="rect">
              <a:avLst/>
            </a:prstGeom>
          </xdr:spPr>
        </xdr:pic>
      </xdr:grp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F960B13-CABE-43BB-9B41-974B07F99759}"/>
              </a:ext>
            </a:extLst>
          </xdr:cNvPr>
          <xdr:cNvSpPr txBox="1"/>
        </xdr:nvSpPr>
        <xdr:spPr>
          <a:xfrm>
            <a:off x="8457211" y="7817544"/>
            <a:ext cx="2879632" cy="2884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PH" sz="1500" b="1"/>
              <a:t>NSCP LOADING CRITERIA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482142</xdr:colOff>
      <xdr:row>65</xdr:row>
      <xdr:rowOff>32020</xdr:rowOff>
    </xdr:from>
    <xdr:to>
      <xdr:col>14</xdr:col>
      <xdr:colOff>386348</xdr:colOff>
      <xdr:row>74</xdr:row>
      <xdr:rowOff>62545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D90A491-6321-4AB9-B491-BF96064B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6162" y="11728720"/>
          <a:ext cx="4171406" cy="1676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464256</xdr:colOff>
      <xdr:row>54</xdr:row>
      <xdr:rowOff>137260</xdr:rowOff>
    </xdr:from>
    <xdr:to>
      <xdr:col>12</xdr:col>
      <xdr:colOff>594360</xdr:colOff>
      <xdr:row>63</xdr:row>
      <xdr:rowOff>163664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C6441E8-042E-4846-AA33-71137BB8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9216" y="10294720"/>
          <a:ext cx="1958904" cy="16723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486AD-1ABE-4554-B847-5397DB78809A}" name="Table1" displayName="Table1" ref="A7:C11" totalsRowShown="0" headerRowDxfId="11" dataDxfId="9" headerRowBorderDxfId="10">
  <autoFilter ref="A7:C11" xr:uid="{FF9486AD-1ABE-4554-B847-5397DB78809A}"/>
  <tableColumns count="3">
    <tableColumn id="1" xr3:uid="{0A5252E9-A123-47CA-949D-A92094682E7A}" name="Support condition" dataDxfId="8"/>
    <tableColumn id="2" xr3:uid="{8CC4DF4D-2373-4254-8B0F-55E8BF141B9F}" name="denominator" dataDxfId="7"/>
    <tableColumn id="3" xr3:uid="{08DE1E12-9E50-48BF-87A5-D3D679B920AB}" name="thickness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107583-E3DE-49A5-A65E-6E6E2D0C9B2D}" name="Table2" displayName="Table2" ref="E7:G16" totalsRowShown="0" headerRowDxfId="5" dataDxfId="3" headerRowBorderDxfId="4">
  <autoFilter ref="E7:G16" xr:uid="{98107583-E3DE-49A5-A65E-6E6E2D0C9B2D}"/>
  <tableColumns count="3">
    <tableColumn id="1" xr3:uid="{ED61E29F-B721-43A7-BB7E-A7767F768B08}" name="Description" dataDxfId="2"/>
    <tableColumn id="2" xr3:uid="{51078EB4-5F6D-41C8-A4CE-88377B4556CD}" name="denominator" dataDxfId="1"/>
    <tableColumn id="3" xr3:uid="{13346ABB-D954-45DF-A742-360B68EE03BA}" name="mo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eciousmaryangelicavbarcen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8CF8-DF7D-44E9-872F-8EC623FB7D7E}">
  <sheetPr>
    <tabColor rgb="FFFF0000"/>
  </sheetPr>
  <dimension ref="A1:S16"/>
  <sheetViews>
    <sheetView zoomScale="70" zoomScaleNormal="70" workbookViewId="0">
      <selection activeCell="I7" sqref="I7"/>
    </sheetView>
  </sheetViews>
  <sheetFormatPr defaultRowHeight="13.8" x14ac:dyDescent="0.25"/>
  <cols>
    <col min="1" max="1" width="19.44140625" style="8" bestFit="1" customWidth="1"/>
    <col min="2" max="2" width="13.88671875" style="8" customWidth="1"/>
    <col min="3" max="3" width="18.5546875" style="8" bestFit="1" customWidth="1"/>
    <col min="4" max="4" width="5.44140625" style="8" customWidth="1"/>
    <col min="5" max="5" width="71.44140625" style="8" bestFit="1" customWidth="1"/>
    <col min="6" max="6" width="14.21875" style="8" bestFit="1" customWidth="1"/>
    <col min="7" max="7" width="17.5546875" style="8" bestFit="1" customWidth="1"/>
    <col min="8" max="8" width="14.44140625" style="8" customWidth="1"/>
    <col min="9" max="9" width="11.88671875" style="8" customWidth="1"/>
    <col min="10" max="16384" width="8.88671875" style="8"/>
  </cols>
  <sheetData>
    <row r="1" spans="1:19" x14ac:dyDescent="0.25">
      <c r="A1" s="2" t="s">
        <v>28</v>
      </c>
      <c r="B1" s="1"/>
      <c r="C1" s="1"/>
      <c r="D1" s="1"/>
      <c r="E1" s="2" t="s">
        <v>71</v>
      </c>
      <c r="F1" s="1"/>
      <c r="G1" s="1"/>
      <c r="H1" s="1"/>
      <c r="I1" s="23"/>
      <c r="J1" s="25" t="s">
        <v>136</v>
      </c>
      <c r="K1" s="24"/>
      <c r="O1" s="1"/>
      <c r="P1" s="1"/>
      <c r="Q1" s="1"/>
      <c r="R1" s="1"/>
      <c r="S1" s="1"/>
    </row>
    <row r="2" spans="1:19" ht="14.4" x14ac:dyDescent="0.3">
      <c r="A2" s="3" t="s">
        <v>25</v>
      </c>
      <c r="B2" s="1"/>
      <c r="C2" s="1"/>
      <c r="D2" s="1"/>
      <c r="E2" s="8" t="s">
        <v>70</v>
      </c>
      <c r="F2" s="1"/>
      <c r="G2" s="10"/>
      <c r="H2" s="1"/>
      <c r="I2" s="1"/>
      <c r="J2" s="1"/>
      <c r="K2" s="1"/>
      <c r="O2" s="1"/>
      <c r="P2" s="1"/>
      <c r="Q2" s="1"/>
      <c r="R2" s="1"/>
      <c r="S2" s="1"/>
    </row>
    <row r="3" spans="1:19" x14ac:dyDescent="0.25">
      <c r="A3" s="3" t="s">
        <v>26</v>
      </c>
      <c r="B3" s="1"/>
      <c r="C3" s="1"/>
      <c r="D3" s="1"/>
      <c r="E3" s="8" t="s">
        <v>73</v>
      </c>
      <c r="F3" s="1"/>
      <c r="G3" s="1"/>
      <c r="I3" s="1"/>
      <c r="J3" s="1"/>
      <c r="K3" s="1"/>
      <c r="O3" s="1"/>
      <c r="P3" s="1"/>
      <c r="Q3" s="1"/>
      <c r="R3" s="1"/>
      <c r="S3" s="1"/>
    </row>
    <row r="4" spans="1:19" x14ac:dyDescent="0.25">
      <c r="A4" s="3" t="s">
        <v>27</v>
      </c>
      <c r="B4" s="1"/>
      <c r="C4" s="1"/>
      <c r="D4" s="1"/>
      <c r="E4" s="8" t="s">
        <v>72</v>
      </c>
      <c r="F4" s="1"/>
      <c r="G4" s="1"/>
      <c r="I4" s="1"/>
      <c r="J4" s="1"/>
      <c r="K4" s="1"/>
      <c r="O4" s="1"/>
      <c r="P4" s="1"/>
      <c r="Q4" s="1"/>
      <c r="R4" s="1"/>
      <c r="S4" s="1"/>
    </row>
    <row r="5" spans="1:19" x14ac:dyDescent="0.25">
      <c r="A5" s="3"/>
      <c r="B5" s="1"/>
      <c r="C5" s="1"/>
      <c r="D5" s="1"/>
      <c r="F5" s="1"/>
      <c r="G5" s="1"/>
      <c r="I5" s="1"/>
      <c r="J5" s="1"/>
      <c r="K5" s="1"/>
      <c r="O5" s="1"/>
      <c r="P5" s="1"/>
      <c r="Q5" s="1"/>
      <c r="R5" s="1"/>
      <c r="S5" s="1"/>
    </row>
    <row r="6" spans="1:19" ht="14.4" thickBot="1" x14ac:dyDescent="0.3">
      <c r="A6" s="44" t="s">
        <v>47</v>
      </c>
      <c r="B6" s="44"/>
      <c r="C6" s="44"/>
      <c r="E6" s="44" t="s">
        <v>48</v>
      </c>
      <c r="F6" s="44"/>
      <c r="G6" s="44"/>
      <c r="M6" s="24"/>
    </row>
    <row r="7" spans="1:19" ht="14.4" thickBot="1" x14ac:dyDescent="0.3">
      <c r="A7" s="9" t="s">
        <v>37</v>
      </c>
      <c r="B7" s="9" t="s">
        <v>42</v>
      </c>
      <c r="C7" s="9" t="s">
        <v>46</v>
      </c>
      <c r="E7" s="9" t="s">
        <v>68</v>
      </c>
      <c r="F7" s="9" t="s">
        <v>42</v>
      </c>
      <c r="G7" s="9" t="s">
        <v>62</v>
      </c>
    </row>
    <row r="8" spans="1:19" x14ac:dyDescent="0.25">
      <c r="A8" s="12" t="s">
        <v>38</v>
      </c>
      <c r="B8" s="12">
        <v>20</v>
      </c>
      <c r="C8" s="13" t="s">
        <v>18</v>
      </c>
      <c r="E8" s="12" t="s">
        <v>63</v>
      </c>
      <c r="F8" s="12">
        <v>11</v>
      </c>
      <c r="G8" s="14" t="s">
        <v>54</v>
      </c>
      <c r="H8" s="15"/>
    </row>
    <row r="9" spans="1:19" x14ac:dyDescent="0.25">
      <c r="A9" s="12" t="s">
        <v>39</v>
      </c>
      <c r="B9" s="12">
        <v>24</v>
      </c>
      <c r="C9" s="13" t="s">
        <v>43</v>
      </c>
      <c r="E9" s="12" t="s">
        <v>64</v>
      </c>
      <c r="F9" s="12">
        <v>14</v>
      </c>
      <c r="G9" s="14" t="s">
        <v>55</v>
      </c>
    </row>
    <row r="10" spans="1:19" x14ac:dyDescent="0.25">
      <c r="A10" s="12" t="s">
        <v>40</v>
      </c>
      <c r="B10" s="12">
        <v>28</v>
      </c>
      <c r="C10" s="13" t="s">
        <v>44</v>
      </c>
      <c r="E10" s="12" t="s">
        <v>65</v>
      </c>
      <c r="F10" s="12">
        <v>16</v>
      </c>
      <c r="G10" s="14" t="s">
        <v>56</v>
      </c>
    </row>
    <row r="11" spans="1:19" ht="14.4" thickBot="1" x14ac:dyDescent="0.3">
      <c r="A11" s="16" t="s">
        <v>41</v>
      </c>
      <c r="B11" s="16">
        <v>10</v>
      </c>
      <c r="C11" s="17" t="s">
        <v>45</v>
      </c>
      <c r="E11" s="12" t="s">
        <v>52</v>
      </c>
      <c r="F11" s="12">
        <v>9</v>
      </c>
      <c r="G11" s="14" t="s">
        <v>58</v>
      </c>
    </row>
    <row r="12" spans="1:19" x14ac:dyDescent="0.25">
      <c r="E12" s="12" t="s">
        <v>53</v>
      </c>
      <c r="F12" s="12">
        <v>10</v>
      </c>
      <c r="G12" s="14" t="s">
        <v>59</v>
      </c>
    </row>
    <row r="13" spans="1:19" x14ac:dyDescent="0.25">
      <c r="E13" s="12" t="s">
        <v>49</v>
      </c>
      <c r="F13" s="12">
        <v>11</v>
      </c>
      <c r="G13" s="14" t="s">
        <v>57</v>
      </c>
    </row>
    <row r="14" spans="1:19" x14ac:dyDescent="0.25">
      <c r="E14" s="12" t="s">
        <v>50</v>
      </c>
      <c r="F14" s="12">
        <v>24</v>
      </c>
      <c r="G14" s="14" t="s">
        <v>60</v>
      </c>
    </row>
    <row r="15" spans="1:19" x14ac:dyDescent="0.25">
      <c r="E15" s="12" t="s">
        <v>51</v>
      </c>
      <c r="F15" s="12">
        <v>16</v>
      </c>
      <c r="G15" s="14" t="s">
        <v>61</v>
      </c>
    </row>
    <row r="16" spans="1:19" ht="14.4" thickBot="1" x14ac:dyDescent="0.3">
      <c r="E16" s="16" t="s">
        <v>67</v>
      </c>
      <c r="F16" s="16">
        <v>2</v>
      </c>
      <c r="G16" s="18" t="s">
        <v>66</v>
      </c>
    </row>
  </sheetData>
  <mergeCells count="2">
    <mergeCell ref="A6:C6"/>
    <mergeCell ref="E6:G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E03-F699-4114-87E0-5DF52302315C}">
  <dimension ref="A1:A13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30</v>
      </c>
    </row>
    <row r="3" spans="1:1" x14ac:dyDescent="0.3">
      <c r="A3" t="s">
        <v>33</v>
      </c>
    </row>
    <row r="4" spans="1:1" x14ac:dyDescent="0.3">
      <c r="A4" t="s">
        <v>35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36</v>
      </c>
    </row>
    <row r="13" spans="1:1" x14ac:dyDescent="0.3">
      <c r="A13" s="4" t="s">
        <v>34</v>
      </c>
    </row>
  </sheetData>
  <hyperlinks>
    <hyperlink ref="A13" r:id="rId1" xr:uid="{EFA31C4A-9D93-4BA5-A065-3EB33C7DB3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ADC-5B8B-474B-ACC1-29CD787469AC}">
  <sheetPr>
    <pageSetUpPr fitToPage="1"/>
  </sheetPr>
  <dimension ref="A1:O96"/>
  <sheetViews>
    <sheetView tabSelected="1" view="pageBreakPreview" zoomScale="25" zoomScaleNormal="100" zoomScaleSheetLayoutView="25" workbookViewId="0">
      <selection sqref="A1:O1"/>
    </sheetView>
  </sheetViews>
  <sheetFormatPr defaultRowHeight="14.4" x14ac:dyDescent="0.3"/>
  <cols>
    <col min="1" max="1" width="63.109375" bestFit="1" customWidth="1"/>
    <col min="3" max="3" width="9.5546875" bestFit="1" customWidth="1"/>
    <col min="4" max="4" width="9.6640625" bestFit="1" customWidth="1"/>
    <col min="5" max="5" width="9.88671875" customWidth="1"/>
  </cols>
  <sheetData>
    <row r="1" spans="1:15" ht="28.2" x14ac:dyDescent="0.5">
      <c r="A1" s="45" t="s">
        <v>137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21" x14ac:dyDescent="0.4">
      <c r="A2" s="46" t="s">
        <v>74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x14ac:dyDescent="0.3">
      <c r="A3" s="26" t="s">
        <v>75</v>
      </c>
      <c r="B3" s="27" t="s">
        <v>7</v>
      </c>
      <c r="C3" s="28">
        <v>4000</v>
      </c>
      <c r="D3" s="27" t="s">
        <v>1</v>
      </c>
      <c r="E3" s="29"/>
      <c r="F3" s="26"/>
      <c r="G3" s="27"/>
      <c r="H3" s="27"/>
      <c r="I3" s="27"/>
      <c r="J3" s="27"/>
      <c r="K3" s="27"/>
      <c r="L3" s="27"/>
      <c r="M3" s="29"/>
      <c r="N3" s="29"/>
      <c r="O3" s="29"/>
    </row>
    <row r="4" spans="1:15" x14ac:dyDescent="0.3">
      <c r="A4" s="6"/>
      <c r="B4" s="30"/>
      <c r="C4" s="29"/>
      <c r="D4" s="27"/>
      <c r="E4" s="29"/>
      <c r="F4" s="26"/>
      <c r="G4" s="27"/>
      <c r="H4" s="27"/>
      <c r="I4" s="27"/>
      <c r="J4" s="27"/>
      <c r="K4" s="27"/>
      <c r="L4" s="27"/>
      <c r="M4" s="29"/>
      <c r="N4" s="29"/>
      <c r="O4" s="29"/>
    </row>
    <row r="5" spans="1:15" x14ac:dyDescent="0.3">
      <c r="A5" s="5" t="s">
        <v>10</v>
      </c>
      <c r="B5" s="27"/>
      <c r="C5" s="29"/>
      <c r="D5" s="27"/>
      <c r="E5" s="29"/>
      <c r="F5" s="26"/>
      <c r="G5" s="27"/>
      <c r="H5" s="27"/>
      <c r="I5" s="27"/>
      <c r="J5" s="27"/>
      <c r="K5" s="27"/>
      <c r="L5" s="27"/>
      <c r="M5" s="29"/>
      <c r="N5" s="29"/>
      <c r="O5" s="29"/>
    </row>
    <row r="6" spans="1:15" ht="16.2" x14ac:dyDescent="0.3">
      <c r="A6" s="26" t="s">
        <v>69</v>
      </c>
      <c r="B6" s="31" t="s">
        <v>7</v>
      </c>
      <c r="C6" s="32">
        <v>24</v>
      </c>
      <c r="D6" s="27" t="s">
        <v>14</v>
      </c>
      <c r="E6" s="29"/>
      <c r="F6" s="26"/>
      <c r="G6" s="27"/>
      <c r="H6" s="27"/>
      <c r="I6" s="27"/>
      <c r="J6" s="27"/>
      <c r="K6" s="27"/>
      <c r="L6" s="27"/>
      <c r="M6" s="29"/>
      <c r="N6" s="29"/>
      <c r="O6" s="29"/>
    </row>
    <row r="7" spans="1:15" x14ac:dyDescent="0.3">
      <c r="A7" s="26" t="s">
        <v>0</v>
      </c>
      <c r="B7" s="33" t="s">
        <v>7</v>
      </c>
      <c r="C7" s="28">
        <v>21</v>
      </c>
      <c r="D7" s="27" t="s">
        <v>3</v>
      </c>
      <c r="E7" s="29"/>
      <c r="F7" s="26"/>
      <c r="G7" s="27"/>
      <c r="H7" s="27"/>
      <c r="I7" s="27"/>
      <c r="J7" s="27"/>
      <c r="K7" s="27"/>
      <c r="L7" s="27"/>
      <c r="M7" s="29"/>
      <c r="N7" s="29"/>
      <c r="O7" s="29"/>
    </row>
    <row r="8" spans="1:15" x14ac:dyDescent="0.3">
      <c r="A8" s="26" t="s">
        <v>2</v>
      </c>
      <c r="B8" s="33" t="s">
        <v>7</v>
      </c>
      <c r="C8" s="28">
        <v>276</v>
      </c>
      <c r="D8" s="27" t="s">
        <v>3</v>
      </c>
      <c r="E8" s="29"/>
      <c r="F8" s="26"/>
      <c r="G8" s="27"/>
      <c r="H8" s="27"/>
      <c r="I8" s="27"/>
      <c r="J8" s="27"/>
      <c r="K8" s="27"/>
      <c r="L8" s="27"/>
      <c r="M8" s="29"/>
      <c r="N8" s="29"/>
      <c r="O8" s="29"/>
    </row>
    <row r="9" spans="1:15" x14ac:dyDescent="0.3">
      <c r="A9" s="26"/>
      <c r="B9" s="29"/>
      <c r="C9" s="29"/>
      <c r="D9" s="27"/>
      <c r="E9" s="29"/>
      <c r="F9" s="26"/>
      <c r="G9" s="27"/>
      <c r="H9" s="27"/>
      <c r="I9" s="27"/>
      <c r="J9" s="27"/>
      <c r="K9" s="27"/>
      <c r="L9" s="27"/>
      <c r="M9" s="29"/>
      <c r="N9" s="29"/>
      <c r="O9" s="29"/>
    </row>
    <row r="10" spans="1:15" x14ac:dyDescent="0.3">
      <c r="A10" s="5" t="s">
        <v>11</v>
      </c>
      <c r="B10" s="27"/>
      <c r="C10" s="29"/>
      <c r="D10" s="27"/>
      <c r="E10" s="29"/>
      <c r="F10" s="26"/>
      <c r="G10" s="27"/>
      <c r="H10" s="27"/>
      <c r="I10" s="27"/>
      <c r="J10" s="27"/>
      <c r="K10" s="27"/>
      <c r="L10" s="27"/>
      <c r="M10" s="29"/>
      <c r="N10" s="29"/>
      <c r="O10" s="29"/>
    </row>
    <row r="11" spans="1:15" x14ac:dyDescent="0.3">
      <c r="A11" s="26" t="s">
        <v>8</v>
      </c>
      <c r="B11" s="33" t="s">
        <v>7</v>
      </c>
      <c r="C11" s="28">
        <v>40</v>
      </c>
      <c r="D11" s="27" t="s">
        <v>1</v>
      </c>
      <c r="E11" s="29"/>
      <c r="F11" s="26"/>
      <c r="G11" s="27"/>
      <c r="H11" s="27"/>
      <c r="I11" s="27"/>
      <c r="J11" s="27"/>
      <c r="K11" s="27"/>
      <c r="L11" s="27"/>
      <c r="M11" s="29"/>
      <c r="N11" s="29"/>
      <c r="O11" s="29"/>
    </row>
    <row r="12" spans="1:15" x14ac:dyDescent="0.3">
      <c r="A12" s="26" t="s">
        <v>76</v>
      </c>
      <c r="B12" s="33" t="s">
        <v>7</v>
      </c>
      <c r="C12" s="34">
        <v>20</v>
      </c>
      <c r="D12" s="27" t="s">
        <v>1</v>
      </c>
      <c r="E12" s="29"/>
      <c r="F12" s="26"/>
      <c r="G12" s="27"/>
      <c r="H12" s="27"/>
      <c r="I12" s="27"/>
      <c r="J12" s="27"/>
      <c r="K12" s="27"/>
      <c r="L12" s="27"/>
      <c r="M12" s="29"/>
      <c r="N12" s="29"/>
      <c r="O12" s="29"/>
    </row>
    <row r="13" spans="1:15" x14ac:dyDescent="0.3">
      <c r="A13" s="26" t="s">
        <v>77</v>
      </c>
      <c r="B13" s="33" t="s">
        <v>7</v>
      </c>
      <c r="C13" s="34">
        <v>20</v>
      </c>
      <c r="D13" s="27" t="s">
        <v>1</v>
      </c>
      <c r="E13" s="29"/>
      <c r="F13" s="26"/>
      <c r="G13" s="27"/>
      <c r="H13" s="27"/>
      <c r="I13" s="27"/>
      <c r="J13" s="27"/>
      <c r="K13" s="27"/>
      <c r="L13" s="27"/>
      <c r="M13" s="29"/>
      <c r="N13" s="29"/>
      <c r="O13" s="29"/>
    </row>
    <row r="14" spans="1:15" x14ac:dyDescent="0.3">
      <c r="A14" s="26" t="s">
        <v>78</v>
      </c>
      <c r="B14" s="33" t="s">
        <v>7</v>
      </c>
      <c r="C14" s="28">
        <v>10</v>
      </c>
      <c r="D14" s="27" t="s">
        <v>1</v>
      </c>
      <c r="E14" s="29"/>
      <c r="F14" s="26"/>
      <c r="G14" s="27"/>
      <c r="H14" s="27"/>
      <c r="I14" s="27"/>
      <c r="J14" s="27"/>
      <c r="K14" s="27"/>
      <c r="L14" s="27"/>
      <c r="M14" s="29"/>
      <c r="N14" s="29"/>
      <c r="O14" s="29"/>
    </row>
    <row r="15" spans="1:15" x14ac:dyDescent="0.3">
      <c r="A15" s="26"/>
      <c r="B15" s="27"/>
      <c r="C15" s="29"/>
      <c r="D15" s="27"/>
      <c r="E15" s="29"/>
      <c r="F15" s="26"/>
      <c r="G15" s="27"/>
      <c r="H15" s="27"/>
      <c r="I15" s="27"/>
      <c r="J15" s="27"/>
      <c r="K15" s="27"/>
      <c r="L15" s="27"/>
      <c r="M15" s="29"/>
      <c r="N15" s="29"/>
      <c r="O15" s="29"/>
    </row>
    <row r="16" spans="1:15" x14ac:dyDescent="0.3">
      <c r="A16" s="5" t="s">
        <v>79</v>
      </c>
      <c r="B16" s="27"/>
      <c r="C16" s="29"/>
      <c r="D16" s="27"/>
      <c r="E16" s="29"/>
      <c r="F16" s="26"/>
      <c r="G16" s="27"/>
      <c r="H16" s="27"/>
      <c r="I16" s="27"/>
      <c r="J16" s="27"/>
      <c r="K16" s="27"/>
      <c r="L16" s="27"/>
      <c r="M16" s="29"/>
      <c r="N16" s="29"/>
      <c r="O16" s="29"/>
    </row>
    <row r="17" spans="1:15" x14ac:dyDescent="0.3">
      <c r="A17" s="26" t="s">
        <v>9</v>
      </c>
      <c r="B17" s="26"/>
      <c r="C17" s="29"/>
      <c r="D17" s="27"/>
      <c r="E17" s="29"/>
      <c r="F17" s="26"/>
      <c r="G17" s="27"/>
      <c r="H17" s="27"/>
      <c r="I17" s="27"/>
      <c r="J17" s="27"/>
      <c r="K17" s="27"/>
      <c r="L17" s="27"/>
      <c r="M17" s="29"/>
      <c r="N17" s="29"/>
      <c r="O17" s="29"/>
    </row>
    <row r="18" spans="1:15" x14ac:dyDescent="0.3">
      <c r="A18" s="35" t="s">
        <v>80</v>
      </c>
      <c r="B18" s="33" t="s">
        <v>7</v>
      </c>
      <c r="C18" s="28">
        <v>17.71</v>
      </c>
      <c r="D18" s="27" t="s">
        <v>81</v>
      </c>
      <c r="E18" s="29"/>
      <c r="F18" s="26"/>
      <c r="G18" s="27"/>
      <c r="H18" s="27"/>
      <c r="I18" s="27"/>
      <c r="J18" s="27"/>
      <c r="K18" s="27"/>
      <c r="L18" s="27"/>
      <c r="M18" s="29"/>
      <c r="N18" s="29"/>
      <c r="O18" s="29"/>
    </row>
    <row r="19" spans="1:15" x14ac:dyDescent="0.3">
      <c r="A19" s="35" t="s">
        <v>82</v>
      </c>
      <c r="B19" s="33" t="s">
        <v>7</v>
      </c>
      <c r="C19" s="28">
        <v>-26.88</v>
      </c>
      <c r="D19" s="27" t="s">
        <v>81</v>
      </c>
      <c r="E19" s="29"/>
      <c r="F19" s="26"/>
      <c r="G19" s="27"/>
      <c r="H19" s="27"/>
      <c r="I19" s="27"/>
      <c r="J19" s="27"/>
      <c r="K19" s="27"/>
      <c r="L19" s="27"/>
      <c r="M19" s="26"/>
      <c r="N19" s="26"/>
      <c r="O19" s="26"/>
    </row>
    <row r="20" spans="1:15" x14ac:dyDescent="0.3">
      <c r="A20" s="26" t="s">
        <v>15</v>
      </c>
      <c r="B20" s="26"/>
      <c r="C20" s="29"/>
      <c r="D20" s="27"/>
      <c r="E20" s="29"/>
      <c r="F20" s="26"/>
      <c r="G20" s="27"/>
      <c r="H20" s="27"/>
      <c r="I20" s="27"/>
      <c r="J20" s="27"/>
      <c r="K20" s="27"/>
      <c r="L20" s="27"/>
      <c r="M20" s="26"/>
      <c r="N20" s="26"/>
      <c r="O20" s="26"/>
    </row>
    <row r="21" spans="1:15" x14ac:dyDescent="0.3">
      <c r="A21" s="35" t="s">
        <v>80</v>
      </c>
      <c r="B21" s="33" t="s">
        <v>7</v>
      </c>
      <c r="C21" s="28">
        <v>6.8819999999999997</v>
      </c>
      <c r="D21" s="27" t="s">
        <v>81</v>
      </c>
      <c r="E21" s="29"/>
      <c r="F21" s="26"/>
      <c r="G21" s="27"/>
      <c r="H21" s="27"/>
      <c r="I21" s="27"/>
      <c r="J21" s="27"/>
      <c r="K21" s="27"/>
      <c r="L21" s="27"/>
      <c r="M21" s="26"/>
      <c r="N21" s="26"/>
      <c r="O21" s="26"/>
    </row>
    <row r="22" spans="1:15" x14ac:dyDescent="0.3">
      <c r="A22" s="35" t="s">
        <v>82</v>
      </c>
      <c r="B22" s="33" t="s">
        <v>7</v>
      </c>
      <c r="C22" s="28">
        <v>-8.6340000000000003</v>
      </c>
      <c r="D22" s="27" t="s">
        <v>81</v>
      </c>
      <c r="E22" s="29"/>
      <c r="F22" s="26"/>
      <c r="G22" s="27"/>
      <c r="H22" s="27"/>
      <c r="I22" s="27"/>
      <c r="J22" s="27"/>
      <c r="K22" s="27"/>
      <c r="L22" s="27"/>
      <c r="M22" s="26"/>
      <c r="N22" s="26"/>
      <c r="O22" s="26"/>
    </row>
    <row r="23" spans="1:15" x14ac:dyDescent="0.3">
      <c r="A23" s="26" t="s">
        <v>83</v>
      </c>
      <c r="B23" s="26"/>
      <c r="C23" s="29"/>
      <c r="D23" s="27"/>
      <c r="E23" s="29"/>
      <c r="F23" s="26"/>
      <c r="G23" s="27"/>
      <c r="H23" s="27"/>
      <c r="I23" s="27"/>
      <c r="J23" s="27"/>
      <c r="K23" s="27"/>
      <c r="L23" s="27"/>
      <c r="M23" s="26"/>
      <c r="N23" s="26"/>
      <c r="O23" s="26"/>
    </row>
    <row r="24" spans="1:15" x14ac:dyDescent="0.3">
      <c r="A24" s="35" t="s">
        <v>80</v>
      </c>
      <c r="B24" s="33" t="s">
        <v>7</v>
      </c>
      <c r="C24" s="28">
        <v>0</v>
      </c>
      <c r="D24" s="27" t="s">
        <v>81</v>
      </c>
      <c r="E24" s="29"/>
      <c r="F24" s="26"/>
      <c r="G24" s="27"/>
      <c r="H24" s="27"/>
      <c r="I24" s="27"/>
      <c r="J24" s="27"/>
      <c r="K24" s="27"/>
      <c r="L24" s="27"/>
      <c r="M24" s="26"/>
      <c r="N24" s="26"/>
      <c r="O24" s="26"/>
    </row>
    <row r="25" spans="1:15" x14ac:dyDescent="0.3">
      <c r="A25" s="35" t="s">
        <v>82</v>
      </c>
      <c r="B25" s="33" t="s">
        <v>7</v>
      </c>
      <c r="C25" s="28">
        <v>-21.81</v>
      </c>
      <c r="D25" s="27" t="s">
        <v>81</v>
      </c>
      <c r="E25" s="29"/>
      <c r="F25" s="26"/>
      <c r="G25" s="27"/>
      <c r="H25" s="27"/>
      <c r="I25" s="27"/>
      <c r="J25" s="27"/>
      <c r="K25" s="27"/>
      <c r="L25" s="27"/>
      <c r="M25" s="26"/>
      <c r="N25" s="26"/>
      <c r="O25" s="26"/>
    </row>
    <row r="26" spans="1:15" x14ac:dyDescent="0.3">
      <c r="A26" s="26"/>
      <c r="B26" s="29"/>
      <c r="C26" s="29"/>
      <c r="D26" s="27"/>
      <c r="E26" s="29"/>
      <c r="F26" s="26"/>
      <c r="G26" s="27"/>
      <c r="H26" s="27"/>
      <c r="I26" s="27"/>
      <c r="J26" s="27"/>
      <c r="K26" s="27"/>
      <c r="L26" s="27"/>
      <c r="M26" s="26"/>
      <c r="N26" s="26"/>
      <c r="O26" s="26"/>
    </row>
    <row r="27" spans="1:15" x14ac:dyDescent="0.3">
      <c r="A27" s="5" t="s">
        <v>84</v>
      </c>
      <c r="B27" s="27"/>
      <c r="C27" s="29"/>
      <c r="D27" s="27"/>
      <c r="E27" s="29"/>
      <c r="F27" s="26"/>
      <c r="G27" s="27"/>
      <c r="H27" s="27"/>
      <c r="I27" s="27"/>
      <c r="J27" s="27"/>
      <c r="K27" s="27"/>
      <c r="L27" s="27"/>
      <c r="M27" s="26"/>
      <c r="N27" s="26"/>
      <c r="O27" s="26"/>
    </row>
    <row r="28" spans="1:15" x14ac:dyDescent="0.3">
      <c r="A28" s="26" t="s">
        <v>19</v>
      </c>
      <c r="B28" s="27"/>
      <c r="C28" s="33" t="s">
        <v>85</v>
      </c>
      <c r="D28" s="31" t="s">
        <v>86</v>
      </c>
      <c r="E28" s="29"/>
      <c r="F28" s="26"/>
      <c r="G28" s="27"/>
      <c r="H28" s="27"/>
      <c r="I28" s="27"/>
      <c r="J28" s="27"/>
      <c r="K28" s="27"/>
      <c r="L28" s="27"/>
      <c r="M28" s="26"/>
      <c r="N28" s="26"/>
      <c r="O28" s="26"/>
    </row>
    <row r="29" spans="1:15" x14ac:dyDescent="0.3">
      <c r="A29" s="36" t="s">
        <v>138</v>
      </c>
      <c r="B29" s="27"/>
      <c r="C29" s="29">
        <f>1.4*C18</f>
        <v>24.794</v>
      </c>
      <c r="D29" s="27">
        <f>1.4*C19</f>
        <v>-37.631999999999998</v>
      </c>
      <c r="E29" s="37" t="s">
        <v>87</v>
      </c>
      <c r="F29" s="26"/>
      <c r="G29" s="27"/>
      <c r="H29" s="27"/>
      <c r="I29" s="27"/>
      <c r="J29" s="27"/>
      <c r="K29" s="27"/>
      <c r="L29" s="27"/>
      <c r="M29" s="26"/>
      <c r="N29" s="26"/>
      <c r="O29" s="26"/>
    </row>
    <row r="30" spans="1:15" x14ac:dyDescent="0.3">
      <c r="A30" s="36" t="s">
        <v>139</v>
      </c>
      <c r="B30" s="27"/>
      <c r="C30" s="29">
        <f>(1.2*C18)+(1.6*C21)</f>
        <v>32.263199999999998</v>
      </c>
      <c r="D30" s="27">
        <f>(1.2*C19)+(1.6*C22)</f>
        <v>-46.070399999999999</v>
      </c>
      <c r="E30" s="37" t="s">
        <v>88</v>
      </c>
      <c r="F30" s="26"/>
      <c r="G30" s="27"/>
      <c r="H30" s="27"/>
      <c r="I30" s="27"/>
      <c r="J30" s="27"/>
      <c r="K30" s="27"/>
      <c r="L30" s="27"/>
      <c r="M30" s="26"/>
      <c r="N30" s="26"/>
      <c r="O30" s="26"/>
    </row>
    <row r="31" spans="1:15" x14ac:dyDescent="0.3">
      <c r="A31" s="36" t="s">
        <v>140</v>
      </c>
      <c r="B31" s="27"/>
      <c r="C31" s="29">
        <f>(1.2*C18)+(1*C21)+(1*C24)</f>
        <v>28.134</v>
      </c>
      <c r="D31" s="27">
        <f>(1.2*C19)+(1*C22)+(1*C25)</f>
        <v>-62.7</v>
      </c>
      <c r="E31" s="37" t="s">
        <v>89</v>
      </c>
      <c r="F31" s="26"/>
      <c r="G31" s="27"/>
      <c r="H31" s="27"/>
      <c r="I31" s="27"/>
      <c r="J31" s="27"/>
      <c r="K31" s="27"/>
      <c r="L31" s="27"/>
      <c r="M31" s="26"/>
      <c r="N31" s="26"/>
      <c r="O31" s="26"/>
    </row>
    <row r="32" spans="1:15" x14ac:dyDescent="0.3">
      <c r="A32" s="36" t="s">
        <v>141</v>
      </c>
      <c r="B32" s="27"/>
      <c r="C32" s="29">
        <f>(0.9*C18)+C24</f>
        <v>15.939000000000002</v>
      </c>
      <c r="D32" s="27">
        <f>(0.9*C19)+C25</f>
        <v>-46.001999999999995</v>
      </c>
      <c r="E32" s="37" t="s">
        <v>90</v>
      </c>
      <c r="F32" s="26"/>
      <c r="G32" s="27"/>
      <c r="H32" s="27"/>
      <c r="I32" s="27"/>
      <c r="J32" s="27"/>
      <c r="K32" s="27"/>
      <c r="L32" s="27"/>
      <c r="M32" s="26"/>
      <c r="N32" s="26"/>
      <c r="O32" s="26"/>
    </row>
    <row r="33" spans="1:15" x14ac:dyDescent="0.3">
      <c r="A33" s="26" t="s">
        <v>91</v>
      </c>
      <c r="B33" s="27"/>
      <c r="C33" s="29"/>
      <c r="D33" s="27"/>
      <c r="E33" s="37"/>
      <c r="F33" s="26"/>
      <c r="G33" s="27"/>
      <c r="H33" s="27"/>
      <c r="I33" s="27"/>
      <c r="J33" s="27"/>
      <c r="K33" s="27"/>
      <c r="L33" s="27"/>
      <c r="M33" s="26"/>
      <c r="N33" s="26"/>
      <c r="O33" s="26"/>
    </row>
    <row r="34" spans="1:15" x14ac:dyDescent="0.3">
      <c r="A34" s="36" t="str" cm="1">
        <f t="array" ref="A34">_xlfn.XLOOKUP(C36,ABS(D29:D32),A29:A32)</f>
        <v>Mu = 1.2D+1L+1E</v>
      </c>
      <c r="B34" s="26"/>
      <c r="C34" s="29"/>
      <c r="D34" s="27"/>
      <c r="E34" s="29"/>
      <c r="F34" s="26"/>
      <c r="G34" s="27"/>
      <c r="H34" s="27"/>
      <c r="I34" s="27"/>
      <c r="J34" s="27"/>
      <c r="K34" s="27"/>
      <c r="L34" s="27"/>
      <c r="M34" s="26"/>
      <c r="N34" s="26"/>
      <c r="O34" s="26"/>
    </row>
    <row r="35" spans="1:15" x14ac:dyDescent="0.3">
      <c r="A35" s="38" t="s">
        <v>92</v>
      </c>
      <c r="B35" s="33" t="s">
        <v>7</v>
      </c>
      <c r="C35" s="29">
        <f>MAX(C29:C32)</f>
        <v>32.263199999999998</v>
      </c>
      <c r="D35" s="27" t="s">
        <v>81</v>
      </c>
      <c r="E35" s="29"/>
      <c r="F35" s="26"/>
      <c r="G35" s="27"/>
      <c r="H35" s="27"/>
      <c r="I35" s="27"/>
      <c r="J35" s="27"/>
      <c r="K35" s="27"/>
      <c r="L35" s="27"/>
      <c r="M35" s="26"/>
      <c r="N35" s="26"/>
      <c r="O35" s="26"/>
    </row>
    <row r="36" spans="1:15" x14ac:dyDescent="0.3">
      <c r="A36" s="38" t="s">
        <v>93</v>
      </c>
      <c r="B36" s="33" t="s">
        <v>7</v>
      </c>
      <c r="C36" s="29" cm="1">
        <f t="array" ref="C36">MAX(ABS(D30:D32))</f>
        <v>62.7</v>
      </c>
      <c r="D36" s="27" t="s">
        <v>81</v>
      </c>
      <c r="E36" s="29"/>
      <c r="F36" s="26"/>
      <c r="G36" s="27"/>
      <c r="H36" s="27"/>
      <c r="I36" s="27"/>
      <c r="J36" s="27"/>
      <c r="K36" s="27"/>
      <c r="L36" s="27"/>
      <c r="M36" s="27"/>
      <c r="N36" s="27"/>
      <c r="O36" s="27"/>
    </row>
    <row r="37" spans="1:15" x14ac:dyDescent="0.3">
      <c r="A37" s="26"/>
      <c r="B37" s="27"/>
      <c r="C37" s="29"/>
      <c r="D37" s="27"/>
      <c r="E37" s="29"/>
      <c r="F37" s="26"/>
      <c r="G37" s="27"/>
      <c r="H37" s="27"/>
      <c r="I37" s="27"/>
      <c r="J37" s="27"/>
      <c r="K37" s="27"/>
      <c r="L37" s="27"/>
      <c r="M37" s="27"/>
      <c r="N37" s="27"/>
      <c r="O37" s="27"/>
    </row>
    <row r="38" spans="1:15" x14ac:dyDescent="0.3">
      <c r="A38" s="5" t="s">
        <v>94</v>
      </c>
      <c r="B38" s="27"/>
      <c r="C38" s="29"/>
      <c r="D38" s="27"/>
      <c r="E38" s="29"/>
      <c r="F38" s="26"/>
      <c r="G38" s="27"/>
      <c r="H38" s="27"/>
      <c r="I38" s="27"/>
      <c r="J38" s="27"/>
      <c r="K38" s="27"/>
      <c r="L38" s="27"/>
      <c r="M38" s="27"/>
      <c r="N38" s="27"/>
      <c r="O38" s="27"/>
    </row>
    <row r="39" spans="1:15" x14ac:dyDescent="0.3">
      <c r="A39" s="26" t="s">
        <v>16</v>
      </c>
      <c r="B39" s="39" t="s">
        <v>7</v>
      </c>
      <c r="C39" s="29">
        <f>IF(C7&lt;28, 0.85, 0.85-((0.05/7)*(C7-28)))</f>
        <v>0.85</v>
      </c>
      <c r="D39" s="27"/>
      <c r="E39" s="29"/>
      <c r="F39" s="26"/>
      <c r="G39" s="27"/>
      <c r="H39" s="27"/>
      <c r="I39" s="27"/>
      <c r="J39" s="27"/>
      <c r="K39" s="27"/>
      <c r="L39" s="27"/>
      <c r="M39" s="27"/>
      <c r="N39" s="27"/>
      <c r="O39" s="27"/>
    </row>
    <row r="40" spans="1:15" x14ac:dyDescent="0.3">
      <c r="A40" s="26" t="s">
        <v>17</v>
      </c>
      <c r="B40" s="39" t="s">
        <v>7</v>
      </c>
      <c r="C40" s="40">
        <f>1.4/C8</f>
        <v>5.0724637681159417E-3</v>
      </c>
      <c r="D40" s="27"/>
      <c r="E40" s="29"/>
      <c r="F40" s="26"/>
      <c r="G40" s="27"/>
      <c r="H40" s="27"/>
      <c r="I40" s="27"/>
      <c r="J40" s="27"/>
      <c r="K40" s="27"/>
      <c r="L40" s="27"/>
      <c r="M40" s="27"/>
      <c r="N40" s="27"/>
      <c r="O40" s="27"/>
    </row>
    <row r="41" spans="1:15" x14ac:dyDescent="0.3">
      <c r="A41" s="26" t="s">
        <v>95</v>
      </c>
      <c r="B41" s="39" t="s">
        <v>7</v>
      </c>
      <c r="C41" s="40">
        <f>0.85*C7*C39*(3/7)/C8</f>
        <v>2.3559782608695647E-2</v>
      </c>
      <c r="D41" s="27"/>
      <c r="E41" s="29"/>
      <c r="F41" s="26"/>
      <c r="G41" s="27"/>
      <c r="H41" s="27"/>
      <c r="I41" s="27"/>
      <c r="J41" s="27"/>
      <c r="K41" s="27"/>
      <c r="L41" s="27"/>
      <c r="M41" s="27"/>
      <c r="N41" s="27"/>
      <c r="O41" s="27"/>
    </row>
    <row r="42" spans="1:15" x14ac:dyDescent="0.3">
      <c r="A42" s="26" t="s">
        <v>96</v>
      </c>
      <c r="B42" s="39" t="s">
        <v>7</v>
      </c>
      <c r="C42" s="40">
        <f>0.6*C41</f>
        <v>1.4135869565217387E-2</v>
      </c>
      <c r="D42" s="27"/>
      <c r="E42" s="29"/>
      <c r="F42" s="26"/>
      <c r="G42" s="27"/>
      <c r="H42" s="27"/>
      <c r="I42" s="27"/>
      <c r="J42" s="27"/>
      <c r="K42" s="27"/>
      <c r="L42" s="27"/>
      <c r="M42" s="27"/>
      <c r="N42" s="27"/>
      <c r="O42" s="27"/>
    </row>
    <row r="43" spans="1:15" x14ac:dyDescent="0.3">
      <c r="A43" s="26" t="s">
        <v>97</v>
      </c>
      <c r="B43" s="31" t="s">
        <v>7</v>
      </c>
      <c r="C43" s="28">
        <v>1.5</v>
      </c>
      <c r="D43" s="27"/>
      <c r="E43" s="29"/>
      <c r="F43" s="26"/>
      <c r="G43" s="27"/>
      <c r="H43" s="27"/>
      <c r="I43" s="27"/>
      <c r="J43" s="27"/>
      <c r="K43" s="27"/>
      <c r="L43" s="27"/>
      <c r="M43" s="27"/>
      <c r="N43" s="27"/>
      <c r="O43" s="27"/>
    </row>
    <row r="44" spans="1:15" x14ac:dyDescent="0.3">
      <c r="A44" s="26" t="s">
        <v>98</v>
      </c>
      <c r="B44" s="39" t="s">
        <v>7</v>
      </c>
      <c r="C44" s="41">
        <f>(C42*C8)*(1-(0.59*C42*(C8/C7)))</f>
        <v>3.4738426510714278</v>
      </c>
      <c r="D44" s="27"/>
      <c r="E44" s="29"/>
      <c r="F44" s="26"/>
      <c r="G44" s="27"/>
      <c r="H44" s="27"/>
      <c r="I44" s="27"/>
      <c r="J44" s="27"/>
      <c r="K44" s="27"/>
      <c r="L44" s="27"/>
      <c r="M44" s="27"/>
      <c r="N44" s="27"/>
      <c r="O44" s="27"/>
    </row>
    <row r="45" spans="1:15" x14ac:dyDescent="0.3">
      <c r="A45" s="26"/>
      <c r="B45" s="39"/>
      <c r="C45" s="29"/>
      <c r="D45" s="27"/>
      <c r="E45" s="29"/>
      <c r="F45" s="26"/>
      <c r="G45" s="27"/>
      <c r="H45" s="27"/>
      <c r="I45" s="27"/>
      <c r="J45" s="27"/>
      <c r="K45" s="27"/>
      <c r="L45" s="27"/>
      <c r="M45" s="27"/>
      <c r="N45" s="27"/>
      <c r="O45" s="27"/>
    </row>
    <row r="46" spans="1:15" x14ac:dyDescent="0.3">
      <c r="A46" s="7" t="s">
        <v>99</v>
      </c>
      <c r="B46" s="39"/>
      <c r="C46" s="29"/>
      <c r="D46" s="27"/>
      <c r="E46" s="29"/>
      <c r="F46" s="26"/>
      <c r="G46" s="27"/>
      <c r="H46" s="27"/>
      <c r="I46" s="27"/>
      <c r="J46" s="27"/>
      <c r="K46" s="27"/>
      <c r="L46" s="27"/>
      <c r="M46" s="27"/>
      <c r="N46" s="27"/>
      <c r="O46" s="27"/>
    </row>
    <row r="47" spans="1:15" x14ac:dyDescent="0.3">
      <c r="A47" s="35" t="s">
        <v>100</v>
      </c>
      <c r="B47" s="39" t="s">
        <v>7</v>
      </c>
      <c r="C47" s="42">
        <f>(((C36*10^6)/(0.9*C44*(C43^2))))^(1/3)</f>
        <v>207.33730859690925</v>
      </c>
      <c r="D47" s="27" t="s">
        <v>1</v>
      </c>
      <c r="E47" s="29" t="s">
        <v>101</v>
      </c>
      <c r="F47" s="26">
        <f>IF(C47&gt;=250,ROUNDUP(C47/10, 0) * 10,250)</f>
        <v>250</v>
      </c>
      <c r="G47" s="27" t="s">
        <v>1</v>
      </c>
      <c r="H47" s="27"/>
      <c r="I47" s="27"/>
      <c r="J47" s="27"/>
      <c r="K47" s="27"/>
      <c r="L47" s="27"/>
      <c r="M47" s="27"/>
      <c r="N47" s="27"/>
      <c r="O47" s="27"/>
    </row>
    <row r="48" spans="1:15" x14ac:dyDescent="0.3">
      <c r="A48" s="35" t="s">
        <v>102</v>
      </c>
      <c r="B48" s="39" t="s">
        <v>7</v>
      </c>
      <c r="C48" s="29">
        <f>C43*F47</f>
        <v>375</v>
      </c>
      <c r="D48" s="27" t="s">
        <v>1</v>
      </c>
      <c r="E48" s="29"/>
      <c r="F48" s="26"/>
      <c r="G48" s="27"/>
      <c r="H48" s="27"/>
      <c r="I48" s="27"/>
      <c r="J48" s="27"/>
      <c r="K48" s="27"/>
      <c r="L48" s="27"/>
      <c r="M48" s="27"/>
      <c r="N48" s="27"/>
      <c r="O48" s="27"/>
    </row>
    <row r="49" spans="1:15" x14ac:dyDescent="0.3">
      <c r="A49" s="35" t="s">
        <v>103</v>
      </c>
      <c r="B49" s="39" t="s">
        <v>7</v>
      </c>
      <c r="C49" s="28">
        <v>0</v>
      </c>
      <c r="D49" s="27" t="s">
        <v>1</v>
      </c>
      <c r="E49" s="29"/>
      <c r="F49" s="26"/>
      <c r="G49" s="27"/>
      <c r="H49" s="27"/>
      <c r="I49" s="27"/>
      <c r="J49" s="27"/>
      <c r="K49" s="27"/>
      <c r="L49" s="27"/>
      <c r="M49" s="27"/>
      <c r="N49" s="27"/>
      <c r="O49" s="27"/>
    </row>
    <row r="50" spans="1:15" x14ac:dyDescent="0.3">
      <c r="A50" s="35" t="s">
        <v>104</v>
      </c>
      <c r="B50" s="39" t="s">
        <v>7</v>
      </c>
      <c r="C50" s="28">
        <f>C48+C49</f>
        <v>375</v>
      </c>
      <c r="D50" s="27" t="s">
        <v>1</v>
      </c>
      <c r="E50" s="29"/>
      <c r="F50" s="26"/>
      <c r="G50" s="27"/>
      <c r="H50" s="27"/>
      <c r="I50" s="26"/>
      <c r="J50" s="39"/>
      <c r="K50" s="27"/>
      <c r="L50" s="27"/>
      <c r="M50" s="27"/>
      <c r="N50" s="27"/>
      <c r="O50" s="27"/>
    </row>
    <row r="51" spans="1:15" x14ac:dyDescent="0.3">
      <c r="A51" s="35" t="s">
        <v>105</v>
      </c>
      <c r="B51" s="39" t="s">
        <v>7</v>
      </c>
      <c r="C51" s="29">
        <f>C50+C11+C14+(0.5*C12)</f>
        <v>435</v>
      </c>
      <c r="D51" s="27" t="s">
        <v>1</v>
      </c>
      <c r="E51" s="29" t="s">
        <v>106</v>
      </c>
      <c r="F51" s="26">
        <f>IF(C51&gt;=250,ROUNDUP(C51/10, 0) * 10,250)</f>
        <v>440</v>
      </c>
      <c r="G51" s="27" t="s">
        <v>1</v>
      </c>
      <c r="H51" s="27"/>
      <c r="I51" s="27"/>
      <c r="J51" s="27"/>
      <c r="K51" s="27"/>
      <c r="L51" s="27"/>
      <c r="M51" s="27"/>
      <c r="N51" s="27"/>
      <c r="O51" s="27"/>
    </row>
    <row r="52" spans="1:15" x14ac:dyDescent="0.3">
      <c r="A52" s="35" t="s">
        <v>107</v>
      </c>
      <c r="B52" s="39" t="s">
        <v>7</v>
      </c>
      <c r="C52" s="41">
        <f>F47/F51</f>
        <v>0.56818181818181823</v>
      </c>
      <c r="D52" s="27"/>
      <c r="E52" s="26" t="s">
        <v>108</v>
      </c>
      <c r="F52" s="26"/>
      <c r="G52" s="27"/>
      <c r="H52" s="27"/>
      <c r="I52" s="27"/>
      <c r="J52" s="27"/>
      <c r="K52" s="27"/>
      <c r="L52" s="27"/>
      <c r="M52" s="27"/>
      <c r="N52" s="27"/>
      <c r="O52" s="27"/>
    </row>
    <row r="53" spans="1:15" x14ac:dyDescent="0.3">
      <c r="A53" s="26"/>
      <c r="B53" s="39"/>
      <c r="C53" s="41"/>
      <c r="D53" s="27"/>
      <c r="E53" s="29"/>
      <c r="F53" s="26"/>
      <c r="G53" s="27"/>
      <c r="H53" s="27"/>
      <c r="I53" s="27"/>
      <c r="J53" s="27"/>
      <c r="K53" s="27"/>
      <c r="L53" s="27"/>
      <c r="M53" s="27"/>
      <c r="N53" s="27"/>
      <c r="O53" s="27"/>
    </row>
    <row r="54" spans="1:15" x14ac:dyDescent="0.3">
      <c r="A54" s="7" t="s">
        <v>109</v>
      </c>
      <c r="B54" s="27"/>
      <c r="C54" s="29"/>
      <c r="D54" s="27"/>
      <c r="E54" s="29"/>
      <c r="F54" s="26"/>
      <c r="G54" s="27"/>
      <c r="H54" s="27"/>
      <c r="I54" s="27"/>
      <c r="J54" s="27"/>
      <c r="K54" s="27"/>
      <c r="L54" s="27"/>
      <c r="M54" s="27"/>
      <c r="N54" s="27"/>
      <c r="O54" s="27"/>
    </row>
    <row r="55" spans="1:15" x14ac:dyDescent="0.3">
      <c r="A55" s="36" t="s">
        <v>110</v>
      </c>
      <c r="B55" s="27"/>
      <c r="C55" s="29"/>
      <c r="D55" s="27"/>
      <c r="E55" s="29"/>
      <c r="F55" s="26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3">
      <c r="A56" s="35" t="s">
        <v>111</v>
      </c>
      <c r="B56" s="39" t="s">
        <v>7</v>
      </c>
      <c r="C56" s="42">
        <f>C42*F47*C48</f>
        <v>1325.23777173913</v>
      </c>
      <c r="D56" s="27" t="s">
        <v>6</v>
      </c>
      <c r="E56" s="29"/>
      <c r="F56" s="26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3">
      <c r="A57" s="35" t="s">
        <v>112</v>
      </c>
      <c r="B57" s="39" t="s">
        <v>7</v>
      </c>
      <c r="C57" s="42">
        <f>(((4*C56)/(PI()*(C12^2))))</f>
        <v>4.2183628428874282</v>
      </c>
      <c r="D57" s="27" t="s">
        <v>113</v>
      </c>
      <c r="E57" s="29" t="s">
        <v>114</v>
      </c>
      <c r="F57" s="26">
        <f>IF(C57&gt;2,ROUNDUP(C57,0),2)</f>
        <v>5</v>
      </c>
      <c r="G57" s="27" t="s">
        <v>113</v>
      </c>
      <c r="H57" s="27"/>
      <c r="I57" s="27"/>
      <c r="J57" s="27"/>
      <c r="K57" s="27"/>
      <c r="L57" s="27"/>
      <c r="M57" s="27"/>
      <c r="N57" s="27"/>
      <c r="O57" s="27"/>
    </row>
    <row r="58" spans="1:15" x14ac:dyDescent="0.3">
      <c r="A58" s="36" t="s">
        <v>115</v>
      </c>
      <c r="B58" s="39"/>
      <c r="C58" s="29"/>
      <c r="D58" s="27"/>
      <c r="E58" s="29"/>
      <c r="F58" s="26"/>
      <c r="G58" s="27"/>
      <c r="H58" s="27"/>
      <c r="I58" s="27"/>
      <c r="J58" s="27"/>
      <c r="K58" s="27"/>
      <c r="L58" s="27"/>
      <c r="M58" s="27"/>
      <c r="N58" s="27"/>
      <c r="O58" s="27"/>
    </row>
    <row r="59" spans="1:15" x14ac:dyDescent="0.3">
      <c r="A59" s="35" t="s">
        <v>116</v>
      </c>
      <c r="B59" s="39" t="s">
        <v>7</v>
      </c>
      <c r="C59" s="42">
        <f>C57/2</f>
        <v>2.1091814214437141</v>
      </c>
      <c r="D59" s="27" t="s">
        <v>113</v>
      </c>
      <c r="E59" s="29" t="s">
        <v>114</v>
      </c>
      <c r="F59" s="26">
        <f>IF(C59&gt;2,ROUNDUP(C59,0),2)</f>
        <v>3</v>
      </c>
      <c r="G59" s="27" t="s">
        <v>113</v>
      </c>
      <c r="H59" s="27"/>
      <c r="I59" s="27"/>
      <c r="J59" s="27"/>
      <c r="K59" s="27"/>
      <c r="L59" s="27"/>
      <c r="M59" s="27"/>
      <c r="N59" s="27"/>
      <c r="O59" s="27"/>
    </row>
    <row r="60" spans="1:15" x14ac:dyDescent="0.3">
      <c r="A60" s="26"/>
      <c r="B60" s="27"/>
      <c r="C60" s="29"/>
      <c r="D60" s="27"/>
      <c r="E60" s="29"/>
      <c r="F60" s="26"/>
      <c r="G60" s="27"/>
      <c r="H60" s="27"/>
      <c r="I60" s="27"/>
      <c r="J60" s="27"/>
      <c r="K60" s="27"/>
      <c r="L60" s="27"/>
      <c r="M60" s="27"/>
      <c r="N60" s="27"/>
      <c r="O60" s="27"/>
    </row>
    <row r="61" spans="1:15" x14ac:dyDescent="0.3">
      <c r="A61" s="7" t="s">
        <v>117</v>
      </c>
      <c r="B61" s="27"/>
      <c r="C61" s="29"/>
      <c r="D61" s="27"/>
      <c r="E61" s="29"/>
      <c r="F61" s="26"/>
      <c r="G61" s="27"/>
      <c r="H61" s="27"/>
      <c r="I61" s="27"/>
      <c r="J61" s="27"/>
      <c r="K61" s="27"/>
      <c r="L61" s="27"/>
      <c r="M61" s="27"/>
      <c r="N61" s="27"/>
      <c r="O61" s="27"/>
    </row>
    <row r="62" spans="1:15" x14ac:dyDescent="0.3">
      <c r="A62" s="36" t="s">
        <v>110</v>
      </c>
      <c r="B62" s="27"/>
      <c r="C62" s="29"/>
      <c r="D62" s="27"/>
      <c r="E62" s="29"/>
      <c r="F62" s="26"/>
      <c r="G62" s="27"/>
      <c r="H62" s="27"/>
      <c r="I62" s="27"/>
      <c r="J62" s="27"/>
      <c r="K62" s="27"/>
      <c r="L62" s="27"/>
      <c r="M62" s="27"/>
      <c r="N62" s="27"/>
      <c r="O62" s="27"/>
    </row>
    <row r="63" spans="1:15" x14ac:dyDescent="0.3">
      <c r="A63" s="35" t="s">
        <v>118</v>
      </c>
      <c r="B63" s="39" t="s">
        <v>7</v>
      </c>
      <c r="C63" s="29">
        <f>MAX(C57/4,2)</f>
        <v>2</v>
      </c>
      <c r="D63" s="27" t="s">
        <v>113</v>
      </c>
      <c r="E63" s="29" t="s">
        <v>114</v>
      </c>
      <c r="F63" s="26">
        <f>IF(C63&gt;2,ROUNDUP(C63,0),2)</f>
        <v>2</v>
      </c>
      <c r="G63" s="27" t="s">
        <v>113</v>
      </c>
      <c r="H63" s="27"/>
      <c r="I63" s="27"/>
      <c r="J63" s="27"/>
      <c r="K63" s="27"/>
      <c r="L63" s="27"/>
      <c r="M63" s="27"/>
      <c r="N63" s="27"/>
      <c r="O63" s="27"/>
    </row>
    <row r="64" spans="1:15" x14ac:dyDescent="0.3">
      <c r="A64" s="36" t="s">
        <v>115</v>
      </c>
      <c r="B64" s="39"/>
      <c r="C64" s="29"/>
      <c r="D64" s="27"/>
      <c r="E64" s="29"/>
      <c r="F64" s="26"/>
      <c r="G64" s="27"/>
      <c r="H64" s="27"/>
      <c r="I64" s="27"/>
      <c r="J64" s="27"/>
      <c r="K64" s="27"/>
      <c r="L64" s="27"/>
      <c r="M64" s="27"/>
      <c r="N64" s="27"/>
      <c r="O64" s="27"/>
    </row>
    <row r="65" spans="1:15" x14ac:dyDescent="0.3">
      <c r="A65" s="35" t="s">
        <v>118</v>
      </c>
      <c r="B65" s="39" t="s">
        <v>7</v>
      </c>
      <c r="C65" s="29">
        <f>MAX(C57/4,2)</f>
        <v>2</v>
      </c>
      <c r="D65" s="27" t="s">
        <v>113</v>
      </c>
      <c r="E65" s="29" t="s">
        <v>114</v>
      </c>
      <c r="F65" s="26">
        <f>IF(C65&gt;2,ROUNDUP(C65,0),2)</f>
        <v>2</v>
      </c>
      <c r="G65" s="27" t="s">
        <v>113</v>
      </c>
      <c r="H65" s="27"/>
      <c r="I65" s="27"/>
      <c r="J65" s="27"/>
      <c r="K65" s="27"/>
      <c r="L65" s="27"/>
      <c r="M65" s="27"/>
      <c r="N65" s="27"/>
      <c r="O65" s="27"/>
    </row>
    <row r="66" spans="1:15" x14ac:dyDescent="0.3">
      <c r="A66" s="35"/>
      <c r="B66" s="39"/>
      <c r="C66" s="29"/>
      <c r="D66" s="27"/>
      <c r="E66" s="29"/>
      <c r="F66" s="26"/>
      <c r="G66" s="27"/>
      <c r="H66" s="27"/>
      <c r="I66" s="27"/>
      <c r="J66" s="27"/>
      <c r="K66" s="27"/>
      <c r="L66" s="27"/>
      <c r="M66" s="27"/>
      <c r="N66" s="27"/>
      <c r="O66" s="27"/>
    </row>
    <row r="67" spans="1:15" x14ac:dyDescent="0.3">
      <c r="A67" s="7" t="s">
        <v>119</v>
      </c>
      <c r="B67" s="39"/>
      <c r="C67" s="29"/>
      <c r="D67" s="27"/>
      <c r="E67" s="29"/>
      <c r="F67" s="26"/>
      <c r="G67" s="27"/>
      <c r="H67" s="27"/>
      <c r="I67" s="27"/>
      <c r="J67" s="27"/>
      <c r="K67" s="27"/>
      <c r="L67" s="27"/>
      <c r="M67" s="27"/>
      <c r="N67" s="27"/>
      <c r="O67" s="27"/>
    </row>
    <row r="68" spans="1:15" x14ac:dyDescent="0.3">
      <c r="A68" s="36" t="s">
        <v>120</v>
      </c>
      <c r="B68" s="39" t="s">
        <v>7</v>
      </c>
      <c r="C68" s="29">
        <f>F51*2</f>
        <v>880</v>
      </c>
      <c r="D68" s="27" t="s">
        <v>1</v>
      </c>
      <c r="E68" s="29"/>
      <c r="F68" s="26"/>
      <c r="G68" s="27"/>
      <c r="H68" s="27"/>
      <c r="I68" s="27"/>
      <c r="J68" s="27"/>
      <c r="K68" s="27"/>
      <c r="L68" s="27"/>
      <c r="M68" s="27"/>
      <c r="N68" s="27"/>
      <c r="O68" s="27"/>
    </row>
    <row r="69" spans="1:15" x14ac:dyDescent="0.3">
      <c r="A69" s="36" t="s">
        <v>121</v>
      </c>
      <c r="B69" s="39"/>
      <c r="C69" s="29"/>
      <c r="D69" s="27"/>
      <c r="E69" s="29"/>
      <c r="F69" s="26"/>
      <c r="G69" s="27"/>
      <c r="H69" s="27"/>
      <c r="I69" s="27"/>
      <c r="J69" s="27"/>
      <c r="K69" s="27"/>
      <c r="L69" s="27"/>
      <c r="M69" s="27"/>
      <c r="N69" s="27"/>
      <c r="O69" s="27"/>
    </row>
    <row r="70" spans="1:15" x14ac:dyDescent="0.3">
      <c r="A70" s="35" t="s">
        <v>122</v>
      </c>
      <c r="B70" s="39" t="s">
        <v>7</v>
      </c>
      <c r="C70" s="29">
        <f>C48/4</f>
        <v>93.75</v>
      </c>
      <c r="D70" s="27" t="s">
        <v>1</v>
      </c>
      <c r="E70" s="29"/>
      <c r="F70" s="26"/>
      <c r="G70" s="27"/>
      <c r="H70" s="27"/>
      <c r="I70" s="27"/>
      <c r="J70" s="27"/>
      <c r="K70" s="27"/>
      <c r="L70" s="27"/>
      <c r="M70" s="27"/>
      <c r="N70" s="27"/>
      <c r="O70" s="27"/>
    </row>
    <row r="71" spans="1:15" x14ac:dyDescent="0.3">
      <c r="A71" s="35" t="s">
        <v>123</v>
      </c>
      <c r="B71" s="39" t="s">
        <v>7</v>
      </c>
      <c r="C71" s="29">
        <f>6*C12</f>
        <v>120</v>
      </c>
      <c r="D71" s="27" t="s">
        <v>1</v>
      </c>
      <c r="E71" s="29"/>
      <c r="F71" s="26"/>
      <c r="G71" s="27"/>
      <c r="H71" s="27"/>
      <c r="I71" s="27"/>
      <c r="J71" s="27"/>
      <c r="K71" s="27"/>
      <c r="L71" s="27"/>
      <c r="M71" s="27"/>
      <c r="N71" s="27"/>
      <c r="O71" s="27"/>
    </row>
    <row r="72" spans="1:15" x14ac:dyDescent="0.3">
      <c r="A72" s="35" t="s">
        <v>124</v>
      </c>
      <c r="B72" s="39" t="s">
        <v>7</v>
      </c>
      <c r="C72" s="29">
        <f>150</f>
        <v>150</v>
      </c>
      <c r="D72" s="27" t="s">
        <v>1</v>
      </c>
      <c r="E72" s="29"/>
      <c r="F72" s="26"/>
      <c r="G72" s="27"/>
      <c r="H72" s="27"/>
      <c r="I72" s="27"/>
      <c r="J72" s="27"/>
      <c r="K72" s="27"/>
      <c r="L72" s="27"/>
      <c r="M72" s="27"/>
      <c r="N72" s="27"/>
      <c r="O72" s="27"/>
    </row>
    <row r="73" spans="1:15" x14ac:dyDescent="0.3">
      <c r="A73" s="36" t="s">
        <v>125</v>
      </c>
      <c r="B73" s="39" t="s">
        <v>7</v>
      </c>
      <c r="C73" s="29">
        <f>MIN(C70:C72)</f>
        <v>93.75</v>
      </c>
      <c r="D73" s="27" t="s">
        <v>1</v>
      </c>
      <c r="E73" s="29" t="s">
        <v>126</v>
      </c>
      <c r="F73" s="43">
        <f>ROUNDDOWN(C73/5,0)*5</f>
        <v>90</v>
      </c>
      <c r="G73" s="27" t="s">
        <v>21</v>
      </c>
      <c r="H73" s="27"/>
      <c r="I73" s="27"/>
      <c r="J73" s="27"/>
      <c r="K73" s="27"/>
      <c r="L73" s="27"/>
      <c r="M73" s="27"/>
      <c r="N73" s="27"/>
      <c r="O73" s="27"/>
    </row>
    <row r="74" spans="1:15" x14ac:dyDescent="0.3">
      <c r="A74" s="35"/>
      <c r="B74" s="39"/>
      <c r="C74" s="29"/>
      <c r="D74" s="27"/>
      <c r="E74" s="29"/>
      <c r="F74" s="26"/>
      <c r="G74" s="27"/>
      <c r="H74" s="27"/>
      <c r="I74" s="27"/>
      <c r="J74" s="27"/>
      <c r="K74" s="27"/>
      <c r="L74" s="27"/>
      <c r="M74" s="27"/>
      <c r="N74" s="27"/>
      <c r="O74" s="27"/>
    </row>
    <row r="75" spans="1:15" x14ac:dyDescent="0.3">
      <c r="A75" s="7" t="s">
        <v>127</v>
      </c>
      <c r="B75" s="39"/>
      <c r="C75" s="29"/>
      <c r="D75" s="27"/>
      <c r="E75" s="29"/>
      <c r="F75" s="26"/>
      <c r="G75" s="27"/>
      <c r="H75" s="27"/>
      <c r="I75" s="27"/>
      <c r="J75" s="27"/>
      <c r="K75" s="27"/>
      <c r="L75" s="27"/>
      <c r="M75" s="27"/>
      <c r="N75" s="27"/>
      <c r="O75" s="27"/>
    </row>
    <row r="76" spans="1:15" x14ac:dyDescent="0.3">
      <c r="A76" s="36" t="s">
        <v>121</v>
      </c>
      <c r="B76" s="39"/>
      <c r="C76" s="29"/>
      <c r="D76" s="27"/>
      <c r="E76" s="29"/>
      <c r="F76" s="26"/>
      <c r="G76" s="27"/>
      <c r="H76" s="27"/>
      <c r="I76" s="27"/>
      <c r="J76" s="27"/>
      <c r="K76" s="27"/>
      <c r="L76" s="27"/>
      <c r="M76" s="27"/>
      <c r="N76" s="27"/>
      <c r="O76" s="27"/>
    </row>
    <row r="77" spans="1:15" x14ac:dyDescent="0.3">
      <c r="A77" s="35" t="s">
        <v>128</v>
      </c>
      <c r="B77" s="39" t="s">
        <v>7</v>
      </c>
      <c r="C77" s="29">
        <f>C48/2</f>
        <v>187.5</v>
      </c>
      <c r="D77" s="27" t="s">
        <v>1</v>
      </c>
      <c r="E77" s="29" t="s">
        <v>126</v>
      </c>
      <c r="F77" s="43">
        <f>ROUNDDOWN(C77/5,0)*5</f>
        <v>185</v>
      </c>
      <c r="G77" s="27" t="s">
        <v>21</v>
      </c>
      <c r="H77" s="27"/>
      <c r="I77" s="27"/>
      <c r="J77" s="27"/>
      <c r="K77" s="27"/>
      <c r="L77" s="27"/>
      <c r="M77" s="27"/>
      <c r="N77" s="27"/>
      <c r="O77" s="27"/>
    </row>
    <row r="78" spans="1:15" x14ac:dyDescent="0.3">
      <c r="A78" s="26"/>
      <c r="B78" s="27"/>
      <c r="C78" s="29"/>
      <c r="D78" s="27"/>
      <c r="E78" s="29"/>
      <c r="F78" s="26"/>
      <c r="G78" s="27"/>
      <c r="H78" s="27"/>
      <c r="I78" s="27"/>
      <c r="J78" s="27"/>
      <c r="K78" s="27"/>
      <c r="L78" s="27"/>
      <c r="M78" s="27"/>
      <c r="N78" s="27"/>
      <c r="O78" s="27"/>
    </row>
    <row r="79" spans="1:15" x14ac:dyDescent="0.3">
      <c r="A79" s="5" t="s">
        <v>20</v>
      </c>
      <c r="B79" s="27"/>
      <c r="C79" s="29"/>
      <c r="D79" s="27"/>
      <c r="E79" s="29"/>
      <c r="F79" s="26"/>
      <c r="G79" s="27"/>
      <c r="H79" s="27"/>
      <c r="I79" s="27"/>
      <c r="J79" s="27"/>
      <c r="K79" s="27"/>
      <c r="L79" s="27"/>
      <c r="M79" s="27"/>
      <c r="N79" s="27"/>
      <c r="O79" s="27"/>
    </row>
    <row r="80" spans="1:15" x14ac:dyDescent="0.3">
      <c r="A80" s="26" t="s">
        <v>12</v>
      </c>
      <c r="B80" s="39" t="s">
        <v>7</v>
      </c>
      <c r="C80" s="29">
        <f>F47</f>
        <v>250</v>
      </c>
      <c r="D80" s="27" t="s">
        <v>1</v>
      </c>
      <c r="E80" s="29"/>
      <c r="F80" s="26"/>
      <c r="G80" s="27"/>
      <c r="H80" s="27"/>
      <c r="I80" s="27"/>
      <c r="J80" s="27"/>
      <c r="K80" s="27"/>
      <c r="L80" s="27"/>
      <c r="M80" s="27"/>
      <c r="N80" s="27"/>
      <c r="O80" s="27"/>
    </row>
    <row r="81" spans="1:15" x14ac:dyDescent="0.3">
      <c r="A81" s="26" t="s">
        <v>129</v>
      </c>
      <c r="B81" s="39" t="s">
        <v>7</v>
      </c>
      <c r="C81" s="29">
        <f>F51</f>
        <v>440</v>
      </c>
      <c r="D81" s="27" t="s">
        <v>21</v>
      </c>
      <c r="E81" s="29"/>
      <c r="F81" s="26"/>
      <c r="G81" s="27"/>
      <c r="H81" s="27"/>
      <c r="I81" s="27"/>
      <c r="J81" s="27"/>
      <c r="K81" s="27"/>
      <c r="L81" s="27"/>
      <c r="M81" s="27"/>
      <c r="N81" s="27"/>
      <c r="O81" s="27"/>
    </row>
    <row r="82" spans="1:15" x14ac:dyDescent="0.3">
      <c r="A82" s="26" t="s">
        <v>22</v>
      </c>
      <c r="B82" s="39"/>
      <c r="C82" s="29"/>
      <c r="D82" s="27"/>
      <c r="E82" s="29"/>
      <c r="F82" s="26"/>
      <c r="G82" s="27"/>
      <c r="H82" s="27"/>
      <c r="I82" s="27"/>
      <c r="J82" s="27"/>
      <c r="K82" s="27"/>
      <c r="L82" s="27"/>
      <c r="M82" s="27"/>
      <c r="N82" s="27"/>
      <c r="O82" s="27"/>
    </row>
    <row r="83" spans="1:15" x14ac:dyDescent="0.3">
      <c r="A83" s="36" t="s">
        <v>130</v>
      </c>
      <c r="B83" s="39" t="s">
        <v>7</v>
      </c>
      <c r="C83" s="29">
        <f>F57</f>
        <v>5</v>
      </c>
      <c r="D83" s="27" t="s">
        <v>113</v>
      </c>
      <c r="E83" s="29"/>
      <c r="F83" s="26"/>
      <c r="G83" s="27"/>
      <c r="H83" s="27"/>
      <c r="I83" s="27"/>
      <c r="J83" s="27"/>
      <c r="K83" s="27"/>
      <c r="L83" s="27"/>
      <c r="M83" s="27"/>
      <c r="N83" s="27"/>
      <c r="O83" s="27"/>
    </row>
    <row r="84" spans="1:15" x14ac:dyDescent="0.3">
      <c r="A84" s="36" t="s">
        <v>131</v>
      </c>
      <c r="B84" s="39" t="s">
        <v>7</v>
      </c>
      <c r="C84" s="29">
        <f>F59</f>
        <v>3</v>
      </c>
      <c r="D84" s="27" t="s">
        <v>113</v>
      </c>
      <c r="E84" s="29"/>
      <c r="F84" s="26"/>
      <c r="G84" s="27"/>
      <c r="H84" s="27"/>
      <c r="I84" s="27"/>
      <c r="J84" s="27"/>
      <c r="K84" s="27"/>
      <c r="L84" s="27"/>
      <c r="M84" s="27"/>
      <c r="N84" s="27"/>
      <c r="O84" s="27"/>
    </row>
    <row r="85" spans="1:15" x14ac:dyDescent="0.3">
      <c r="A85" s="36" t="s">
        <v>132</v>
      </c>
      <c r="B85" s="39"/>
      <c r="C85" s="29">
        <f>F73</f>
        <v>90</v>
      </c>
      <c r="D85" s="27" t="s">
        <v>1</v>
      </c>
      <c r="E85" s="29"/>
      <c r="F85" s="26"/>
      <c r="G85" s="27"/>
      <c r="H85" s="27"/>
      <c r="I85" s="27"/>
      <c r="J85" s="27"/>
      <c r="K85" s="27"/>
      <c r="L85" s="27"/>
      <c r="M85" s="27"/>
      <c r="N85" s="27"/>
      <c r="O85" s="27"/>
    </row>
    <row r="86" spans="1:15" x14ac:dyDescent="0.3">
      <c r="A86" s="26" t="s">
        <v>23</v>
      </c>
      <c r="B86" s="39"/>
      <c r="C86" s="29"/>
      <c r="D86" s="27"/>
      <c r="E86" s="29"/>
      <c r="F86" s="26"/>
      <c r="G86" s="27"/>
      <c r="H86" s="27"/>
      <c r="I86" s="27"/>
      <c r="J86" s="27"/>
      <c r="K86" s="27"/>
      <c r="L86" s="27"/>
      <c r="M86" s="27"/>
      <c r="N86" s="27"/>
      <c r="O86" s="27"/>
    </row>
    <row r="87" spans="1:15" x14ac:dyDescent="0.3">
      <c r="A87" s="36" t="s">
        <v>130</v>
      </c>
      <c r="B87" s="39" t="s">
        <v>7</v>
      </c>
      <c r="C87" s="29">
        <f>F63</f>
        <v>2</v>
      </c>
      <c r="D87" s="27" t="s">
        <v>113</v>
      </c>
      <c r="E87" s="29"/>
      <c r="F87" s="26"/>
      <c r="G87" s="27"/>
      <c r="H87" s="27"/>
      <c r="I87" s="27"/>
      <c r="J87" s="27"/>
      <c r="K87" s="27"/>
      <c r="L87" s="27"/>
      <c r="M87" s="27"/>
      <c r="N87" s="27"/>
      <c r="O87" s="27"/>
    </row>
    <row r="88" spans="1:15" x14ac:dyDescent="0.3">
      <c r="A88" s="36" t="s">
        <v>131</v>
      </c>
      <c r="B88" s="39" t="s">
        <v>7</v>
      </c>
      <c r="C88" s="29">
        <f>F65</f>
        <v>2</v>
      </c>
      <c r="D88" s="27" t="s">
        <v>113</v>
      </c>
      <c r="E88" s="29"/>
      <c r="F88" s="26"/>
      <c r="G88" s="27"/>
      <c r="H88" s="27"/>
      <c r="I88" s="27"/>
      <c r="J88" s="27"/>
      <c r="K88" s="27"/>
      <c r="L88" s="27"/>
      <c r="M88" s="27"/>
      <c r="N88" s="27"/>
      <c r="O88" s="27"/>
    </row>
    <row r="89" spans="1:15" x14ac:dyDescent="0.3">
      <c r="A89" s="36" t="s">
        <v>132</v>
      </c>
      <c r="B89" s="27" t="s">
        <v>7</v>
      </c>
      <c r="C89" s="29">
        <f>F77</f>
        <v>185</v>
      </c>
      <c r="D89" s="27" t="s">
        <v>21</v>
      </c>
      <c r="E89" s="29"/>
      <c r="F89" s="26"/>
      <c r="G89" s="27"/>
      <c r="H89" s="27"/>
      <c r="I89" s="27"/>
      <c r="J89" s="27"/>
      <c r="K89" s="27"/>
      <c r="L89" s="27"/>
      <c r="M89" s="27"/>
      <c r="N89" s="27"/>
      <c r="O89" s="27"/>
    </row>
    <row r="90" spans="1:15" x14ac:dyDescent="0.3">
      <c r="A90" s="22"/>
      <c r="B90" s="8"/>
      <c r="C90" s="20"/>
      <c r="D90" s="8"/>
      <c r="E90" s="20"/>
      <c r="F90" s="19"/>
      <c r="G90" s="8"/>
      <c r="H90" s="8"/>
      <c r="I90" s="8"/>
      <c r="J90" s="8"/>
      <c r="K90" s="8"/>
      <c r="L90" s="8"/>
      <c r="M90" s="8"/>
      <c r="N90" s="8"/>
      <c r="O90" s="8"/>
    </row>
    <row r="91" spans="1:15" x14ac:dyDescent="0.3">
      <c r="A91" s="11" t="s">
        <v>29</v>
      </c>
      <c r="B91" s="8"/>
      <c r="C91" s="8"/>
      <c r="D91" s="8"/>
      <c r="E91" s="20"/>
      <c r="F91" s="19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3">
      <c r="A92" s="8" t="s">
        <v>133</v>
      </c>
      <c r="B92" s="21" t="s">
        <v>7</v>
      </c>
      <c r="C92" s="8">
        <f>C80*C81*C3/1000^3</f>
        <v>0.44</v>
      </c>
      <c r="D92" s="8" t="s">
        <v>13</v>
      </c>
      <c r="E92" s="20"/>
      <c r="F92" s="19"/>
      <c r="G92" s="8"/>
      <c r="H92" s="8"/>
      <c r="I92" s="8"/>
      <c r="J92" s="8"/>
      <c r="K92" s="8"/>
      <c r="L92" s="8"/>
      <c r="M92" s="8"/>
      <c r="N92" s="8"/>
      <c r="O92" s="8"/>
    </row>
    <row r="93" spans="1:15" x14ac:dyDescent="0.3">
      <c r="A93" s="8" t="s">
        <v>134</v>
      </c>
      <c r="B93" s="21" t="s">
        <v>7</v>
      </c>
      <c r="C93" s="8">
        <f>C92*C6</f>
        <v>10.56</v>
      </c>
      <c r="D93" s="8" t="s">
        <v>5</v>
      </c>
      <c r="E93" s="20"/>
      <c r="F93" s="19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3">
      <c r="A94" s="8"/>
      <c r="B94" s="21"/>
      <c r="C94" s="8"/>
      <c r="D94" s="8"/>
      <c r="E94" s="20"/>
      <c r="F94" s="19"/>
      <c r="G94" s="8"/>
      <c r="H94" s="8"/>
      <c r="I94" s="8"/>
      <c r="J94" s="8"/>
      <c r="K94" s="8"/>
    </row>
    <row r="95" spans="1:15" x14ac:dyDescent="0.3">
      <c r="A95" s="8" t="s">
        <v>24</v>
      </c>
      <c r="B95" s="21" t="s">
        <v>7</v>
      </c>
      <c r="C95" s="8"/>
      <c r="D95" s="8"/>
    </row>
    <row r="96" spans="1:15" x14ac:dyDescent="0.3">
      <c r="A96" s="8" t="s">
        <v>135</v>
      </c>
      <c r="B96" s="21" t="s">
        <v>7</v>
      </c>
      <c r="C96" s="8">
        <f>C93/C3</f>
        <v>2.64E-3</v>
      </c>
      <c r="D96" s="8" t="s">
        <v>4</v>
      </c>
    </row>
  </sheetData>
  <mergeCells count="2">
    <mergeCell ref="A1:O1"/>
    <mergeCell ref="A2:O2"/>
  </mergeCells>
  <dataValidations count="15">
    <dataValidation type="whole" operator="greaterThanOrEqual" allowBlank="1" showInputMessage="1" showErrorMessage="1" sqref="F47 F51" xr:uid="{7EA6D436-8820-4B32-AFFA-1EEDA5F165E0}">
      <formula1>200</formula1>
    </dataValidation>
    <dataValidation type="decimal" errorStyle="warning" operator="lessThanOrEqual" allowBlank="1" showInputMessage="1" showErrorMessage="1" errorTitle="Input error" error="Use 0 kNm according to Sir V. Use 0.5 of (-)Mn max according to Sir Reynan." sqref="C24" xr:uid="{E53262EA-A839-4DD1-800D-F2343A2AF926}">
      <formula1>ABS(C25*0.5)</formula1>
    </dataValidation>
    <dataValidation allowBlank="1" showInputMessage="1" showErrorMessage="1" promptTitle="Specific Weight" prompt="Specific weight or unit weight of concrete." sqref="C6" xr:uid="{D0688F61-59EE-4E38-8C6E-CF09345F2CF9}"/>
    <dataValidation type="decimal" operator="greaterThanOrEqual" allowBlank="1" showInputMessage="1" showErrorMessage="1" sqref="C11" xr:uid="{C89D8383-064B-49B5-97B8-CBDA9B05B220}">
      <formula1>40</formula1>
    </dataValidation>
    <dataValidation type="list" allowBlank="1" showInputMessage="1" showErrorMessage="1" sqref="C14" xr:uid="{FEF77A77-041C-42BB-A3A3-4B85A6BA58B6}">
      <formula1>"10,12"</formula1>
    </dataValidation>
    <dataValidation type="list" allowBlank="1" showInputMessage="1" showErrorMessage="1" sqref="C12:C13" xr:uid="{60BD91FA-EED7-476E-A128-8710D884DEFA}">
      <formula1>"16,20,25,28,32,36"</formula1>
    </dataValidation>
    <dataValidation type="whole" operator="greaterThanOrEqual" allowBlank="1" showInputMessage="1" showErrorMessage="1" sqref="F84:F85 F66:F74 F77" xr:uid="{8E0F5172-E49A-487F-BDDB-14BA95507DA6}">
      <formula1>2</formula1>
    </dataValidation>
    <dataValidation type="whole" operator="greaterThanOrEqual" showInputMessage="1" showErrorMessage="1" sqref="F57 F59 F63 F65" xr:uid="{EADD711F-67E1-4AB8-8284-B1D6FADBFFEB}">
      <formula1>2</formula1>
    </dataValidation>
    <dataValidation type="decimal" errorStyle="warning" allowBlank="1" showInputMessage="1" showErrorMessage="1" errorTitle="Input error" error="Value is not within Sir V's recommended range." sqref="C43" xr:uid="{4A35F72E-ABA9-45D8-AE8D-F72FDCBAAABE}">
      <formula1>1.75</formula1>
      <formula2>2</formula2>
    </dataValidation>
    <dataValidation type="decimal" operator="greaterThanOrEqual" allowBlank="1" showInputMessage="1" showErrorMessage="1" sqref="C49" xr:uid="{639018AC-2245-46F5-BBD1-F73F429E3C3A}">
      <formula1>0</formula1>
    </dataValidation>
    <dataValidation type="decimal" operator="lessThanOrEqual" allowBlank="1" showInputMessage="1" showErrorMessage="1" errorTitle="Code error" error="Value exceeds maximum reinforcement ratio." sqref="C41" xr:uid="{9BB232E8-9C05-4EB4-8779-06D99D52BD35}">
      <formula1>0.025</formula1>
    </dataValidation>
    <dataValidation type="decimal" operator="lessThanOrEqual" showInputMessage="1" showErrorMessage="1" errorTitle="Input error" error="Include negative sign for negative moment." sqref="C19 C22 C25" xr:uid="{958768C1-24F3-4CDB-9864-53A887005EA8}">
      <formula1>0</formula1>
    </dataValidation>
    <dataValidation type="decimal" operator="greaterThanOrEqual" allowBlank="1" showInputMessage="1" showErrorMessage="1" errorTitle="Input error" error="Remove negative sign for positive moment." sqref="C18 C21" xr:uid="{887D3058-A0F4-4A8C-8220-38A3267C1727}">
      <formula1>0</formula1>
    </dataValidation>
    <dataValidation type="custom" allowBlank="1" showInputMessage="1" showErrorMessage="1" sqref="D30" xr:uid="{4D128B87-27CD-463C-8CFB-AD6A843F0A00}">
      <formula1>ABS(D30:D32)</formula1>
    </dataValidation>
    <dataValidation type="custom" allowBlank="1" showInputMessage="1" showErrorMessage="1" sqref="D31:D33" xr:uid="{FBB2510E-D9C7-4C99-8273-894D218CBC24}">
      <formula1>ABS(D31:D34)</formula1>
    </dataValidation>
  </dataValidations>
  <pageMargins left="0.7" right="0.7" top="0.75" bottom="0.75" header="0.3" footer="0.3"/>
  <pageSetup paperSize="9" scale="46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 NOT DELETE</vt:lpstr>
      <vt:lpstr>Sheet1</vt:lpstr>
      <vt:lpstr>beam_w eq</vt:lpstr>
      <vt:lpstr>'beam_w eq'!Print_Area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PRECIOUS MARY ANGELICA V. BARCENA</cp:lastModifiedBy>
  <cp:lastPrinted>2024-02-23T16:16:58Z</cp:lastPrinted>
  <dcterms:created xsi:type="dcterms:W3CDTF">2023-11-23T11:55:14Z</dcterms:created>
  <dcterms:modified xsi:type="dcterms:W3CDTF">2024-02-28T13:42:28Z</dcterms:modified>
</cp:coreProperties>
</file>