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Ish Tripathi\Desktop\reports\Delivery Report Dec17\"/>
    </mc:Choice>
  </mc:AlternateContent>
  <bookViews>
    <workbookView xWindow="0" yWindow="0" windowWidth="20490" windowHeight="7755" firstSheet="5" activeTab="8"/>
  </bookViews>
  <sheets>
    <sheet name="Current POC's n Projects" sheetId="2" r:id="rId1"/>
    <sheet name="Sheet2" sheetId="3" state="hidden" r:id="rId2"/>
    <sheet name="Consolidated Sheet" sheetId="1" state="hidden" r:id="rId3"/>
    <sheet name="Sheet3" sheetId="4" state="hidden" r:id="rId4"/>
    <sheet name="Project percentage" sheetId="7" r:id="rId5"/>
    <sheet name="Weekly Status Report" sheetId="8" r:id="rId6"/>
    <sheet name="Change Request Logs" sheetId="9" r:id="rId7"/>
    <sheet name="Projection List" sheetId="6" r:id="rId8"/>
    <sheet name="Defect Logs" sheetId="10" r:id="rId9"/>
  </sheets>
  <definedNames>
    <definedName name="_xlnm._FilterDatabase" localSheetId="0" hidden="1">'Current POC''s n Projects'!$A$3:$AG$39</definedName>
    <definedName name="a" localSheetId="2">#REF!</definedName>
    <definedName name="a">#REF!</definedName>
    <definedName name="all_services" localSheetId="2">#REF!</definedName>
    <definedName name="all_services">#REF!</definedName>
    <definedName name="best" localSheetId="2">#REF!</definedName>
    <definedName name="best">#REF!</definedName>
    <definedName name="d" localSheetId="2">#REF!</definedName>
    <definedName name="d">#REF!</definedName>
    <definedName name="Graph" localSheetId="2">#REF!</definedName>
    <definedName name="Graph">#REF!</definedName>
    <definedName name="Legend" localSheetId="2">#REF!</definedName>
    <definedName name="Legend">#REF!</definedName>
    <definedName name="MILESTONE_STATUS" localSheetId="2">#REF!</definedName>
    <definedName name="MILESTONE_STATUS">#REF!</definedName>
    <definedName name="RISK_ISSUE_TYPE" localSheetId="2">#REF!</definedName>
    <definedName name="RISK_ISSUE_TYPE">#REF!</definedName>
    <definedName name="SOW_TYPE" localSheetId="2">#REF!</definedName>
    <definedName name="SOW_TYPE">#REF!</definedName>
    <definedName name="Status" localSheetId="2">#REF!</definedName>
    <definedName name="Status">#REF!</definedName>
    <definedName name="Weekly" localSheetId="2">#REF!</definedName>
    <definedName name="Weekly">#REF!</definedName>
  </definedNames>
  <calcPr calcId="152511"/>
</workbook>
</file>

<file path=xl/calcChain.xml><?xml version="1.0" encoding="utf-8"?>
<calcChain xmlns="http://schemas.openxmlformats.org/spreadsheetml/2006/main">
  <c r="E33" i="2" l="1"/>
  <c r="E32" i="2"/>
  <c r="B34" i="7"/>
  <c r="B33" i="7"/>
  <c r="B32" i="7"/>
  <c r="B31" i="7"/>
  <c r="B30" i="7"/>
  <c r="B29" i="7"/>
  <c r="B28" i="7"/>
  <c r="C27" i="7"/>
  <c r="B23" i="7"/>
  <c r="B22" i="7"/>
  <c r="B21" i="7"/>
  <c r="B20" i="7"/>
  <c r="B19" i="7"/>
  <c r="B18" i="7"/>
  <c r="B17" i="7"/>
  <c r="C16" i="7"/>
  <c r="I4" i="8"/>
  <c r="B12" i="7"/>
  <c r="B11" i="7"/>
  <c r="B10" i="7"/>
  <c r="B9" i="7"/>
  <c r="B8" i="7"/>
  <c r="B7" i="7"/>
  <c r="B6" i="7"/>
  <c r="C5" i="7"/>
  <c r="B27" i="7" l="1"/>
  <c r="B16" i="7"/>
  <c r="E31" i="2" s="1"/>
  <c r="B5" i="7"/>
  <c r="K40" i="2" l="1"/>
  <c r="J40" i="2"/>
  <c r="Y27" i="2" l="1"/>
  <c r="W27" i="2"/>
  <c r="AA27" i="2" s="1"/>
  <c r="AC27" i="2" s="1"/>
  <c r="V27" i="2"/>
  <c r="Z27" i="2" s="1"/>
  <c r="AB27" i="2" s="1"/>
  <c r="Q27" i="2"/>
  <c r="J27" i="2"/>
  <c r="I30" i="2"/>
  <c r="H30" i="2"/>
  <c r="H24" i="2"/>
  <c r="W21" i="2"/>
  <c r="AA21" i="2" s="1"/>
  <c r="AC21" i="2" s="1"/>
  <c r="V21" i="2"/>
  <c r="Z21" i="2" s="1"/>
  <c r="AB21" i="2" s="1"/>
  <c r="Q21" i="2"/>
  <c r="K21" i="2"/>
  <c r="J21" i="2"/>
  <c r="W22" i="2"/>
  <c r="AA22" i="2" s="1"/>
  <c r="AC22" i="2" s="1"/>
  <c r="V22" i="2"/>
  <c r="Z22" i="2" s="1"/>
  <c r="AB22" i="2" s="1"/>
  <c r="Q22" i="2"/>
  <c r="I22" i="2"/>
  <c r="J22" i="2" s="1"/>
  <c r="W20" i="2"/>
  <c r="AA20" i="2" s="1"/>
  <c r="AC20" i="2" s="1"/>
  <c r="V20" i="2"/>
  <c r="Z20" i="2" s="1"/>
  <c r="AB20" i="2" s="1"/>
  <c r="Q20" i="2"/>
  <c r="K20" i="2"/>
  <c r="J20" i="2"/>
  <c r="W23" i="2"/>
  <c r="AA23" i="2" s="1"/>
  <c r="AC23" i="2" s="1"/>
  <c r="V23" i="2"/>
  <c r="Z23" i="2" s="1"/>
  <c r="AB23" i="2" s="1"/>
  <c r="Q23" i="2"/>
  <c r="K23" i="2"/>
  <c r="J23" i="2"/>
  <c r="J24" i="2" l="1"/>
  <c r="I24" i="2"/>
  <c r="K22" i="2"/>
  <c r="I19" i="2"/>
  <c r="H19" i="2"/>
  <c r="H42" i="2" l="1"/>
  <c r="J42" i="2" l="1"/>
  <c r="W101" i="6"/>
  <c r="V101" i="6"/>
  <c r="U101" i="6"/>
  <c r="T101" i="6"/>
  <c r="S101" i="6"/>
  <c r="Q101" i="6"/>
  <c r="P101" i="6"/>
  <c r="O101" i="6"/>
  <c r="N101" i="6"/>
  <c r="M101" i="6"/>
  <c r="R99" i="6"/>
  <c r="L99" i="6"/>
  <c r="I99" i="6"/>
  <c r="R98" i="6"/>
  <c r="L98" i="6"/>
  <c r="I98" i="6"/>
  <c r="R97" i="6"/>
  <c r="L97" i="6"/>
  <c r="I97" i="6"/>
  <c r="R96" i="6"/>
  <c r="L96" i="6"/>
  <c r="L101" i="6" s="1"/>
  <c r="I96" i="6"/>
  <c r="R95" i="6"/>
  <c r="L95" i="6"/>
  <c r="R94" i="6"/>
  <c r="L94" i="6"/>
  <c r="R93" i="6"/>
  <c r="L93" i="6"/>
  <c r="R92" i="6"/>
  <c r="R101" i="6" s="1"/>
  <c r="L92" i="6"/>
  <c r="I92" i="6"/>
  <c r="I101" i="6" s="1"/>
  <c r="N84" i="6"/>
  <c r="W82" i="6"/>
  <c r="O82" i="6"/>
  <c r="W81" i="6"/>
  <c r="V81" i="6"/>
  <c r="V82" i="6" s="1"/>
  <c r="U81" i="6"/>
  <c r="U82" i="6" s="1"/>
  <c r="T81" i="6"/>
  <c r="T82" i="6" s="1"/>
  <c r="Q81" i="6"/>
  <c r="Q82" i="6" s="1"/>
  <c r="P81" i="6"/>
  <c r="P82" i="6" s="1"/>
  <c r="O81" i="6"/>
  <c r="N81" i="6"/>
  <c r="N82" i="6" s="1"/>
  <c r="R79" i="6"/>
  <c r="L79" i="6"/>
  <c r="I79" i="6"/>
  <c r="R78" i="6"/>
  <c r="L78" i="6"/>
  <c r="I78" i="6"/>
  <c r="R77" i="6"/>
  <c r="L77" i="6"/>
  <c r="I77" i="6"/>
  <c r="R76" i="6"/>
  <c r="L76" i="6"/>
  <c r="I76" i="6"/>
  <c r="R75" i="6"/>
  <c r="L75" i="6"/>
  <c r="I75" i="6"/>
  <c r="R74" i="6"/>
  <c r="L74" i="6"/>
  <c r="I74" i="6"/>
  <c r="R73" i="6"/>
  <c r="L73" i="6"/>
  <c r="I73" i="6"/>
  <c r="R72" i="6"/>
  <c r="L72" i="6"/>
  <c r="I72" i="6"/>
  <c r="R71" i="6"/>
  <c r="L71" i="6"/>
  <c r="I71" i="6"/>
  <c r="R70" i="6"/>
  <c r="L70" i="6"/>
  <c r="I70" i="6"/>
  <c r="R69" i="6"/>
  <c r="L69" i="6"/>
  <c r="I69" i="6"/>
  <c r="R68" i="6"/>
  <c r="L68" i="6"/>
  <c r="I68" i="6"/>
  <c r="R67" i="6"/>
  <c r="L67" i="6"/>
  <c r="I67" i="6"/>
  <c r="R66" i="6"/>
  <c r="L66" i="6"/>
  <c r="I66" i="6"/>
  <c r="R65" i="6"/>
  <c r="L65" i="6"/>
  <c r="I65" i="6"/>
  <c r="S64" i="6"/>
  <c r="S81" i="6" s="1"/>
  <c r="S82" i="6" s="1"/>
  <c r="R64" i="6"/>
  <c r="M64" i="6"/>
  <c r="M81" i="6" s="1"/>
  <c r="M82" i="6" s="1"/>
  <c r="L64" i="6"/>
  <c r="I64" i="6"/>
  <c r="R63" i="6"/>
  <c r="L63" i="6"/>
  <c r="I63" i="6"/>
  <c r="R62" i="6"/>
  <c r="L62" i="6"/>
  <c r="I62" i="6"/>
  <c r="R61" i="6"/>
  <c r="L61" i="6"/>
  <c r="R60" i="6"/>
  <c r="L60" i="6"/>
  <c r="I60" i="6"/>
  <c r="R59" i="6"/>
  <c r="L59" i="6"/>
  <c r="I59" i="6"/>
  <c r="R58" i="6"/>
  <c r="L58" i="6"/>
  <c r="I58" i="6"/>
  <c r="R57" i="6"/>
  <c r="L57" i="6"/>
  <c r="I57" i="6"/>
  <c r="R56" i="6"/>
  <c r="L56" i="6"/>
  <c r="I56" i="6"/>
  <c r="R55" i="6"/>
  <c r="L55" i="6"/>
  <c r="L81" i="6" s="1"/>
  <c r="L82" i="6" s="1"/>
  <c r="I55" i="6"/>
  <c r="R54" i="6"/>
  <c r="R81" i="6" s="1"/>
  <c r="R82" i="6" s="1"/>
  <c r="L54" i="6"/>
  <c r="I54" i="6"/>
  <c r="I81" i="6" s="1"/>
  <c r="I82" i="6" s="1"/>
  <c r="R51" i="6"/>
  <c r="L51" i="6"/>
  <c r="R50" i="6"/>
  <c r="L50" i="6"/>
  <c r="R49" i="6"/>
  <c r="L49" i="6"/>
  <c r="W39" i="6"/>
  <c r="W84" i="6" s="1"/>
  <c r="T39" i="6"/>
  <c r="T84" i="6" s="1"/>
  <c r="O39" i="6"/>
  <c r="O84" i="6" s="1"/>
  <c r="N39" i="6"/>
  <c r="G39" i="6"/>
  <c r="I37" i="6"/>
  <c r="G37" i="6"/>
  <c r="K37" i="6" s="1"/>
  <c r="K36" i="6"/>
  <c r="G36" i="6"/>
  <c r="I36" i="6" s="1"/>
  <c r="V35" i="6"/>
  <c r="R35" i="6"/>
  <c r="P35" i="6"/>
  <c r="L35" i="6"/>
  <c r="H35" i="6"/>
  <c r="G35" i="6"/>
  <c r="I35" i="6" s="1"/>
  <c r="R34" i="6"/>
  <c r="L34" i="6"/>
  <c r="I34" i="6"/>
  <c r="R33" i="6"/>
  <c r="L33" i="6"/>
  <c r="I33" i="6"/>
  <c r="R32" i="6"/>
  <c r="L32" i="6"/>
  <c r="I32" i="6"/>
  <c r="W31" i="6"/>
  <c r="R31" i="6"/>
  <c r="Q31" i="6"/>
  <c r="L31" i="6"/>
  <c r="K31" i="6"/>
  <c r="I31" i="6"/>
  <c r="G31" i="6"/>
  <c r="R30" i="6"/>
  <c r="L30" i="6"/>
  <c r="I30" i="6"/>
  <c r="H30" i="6"/>
  <c r="G30" i="6"/>
  <c r="L29" i="6"/>
  <c r="K29" i="6"/>
  <c r="I29" i="6"/>
  <c r="S29" i="6" s="1"/>
  <c r="R29" i="6" s="1"/>
  <c r="V28" i="6"/>
  <c r="R28" i="6" s="1"/>
  <c r="L28" i="6"/>
  <c r="I28" i="6"/>
  <c r="L27" i="6"/>
  <c r="I27" i="6"/>
  <c r="K27" i="6" s="1"/>
  <c r="L26" i="6"/>
  <c r="I26" i="6"/>
  <c r="U26" i="6" s="1"/>
  <c r="R25" i="6"/>
  <c r="L25" i="6"/>
  <c r="I25" i="6"/>
  <c r="K25" i="6" s="1"/>
  <c r="H25" i="6"/>
  <c r="R24" i="6"/>
  <c r="L24" i="6"/>
  <c r="I24" i="6"/>
  <c r="R23" i="6"/>
  <c r="L23" i="6"/>
  <c r="I23" i="6"/>
  <c r="L22" i="6"/>
  <c r="I22" i="6"/>
  <c r="J22" i="6" s="1"/>
  <c r="L21" i="6"/>
  <c r="J21" i="6"/>
  <c r="I21" i="6"/>
  <c r="L20" i="6"/>
  <c r="I20" i="6"/>
  <c r="J20" i="6" s="1"/>
  <c r="L19" i="6"/>
  <c r="J19" i="6"/>
  <c r="I19" i="6"/>
  <c r="L18" i="6"/>
  <c r="I18" i="6"/>
  <c r="J18" i="6" s="1"/>
  <c r="R17" i="6"/>
  <c r="L17" i="6"/>
  <c r="I17" i="6"/>
  <c r="R16" i="6"/>
  <c r="I16" i="6"/>
  <c r="K16" i="6" s="1"/>
  <c r="G16" i="6"/>
  <c r="R15" i="6"/>
  <c r="L15" i="6"/>
  <c r="K15" i="6"/>
  <c r="I15" i="6"/>
  <c r="R14" i="6"/>
  <c r="L14" i="6"/>
  <c r="K14" i="6"/>
  <c r="I14" i="6"/>
  <c r="R13" i="6"/>
  <c r="L13" i="6"/>
  <c r="J13" i="6"/>
  <c r="I13" i="6"/>
  <c r="R12" i="6"/>
  <c r="I12" i="6"/>
  <c r="M12" i="6" s="1"/>
  <c r="R11" i="6"/>
  <c r="L11" i="6"/>
  <c r="J11" i="6"/>
  <c r="I11" i="6"/>
  <c r="R10" i="6"/>
  <c r="L10" i="6"/>
  <c r="J10" i="6"/>
  <c r="I10" i="6"/>
  <c r="R9" i="6"/>
  <c r="I9" i="6"/>
  <c r="L9" i="6" s="1"/>
  <c r="H9" i="6"/>
  <c r="R8" i="6"/>
  <c r="H8" i="6"/>
  <c r="I8" i="6" s="1"/>
  <c r="L8" i="6" s="1"/>
  <c r="Q8" i="6" s="1"/>
  <c r="Q39" i="6" s="1"/>
  <c r="Q84" i="6" s="1"/>
  <c r="R7" i="6"/>
  <c r="L7" i="6"/>
  <c r="I7" i="6"/>
  <c r="J7" i="6" s="1"/>
  <c r="R6" i="6"/>
  <c r="L6" i="6"/>
  <c r="I6" i="6"/>
  <c r="J6" i="6" s="1"/>
  <c r="R5" i="6"/>
  <c r="L5" i="6"/>
  <c r="I5" i="6"/>
  <c r="J5" i="6" s="1"/>
  <c r="R4" i="6"/>
  <c r="I4" i="6"/>
  <c r="L4" i="6" s="1"/>
  <c r="P4" i="6" s="1"/>
  <c r="P39" i="6" s="1"/>
  <c r="P84" i="6" s="1"/>
  <c r="L3" i="6"/>
  <c r="I3" i="6"/>
  <c r="H3" i="6"/>
  <c r="H39" i="6" s="1"/>
  <c r="J4" i="2"/>
  <c r="K39" i="6" l="1"/>
  <c r="M39" i="6"/>
  <c r="M84" i="6" s="1"/>
  <c r="L12" i="6"/>
  <c r="L39" i="6" s="1"/>
  <c r="I39" i="6"/>
  <c r="J39" i="6"/>
  <c r="U39" i="6"/>
  <c r="U84" i="6" s="1"/>
  <c r="R26" i="6"/>
  <c r="S27" i="6"/>
  <c r="V3" i="6"/>
  <c r="V25" i="2"/>
  <c r="Y28" i="2"/>
  <c r="AA28" i="2" s="1"/>
  <c r="Y26" i="2"/>
  <c r="L84" i="6" l="1"/>
  <c r="L40" i="6"/>
  <c r="V39" i="6"/>
  <c r="V84" i="6" s="1"/>
  <c r="R3" i="6"/>
  <c r="R39" i="6" s="1"/>
  <c r="R27" i="6"/>
  <c r="S39" i="6"/>
  <c r="S84" i="6" s="1"/>
  <c r="I84" i="6"/>
  <c r="Q28" i="2"/>
  <c r="V28" i="2"/>
  <c r="Z28" i="2" s="1"/>
  <c r="AB28" i="2" s="1"/>
  <c r="I40" i="6" l="1"/>
  <c r="I42" i="6" s="1"/>
  <c r="I43" i="6" s="1"/>
  <c r="R40" i="6"/>
  <c r="R84" i="6"/>
  <c r="V31" i="2"/>
  <c r="V62" i="2" l="1"/>
  <c r="Z62" i="2" s="1"/>
  <c r="AB62" i="2" s="1"/>
  <c r="W62" i="2"/>
  <c r="AA62" i="2" s="1"/>
  <c r="AC62" i="2" s="1"/>
  <c r="AC28" i="2" l="1"/>
  <c r="Y25" i="2"/>
  <c r="W8" i="2"/>
  <c r="W10" i="2"/>
  <c r="W11" i="2"/>
  <c r="W12" i="2"/>
  <c r="W13" i="2"/>
  <c r="W14" i="2"/>
  <c r="W15" i="2"/>
  <c r="W17" i="2"/>
  <c r="W25" i="2"/>
  <c r="W26" i="2"/>
  <c r="W29" i="2"/>
  <c r="W33" i="2"/>
  <c r="W35" i="2"/>
  <c r="W41" i="2"/>
  <c r="W38" i="2"/>
  <c r="W39" i="2"/>
  <c r="V63" i="2"/>
  <c r="V70" i="2"/>
  <c r="V69" i="2"/>
  <c r="V57" i="2"/>
  <c r="V61" i="2"/>
  <c r="V59" i="2"/>
  <c r="V56" i="2"/>
  <c r="V39" i="2"/>
  <c r="V38" i="2"/>
  <c r="V41" i="2"/>
  <c r="V40" i="2"/>
  <c r="V35" i="2"/>
  <c r="V29" i="2"/>
  <c r="V26" i="2"/>
  <c r="V15" i="2"/>
  <c r="V14" i="2"/>
  <c r="V13" i="2"/>
  <c r="V12" i="2"/>
  <c r="V11" i="2"/>
  <c r="V10" i="2"/>
  <c r="V9" i="2"/>
  <c r="V7" i="2"/>
  <c r="V6" i="2"/>
  <c r="V17" i="2"/>
  <c r="V16" i="2"/>
  <c r="W16" i="2"/>
  <c r="W32" i="2" l="1"/>
  <c r="W31" i="2"/>
  <c r="V33" i="2"/>
  <c r="V32" i="2"/>
  <c r="Z26" i="2" l="1"/>
  <c r="AB26" i="2" s="1"/>
  <c r="AA26" i="2"/>
  <c r="AC26" i="2" s="1"/>
  <c r="Z25" i="2"/>
  <c r="AB25" i="2" s="1"/>
  <c r="AA25" i="2"/>
  <c r="AC25" i="2" s="1"/>
  <c r="H41" i="2" l="1"/>
  <c r="H44" i="2" s="1"/>
  <c r="I41" i="2"/>
  <c r="I39" i="2"/>
  <c r="I44" i="2" s="1"/>
  <c r="AA60" i="2" l="1"/>
  <c r="AC60" i="2" s="1"/>
  <c r="Z60" i="2"/>
  <c r="AB60" i="2" s="1"/>
  <c r="Q40" i="2"/>
  <c r="W70" i="2" l="1"/>
  <c r="W57" i="2"/>
  <c r="AA57" i="2" s="1"/>
  <c r="AC57" i="2" s="1"/>
  <c r="W63" i="2"/>
  <c r="W69" i="2"/>
  <c r="W59" i="2"/>
  <c r="AA59" i="2" s="1"/>
  <c r="AC59" i="2" s="1"/>
  <c r="W61" i="2"/>
  <c r="AA61" i="2" s="1"/>
  <c r="AC61" i="2" s="1"/>
  <c r="Z57" i="2"/>
  <c r="AB57" i="2" s="1"/>
  <c r="Z59" i="2"/>
  <c r="AB59" i="2" s="1"/>
  <c r="Z61" i="2"/>
  <c r="AB61" i="2" s="1"/>
  <c r="W56" i="2"/>
  <c r="AA39" i="2" l="1"/>
  <c r="AC39" i="2" s="1"/>
  <c r="Z39" i="2"/>
  <c r="AB39" i="2" s="1"/>
  <c r="J39" i="2"/>
  <c r="K39" i="2"/>
  <c r="Q69" i="2" l="1"/>
  <c r="Q59" i="2"/>
  <c r="AA17" i="2" l="1"/>
  <c r="AC17" i="2" s="1"/>
  <c r="Z17" i="2"/>
  <c r="AB17" i="2" s="1"/>
  <c r="Q17" i="2"/>
  <c r="K17" i="2"/>
  <c r="J17" i="2"/>
  <c r="V25" i="1" l="1"/>
  <c r="U20" i="1"/>
  <c r="T20" i="1"/>
  <c r="I20" i="1"/>
  <c r="B20" i="1"/>
  <c r="B18" i="1"/>
  <c r="D17" i="1"/>
  <c r="U14" i="1"/>
  <c r="T14" i="1"/>
  <c r="S14" i="1"/>
  <c r="I14" i="1"/>
  <c r="G14" i="1"/>
  <c r="E14" i="1"/>
  <c r="B14" i="1"/>
  <c r="U10" i="1"/>
  <c r="T10" i="1"/>
  <c r="S10" i="1"/>
  <c r="R10" i="1"/>
  <c r="O10" i="1"/>
  <c r="I10" i="1"/>
  <c r="H10" i="1"/>
  <c r="G10" i="1"/>
  <c r="F10" i="1"/>
  <c r="E10" i="1"/>
  <c r="B10" i="1"/>
  <c r="V9" i="1"/>
  <c r="V10" i="1" s="1"/>
  <c r="V8" i="1"/>
  <c r="H44" i="3"/>
  <c r="G44" i="3"/>
  <c r="F44" i="3"/>
  <c r="E44" i="3"/>
  <c r="D44" i="3"/>
  <c r="C44" i="3"/>
  <c r="B44" i="3"/>
  <c r="A44" i="3"/>
  <c r="H43" i="3"/>
  <c r="G43" i="3"/>
  <c r="F43" i="3"/>
  <c r="E43" i="3"/>
  <c r="D43" i="3"/>
  <c r="C43" i="3"/>
  <c r="B43" i="3"/>
  <c r="A43" i="3"/>
  <c r="H42" i="3"/>
  <c r="G42" i="3"/>
  <c r="F42" i="3"/>
  <c r="E42" i="3"/>
  <c r="D42" i="3"/>
  <c r="C42" i="3"/>
  <c r="B42" i="3"/>
  <c r="A42" i="3"/>
  <c r="H41" i="3"/>
  <c r="G41" i="3"/>
  <c r="F41" i="3"/>
  <c r="E41" i="3"/>
  <c r="D41" i="3"/>
  <c r="C41" i="3"/>
  <c r="B41" i="3"/>
  <c r="A41" i="3"/>
  <c r="H40" i="3"/>
  <c r="G40" i="3"/>
  <c r="F40" i="3"/>
  <c r="E40" i="3"/>
  <c r="D40" i="3"/>
  <c r="C40" i="3"/>
  <c r="B40" i="3"/>
  <c r="A40" i="3"/>
  <c r="H39" i="3"/>
  <c r="G39" i="3"/>
  <c r="F39" i="3"/>
  <c r="E39" i="3"/>
  <c r="D39" i="3"/>
  <c r="C39" i="3"/>
  <c r="B39" i="3"/>
  <c r="A39" i="3"/>
  <c r="H38" i="3"/>
  <c r="G38" i="3"/>
  <c r="F38" i="3"/>
  <c r="E38" i="3"/>
  <c r="D38" i="3"/>
  <c r="C38" i="3"/>
  <c r="B38" i="3"/>
  <c r="A38" i="3"/>
  <c r="H37" i="3"/>
  <c r="G37" i="3"/>
  <c r="F37" i="3"/>
  <c r="E37" i="3"/>
  <c r="D37" i="3"/>
  <c r="C37" i="3"/>
  <c r="B37" i="3"/>
  <c r="A37" i="3"/>
  <c r="H36" i="3"/>
  <c r="G36" i="3"/>
  <c r="F36" i="3"/>
  <c r="E36" i="3"/>
  <c r="D36" i="3"/>
  <c r="C36" i="3"/>
  <c r="B36" i="3"/>
  <c r="A36" i="3"/>
  <c r="H35" i="3"/>
  <c r="G35" i="3"/>
  <c r="F35" i="3"/>
  <c r="E35" i="3"/>
  <c r="D35" i="3"/>
  <c r="C35" i="3"/>
  <c r="B35" i="3"/>
  <c r="A35" i="3"/>
  <c r="H34" i="3"/>
  <c r="G34" i="3"/>
  <c r="F34" i="3"/>
  <c r="E34" i="3"/>
  <c r="D34" i="3"/>
  <c r="C34" i="3"/>
  <c r="B34" i="3"/>
  <c r="A34" i="3"/>
  <c r="H33" i="3"/>
  <c r="G33" i="3"/>
  <c r="F33" i="3"/>
  <c r="E33" i="3"/>
  <c r="D33" i="3"/>
  <c r="C33" i="3"/>
  <c r="B33" i="3"/>
  <c r="A33" i="3"/>
  <c r="H32" i="3"/>
  <c r="G32" i="3"/>
  <c r="F32" i="3"/>
  <c r="E32" i="3"/>
  <c r="D32" i="3"/>
  <c r="C32" i="3"/>
  <c r="B32" i="3"/>
  <c r="A32" i="3"/>
  <c r="H31" i="3"/>
  <c r="G31" i="3"/>
  <c r="F31" i="3"/>
  <c r="E31" i="3"/>
  <c r="D31" i="3"/>
  <c r="C31" i="3"/>
  <c r="A31" i="3"/>
  <c r="H30" i="3"/>
  <c r="G30" i="3"/>
  <c r="F30" i="3"/>
  <c r="E30" i="3"/>
  <c r="D30" i="3"/>
  <c r="C30" i="3"/>
  <c r="B30" i="3"/>
  <c r="A30" i="3"/>
  <c r="H29" i="3"/>
  <c r="G29" i="3"/>
  <c r="F29" i="3"/>
  <c r="E29" i="3"/>
  <c r="D29" i="3"/>
  <c r="C29" i="3"/>
  <c r="B29" i="3"/>
  <c r="A29" i="3"/>
  <c r="H28" i="3"/>
  <c r="G28" i="3"/>
  <c r="F28" i="3"/>
  <c r="E28" i="3"/>
  <c r="D28" i="3"/>
  <c r="C28" i="3"/>
  <c r="A28" i="3"/>
  <c r="H27" i="3"/>
  <c r="G27" i="3"/>
  <c r="F27" i="3"/>
  <c r="E27" i="3"/>
  <c r="D27" i="3"/>
  <c r="C27" i="3"/>
  <c r="A27" i="3"/>
  <c r="H26" i="3"/>
  <c r="G26" i="3"/>
  <c r="F26" i="3"/>
  <c r="E26" i="3"/>
  <c r="D26" i="3"/>
  <c r="C26" i="3"/>
  <c r="B26" i="3"/>
  <c r="A26" i="3"/>
  <c r="H25" i="3"/>
  <c r="G25" i="3"/>
  <c r="F25" i="3"/>
  <c r="E25" i="3"/>
  <c r="D25" i="3"/>
  <c r="C25" i="3"/>
  <c r="A25" i="3"/>
  <c r="H24" i="3"/>
  <c r="G24" i="3"/>
  <c r="F24" i="3"/>
  <c r="E24" i="3"/>
  <c r="D24" i="3"/>
  <c r="C24" i="3"/>
  <c r="A24" i="3"/>
  <c r="H23" i="3"/>
  <c r="G23" i="3"/>
  <c r="F23" i="3"/>
  <c r="E23" i="3"/>
  <c r="D23" i="3"/>
  <c r="C23" i="3"/>
  <c r="A23" i="3"/>
  <c r="H22" i="3"/>
  <c r="G22" i="3"/>
  <c r="F22" i="3"/>
  <c r="E22" i="3"/>
  <c r="D22" i="3"/>
  <c r="C22" i="3"/>
  <c r="A22" i="3"/>
  <c r="H21" i="3"/>
  <c r="G21" i="3"/>
  <c r="F21" i="3"/>
  <c r="E21" i="3"/>
  <c r="D21" i="3"/>
  <c r="C21" i="3"/>
  <c r="B21" i="3"/>
  <c r="A21" i="3"/>
  <c r="H20" i="3"/>
  <c r="G20" i="3"/>
  <c r="F20" i="3"/>
  <c r="E20" i="3"/>
  <c r="D20" i="3"/>
  <c r="C20" i="3"/>
  <c r="A20" i="3"/>
  <c r="H19" i="3"/>
  <c r="G19" i="3"/>
  <c r="F19" i="3"/>
  <c r="E19" i="3"/>
  <c r="D19" i="3"/>
  <c r="C19" i="3"/>
  <c r="A19" i="3"/>
  <c r="H18" i="3"/>
  <c r="G18" i="3"/>
  <c r="F18" i="3"/>
  <c r="E18" i="3"/>
  <c r="D18" i="3"/>
  <c r="C18" i="3"/>
  <c r="A18" i="3"/>
  <c r="H17" i="3"/>
  <c r="G17" i="3"/>
  <c r="F17" i="3"/>
  <c r="E17" i="3"/>
  <c r="D17" i="3"/>
  <c r="C17" i="3"/>
  <c r="B17" i="3"/>
  <c r="A17" i="3"/>
  <c r="H16" i="3"/>
  <c r="G16" i="3"/>
  <c r="F16" i="3"/>
  <c r="E16" i="3"/>
  <c r="D16" i="3"/>
  <c r="C16" i="3"/>
  <c r="A16" i="3"/>
  <c r="H15" i="3"/>
  <c r="G15" i="3"/>
  <c r="F15" i="3"/>
  <c r="E15" i="3"/>
  <c r="D15" i="3"/>
  <c r="C15" i="3"/>
  <c r="A15" i="3"/>
  <c r="H14" i="3"/>
  <c r="G14" i="3"/>
  <c r="F14" i="3"/>
  <c r="E14" i="3"/>
  <c r="D14" i="3"/>
  <c r="C14" i="3"/>
  <c r="A14" i="3"/>
  <c r="H13" i="3"/>
  <c r="G13" i="3"/>
  <c r="F13" i="3"/>
  <c r="E13" i="3"/>
  <c r="D13" i="3"/>
  <c r="C13" i="3"/>
  <c r="A13" i="3"/>
  <c r="H12" i="3"/>
  <c r="G12" i="3"/>
  <c r="F12" i="3"/>
  <c r="E12" i="3"/>
  <c r="D12" i="3"/>
  <c r="C12" i="3"/>
  <c r="A12" i="3"/>
  <c r="H11" i="3"/>
  <c r="G11" i="3"/>
  <c r="F11" i="3"/>
  <c r="E11" i="3"/>
  <c r="D11" i="3"/>
  <c r="C11" i="3"/>
  <c r="A11" i="3"/>
  <c r="H10" i="3"/>
  <c r="G10" i="3"/>
  <c r="F10" i="3"/>
  <c r="E10" i="3"/>
  <c r="D10" i="3"/>
  <c r="C10" i="3"/>
  <c r="A10" i="3"/>
  <c r="H9" i="3"/>
  <c r="G9" i="3"/>
  <c r="F9" i="3"/>
  <c r="E9" i="3"/>
  <c r="D9" i="3"/>
  <c r="C9" i="3"/>
  <c r="A9" i="3"/>
  <c r="H8" i="3"/>
  <c r="G8" i="3"/>
  <c r="F8" i="3"/>
  <c r="E8" i="3"/>
  <c r="D8" i="3"/>
  <c r="C8" i="3"/>
  <c r="A8" i="3"/>
  <c r="H7" i="3"/>
  <c r="G7" i="3"/>
  <c r="F7" i="3"/>
  <c r="E7" i="3"/>
  <c r="D7" i="3"/>
  <c r="C7" i="3"/>
  <c r="A7" i="3"/>
  <c r="H6" i="3"/>
  <c r="G6" i="3"/>
  <c r="F6" i="3"/>
  <c r="E6" i="3"/>
  <c r="D6" i="3"/>
  <c r="C6" i="3"/>
  <c r="A6" i="3"/>
  <c r="H5" i="3"/>
  <c r="G5" i="3"/>
  <c r="F5" i="3"/>
  <c r="E5" i="3"/>
  <c r="D5" i="3"/>
  <c r="C5" i="3"/>
  <c r="A5" i="3"/>
  <c r="H4" i="3"/>
  <c r="G4" i="3"/>
  <c r="F4" i="3"/>
  <c r="E4" i="3"/>
  <c r="D4" i="3"/>
  <c r="C4" i="3"/>
  <c r="A4" i="3"/>
  <c r="H3" i="3"/>
  <c r="G3" i="3"/>
  <c r="F3" i="3"/>
  <c r="E3" i="3"/>
  <c r="D3" i="3"/>
  <c r="C3" i="3"/>
  <c r="B3" i="3"/>
  <c r="A3" i="3"/>
  <c r="AA38" i="2"/>
  <c r="Z38" i="2"/>
  <c r="U38" i="2"/>
  <c r="Q38" i="2"/>
  <c r="K38" i="2"/>
  <c r="J38" i="2"/>
  <c r="Q56" i="2"/>
  <c r="H56" i="2"/>
  <c r="Q35" i="2"/>
  <c r="I35" i="2"/>
  <c r="I37" i="2" s="1"/>
  <c r="H35" i="2"/>
  <c r="H37" i="2" s="1"/>
  <c r="Q41" i="2"/>
  <c r="Q33" i="2"/>
  <c r="Q32" i="2"/>
  <c r="Q31" i="2"/>
  <c r="I31" i="2"/>
  <c r="I34" i="2" s="1"/>
  <c r="H31" i="2"/>
  <c r="H34" i="2" s="1"/>
  <c r="AC29" i="2"/>
  <c r="Q26" i="2"/>
  <c r="K26" i="2"/>
  <c r="J26" i="2"/>
  <c r="Q25" i="2"/>
  <c r="K25" i="2"/>
  <c r="J25" i="2"/>
  <c r="AA16" i="2"/>
  <c r="AC16" i="2" s="1"/>
  <c r="Z16" i="2"/>
  <c r="AB16" i="2" s="1"/>
  <c r="Q16" i="2"/>
  <c r="K16" i="2"/>
  <c r="J16" i="2"/>
  <c r="AA15" i="2"/>
  <c r="AC15" i="2" s="1"/>
  <c r="Z15" i="2"/>
  <c r="AB15" i="2" s="1"/>
  <c r="Q15" i="2"/>
  <c r="K15" i="2"/>
  <c r="J15" i="2"/>
  <c r="AA14" i="2"/>
  <c r="AC14" i="2" s="1"/>
  <c r="Z14" i="2"/>
  <c r="AB14" i="2" s="1"/>
  <c r="Q14" i="2"/>
  <c r="K14" i="2"/>
  <c r="J14" i="2"/>
  <c r="AA13" i="2"/>
  <c r="AC13" i="2" s="1"/>
  <c r="Z13" i="2"/>
  <c r="AB13" i="2" s="1"/>
  <c r="Q13" i="2"/>
  <c r="K13" i="2"/>
  <c r="J13" i="2"/>
  <c r="AA12" i="2"/>
  <c r="AC12" i="2" s="1"/>
  <c r="Z12" i="2"/>
  <c r="AB12" i="2" s="1"/>
  <c r="Q12" i="2"/>
  <c r="K12" i="2"/>
  <c r="J12" i="2"/>
  <c r="AA11" i="2"/>
  <c r="AC11" i="2" s="1"/>
  <c r="Z11" i="2"/>
  <c r="AB11" i="2" s="1"/>
  <c r="Q11" i="2"/>
  <c r="K11" i="2"/>
  <c r="J11" i="2"/>
  <c r="AA10" i="2"/>
  <c r="AC10" i="2" s="1"/>
  <c r="Z10" i="2"/>
  <c r="Q10" i="2"/>
  <c r="K10" i="2"/>
  <c r="J10" i="2"/>
  <c r="Z9" i="2"/>
  <c r="P9" i="2"/>
  <c r="K9" i="2"/>
  <c r="J9" i="2"/>
  <c r="T8" i="2"/>
  <c r="S8" i="2"/>
  <c r="N8" i="2"/>
  <c r="K8" i="2"/>
  <c r="J8" i="2"/>
  <c r="S5" i="2"/>
  <c r="N5" i="2"/>
  <c r="V5" i="2" s="1"/>
  <c r="T4" i="2"/>
  <c r="S4" i="2"/>
  <c r="P4" i="2"/>
  <c r="N4" i="2"/>
  <c r="V4" i="2" s="1"/>
  <c r="J30" i="2" l="1"/>
  <c r="J19" i="2"/>
  <c r="W9" i="2"/>
  <c r="AA9" i="2" s="1"/>
  <c r="AC9" i="2" s="1"/>
  <c r="W4" i="2"/>
  <c r="AA4" i="2" s="1"/>
  <c r="AC4" i="2" s="1"/>
  <c r="V8" i="2"/>
  <c r="Z8" i="2" s="1"/>
  <c r="Z56" i="2"/>
  <c r="AB56" i="2" s="1"/>
  <c r="AA56" i="2"/>
  <c r="AC56" i="2" s="1"/>
  <c r="J35" i="2"/>
  <c r="J37" i="2" s="1"/>
  <c r="Z41" i="2"/>
  <c r="AD41" i="2" s="1"/>
  <c r="AE41" i="2" s="1"/>
  <c r="Z35" i="2"/>
  <c r="AB35" i="2" s="1"/>
  <c r="U8" i="2"/>
  <c r="Q9" i="2"/>
  <c r="K31" i="2"/>
  <c r="I56" i="2"/>
  <c r="K56" i="2" s="1"/>
  <c r="U4" i="2"/>
  <c r="AA31" i="2"/>
  <c r="AC31" i="2" s="1"/>
  <c r="AA41" i="2"/>
  <c r="AF41" i="2" s="1"/>
  <c r="AG41" i="2" s="1"/>
  <c r="AF14" i="2"/>
  <c r="AG14" i="2" s="1"/>
  <c r="AD14" i="2"/>
  <c r="AE14" i="2" s="1"/>
  <c r="AB10" i="2"/>
  <c r="Z4" i="2"/>
  <c r="Q4" i="2"/>
  <c r="AB38" i="2"/>
  <c r="AD38" i="2"/>
  <c r="AE38" i="2" s="1"/>
  <c r="Q8" i="2"/>
  <c r="AA8" i="2"/>
  <c r="AC8" i="2" s="1"/>
  <c r="AD9" i="2"/>
  <c r="AE9" i="2" s="1"/>
  <c r="AB9" i="2"/>
  <c r="AC38" i="2"/>
  <c r="AF38" i="2"/>
  <c r="AG38" i="2" s="1"/>
  <c r="J31" i="2"/>
  <c r="J34" i="2" s="1"/>
  <c r="AA35" i="2"/>
  <c r="AC35" i="2" s="1"/>
  <c r="Z31" i="2"/>
  <c r="AB31" i="2" s="1"/>
  <c r="J41" i="2"/>
  <c r="J44" i="2" s="1"/>
  <c r="K35" i="2"/>
  <c r="AB8" i="2" l="1"/>
  <c r="AD8" i="2"/>
  <c r="AE8" i="2" s="1"/>
  <c r="AB41" i="2"/>
  <c r="AF9" i="2"/>
  <c r="AG9" i="2" s="1"/>
  <c r="AF4" i="2"/>
  <c r="AG4" i="2" s="1"/>
  <c r="J56" i="2"/>
  <c r="AC41" i="2"/>
  <c r="AF8" i="2"/>
  <c r="AG8" i="2" s="1"/>
  <c r="AB4" i="2"/>
  <c r="AD4" i="2"/>
  <c r="AE4" i="2" s="1"/>
  <c r="K4" i="2" l="1"/>
</calcChain>
</file>

<file path=xl/comments1.xml><?xml version="1.0" encoding="utf-8"?>
<comments xmlns="http://schemas.openxmlformats.org/spreadsheetml/2006/main">
  <authors>
    <author>Toshi</author>
  </authors>
  <commentList>
    <comment ref="I6" authorId="0" shapeId="0">
      <text>
        <r>
          <rPr>
            <b/>
            <sz val="9"/>
            <color indexed="81"/>
            <rFont val="Tahoma"/>
            <family val="2"/>
          </rPr>
          <t xml:space="preserve">On Hold
</t>
        </r>
      </text>
    </comment>
  </commentList>
</comments>
</file>

<file path=xl/comments2.xml><?xml version="1.0" encoding="utf-8"?>
<comments xmlns="http://schemas.openxmlformats.org/spreadsheetml/2006/main">
  <authors>
    <author>Ish Tripathi</author>
  </authors>
  <commentList>
    <comment ref="B6" authorId="0" shapeId="0">
      <text>
        <r>
          <rPr>
            <b/>
            <sz val="9"/>
            <color indexed="81"/>
            <rFont val="Tahoma"/>
            <family val="2"/>
          </rPr>
          <t xml:space="preserve">Functional Testing
UAT Testing
</t>
        </r>
        <r>
          <rPr>
            <sz val="9"/>
            <color indexed="81"/>
            <rFont val="Tahoma"/>
            <family val="2"/>
          </rPr>
          <t xml:space="preserve">
</t>
        </r>
      </text>
    </comment>
  </commentList>
</comments>
</file>

<file path=xl/sharedStrings.xml><?xml version="1.0" encoding="utf-8"?>
<sst xmlns="http://schemas.openxmlformats.org/spreadsheetml/2006/main" count="938" uniqueCount="560">
  <si>
    <t>HEAD</t>
  </si>
  <si>
    <t>RPA PROJECTS</t>
  </si>
  <si>
    <t>SCOPE TRADE</t>
  </si>
  <si>
    <t>SCOPE Rel ID</t>
  </si>
  <si>
    <t>PO Value</t>
  </si>
  <si>
    <t>Resource Utilization Variance</t>
  </si>
  <si>
    <t>Budgeted Overheads Cost</t>
  </si>
  <si>
    <t>Actual Overheads Cost</t>
  </si>
  <si>
    <t>Project Percentage Completed</t>
  </si>
  <si>
    <t>ID CREATION</t>
  </si>
  <si>
    <t>SBC</t>
  </si>
  <si>
    <t>RxCCR</t>
  </si>
  <si>
    <t>OPTUM GLOBAL SOLUTION</t>
  </si>
  <si>
    <t>Charge Reversal</t>
  </si>
  <si>
    <t>CORP-Cust ID</t>
  </si>
  <si>
    <t>Reversal of Charges</t>
  </si>
  <si>
    <t>Fund Authorization</t>
  </si>
  <si>
    <t xml:space="preserve">CMS Master Setup </t>
  </si>
  <si>
    <t>SCOPE</t>
  </si>
  <si>
    <t>Metro Bank</t>
  </si>
  <si>
    <t>Project Overall Margin (Planned)</t>
  </si>
  <si>
    <t>Project Overall Margin (Actual)</t>
  </si>
  <si>
    <t>ICICI PO I</t>
  </si>
  <si>
    <t>ICICI PO II</t>
  </si>
  <si>
    <t>Billing Done till date</t>
  </si>
  <si>
    <t>Revenue Achieved (%)</t>
  </si>
  <si>
    <t>Budgeted efforts (Man-days)</t>
  </si>
  <si>
    <t>Project Overall Margin (Planned) %</t>
  </si>
  <si>
    <t>Project Overall Margin (Actual) %</t>
  </si>
  <si>
    <t>CCO/0023</t>
  </si>
  <si>
    <t>CCO/0024</t>
  </si>
  <si>
    <t>CCO/0026</t>
  </si>
  <si>
    <t>CCO/0025</t>
  </si>
  <si>
    <t>CCO/0021</t>
  </si>
  <si>
    <t>ICICI PO III</t>
  </si>
  <si>
    <t>CCO/0018</t>
  </si>
  <si>
    <t>CCO/0020</t>
  </si>
  <si>
    <t>CCO/0022</t>
  </si>
  <si>
    <t>CCO/0028</t>
  </si>
  <si>
    <t>PNSO - 
CCI</t>
  </si>
  <si>
    <t>PNSO - 
GLO</t>
  </si>
  <si>
    <t>Charge 
Back</t>
  </si>
  <si>
    <t>ECS 
Debit</t>
  </si>
  <si>
    <t>ATM 
Dispute I</t>
  </si>
  <si>
    <t>FCRM 
Loan</t>
  </si>
  <si>
    <t>ATM 
Dispute II</t>
  </si>
  <si>
    <t>SCOPE 
FM</t>
  </si>
  <si>
    <t>UHCG</t>
  </si>
  <si>
    <t>CCO/0009</t>
  </si>
  <si>
    <t>Salary Overhead</t>
  </si>
  <si>
    <t>Actual Project Start Date</t>
  </si>
  <si>
    <t>Planned Project Completion Date</t>
  </si>
  <si>
    <t>On Hold</t>
  </si>
  <si>
    <t>GIC Mgmt Console</t>
  </si>
  <si>
    <t>Cross Sell/Up Sell</t>
  </si>
  <si>
    <t>Celcom Support</t>
  </si>
  <si>
    <t>PNSO - AUTHOR/MPQ</t>
  </si>
  <si>
    <t>Change Request</t>
  </si>
  <si>
    <t>Revised Start Date</t>
  </si>
  <si>
    <t>-</t>
  </si>
  <si>
    <t>Actual effort (Man-days) - Overall</t>
  </si>
  <si>
    <t>Revised effort (Man-days) from 26 Aug'16</t>
  </si>
  <si>
    <t>Actual effort (Man-days) till 8th Nov 2016</t>
  </si>
  <si>
    <t>Project Duration in weeks</t>
  </si>
  <si>
    <t>10 weeks</t>
  </si>
  <si>
    <t>10 weeks / 
8 weeks</t>
  </si>
  <si>
    <t>8.5 weeks</t>
  </si>
  <si>
    <t>9.2 weeks</t>
  </si>
  <si>
    <t>7 weeks</t>
  </si>
  <si>
    <t>5 Weeks</t>
  </si>
  <si>
    <t>6.4 Weeks</t>
  </si>
  <si>
    <t>7.3 Weeks</t>
  </si>
  <si>
    <t>7.1 Weeks</t>
  </si>
  <si>
    <t>PROCESS NAME</t>
  </si>
  <si>
    <t>ACTUAL EFFORT BURNT
(MAN DAYS)</t>
  </si>
  <si>
    <t>PNSO - CCI</t>
  </si>
  <si>
    <t>PNSO - GLO</t>
  </si>
  <si>
    <t>ID Creation</t>
  </si>
  <si>
    <t>START DATE (ACTUAL)</t>
  </si>
  <si>
    <t>REVENUE ACHIEVED (%)</t>
  </si>
  <si>
    <t>BILLING DONE TILL DATE</t>
  </si>
  <si>
    <t>PO VALUE</t>
  </si>
  <si>
    <t>ACTUAL EFFORT BURNT
(MAN DAYS)-OVERALL</t>
  </si>
  <si>
    <t>REVISED START DATE (PLANNED)</t>
  </si>
  <si>
    <t>REVISED EFFORT + CR
(MAN DAYS)</t>
  </si>
  <si>
    <t>BUDGETED OVERHEAD COST</t>
  </si>
  <si>
    <t>ACTUAL OVERHEAD COST</t>
  </si>
  <si>
    <t>PROJECT OVERALL MARGIN (PLANNED)</t>
  </si>
  <si>
    <t>PROJECT OVERALL MARGIN (ACTUAL)</t>
  </si>
  <si>
    <t>PROJECT OVERALL MARGIN (PLANNED) %</t>
  </si>
  <si>
    <t>PROJECT OVERALL MARGIN (ACTUAL) %</t>
  </si>
  <si>
    <t>OVERHEADS</t>
  </si>
  <si>
    <t>REVENUE</t>
  </si>
  <si>
    <t>REVISED EFFORT</t>
  </si>
  <si>
    <t>PROJECT CODE</t>
  </si>
  <si>
    <t>% RESOURCE UTILIZATION</t>
  </si>
  <si>
    <t>PNSO - Author</t>
  </si>
  <si>
    <t>PNSO-MPQ</t>
  </si>
  <si>
    <t>SALARY</t>
  </si>
  <si>
    <t xml:space="preserve"> PROJECT  COMPLETION %</t>
  </si>
  <si>
    <t>ACTUAL - OVERALL EFFORT</t>
  </si>
  <si>
    <r>
      <t xml:space="preserve">BUDGETED SALARY EXPENSE
</t>
    </r>
    <r>
      <rPr>
        <b/>
        <sz val="7"/>
        <color rgb="FFFFFFFF"/>
        <rFont val="Arial"/>
        <family val="2"/>
      </rPr>
      <t>(ACTUAL PLANNED EFFORT*PER MAN DAY RATE)</t>
    </r>
  </si>
  <si>
    <r>
      <t xml:space="preserve">ACTUAL SALARY COST
</t>
    </r>
    <r>
      <rPr>
        <b/>
        <sz val="7"/>
        <color rgb="FFFFFFFF"/>
        <rFont val="Arial"/>
        <family val="2"/>
      </rPr>
      <t>(ACTUAL EFFORT*PER MAN DAY RATE)</t>
    </r>
  </si>
  <si>
    <t>PLANNED PER DAY MARGIN (INR)</t>
  </si>
  <si>
    <t>PLANNED PER DAY MARGIN (USD)</t>
  </si>
  <si>
    <t>ACTUAL PER DAY MARGIN (USD)</t>
  </si>
  <si>
    <t>ACTUAL PER DAY MARGIN (INR)</t>
  </si>
  <si>
    <t>PER DAY MARGIN</t>
  </si>
  <si>
    <t>MARGIN %</t>
  </si>
  <si>
    <t>Resources</t>
  </si>
  <si>
    <t>Working days-Training, leave</t>
  </si>
  <si>
    <t>No. of Productivity</t>
  </si>
  <si>
    <t>Averange billing</t>
  </si>
  <si>
    <t>Deepak</t>
  </si>
  <si>
    <t>Department Expenses</t>
  </si>
  <si>
    <t>ICICI</t>
  </si>
  <si>
    <t>BUDGETED EFFORT
(MAN DAYS) with CR</t>
  </si>
  <si>
    <t>BUDGETED EFFORT
(MAN DAYS) without CR</t>
  </si>
  <si>
    <t>Client</t>
  </si>
  <si>
    <t>Optum</t>
  </si>
  <si>
    <t>Scope</t>
  </si>
  <si>
    <t>Cost Per employee</t>
  </si>
  <si>
    <t>RPA</t>
  </si>
  <si>
    <t>IFB</t>
  </si>
  <si>
    <t>CCO/0036</t>
  </si>
  <si>
    <t>UMR</t>
  </si>
  <si>
    <t>M&amp;R Claims</t>
  </si>
  <si>
    <t>E&amp;I</t>
  </si>
  <si>
    <t>SMS Missing</t>
  </si>
  <si>
    <t>CCO/0040</t>
  </si>
  <si>
    <t>CCO/0048</t>
  </si>
  <si>
    <t>CCO/0038</t>
  </si>
  <si>
    <t xml:space="preserve">M&amp;R UBH </t>
  </si>
  <si>
    <t>CCO/0051</t>
  </si>
  <si>
    <t>CCO/0049</t>
  </si>
  <si>
    <t>CCO/0050</t>
  </si>
  <si>
    <t>NIIT</t>
  </si>
  <si>
    <t>MSTD</t>
  </si>
  <si>
    <t>Nostro</t>
  </si>
  <si>
    <t>Payment Gateway</t>
  </si>
  <si>
    <t>EEFC</t>
  </si>
  <si>
    <t>Salary Processing</t>
  </si>
  <si>
    <t>CCO/0043</t>
  </si>
  <si>
    <t>CCO/0044</t>
  </si>
  <si>
    <t>CCO/0045</t>
  </si>
  <si>
    <t>CCO/0046</t>
  </si>
  <si>
    <t>FADV</t>
  </si>
  <si>
    <t>CCO/0058</t>
  </si>
  <si>
    <t>CCO/0039</t>
  </si>
  <si>
    <t>Billing</t>
  </si>
  <si>
    <t>TOPs</t>
  </si>
  <si>
    <t>Chiro</t>
  </si>
  <si>
    <t>CCO/0059</t>
  </si>
  <si>
    <t>CCO/0061</t>
  </si>
  <si>
    <t>CCO/0060</t>
  </si>
  <si>
    <t>Kotak-II</t>
  </si>
  <si>
    <t>Kotak-I</t>
  </si>
  <si>
    <t>POC</t>
  </si>
  <si>
    <t>E&amp;I Support</t>
  </si>
  <si>
    <t>Others</t>
  </si>
  <si>
    <t>Oman Arab Bank</t>
  </si>
  <si>
    <t>CCO/0062</t>
  </si>
  <si>
    <t>Benline</t>
  </si>
  <si>
    <t>IMPS and UPI Comp.</t>
  </si>
  <si>
    <t>OneIndia</t>
  </si>
  <si>
    <t>Courts</t>
  </si>
  <si>
    <t>Panasonic</t>
  </si>
  <si>
    <t>Completed</t>
  </si>
  <si>
    <t>Hold</t>
  </si>
  <si>
    <t>UAT-15th Jan'18</t>
  </si>
  <si>
    <t>Current Phase</t>
  </si>
  <si>
    <t>Dev</t>
  </si>
  <si>
    <t>PROJECT END DATE</t>
  </si>
  <si>
    <t xml:space="preserve"> CURRENT PHASE COMPLETION DATE (EXPECTED)</t>
  </si>
  <si>
    <t>CURRENT PHASE</t>
  </si>
  <si>
    <t>BILLING PENDING</t>
  </si>
  <si>
    <t>CLIENT</t>
  </si>
  <si>
    <t>OWNER</t>
  </si>
  <si>
    <t>ATM Recon</t>
  </si>
  <si>
    <t>POS Complaints</t>
  </si>
  <si>
    <t>CRN Insta Kits</t>
  </si>
  <si>
    <t>ATM Complaints</t>
  </si>
  <si>
    <t>Incoming Chargeback</t>
  </si>
  <si>
    <t>Outgoing Chargeback</t>
  </si>
  <si>
    <t>ATM Reconciliation</t>
  </si>
  <si>
    <t>Go-Live</t>
  </si>
  <si>
    <t>Process</t>
  </si>
  <si>
    <t>Completion %</t>
  </si>
  <si>
    <t>Current Phase Completion Date</t>
  </si>
  <si>
    <t>Start Date</t>
  </si>
  <si>
    <t>End Date</t>
  </si>
  <si>
    <t>AM</t>
  </si>
  <si>
    <t xml:space="preserve">Go Live sign off expected by 15-Feb-18
</t>
  </si>
  <si>
    <t>UAT sign off agreed by 30-Jan-18</t>
  </si>
  <si>
    <t xml:space="preserve">UAT sign off agreed by 15-Dec-17
</t>
  </si>
  <si>
    <t xml:space="preserve">UAT sign off expected by 15-Dec-17
</t>
  </si>
  <si>
    <t>UAT sign off agreed by 15-Jan-18</t>
  </si>
  <si>
    <t xml:space="preserve">UAT sign off agreed by 15-Jan-18
</t>
  </si>
  <si>
    <t>EDSS application issue</t>
  </si>
  <si>
    <t xml:space="preserve">Adopted Agile methodology for the TOPS project (first onshore paid project). The success of this project will get us a lot of new projects from this line of business in 2018
</t>
  </si>
  <si>
    <t xml:space="preserve">Combined solution (Nostro &amp; EEFC) will be deployed this week in Prod and will be signed off by next week.
</t>
  </si>
  <si>
    <t>Users are reluctant in using the solution which can delay the Prod sign off.</t>
  </si>
  <si>
    <t xml:space="preserve">No functional issues reported since 17th Nov. Working on Performance and multiple Robo implementations.
</t>
  </si>
  <si>
    <t>The client sql server response time &amp; non- standard input files creating issues in successful execution of solution.
Implementation of multiple Robo can delay the sign off.</t>
  </si>
  <si>
    <t>Challenges</t>
  </si>
  <si>
    <t>Status</t>
  </si>
  <si>
    <t>Requirements changed after signing off the BRD. Only partial development can be done because of the limited            data to work</t>
  </si>
  <si>
    <t>Development completed and integration testing is ON. Solution was demonstrated to client last week</t>
  </si>
  <si>
    <t xml:space="preserve">Development started this week and targeting to complete by 13th Dec.
</t>
  </si>
  <si>
    <t xml:space="preserve">Development will start from 13th  Dec and will be completed by 7th Jan 18.
</t>
  </si>
  <si>
    <t xml:space="preserve">BRD Sign off – BRD sign off is pending for all 3 processes. Will be done after discussion with the Info security team of OAB next week                    
Change in scope – There are some additional requirement which were not part of initial scope as per process map shared. Also, a part of the process (CCMS for incoming chargeback) doesn’t exist as on today which could create challenge in development and testing.
</t>
  </si>
  <si>
    <t xml:space="preserve">Post sign off in August 17, Post paid agents were also allowed to use the solution. Initially, usage was good (120+ agents) but subsequently TU solution is not being used.
</t>
  </si>
  <si>
    <t xml:space="preserve">New set of agents not familiar with TU features. Untrained agents from outsourced vendor. Lack of supervision, push by Celcom management
</t>
  </si>
  <si>
    <t>Dependency on Celcom for LDAP integration, MBSS and CISO testing. Expected to get closed in Nov-Dec when Celcom finally phases out Kenan application</t>
  </si>
  <si>
    <t>UAT sign off received. Go-Live is pending. Expected to close in Dec 17</t>
  </si>
  <si>
    <t>All 3 sites rolled out. Project expected to close in Dec 17</t>
  </si>
  <si>
    <t xml:space="preserve">Only 17 man days support is left for billing. Will get completed in Dec 17. </t>
  </si>
  <si>
    <t>Project will get completed by 20th Dec 17.</t>
  </si>
  <si>
    <t>Janhvi</t>
  </si>
  <si>
    <t>1 Trainer is joing in 2nd week of Jan</t>
  </si>
  <si>
    <t xml:space="preserve">Playbook done-Shared with Atul Agarwal. He is creating his own team on OpenSpan and Uipath. </t>
  </si>
  <si>
    <t>Support Contract - to finalize effort days</t>
  </si>
  <si>
    <t>COE Discussion</t>
  </si>
  <si>
    <t>OAB</t>
  </si>
  <si>
    <t>31st Dec is closure but nothing developed</t>
  </si>
  <si>
    <t>UAT Started for Outgoing Chargeback</t>
  </si>
  <si>
    <t>No update on Incoming Chargeback</t>
  </si>
  <si>
    <t>To discuss with nidhi for UMR and M&amp;R UBH</t>
  </si>
  <si>
    <t>Kotak-1</t>
  </si>
  <si>
    <t>ATM Recon gone for LIVE</t>
  </si>
  <si>
    <t>Kotak-2</t>
  </si>
  <si>
    <t>EEFC, Nostro is on top prioirty.</t>
  </si>
  <si>
    <t>Started in 1st week of Jan</t>
  </si>
  <si>
    <t>UPI development should complete by next week, hard code development is pending. To track closely code review etc.</t>
  </si>
  <si>
    <t>ATM Complaints-2nd week of Jan and last week in production</t>
  </si>
  <si>
    <t xml:space="preserve">ATM Recon-Sign off expected on Friday, 2 developer identified </t>
  </si>
  <si>
    <r>
      <t xml:space="preserve">POS &amp; CRN-Need 1 developer(Arjun). </t>
    </r>
    <r>
      <rPr>
        <b/>
        <sz val="10"/>
        <rFont val="Arial"/>
        <family val="2"/>
      </rPr>
      <t>1 .net resource required for dashboard</t>
    </r>
  </si>
  <si>
    <t xml:space="preserve">Dinesh to speak with Ish </t>
  </si>
  <si>
    <t>Scanning Tool OCR</t>
  </si>
  <si>
    <t>TCL using abby or flexy capture</t>
  </si>
  <si>
    <t>To develop 4 template. Is there any other alternate to save cost and time</t>
  </si>
  <si>
    <t xml:space="preserve">we have 4 Cases-HDFC Ergo, Bajaj Aliance, TCL and </t>
  </si>
  <si>
    <t>To discuss with Saransh directly</t>
  </si>
  <si>
    <t>ICICI Support</t>
  </si>
  <si>
    <t>To check with Ish</t>
  </si>
  <si>
    <t>BDO Bank remotely finshed 1-2 process. To speak with Pradeep Sir. Happypath</t>
  </si>
  <si>
    <t>If issue then will change</t>
  </si>
  <si>
    <t>POC status-?</t>
  </si>
  <si>
    <t>Exception POC to be finish by 7th Jan</t>
  </si>
  <si>
    <t>Max Life</t>
  </si>
  <si>
    <t>Bank Dhofar</t>
  </si>
  <si>
    <t>Prime Plan Change</t>
  </si>
  <si>
    <t>CCO/0065</t>
  </si>
  <si>
    <t>CCO/POC/0017</t>
  </si>
  <si>
    <t>CCO/POC/0018</t>
  </si>
  <si>
    <t>BDO</t>
  </si>
  <si>
    <t>CCO/0063</t>
  </si>
  <si>
    <t>CCO/0064</t>
  </si>
  <si>
    <t>National Bank of Oman</t>
  </si>
  <si>
    <t>Emirates Airlines</t>
  </si>
  <si>
    <t>Dinesh</t>
  </si>
  <si>
    <t>RA</t>
  </si>
  <si>
    <t>15-Arp-17</t>
  </si>
  <si>
    <t>Saransh</t>
  </si>
  <si>
    <t>Salary Processing: On 26th Dec we need to put it on UAT for testing of Multi Robo functionality. It will continue till Mid Feb because of new enhancement.
Volume is 1000/2000/3000. 1 Robo can do 50 SR in a day,3-4 SR will do 1 Go. To process 150 SR in Jan end, parallely we are working on performance so that SR can increase. Aqib cannot release
2 New CR's have come up. Production issue depenceny on Aqib. He is working on Multi Robo functionality so he hasn't look on Production issue.</t>
  </si>
  <si>
    <t>Fixing the issue</t>
  </si>
  <si>
    <t>Plan in order to close DQF</t>
  </si>
  <si>
    <t>3 Priority-</t>
  </si>
  <si>
    <t>unattended execution</t>
  </si>
  <si>
    <t xml:space="preserve">UAT 
+ 
Dashboard development 
</t>
  </si>
  <si>
    <t>Bill of Lading</t>
  </si>
  <si>
    <t>Factory reconciliation</t>
  </si>
  <si>
    <t>ELD</t>
  </si>
  <si>
    <t>Login and system access to be assessed</t>
  </si>
  <si>
    <t>Demo Shared</t>
  </si>
  <si>
    <t>CSPi</t>
  </si>
  <si>
    <t>BRD</t>
  </si>
  <si>
    <t>DQF Express</t>
  </si>
  <si>
    <t>Mid Jan</t>
  </si>
  <si>
    <t>CCO/POC/0019</t>
  </si>
  <si>
    <t>Project</t>
  </si>
  <si>
    <t>ATM Dispute</t>
  </si>
  <si>
    <t>Merck</t>
  </si>
  <si>
    <t>AmBank</t>
  </si>
  <si>
    <t>3 Process - Pilot</t>
  </si>
  <si>
    <t>VB Script</t>
  </si>
  <si>
    <t>MT9 40 Upload</t>
  </si>
  <si>
    <t>PTDC, FINCON</t>
  </si>
  <si>
    <t>Cebuana Lhuiller</t>
  </si>
  <si>
    <t>Remittance Authorization</t>
  </si>
  <si>
    <t>PR to PO</t>
  </si>
  <si>
    <t>Daimler</t>
  </si>
  <si>
    <t>Process on Pay</t>
  </si>
  <si>
    <t>Globe Telecom</t>
  </si>
  <si>
    <t>ISG, CXM</t>
  </si>
  <si>
    <t>MayBank</t>
  </si>
  <si>
    <t>Projects</t>
  </si>
  <si>
    <t>POC's</t>
  </si>
  <si>
    <t>Vishal</t>
  </si>
  <si>
    <t>Ish</t>
  </si>
  <si>
    <t>Services - Order In Hands</t>
  </si>
  <si>
    <t>Region</t>
  </si>
  <si>
    <t>Milestone</t>
  </si>
  <si>
    <t>Total</t>
  </si>
  <si>
    <t>Wk1</t>
  </si>
  <si>
    <t>Wk2</t>
  </si>
  <si>
    <t>Wk3</t>
  </si>
  <si>
    <t>Wk4</t>
  </si>
  <si>
    <t>Wk5</t>
  </si>
  <si>
    <t>Feb</t>
  </si>
  <si>
    <t>Mar</t>
  </si>
  <si>
    <t>REMARKS</t>
  </si>
  <si>
    <t>Atul</t>
  </si>
  <si>
    <t>India</t>
  </si>
  <si>
    <t>Optum-PNSO
(UAT)</t>
  </si>
  <si>
    <t>UHG-PNSO</t>
  </si>
  <si>
    <t>f. 40% - final sign-off-40% GLO</t>
  </si>
  <si>
    <t>Optum-ID Creation
(UAT)</t>
  </si>
  <si>
    <t>UHG-ID Creation</t>
  </si>
  <si>
    <t>d. 20% on final sign-off</t>
  </si>
  <si>
    <t>Sign off expected by 15th Feb 2018</t>
  </si>
  <si>
    <t>Optum-UMR
(On Hold)</t>
  </si>
  <si>
    <t>UHG-UMR</t>
  </si>
  <si>
    <t>c. 20% on UAT sign off of Duplicate &amp; 906 (subject maximum 5 days of UAT offer)</t>
  </si>
  <si>
    <t>on Hold, if Dev is completed for any other queue outside of PDS/SAW, we will ask for the Dev effort</t>
  </si>
  <si>
    <t>d. 20% on UAT sign off of DME (subject maximum 5 days of UAT offer)</t>
  </si>
  <si>
    <t>e. 10% on GLive sign off</t>
  </si>
  <si>
    <t>Optum-M&amp;R Claims
(UAT)</t>
  </si>
  <si>
    <t>UHG-M&amp;R</t>
  </si>
  <si>
    <t>b. 40% on UAT Sign Off</t>
  </si>
  <si>
    <t>c. 30% on  Go Live Sign Off</t>
  </si>
  <si>
    <t>2 weeks post the UAT sign-off</t>
  </si>
  <si>
    <t xml:space="preserve">UHG-E&amp;I
 </t>
  </si>
  <si>
    <t>UHG-E&amp;I</t>
  </si>
  <si>
    <t>2 weeks post thee UAT sign-off</t>
  </si>
  <si>
    <t xml:space="preserve">Optum-UBH M&amp;R          ( on Hold)
 </t>
  </si>
  <si>
    <t>UHG-UBH</t>
  </si>
  <si>
    <t>Run the test cases again for a few days and provide the UAT sign-off if it runs clean. Will inform Janki to push to get the sign-off</t>
  </si>
  <si>
    <t>c. 30% Go Live</t>
  </si>
  <si>
    <t>Optum-Billing
(UAT)</t>
  </si>
  <si>
    <t>UHG-Billing</t>
  </si>
  <si>
    <t>c. 30% Go live sign off</t>
  </si>
  <si>
    <t>Optum-SMS Missing (On Hold)</t>
  </si>
  <si>
    <t>UHG-SMS Missing</t>
  </si>
  <si>
    <t>c. 30% Go Live sign</t>
  </si>
  <si>
    <t>Optum-TOPs
(Development)</t>
  </si>
  <si>
    <t>UHG-TOPs</t>
  </si>
  <si>
    <t>b. 40% on UAT sign off</t>
  </si>
  <si>
    <t>Sign off planned in End Feb 2018
Client have agreed to complete / manage the pending issues, Code review, update with change is existing requirement, testing etc. and Bring 100% accuracy (70-80%. Target to complete both PI 1 &amp; 2 with clean UAT by 14th July. All the help, change in shift, technical help etc. is being taken care of and our PM has started providing a daily update till the closure on this project.
*Post 14th July, we can expect the UAT sign-off then Go Live</t>
  </si>
  <si>
    <t>c. 30% on final sign off</t>
  </si>
  <si>
    <t>ICICI- support contract</t>
  </si>
  <si>
    <t>Enhancement in Robotic process automation system (RPAS)
(The period of engagement is for one year from April 1, 2017 to March 31, 2018)</t>
  </si>
  <si>
    <t>PO Received. Support start date April 1st. Monthly Payments, end of month. 
15 day billing in April due to delay in the readiness</t>
  </si>
  <si>
    <t>EY</t>
  </si>
  <si>
    <t>e. 5% on 1st roll out</t>
  </si>
  <si>
    <t>f. 5% on 2nd roll out</t>
  </si>
  <si>
    <t>g. 10% on 3rd roll out</t>
  </si>
  <si>
    <t>h. 5% on completion of one month of post go live support</t>
  </si>
  <si>
    <t>d. 15% on go live sign off(without DR)</t>
  </si>
  <si>
    <t>Kotak-EEFC</t>
  </si>
  <si>
    <t>EEFC Lien Marking</t>
  </si>
  <si>
    <t>30% on Project Go-Live</t>
  </si>
  <si>
    <t>Kotak-Nostro</t>
  </si>
  <si>
    <t>Nostro Lien Marking</t>
  </si>
  <si>
    <t>Kotak-IMPS</t>
  </si>
  <si>
    <t>UP_IMPS</t>
  </si>
  <si>
    <t>30% on UAT Sign off</t>
  </si>
  <si>
    <t>Kotak-ATM Dispute</t>
  </si>
  <si>
    <t>Technical consultants for 62 man days starting from the date of deployment, posted at MLI Gurgaon HO-On actual at the end of every month</t>
  </si>
  <si>
    <t>SE &amp; NA</t>
  </si>
  <si>
    <t>MENA</t>
  </si>
  <si>
    <t>b. 20% on Requirement Gathering Sign off</t>
  </si>
  <si>
    <t>c. 30% on UAT Sign off</t>
  </si>
  <si>
    <t>d. 10% on Production Deployment and Go-Live</t>
  </si>
  <si>
    <t>Total in INR</t>
  </si>
  <si>
    <t>Move to April</t>
  </si>
  <si>
    <t>Move to May</t>
  </si>
  <si>
    <t>Dec</t>
  </si>
  <si>
    <t>Total PO Value</t>
  </si>
  <si>
    <t>Billing Done</t>
  </si>
  <si>
    <t>Pending</t>
  </si>
  <si>
    <t>Next Quarter</t>
  </si>
  <si>
    <t>Expected by 31st Jan</t>
  </si>
  <si>
    <t>RA- BA (2)</t>
  </si>
  <si>
    <t>2 BA for 66 days</t>
  </si>
  <si>
    <t>Escalated to EY, pending update / dates on milestone closure, following up with Nitin Nagpal(Project Manager)</t>
  </si>
  <si>
    <t>Amit</t>
  </si>
  <si>
    <t>Jahnvi</t>
  </si>
  <si>
    <t>Genpact</t>
  </si>
  <si>
    <t>Sol Architect for 6 months</t>
  </si>
  <si>
    <t>Technical consultants for 3 months</t>
  </si>
  <si>
    <t>Training Cost</t>
  </si>
  <si>
    <t>Sunil</t>
  </si>
  <si>
    <t>Ambank</t>
  </si>
  <si>
    <t>Professional services for 125 man days</t>
  </si>
  <si>
    <t>UHG RA</t>
  </si>
  <si>
    <t>Cancelled</t>
  </si>
  <si>
    <t>Max life</t>
  </si>
  <si>
    <t>Standard Chartered</t>
  </si>
  <si>
    <t>UHG</t>
  </si>
  <si>
    <t>ACTIVITY PHASE % COMPLETED</t>
  </si>
  <si>
    <t>OVERALL % COMPLETED</t>
  </si>
  <si>
    <t>% ACTIVITY WEIGHTAGE</t>
  </si>
  <si>
    <t>TASK NAME</t>
  </si>
  <si>
    <t>DURATION</t>
  </si>
  <si>
    <t>PLANNED START</t>
  </si>
  <si>
    <t>PLANNED FINISH</t>
  </si>
  <si>
    <t>ACTUAL START</t>
  </si>
  <si>
    <t>ESTIMATED FINISH</t>
  </si>
  <si>
    <t>ACTUAL FINISH</t>
  </si>
  <si>
    <t>RESOURCE NAME</t>
  </si>
  <si>
    <t>Process Study</t>
  </si>
  <si>
    <t>Design</t>
  </si>
  <si>
    <t>Development</t>
  </si>
  <si>
    <t>UAT</t>
  </si>
  <si>
    <t>UAT Signoff</t>
  </si>
  <si>
    <t>GO Live</t>
  </si>
  <si>
    <t>OMAN ARAB BANK</t>
  </si>
  <si>
    <r>
      <t xml:space="preserve">WEEKLY STATUS REPORT
</t>
    </r>
    <r>
      <rPr>
        <b/>
        <sz val="16"/>
        <rFont val="Calibri"/>
        <family val="2"/>
        <scheme val="minor"/>
      </rPr>
      <t>CLIENT - OMAN ARAB BANK</t>
    </r>
  </si>
  <si>
    <t>DATE OF REPORTING</t>
  </si>
  <si>
    <t>REPORTING PERIOD</t>
  </si>
  <si>
    <t>29-Nov-17 TO 5-Dec-17</t>
  </si>
  <si>
    <t>CURRENT PHASE COMPLETION DATE</t>
  </si>
  <si>
    <t>OVERALL PROJECT COMPLETED (%)</t>
  </si>
  <si>
    <t>PROJECT COMPLETION DATE (PLANNED)</t>
  </si>
  <si>
    <t>PROJECT COMPLETION DATE (EXPECTED)</t>
  </si>
  <si>
    <t>SCHEDULE VARIANCE</t>
  </si>
  <si>
    <t>CHALLENGES</t>
  </si>
  <si>
    <t>ATM POS RECONCILIATION</t>
  </si>
  <si>
    <t>BRD sign off pending</t>
  </si>
  <si>
    <t>OUTGOING CHARGEBACK</t>
  </si>
  <si>
    <t>INCOMING CHARGEBACK</t>
  </si>
  <si>
    <t xml:space="preserve">BRD sign off </t>
  </si>
  <si>
    <t>TASK COMPLETED LAST WEEK</t>
  </si>
  <si>
    <t>TASK PLANNED FOR THIS WEEK</t>
  </si>
  <si>
    <t xml:space="preserve">1. Development completed for ATM Recon.
2. Demo done of ATM Recon with all the stakeholders.
3. Development started for Outgoing Chargeback.
4. Project plan completed for Incoming Chargeback.
5. BRD completed for all 3 processes. </t>
  </si>
  <si>
    <t>1. Start UAT for ATM recon.
2. BRD sign off for all 3 processes.
3. Development completion for the Outgoing Chargeback.
4. Start development for Incoming Chargeback.
5. Revisit the Incoming project plan.</t>
  </si>
  <si>
    <t>CRITICAL ISSUES</t>
  </si>
  <si>
    <t>CRITICAL RISKS</t>
  </si>
  <si>
    <t>1. Unavailability of application access and test data will impact the project timelines.</t>
  </si>
  <si>
    <t>1. Application slowness will create the performance issues in the solution.</t>
  </si>
  <si>
    <t>PROJECT STATUS</t>
  </si>
  <si>
    <t>PROCESS STUDY</t>
  </si>
  <si>
    <t>BRD CREATION</t>
  </si>
  <si>
    <t>BRD SIGNOFF</t>
  </si>
  <si>
    <t>DESIGN</t>
  </si>
  <si>
    <t>DEVELOPMENT</t>
  </si>
  <si>
    <t>LIVE</t>
  </si>
  <si>
    <t>PROJECT SIGN OFF</t>
  </si>
  <si>
    <t>ATM RECONCILIATION</t>
  </si>
  <si>
    <t>WIP</t>
  </si>
  <si>
    <t>CHANGE REQUESTS</t>
  </si>
  <si>
    <t>CHANGE</t>
  </si>
  <si>
    <t>INTRODUCE IN PHASE</t>
  </si>
  <si>
    <t>REPORTED DATE</t>
  </si>
  <si>
    <t>CHANGE DESCRIPTION</t>
  </si>
  <si>
    <t>EFFORTS DAYS</t>
  </si>
  <si>
    <t xml:space="preserve">STATUS </t>
  </si>
  <si>
    <t>COMMENTS</t>
  </si>
  <si>
    <t>Change in the solution to process SR on same day</t>
  </si>
  <si>
    <t>To make the solution run on same day using single Robo</t>
  </si>
  <si>
    <t>Not Charged</t>
  </si>
  <si>
    <t>This was changed to proccess all the SRs on day.</t>
  </si>
  <si>
    <t xml:space="preserve">Sending exception mails to users </t>
  </si>
  <si>
    <t>To sent mail of all the exceptions to the users.</t>
  </si>
  <si>
    <t>These mails are to information to user about all the exceptions.</t>
  </si>
  <si>
    <t>Exception log in webpage</t>
  </si>
  <si>
    <t>To include the Webpage approach to show all the exceptions to user.</t>
  </si>
  <si>
    <t>Because of communication gap this was missed while developing "Sending Mails to user" change and build later.</t>
  </si>
  <si>
    <t>New requirements</t>
  </si>
  <si>
    <t>1.  Individual salary more than 10 Lacs.
2.  Same SR to be processed on the same day if the entire file is rejected for any exception.</t>
  </si>
  <si>
    <t>1st is handled but 2nd required additional efforts.</t>
  </si>
  <si>
    <t>Change in the Siebel application</t>
  </si>
  <si>
    <t>The Siebel application UI changed when login with Shilpa's user ID</t>
  </si>
  <si>
    <t>The Tab menu (UI) on the “UATTESTUSER2” and “SHILPAG” user's varied in Siebel, so solution was changed as well.</t>
  </si>
  <si>
    <t>Revised approach of checking the amount in finacle</t>
  </si>
  <si>
    <t>Robo shall keep a log of all the records that has been processed in a day. Therefore there would be one excel file (Daily Transaction Log)containing the records processed that day.</t>
  </si>
  <si>
    <t>NA</t>
  </si>
  <si>
    <t>This was ruled out as Robo still have dependency of checking Finacle (Freeze &amp; Dormant a/c )</t>
  </si>
  <si>
    <t>Change in Siebel service list</t>
  </si>
  <si>
    <t>In Siebel "My service request" menu needs to be changed to “My Team’s Service Request”  to download all the SRs.</t>
  </si>
  <si>
    <t>This is to handle the change in the selection of the Siebel menu.</t>
  </si>
  <si>
    <t xml:space="preserve">Programmatic access Allow and Deny in Outlook </t>
  </si>
  <si>
    <t>In VDI, because of the outlook settings we are getting few pop-ups because of which Robo got stuck until unless someone manually clicks on OK</t>
  </si>
  <si>
    <t>Recommended solution is to perform this task using email exchange server skipping outlook. Same will be implemented to Payment Gateway.
This is resolved by changing setting.</t>
  </si>
  <si>
    <t>Change in Finacle application</t>
  </si>
  <si>
    <t>1. Memo Pad pop-up to be handle for Account level
2. Account not valid pop-up
3. Pop-up while mailing from Outlook
4. 3 types of Freeze to be handle</t>
  </si>
  <si>
    <t>Charged - Approved</t>
  </si>
  <si>
    <t>This is to handle the 2 new pops in Finacle application.</t>
  </si>
  <si>
    <t>Change in requirement with availability of Account Freeze test data</t>
  </si>
  <si>
    <t>With the availability of account freeze data, 3 flows(Credit, Debit &amp; Total freeze) were added against the earlier requirement of only 1 flow of Account freeze exist.</t>
  </si>
  <si>
    <t>These are now handle in solution.</t>
  </si>
  <si>
    <t>Change in Finacle account checking from all to random number and making it configurable. Also, marking SR to WIP status.</t>
  </si>
  <si>
    <t>This change request have change in Account checking in finacle from all to random numbers. That is configurable. This also brings a new status WIP to handle already credited cases. Also it will change the sequence of Name mismatch display in Dashboard.</t>
  </si>
  <si>
    <t>To revert the solution for handling the "resolved" status of SR.</t>
  </si>
  <si>
    <t>As the resolved status is not possible to use in Siebel, solution is reverted to handle the "Resolved" status of SR.</t>
  </si>
  <si>
    <t xml:space="preserve">New status of HOLD_ROBO </t>
  </si>
  <si>
    <t>While ROBO picks the SR for processing the SR with the status as “HOLD_ROBO” shall be picked in place of “HOLD” which is being used currently.</t>
  </si>
  <si>
    <t>From  - Ankur
Mail Subject - Salary Processing changes
Date &amp; Time - Friday, July 28, 2017 5:04 PM</t>
  </si>
  <si>
    <t>Change in the Solution to include front office.</t>
  </si>
  <si>
    <t>Including the Front office and making the solution real time to be used by them</t>
  </si>
  <si>
    <t>Taking input from Agent in UI form and provide runtime information to him during call.</t>
  </si>
  <si>
    <t>Change in solution to remove the front office only.</t>
  </si>
  <si>
    <t>Removing the front office and making it to  the backend only</t>
  </si>
  <si>
    <t>Removing the Agent form and pushing all the data in DB to process the SRs further.</t>
  </si>
  <si>
    <t>Change in billdesk flow from 1 to 5 after getting the data.</t>
  </si>
  <si>
    <t>With the availability of Bill desk aggregator data, 5 flows were added against the earlier requirement of only 1 flow.</t>
  </si>
  <si>
    <t>Charged -  Approved</t>
  </si>
  <si>
    <t>3 out of 5 are done and rest 2 are pushed for next phase.</t>
  </si>
  <si>
    <t>Remaining Billdesk Aggregator &amp; remaining requirement as per mail (20th May).</t>
  </si>
  <si>
    <t>Postponed</t>
  </si>
  <si>
    <t>Postponed for next phase w.r.t to mail dated 20th May 17</t>
  </si>
  <si>
    <t>Required 4 parameter moved from Summary field to newly created fields</t>
  </si>
  <si>
    <t>Prod</t>
  </si>
  <si>
    <t xml:space="preserve">As discussed, the following fields are available in the SIEBEL UAT
• Dispute Date
• Dispute Amount
• Narration
• Account Number  </t>
  </si>
  <si>
    <t>Mail From: Ankur Bhargava 
Date/time: Wednesday, August 16, 2017 2:41 PM
Subject: FW: RPA - Approval for new field in SIEBEL
Approved by Haresh - 17 Aug 17</t>
  </si>
  <si>
    <t>New changes before Go Live</t>
  </si>
  <si>
    <t>Go live</t>
  </si>
  <si>
    <t>1. The ROBO shall get invoked for Lien Marking once the Deal Id is populated on the OMP Platform
2. The ROBO shall populate “CPC” in the filed “lien reason” and  “RET Deal ID” should be populated in “Lien remark” field</t>
  </si>
  <si>
    <t xml:space="preserve">Development delay because of the issue with OMP raised on 4th May and later RET ID was unavailable till today. </t>
  </si>
  <si>
    <t>1. OMP Table Change</t>
  </si>
  <si>
    <t xml:space="preserve">For the TOM tab, there is an additional column “Original OMP Id”. </t>
  </si>
  <si>
    <t>This is change in application because of which solution need to be changed.</t>
  </si>
  <si>
    <t>New changes in UAT</t>
  </si>
  <si>
    <t>UAT II</t>
  </si>
  <si>
    <t>1. ROBO shall wait for 30 sec after the Finacle form has been filled to get the RET Id.
2. While user selects “EEFC / Nostro” in the “Underlying Column”, the ROBO shall validate that all the mandatory fields</t>
  </si>
  <si>
    <t>Not Charged - Approved</t>
  </si>
  <si>
    <t>Modification in the NOSTRO BALANCE check process</t>
  </si>
  <si>
    <t>This is new requirement to calculate the balance in account.</t>
  </si>
  <si>
    <t>While user selects “EEFC / Nostro” in the “Underlying Column”, the ROBO shall validate that all the mandatory fields</t>
  </si>
  <si>
    <t>NOT CHARGED</t>
  </si>
  <si>
    <t>CHARGED &amp; APPROVED</t>
  </si>
  <si>
    <t>RULED OUT AT PRESENT</t>
  </si>
  <si>
    <t>ATM RECON</t>
  </si>
  <si>
    <t>START DATE (PLanned)</t>
  </si>
  <si>
    <t>PROJECT END DATE (Planned)</t>
  </si>
  <si>
    <t>CATEGORY</t>
  </si>
  <si>
    <t>High  Must Have</t>
  </si>
  <si>
    <t>Medium - Should have</t>
  </si>
  <si>
    <t>Low - Good to have</t>
  </si>
  <si>
    <t>CHARGABLE / NOT CHARGABLE</t>
  </si>
  <si>
    <t>&lt;Process Name...&gt;</t>
  </si>
  <si>
    <t>S.No</t>
  </si>
  <si>
    <t>Phase</t>
  </si>
  <si>
    <t>Description</t>
  </si>
  <si>
    <t>Category</t>
  </si>
  <si>
    <t>Reported Date</t>
  </si>
  <si>
    <t>Closure Date</t>
  </si>
  <si>
    <t>Comments</t>
  </si>
  <si>
    <t>Robo failed to read the file</t>
  </si>
  <si>
    <t>S2</t>
  </si>
  <si>
    <t>Open</t>
  </si>
  <si>
    <t>Robo failed to login Finacle application</t>
  </si>
  <si>
    <t>S1</t>
  </si>
  <si>
    <t>This ready for testing</t>
  </si>
  <si>
    <t>S3</t>
  </si>
  <si>
    <t>Defect is showstopper and need to resolved on urgent basis</t>
  </si>
  <si>
    <t>Defect is not a showstopper and alternate is available</t>
  </si>
  <si>
    <t>Not critical impact on functionality</t>
  </si>
  <si>
    <t>Defination of Serverity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</si>
</sst>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gt;9999999]##\,##\,##\,##0;[&gt;99999]##\,##\,##0;##,##0"/>
    <numFmt numFmtId="165" formatCode="[$-409]d\-mmm\-yy;@"/>
    <numFmt numFmtId="166" formatCode="_(* #,##0_);_(* \(#,##0\);_(* &quot;-&quot;??_);_(@_)"/>
    <numFmt numFmtId="167" formatCode="_(&quot;$&quot;* #,##0_);_(&quot;$&quot;* \(#,##0\);_(&quot;$&quot;* &quot;-&quot;??_);_(@_)"/>
    <numFmt numFmtId="168" formatCode="0.0%"/>
  </numFmts>
  <fonts count="58">
    <font>
      <sz val="10"/>
      <name val="Arial"/>
      <family val="2"/>
    </font>
    <font>
      <sz val="11"/>
      <color theme="1"/>
      <name val="Calibri"/>
      <family val="2"/>
      <scheme val="minor"/>
    </font>
    <font>
      <sz val="11"/>
      <color theme="1"/>
      <name val="Calibri"/>
      <family val="2"/>
      <scheme val="minor"/>
    </font>
    <font>
      <sz val="10"/>
      <name val="Arial"/>
      <family val="2"/>
    </font>
    <font>
      <sz val="10"/>
      <color theme="1"/>
      <name val="Arial"/>
      <family val="2"/>
    </font>
    <font>
      <b/>
      <sz val="10"/>
      <color theme="1"/>
      <name val="Arial"/>
      <family val="2"/>
    </font>
    <font>
      <sz val="10"/>
      <color rgb="FFFF0000"/>
      <name val="Arial"/>
      <family val="2"/>
    </font>
    <font>
      <b/>
      <sz val="10"/>
      <color rgb="FFFFFFFF"/>
      <name val="Arial"/>
      <family val="2"/>
    </font>
    <font>
      <sz val="10"/>
      <color rgb="FF000000"/>
      <name val="Arial"/>
      <family val="2"/>
    </font>
    <font>
      <b/>
      <sz val="18"/>
      <color rgb="FFFFFFFF"/>
      <name val="Arial"/>
      <family val="2"/>
    </font>
    <font>
      <sz val="18"/>
      <name val="Arial"/>
      <family val="2"/>
    </font>
    <font>
      <b/>
      <sz val="7"/>
      <color rgb="FFFFFFFF"/>
      <name val="Arial"/>
      <family val="2"/>
    </font>
    <font>
      <b/>
      <sz val="10"/>
      <color rgb="FF000000"/>
      <name val="Arial"/>
      <family val="2"/>
    </font>
    <font>
      <b/>
      <sz val="10"/>
      <name val="Arial"/>
      <family val="2"/>
    </font>
    <font>
      <b/>
      <sz val="18"/>
      <color rgb="FFFF0000"/>
      <name val="Arial"/>
      <family val="2"/>
    </font>
    <font>
      <b/>
      <sz val="10"/>
      <color theme="5" tint="-0.499984740745262"/>
      <name val="Arial"/>
      <family val="2"/>
    </font>
    <font>
      <b/>
      <sz val="9"/>
      <color indexed="81"/>
      <name val="Tahoma"/>
      <family val="2"/>
    </font>
    <font>
      <b/>
      <sz val="10"/>
      <color rgb="FFFF0000"/>
      <name val="Arial"/>
      <family val="2"/>
    </font>
    <font>
      <sz val="10"/>
      <color theme="0"/>
      <name val="Arial"/>
      <family val="2"/>
    </font>
    <font>
      <b/>
      <u/>
      <sz val="10"/>
      <name val="Arial"/>
      <family val="2"/>
    </font>
    <font>
      <sz val="10"/>
      <color theme="1"/>
      <name val="ArialMT"/>
    </font>
    <font>
      <b/>
      <sz val="10"/>
      <color theme="1"/>
      <name val="ArialMT"/>
    </font>
    <font>
      <sz val="10"/>
      <color theme="1"/>
      <name val="ArialMT"/>
      <family val="2"/>
    </font>
    <font>
      <b/>
      <sz val="14"/>
      <color rgb="FFFFFFFF"/>
      <name val="Arial"/>
      <family val="2"/>
    </font>
    <font>
      <b/>
      <sz val="11"/>
      <color theme="0"/>
      <name val="ArialMT"/>
    </font>
    <font>
      <b/>
      <u/>
      <sz val="10"/>
      <color theme="1"/>
      <name val="ArialMT"/>
    </font>
    <font>
      <sz val="10"/>
      <name val="ArialMT"/>
    </font>
    <font>
      <sz val="10"/>
      <color rgb="FFFF0000"/>
      <name val="ArialMT"/>
    </font>
    <font>
      <b/>
      <sz val="10"/>
      <name val="ArialMT"/>
    </font>
    <font>
      <sz val="10"/>
      <color rgb="FF000000"/>
      <name val="ArialMT"/>
    </font>
    <font>
      <b/>
      <sz val="10"/>
      <color rgb="FF000000"/>
      <name val="ArialMT"/>
    </font>
    <font>
      <sz val="10"/>
      <color theme="0"/>
      <name val="ArialMT"/>
    </font>
    <font>
      <sz val="12"/>
      <color theme="1"/>
      <name val="Calibri"/>
      <family val="2"/>
      <scheme val="minor"/>
    </font>
    <font>
      <sz val="10"/>
      <color theme="0" tint="-0.34998626667073579"/>
      <name val="ArialMT"/>
    </font>
    <font>
      <b/>
      <sz val="10"/>
      <color theme="0" tint="-0.34998626667073579"/>
      <name val="ArialMT"/>
    </font>
    <font>
      <i/>
      <sz val="10"/>
      <color rgb="FFC00000"/>
      <name val="ArialMT"/>
    </font>
    <font>
      <b/>
      <i/>
      <sz val="10"/>
      <color rgb="FFC00000"/>
      <name val="ArialMT"/>
    </font>
    <font>
      <b/>
      <sz val="11"/>
      <name val="ArialMT"/>
    </font>
    <font>
      <b/>
      <sz val="10"/>
      <color theme="0"/>
      <name val="ArialMT"/>
    </font>
    <font>
      <b/>
      <sz val="22"/>
      <name val="Calibri"/>
      <family val="2"/>
      <scheme val="minor"/>
    </font>
    <font>
      <b/>
      <sz val="12"/>
      <color rgb="FF363636"/>
      <name val="Calibri"/>
      <family val="2"/>
      <scheme val="minor"/>
    </font>
    <font>
      <b/>
      <sz val="12"/>
      <color rgb="FF000000"/>
      <name val="Calibri"/>
      <family val="2"/>
      <scheme val="minor"/>
    </font>
    <font>
      <sz val="12"/>
      <name val="Calibri"/>
      <family val="2"/>
      <scheme val="minor"/>
    </font>
    <font>
      <sz val="12"/>
      <color rgb="FF000000"/>
      <name val="Calibri"/>
      <family val="2"/>
      <scheme val="minor"/>
    </font>
    <font>
      <sz val="11"/>
      <color theme="1"/>
      <name val="Arial"/>
      <family val="2"/>
    </font>
    <font>
      <sz val="10"/>
      <name val="Calibri"/>
      <family val="2"/>
      <scheme val="minor"/>
    </font>
    <font>
      <b/>
      <sz val="12"/>
      <name val="Calibri"/>
      <family val="2"/>
      <scheme val="minor"/>
    </font>
    <font>
      <b/>
      <sz val="20"/>
      <name val="Calibri"/>
      <family val="2"/>
      <scheme val="minor"/>
    </font>
    <font>
      <b/>
      <sz val="16"/>
      <name val="Calibri"/>
      <family val="2"/>
      <scheme val="minor"/>
    </font>
    <font>
      <b/>
      <sz val="10"/>
      <name val="Calibri"/>
      <family val="2"/>
      <scheme val="minor"/>
    </font>
    <font>
      <sz val="10"/>
      <color rgb="FFFF0000"/>
      <name val="Calibri"/>
      <family val="2"/>
      <scheme val="minor"/>
    </font>
    <font>
      <sz val="10"/>
      <color theme="1"/>
      <name val="Calibri"/>
      <family val="2"/>
      <scheme val="minor"/>
    </font>
    <font>
      <b/>
      <sz val="10"/>
      <color rgb="FFFF0000"/>
      <name val="Calibri"/>
      <family val="2"/>
      <scheme val="minor"/>
    </font>
    <font>
      <b/>
      <sz val="11"/>
      <name val="Calibri"/>
      <family val="2"/>
      <scheme val="minor"/>
    </font>
    <font>
      <b/>
      <sz val="9"/>
      <name val="Calibri"/>
      <family val="2"/>
      <scheme val="minor"/>
    </font>
    <font>
      <b/>
      <i/>
      <sz val="18"/>
      <color rgb="FFC00000"/>
      <name val="Calibri"/>
      <family val="2"/>
      <scheme val="minor"/>
    </font>
    <font>
      <sz val="9"/>
      <color indexed="81"/>
      <name val="Tahoma"/>
      <family val="2"/>
    </font>
    <font>
      <i/>
      <sz val="10"/>
      <name val="Arial"/>
      <family val="2"/>
    </font>
  </fonts>
  <fills count="24">
    <fill>
      <patternFill patternType="none"/>
    </fill>
    <fill>
      <patternFill patternType="gray125"/>
    </fill>
    <fill>
      <patternFill patternType="solid">
        <fgColor rgb="FFE46C0A"/>
        <bgColor indexed="64"/>
      </patternFill>
    </fill>
    <fill>
      <patternFill patternType="solid">
        <fgColor rgb="FFFFFFCC"/>
        <bgColor indexed="64"/>
      </patternFill>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rgb="FFE1680D"/>
        <bgColor indexed="64"/>
      </patternFill>
    </fill>
    <fill>
      <patternFill patternType="solid">
        <fgColor rgb="FFFFC00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rgb="FFF1F462"/>
        <bgColor indexed="64"/>
      </patternFill>
    </fill>
    <fill>
      <patternFill patternType="solid">
        <fgColor theme="0"/>
        <bgColor indexed="64"/>
      </patternFill>
    </fill>
    <fill>
      <patternFill patternType="solid">
        <fgColor theme="4" tint="-0.249977111117893"/>
        <bgColor indexed="64"/>
      </patternFill>
    </fill>
    <fill>
      <patternFill patternType="solid">
        <fgColor rgb="FFFFFFFF"/>
        <bgColor indexed="64"/>
      </patternFill>
    </fill>
    <fill>
      <patternFill patternType="solid">
        <fgColor theme="9" tint="0.59999389629810485"/>
        <bgColor indexed="64"/>
      </patternFill>
    </fill>
    <fill>
      <patternFill patternType="solid">
        <fgColor theme="5"/>
        <bgColor indexed="64"/>
      </patternFill>
    </fill>
    <fill>
      <patternFill patternType="solid">
        <fgColor theme="7" tint="0.79998168889431442"/>
        <bgColor indexed="64"/>
      </patternFill>
    </fill>
  </fills>
  <borders count="114">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indexed="64"/>
      </left>
      <right style="medium">
        <color indexed="64"/>
      </right>
      <top style="thin">
        <color indexed="64"/>
      </top>
      <bottom style="medium">
        <color indexed="64"/>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indexed="64"/>
      </left>
      <right/>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rgb="FF000000"/>
      </left>
      <right style="medium">
        <color rgb="FF000000"/>
      </right>
      <top/>
      <bottom style="medium">
        <color indexed="64"/>
      </bottom>
      <diagonal/>
    </border>
    <border>
      <left style="medium">
        <color indexed="64"/>
      </left>
      <right style="medium">
        <color indexed="64"/>
      </right>
      <top style="thin">
        <color indexed="64"/>
      </top>
      <bottom/>
      <diagonal/>
    </border>
    <border>
      <left/>
      <right style="medium">
        <color rgb="FF000000"/>
      </right>
      <top/>
      <bottom style="medium">
        <color rgb="FF000000"/>
      </bottom>
      <diagonal/>
    </border>
    <border>
      <left style="medium">
        <color indexed="64"/>
      </left>
      <right style="medium">
        <color indexed="64"/>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indexed="64"/>
      </left>
      <right style="medium">
        <color indexed="64"/>
      </right>
      <top style="medium">
        <color rgb="FF000000"/>
      </top>
      <bottom style="medium">
        <color indexed="64"/>
      </bottom>
      <diagonal/>
    </border>
    <border>
      <left style="medium">
        <color indexed="64"/>
      </left>
      <right style="medium">
        <color indexed="64"/>
      </right>
      <top style="medium">
        <color rgb="FF000000"/>
      </top>
      <bottom style="medium">
        <color rgb="FF00000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indexed="64"/>
      </left>
      <right style="medium">
        <color indexed="64"/>
      </right>
      <top style="medium">
        <color indexed="64"/>
      </top>
      <bottom style="medium">
        <color rgb="FF000000"/>
      </bottom>
      <diagonal/>
    </border>
    <border>
      <left style="medium">
        <color rgb="FF000000"/>
      </left>
      <right style="medium">
        <color indexed="64"/>
      </right>
      <top/>
      <bottom style="medium">
        <color indexed="64"/>
      </bottom>
      <diagonal/>
    </border>
    <border>
      <left/>
      <right/>
      <top style="medium">
        <color rgb="FF000000"/>
      </top>
      <bottom/>
      <diagonal/>
    </border>
    <border>
      <left style="medium">
        <color indexed="64"/>
      </left>
      <right style="medium">
        <color rgb="FF000000"/>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medium">
        <color indexed="64"/>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right style="medium">
        <color indexed="64"/>
      </right>
      <top/>
      <bottom style="medium">
        <color indexed="64"/>
      </bottom>
      <diagonal/>
    </border>
    <border>
      <left style="medium">
        <color rgb="FF000000"/>
      </left>
      <right/>
      <top/>
      <bottom style="medium">
        <color indexed="64"/>
      </bottom>
      <diagonal/>
    </border>
    <border>
      <left/>
      <right style="medium">
        <color rgb="FF000000"/>
      </right>
      <top style="medium">
        <color indexed="64"/>
      </top>
      <bottom style="medium">
        <color indexed="64"/>
      </bottom>
      <diagonal/>
    </border>
    <border>
      <left/>
      <right style="medium">
        <color rgb="FF000000"/>
      </right>
      <top style="medium">
        <color indexed="64"/>
      </top>
      <bottom/>
      <diagonal/>
    </border>
    <border>
      <left style="medium">
        <color rgb="FF000000"/>
      </left>
      <right/>
      <top style="medium">
        <color indexed="64"/>
      </top>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style="medium">
        <color rgb="FF000000"/>
      </left>
      <right style="medium">
        <color indexed="64"/>
      </right>
      <top/>
      <bottom style="medium">
        <color rgb="FF000000"/>
      </bottom>
      <diagonal/>
    </border>
    <border>
      <left style="thin">
        <color indexed="64"/>
      </left>
      <right style="thin">
        <color indexed="64"/>
      </right>
      <top/>
      <bottom/>
      <diagonal/>
    </border>
    <border>
      <left/>
      <right style="medium">
        <color rgb="FF000000"/>
      </right>
      <top/>
      <bottom style="medium">
        <color indexed="64"/>
      </bottom>
      <diagonal/>
    </border>
    <border>
      <left/>
      <right/>
      <top/>
      <bottom style="medium">
        <color indexed="64"/>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top style="medium">
        <color rgb="FF000000"/>
      </top>
      <bottom style="medium">
        <color rgb="FF000000"/>
      </bottom>
      <diagonal/>
    </border>
    <border>
      <left/>
      <right/>
      <top style="thin">
        <color indexed="64"/>
      </top>
      <bottom style="medium">
        <color indexed="64"/>
      </bottom>
      <diagonal/>
    </border>
  </borders>
  <cellStyleXfs count="9">
    <xf numFmtId="0" fontId="0" fillId="0" borderId="0">
      <alignment vertical="center"/>
    </xf>
    <xf numFmtId="43" fontId="3" fillId="0" borderId="0" applyFont="0" applyFill="0" applyBorder="0" applyAlignment="0" applyProtection="0"/>
    <xf numFmtId="9" fontId="3" fillId="0" borderId="0" applyFont="0" applyFill="0" applyBorder="0" applyAlignment="0" applyProtection="0"/>
    <xf numFmtId="0" fontId="2" fillId="0" borderId="0"/>
    <xf numFmtId="44" fontId="3" fillId="0" borderId="0" applyFont="0" applyFill="0" applyBorder="0" applyAlignment="0" applyProtection="0"/>
    <xf numFmtId="0" fontId="22" fillId="0" borderId="0"/>
    <xf numFmtId="0" fontId="32" fillId="0" borderId="0"/>
    <xf numFmtId="0" fontId="3" fillId="0" borderId="0">
      <alignment vertical="center"/>
    </xf>
    <xf numFmtId="0" fontId="1" fillId="0" borderId="0"/>
  </cellStyleXfs>
  <cellXfs count="1118">
    <xf numFmtId="0" fontId="0" fillId="0" borderId="0" xfId="0">
      <alignment vertical="center"/>
    </xf>
    <xf numFmtId="0" fontId="4"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4" fillId="0" borderId="2" xfId="3" applyFont="1" applyFill="1" applyBorder="1" applyAlignment="1">
      <alignment horizontal="left" vertical="center" wrapText="1"/>
    </xf>
    <xf numFmtId="164" fontId="5" fillId="2" borderId="22" xfId="0" applyNumberFormat="1" applyFont="1" applyFill="1" applyBorder="1" applyAlignment="1">
      <alignment horizontal="center" vertical="center" wrapText="1"/>
    </xf>
    <xf numFmtId="164" fontId="5" fillId="2" borderId="12" xfId="0" applyNumberFormat="1" applyFont="1" applyFill="1" applyBorder="1" applyAlignment="1">
      <alignment vertical="center" wrapText="1"/>
    </xf>
    <xf numFmtId="164" fontId="5" fillId="2" borderId="18" xfId="0" applyNumberFormat="1" applyFont="1" applyFill="1" applyBorder="1" applyAlignment="1">
      <alignment horizontal="center" vertical="center" wrapText="1"/>
    </xf>
    <xf numFmtId="164" fontId="5" fillId="2" borderId="19" xfId="0" applyNumberFormat="1" applyFont="1" applyFill="1" applyBorder="1" applyAlignment="1">
      <alignment horizontal="center" vertical="center" wrapText="1"/>
    </xf>
    <xf numFmtId="164" fontId="5" fillId="2" borderId="20" xfId="0" applyNumberFormat="1" applyFont="1" applyFill="1" applyBorder="1" applyAlignment="1">
      <alignment horizontal="center" vertical="center" wrapText="1"/>
    </xf>
    <xf numFmtId="164" fontId="5" fillId="2" borderId="21" xfId="0" applyNumberFormat="1" applyFont="1" applyFill="1" applyBorder="1" applyAlignment="1">
      <alignment horizontal="center" vertical="center" wrapText="1"/>
    </xf>
    <xf numFmtId="164" fontId="5" fillId="2" borderId="7" xfId="0"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164" fontId="5" fillId="2" borderId="8" xfId="0" applyNumberFormat="1" applyFont="1" applyFill="1" applyBorder="1" applyAlignment="1">
      <alignment horizontal="center" vertical="center" wrapText="1"/>
    </xf>
    <xf numFmtId="164" fontId="5" fillId="2" borderId="2" xfId="0" applyNumberFormat="1" applyFont="1" applyFill="1" applyBorder="1" applyAlignment="1">
      <alignment horizontal="center" vertical="center" wrapText="1"/>
    </xf>
    <xf numFmtId="164" fontId="5" fillId="2" borderId="16" xfId="0" applyNumberFormat="1" applyFont="1" applyFill="1" applyBorder="1" applyAlignment="1">
      <alignment horizontal="center" vertical="center" wrapText="1"/>
    </xf>
    <xf numFmtId="164" fontId="4" fillId="0" borderId="3" xfId="1" applyNumberFormat="1" applyFont="1" applyFill="1" applyBorder="1" applyAlignment="1">
      <alignment horizontal="center" vertical="center" wrapText="1"/>
    </xf>
    <xf numFmtId="164" fontId="4" fillId="0" borderId="13" xfId="1" applyNumberFormat="1" applyFont="1" applyFill="1" applyBorder="1" applyAlignment="1">
      <alignment horizontal="center" vertical="center" wrapText="1"/>
    </xf>
    <xf numFmtId="164" fontId="4" fillId="0" borderId="3" xfId="0" applyNumberFormat="1" applyFont="1" applyFill="1" applyBorder="1" applyAlignment="1">
      <alignment horizontal="center" vertical="center" wrapText="1"/>
    </xf>
    <xf numFmtId="164" fontId="4" fillId="0" borderId="7" xfId="0" applyNumberFormat="1" applyFont="1" applyFill="1" applyBorder="1" applyAlignment="1">
      <alignment horizontal="center" vertical="center" wrapText="1"/>
    </xf>
    <xf numFmtId="164" fontId="4" fillId="0" borderId="2" xfId="0" applyNumberFormat="1" applyFont="1" applyFill="1" applyBorder="1" applyAlignment="1">
      <alignment horizontal="center" vertical="center" wrapText="1"/>
    </xf>
    <xf numFmtId="164" fontId="4" fillId="0" borderId="13" xfId="0" applyNumberFormat="1" applyFont="1" applyFill="1" applyBorder="1" applyAlignment="1">
      <alignment horizontal="center" vertical="center" wrapText="1"/>
    </xf>
    <xf numFmtId="164" fontId="4" fillId="0" borderId="7" xfId="1" applyNumberFormat="1" applyFont="1" applyFill="1" applyBorder="1" applyAlignment="1">
      <alignment horizontal="center" vertical="center" wrapText="1"/>
    </xf>
    <xf numFmtId="164" fontId="4" fillId="0" borderId="14" xfId="1" applyNumberFormat="1" applyFont="1" applyFill="1" applyBorder="1" applyAlignment="1">
      <alignment horizontal="center" vertical="center" wrapText="1"/>
    </xf>
    <xf numFmtId="164" fontId="4" fillId="0" borderId="15" xfId="1" applyNumberFormat="1" applyFont="1" applyFill="1" applyBorder="1" applyAlignment="1">
      <alignment horizontal="center" vertical="center" wrapText="1"/>
    </xf>
    <xf numFmtId="164" fontId="4" fillId="0" borderId="16" xfId="1" applyNumberFormat="1" applyFont="1" applyFill="1" applyBorder="1" applyAlignment="1">
      <alignment horizontal="center" vertical="center" wrapText="1"/>
    </xf>
    <xf numFmtId="164" fontId="5" fillId="0" borderId="7" xfId="1" applyNumberFormat="1" applyFont="1" applyFill="1" applyBorder="1" applyAlignment="1">
      <alignment horizontal="center" vertical="center" wrapText="1"/>
    </xf>
    <xf numFmtId="164" fontId="5" fillId="0" borderId="3" xfId="1" applyNumberFormat="1" applyFont="1" applyFill="1" applyBorder="1" applyAlignment="1">
      <alignment horizontal="center" vertical="center" wrapText="1"/>
    </xf>
    <xf numFmtId="164" fontId="5" fillId="0" borderId="3" xfId="0" applyNumberFormat="1" applyFont="1" applyFill="1" applyBorder="1" applyAlignment="1">
      <alignment horizontal="center" vertical="center" wrapText="1"/>
    </xf>
    <xf numFmtId="164" fontId="5" fillId="0" borderId="8"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2" xfId="0" applyNumberFormat="1" applyFont="1" applyFill="1" applyBorder="1" applyAlignment="1">
      <alignment horizontal="center" vertical="center" wrapText="1"/>
    </xf>
    <xf numFmtId="164" fontId="5" fillId="0" borderId="13" xfId="0" applyNumberFormat="1" applyFont="1" applyFill="1" applyBorder="1" applyAlignment="1">
      <alignment horizontal="center" vertical="center" wrapText="1"/>
    </xf>
    <xf numFmtId="164" fontId="5" fillId="0" borderId="16" xfId="0" applyNumberFormat="1" applyFont="1" applyFill="1" applyBorder="1" applyAlignment="1">
      <alignment horizontal="center" vertical="center" wrapText="1"/>
    </xf>
    <xf numFmtId="164" fontId="4" fillId="0" borderId="0" xfId="0" applyNumberFormat="1" applyFont="1" applyFill="1" applyBorder="1" applyAlignment="1">
      <alignment horizontal="center" vertical="center" wrapText="1"/>
    </xf>
    <xf numFmtId="164" fontId="4" fillId="0" borderId="8" xfId="1" applyNumberFormat="1" applyFont="1" applyFill="1" applyBorder="1" applyAlignment="1">
      <alignment horizontal="center" vertical="center" wrapText="1"/>
    </xf>
    <xf numFmtId="164" fontId="4" fillId="0" borderId="8" xfId="0" applyNumberFormat="1" applyFont="1" applyFill="1" applyBorder="1" applyAlignment="1">
      <alignment horizontal="center" vertical="center" wrapText="1"/>
    </xf>
    <xf numFmtId="164" fontId="4" fillId="0" borderId="16" xfId="0" applyNumberFormat="1" applyFont="1" applyFill="1" applyBorder="1" applyAlignment="1">
      <alignment horizontal="center" vertical="center" wrapText="1"/>
    </xf>
    <xf numFmtId="164" fontId="5" fillId="2" borderId="13" xfId="0" applyNumberFormat="1" applyFont="1" applyFill="1" applyBorder="1" applyAlignment="1">
      <alignment horizontal="center" vertical="center" wrapText="1"/>
    </xf>
    <xf numFmtId="43" fontId="4" fillId="0" borderId="3" xfId="1" applyFont="1" applyFill="1" applyBorder="1" applyAlignment="1">
      <alignment horizontal="center" vertical="center" wrapText="1"/>
    </xf>
    <xf numFmtId="9" fontId="4" fillId="0" borderId="3" xfId="2" applyFont="1" applyFill="1" applyBorder="1" applyAlignment="1">
      <alignment horizontal="center" vertical="center" wrapText="1"/>
    </xf>
    <xf numFmtId="9" fontId="4" fillId="0" borderId="8" xfId="2" applyFont="1" applyFill="1" applyBorder="1" applyAlignment="1">
      <alignment horizontal="center" vertical="center" wrapText="1"/>
    </xf>
    <xf numFmtId="9" fontId="4" fillId="0" borderId="13" xfId="2" applyFont="1" applyFill="1" applyBorder="1" applyAlignment="1">
      <alignment horizontal="center" vertical="center" wrapText="1"/>
    </xf>
    <xf numFmtId="9" fontId="4" fillId="0" borderId="16" xfId="2" applyFont="1" applyFill="1" applyBorder="1" applyAlignment="1">
      <alignment horizontal="center" vertical="center" wrapText="1"/>
    </xf>
    <xf numFmtId="0" fontId="4" fillId="3" borderId="2" xfId="3" applyFont="1" applyFill="1" applyBorder="1" applyAlignment="1">
      <alignment horizontal="left" vertical="center" wrapText="1"/>
    </xf>
    <xf numFmtId="165" fontId="4" fillId="3" borderId="14" xfId="2" applyNumberFormat="1" applyFont="1" applyFill="1" applyBorder="1" applyAlignment="1">
      <alignment horizontal="center" vertical="center" wrapText="1"/>
    </xf>
    <xf numFmtId="165" fontId="4" fillId="3" borderId="15" xfId="2" applyNumberFormat="1" applyFont="1" applyFill="1" applyBorder="1" applyAlignment="1">
      <alignment horizontal="center" vertical="center" wrapText="1"/>
    </xf>
    <xf numFmtId="165" fontId="4" fillId="3" borderId="16" xfId="2" applyNumberFormat="1" applyFont="1" applyFill="1" applyBorder="1" applyAlignment="1">
      <alignment horizontal="center" vertical="center" wrapText="1"/>
    </xf>
    <xf numFmtId="165" fontId="4" fillId="3" borderId="3" xfId="2" applyNumberFormat="1" applyFont="1" applyFill="1" applyBorder="1" applyAlignment="1">
      <alignment horizontal="center" vertical="center" wrapText="1"/>
    </xf>
    <xf numFmtId="165" fontId="4" fillId="3" borderId="8" xfId="2" applyNumberFormat="1" applyFont="1" applyFill="1" applyBorder="1" applyAlignment="1">
      <alignment horizontal="center" vertical="center" wrapText="1"/>
    </xf>
    <xf numFmtId="165" fontId="4" fillId="3" borderId="13" xfId="2" applyNumberFormat="1" applyFont="1" applyFill="1" applyBorder="1" applyAlignment="1">
      <alignment horizontal="center" vertical="center" wrapText="1"/>
    </xf>
    <xf numFmtId="165" fontId="6" fillId="3" borderId="16" xfId="2" applyNumberFormat="1" applyFont="1" applyFill="1" applyBorder="1" applyAlignment="1">
      <alignment horizontal="center" vertical="center" wrapText="1"/>
    </xf>
    <xf numFmtId="165" fontId="6" fillId="3" borderId="3" xfId="2" applyNumberFormat="1" applyFont="1" applyFill="1" applyBorder="1" applyAlignment="1">
      <alignment horizontal="center" vertical="center" wrapText="1"/>
    </xf>
    <xf numFmtId="165" fontId="5" fillId="3" borderId="8" xfId="2" applyNumberFormat="1" applyFont="1" applyFill="1" applyBorder="1" applyAlignment="1">
      <alignment horizontal="center" vertical="center" wrapText="1"/>
    </xf>
    <xf numFmtId="165" fontId="5" fillId="3" borderId="3" xfId="2" applyNumberFormat="1" applyFont="1" applyFill="1" applyBorder="1" applyAlignment="1">
      <alignment horizontal="center" vertical="center" wrapText="1"/>
    </xf>
    <xf numFmtId="165" fontId="4" fillId="4" borderId="14" xfId="2" applyNumberFormat="1" applyFont="1" applyFill="1" applyBorder="1" applyAlignment="1">
      <alignment horizontal="center" vertical="center" wrapText="1"/>
    </xf>
    <xf numFmtId="165" fontId="4" fillId="4" borderId="15" xfId="2" applyNumberFormat="1" applyFont="1" applyFill="1" applyBorder="1" applyAlignment="1">
      <alignment horizontal="center" vertical="center" wrapText="1"/>
    </xf>
    <xf numFmtId="165" fontId="4" fillId="4" borderId="13" xfId="2" applyNumberFormat="1" applyFont="1" applyFill="1" applyBorder="1" applyAlignment="1">
      <alignment horizontal="center" vertical="center" wrapText="1"/>
    </xf>
    <xf numFmtId="165" fontId="4" fillId="4" borderId="16" xfId="2" applyNumberFormat="1" applyFont="1" applyFill="1" applyBorder="1" applyAlignment="1">
      <alignment horizontal="center" vertical="center" wrapText="1"/>
    </xf>
    <xf numFmtId="165" fontId="4" fillId="4" borderId="3" xfId="2" applyNumberFormat="1" applyFont="1" applyFill="1" applyBorder="1" applyAlignment="1">
      <alignment horizontal="center" vertical="center" wrapText="1"/>
    </xf>
    <xf numFmtId="164" fontId="0" fillId="0" borderId="0" xfId="0" applyNumberFormat="1">
      <alignment vertical="center"/>
    </xf>
    <xf numFmtId="164" fontId="8" fillId="0" borderId="24" xfId="0" applyNumberFormat="1" applyFont="1" applyFill="1" applyBorder="1" applyAlignment="1">
      <alignment horizontal="center" vertical="center" wrapText="1" readingOrder="1"/>
    </xf>
    <xf numFmtId="164" fontId="8" fillId="0" borderId="27" xfId="0" applyNumberFormat="1" applyFont="1" applyFill="1" applyBorder="1" applyAlignment="1">
      <alignment horizontal="center" vertical="center" wrapText="1" readingOrder="1"/>
    </xf>
    <xf numFmtId="164" fontId="4" fillId="0" borderId="28" xfId="1" applyNumberFormat="1" applyFont="1" applyFill="1" applyBorder="1" applyAlignment="1">
      <alignment horizontal="center" vertical="center" wrapText="1"/>
    </xf>
    <xf numFmtId="164" fontId="4" fillId="0" borderId="12" xfId="1" applyNumberFormat="1" applyFont="1" applyFill="1" applyBorder="1" applyAlignment="1">
      <alignment horizontal="center" vertical="center" wrapText="1"/>
    </xf>
    <xf numFmtId="15" fontId="8" fillId="3" borderId="24" xfId="0" applyNumberFormat="1" applyFont="1" applyFill="1" applyBorder="1" applyAlignment="1">
      <alignment horizontal="center" vertical="center" wrapText="1" readingOrder="1"/>
    </xf>
    <xf numFmtId="0" fontId="7" fillId="2" borderId="27" xfId="0" applyFont="1" applyFill="1" applyBorder="1" applyAlignment="1">
      <alignment horizontal="center" vertical="center" wrapText="1" readingOrder="1"/>
    </xf>
    <xf numFmtId="164" fontId="7" fillId="2" borderId="27" xfId="0" applyNumberFormat="1" applyFont="1" applyFill="1" applyBorder="1" applyAlignment="1">
      <alignment horizontal="center" vertical="center" wrapText="1" readingOrder="1"/>
    </xf>
    <xf numFmtId="0" fontId="10" fillId="0" borderId="0" xfId="0" applyFont="1">
      <alignment vertical="center"/>
    </xf>
    <xf numFmtId="0" fontId="7" fillId="2" borderId="26" xfId="0" applyFont="1" applyFill="1" applyBorder="1" applyAlignment="1">
      <alignment horizontal="center" vertical="center" wrapText="1" readingOrder="1"/>
    </xf>
    <xf numFmtId="0" fontId="8" fillId="0" borderId="37" xfId="0" applyFont="1" applyFill="1" applyBorder="1" applyAlignment="1">
      <alignment horizontal="center" vertical="center" wrapText="1" readingOrder="1"/>
    </xf>
    <xf numFmtId="164" fontId="4" fillId="0" borderId="38" xfId="0" applyNumberFormat="1" applyFont="1" applyFill="1" applyBorder="1" applyAlignment="1">
      <alignment horizontal="center" vertical="center" wrapText="1"/>
    </xf>
    <xf numFmtId="0" fontId="7" fillId="2" borderId="31" xfId="0" applyFont="1" applyFill="1" applyBorder="1" applyAlignment="1">
      <alignment horizontal="center" vertical="center" wrapText="1" readingOrder="1"/>
    </xf>
    <xf numFmtId="15" fontId="8" fillId="3" borderId="27" xfId="0" applyNumberFormat="1" applyFont="1" applyFill="1" applyBorder="1" applyAlignment="1">
      <alignment horizontal="center" vertical="center" wrapText="1" readingOrder="1"/>
    </xf>
    <xf numFmtId="164" fontId="4" fillId="0" borderId="39" xfId="1" applyNumberFormat="1" applyFont="1" applyFill="1" applyBorder="1" applyAlignment="1">
      <alignment horizontal="center" vertical="center" wrapText="1"/>
    </xf>
    <xf numFmtId="164" fontId="8" fillId="0" borderId="27" xfId="0" applyNumberFormat="1" applyFont="1" applyFill="1" applyBorder="1" applyAlignment="1">
      <alignment horizontal="center" vertical="center" wrapText="1" readingOrder="1"/>
    </xf>
    <xf numFmtId="0" fontId="4" fillId="5" borderId="2" xfId="3" applyFont="1" applyFill="1" applyBorder="1" applyAlignment="1">
      <alignment horizontal="left" vertical="center" wrapText="1"/>
    </xf>
    <xf numFmtId="164" fontId="4" fillId="5" borderId="7" xfId="1" applyNumberFormat="1" applyFont="1" applyFill="1" applyBorder="1" applyAlignment="1">
      <alignment horizontal="center" vertical="center" wrapText="1"/>
    </xf>
    <xf numFmtId="164" fontId="4" fillId="5" borderId="3" xfId="1" applyNumberFormat="1" applyFont="1" applyFill="1" applyBorder="1" applyAlignment="1">
      <alignment horizontal="center" vertical="center" wrapText="1"/>
    </xf>
    <xf numFmtId="164" fontId="4" fillId="5" borderId="3" xfId="0" applyNumberFormat="1" applyFont="1" applyFill="1" applyBorder="1" applyAlignment="1">
      <alignment horizontal="center" vertical="center" wrapText="1"/>
    </xf>
    <xf numFmtId="164" fontId="4" fillId="5" borderId="8"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164" fontId="4" fillId="5" borderId="13" xfId="0" applyNumberFormat="1" applyFont="1" applyFill="1" applyBorder="1" applyAlignment="1">
      <alignment horizontal="center" vertical="center" wrapText="1"/>
    </xf>
    <xf numFmtId="164" fontId="4" fillId="5" borderId="16" xfId="0" applyNumberFormat="1" applyFont="1" applyFill="1" applyBorder="1" applyAlignment="1">
      <alignment horizontal="center" vertical="center" wrapText="1"/>
    </xf>
    <xf numFmtId="0" fontId="4" fillId="5" borderId="0" xfId="0" applyFont="1" applyFill="1" applyBorder="1" applyAlignment="1">
      <alignment horizontal="left" vertical="center" wrapText="1"/>
    </xf>
    <xf numFmtId="9" fontId="8" fillId="0" borderId="27" xfId="2" applyFont="1" applyFill="1" applyBorder="1" applyAlignment="1">
      <alignment horizontal="center" vertical="center" wrapText="1" readingOrder="1"/>
    </xf>
    <xf numFmtId="0" fontId="7" fillId="2" borderId="45" xfId="0" applyFont="1" applyFill="1" applyBorder="1" applyAlignment="1">
      <alignment horizontal="center" vertical="center" wrapText="1" readingOrder="1"/>
    </xf>
    <xf numFmtId="15" fontId="8" fillId="3" borderId="37" xfId="0" applyNumberFormat="1" applyFont="1" applyFill="1" applyBorder="1" applyAlignment="1">
      <alignment horizontal="center" vertical="center" wrapText="1" readingOrder="1"/>
    </xf>
    <xf numFmtId="44" fontId="8" fillId="0" borderId="27" xfId="4" applyFont="1" applyFill="1" applyBorder="1" applyAlignment="1">
      <alignment horizontal="center" vertical="center" wrapText="1" readingOrder="1"/>
    </xf>
    <xf numFmtId="164" fontId="8" fillId="0" borderId="27" xfId="0" applyNumberFormat="1" applyFont="1" applyFill="1" applyBorder="1" applyAlignment="1">
      <alignment horizontal="center" vertical="center" wrapText="1" readingOrder="1"/>
    </xf>
    <xf numFmtId="0" fontId="8" fillId="0" borderId="0" xfId="0" applyFont="1" applyFill="1" applyBorder="1" applyAlignment="1">
      <alignment horizontal="center" vertical="center" wrapText="1" readingOrder="1"/>
    </xf>
    <xf numFmtId="9" fontId="8" fillId="0" borderId="26" xfId="2" applyFont="1" applyFill="1" applyBorder="1" applyAlignment="1">
      <alignment horizontal="center" vertical="center" wrapText="1" readingOrder="1"/>
    </xf>
    <xf numFmtId="44" fontId="8" fillId="0" borderId="26" xfId="4" applyFont="1" applyFill="1" applyBorder="1" applyAlignment="1">
      <alignment horizontal="center" vertical="center" wrapText="1" readingOrder="1"/>
    </xf>
    <xf numFmtId="164" fontId="8" fillId="0" borderId="40" xfId="0" applyNumberFormat="1" applyFont="1" applyFill="1" applyBorder="1" applyAlignment="1">
      <alignment horizontal="center" vertical="center" wrapText="1" readingOrder="1"/>
    </xf>
    <xf numFmtId="44" fontId="8" fillId="0" borderId="41" xfId="4" applyFont="1" applyFill="1" applyBorder="1" applyAlignment="1">
      <alignment horizontal="center" vertical="center" wrapText="1" readingOrder="1"/>
    </xf>
    <xf numFmtId="164" fontId="8" fillId="0" borderId="41" xfId="0" applyNumberFormat="1" applyFont="1" applyFill="1" applyBorder="1" applyAlignment="1">
      <alignment horizontal="center" vertical="center" wrapText="1" readingOrder="1"/>
    </xf>
    <xf numFmtId="44" fontId="8" fillId="0" borderId="42" xfId="4" applyFont="1" applyFill="1" applyBorder="1" applyAlignment="1">
      <alignment horizontal="center" vertical="center" wrapText="1" readingOrder="1"/>
    </xf>
    <xf numFmtId="0" fontId="0" fillId="0" borderId="0" xfId="0" applyAlignment="1">
      <alignment horizontal="center" vertical="center"/>
    </xf>
    <xf numFmtId="164" fontId="0" fillId="0" borderId="38" xfId="0" applyNumberFormat="1" applyFont="1" applyFill="1" applyBorder="1" applyAlignment="1">
      <alignment horizontal="center" vertical="center" wrapText="1"/>
    </xf>
    <xf numFmtId="0" fontId="0" fillId="0" borderId="37" xfId="0" applyFont="1" applyFill="1" applyBorder="1" applyAlignment="1">
      <alignment horizontal="center" vertical="center" wrapText="1" readingOrder="1"/>
    </xf>
    <xf numFmtId="164" fontId="0" fillId="0" borderId="24" xfId="0" applyNumberFormat="1" applyFont="1" applyFill="1" applyBorder="1" applyAlignment="1">
      <alignment horizontal="center" vertical="center" wrapText="1" readingOrder="1"/>
    </xf>
    <xf numFmtId="9" fontId="0" fillId="0" borderId="27" xfId="2" applyFont="1" applyFill="1" applyBorder="1" applyAlignment="1">
      <alignment horizontal="center" vertical="center" wrapText="1" readingOrder="1"/>
    </xf>
    <xf numFmtId="164" fontId="0" fillId="0" borderId="27" xfId="0" applyNumberFormat="1" applyFont="1" applyFill="1" applyBorder="1" applyAlignment="1">
      <alignment horizontal="center" vertical="center" wrapText="1" readingOrder="1"/>
    </xf>
    <xf numFmtId="0" fontId="0" fillId="0" borderId="0" xfId="0" applyFont="1">
      <alignment vertical="center"/>
    </xf>
    <xf numFmtId="9" fontId="8" fillId="0" borderId="27" xfId="2" applyFont="1" applyFill="1" applyBorder="1" applyAlignment="1">
      <alignment horizontal="center" vertical="center" wrapText="1" readingOrder="1"/>
    </xf>
    <xf numFmtId="15" fontId="0" fillId="3" borderId="55" xfId="0" applyNumberFormat="1" applyFont="1" applyFill="1" applyBorder="1" applyAlignment="1">
      <alignment horizontal="center" vertical="center" wrapText="1" readingOrder="1"/>
    </xf>
    <xf numFmtId="0" fontId="7" fillId="2" borderId="54" xfId="0" applyFont="1" applyFill="1" applyBorder="1" applyAlignment="1">
      <alignment horizontal="center" vertical="center" wrapText="1" readingOrder="1"/>
    </xf>
    <xf numFmtId="0" fontId="7" fillId="2" borderId="56" xfId="0" applyFont="1" applyFill="1" applyBorder="1" applyAlignment="1">
      <alignment horizontal="center" vertical="center" wrapText="1" readingOrder="1"/>
    </xf>
    <xf numFmtId="0" fontId="7" fillId="2" borderId="43" xfId="0" applyFont="1" applyFill="1" applyBorder="1" applyAlignment="1">
      <alignment horizontal="center" vertical="center" wrapText="1" readingOrder="1"/>
    </xf>
    <xf numFmtId="0" fontId="7" fillId="2" borderId="38" xfId="0" applyFont="1" applyFill="1" applyBorder="1" applyAlignment="1">
      <alignment horizontal="center" vertical="center" wrapText="1" readingOrder="1"/>
    </xf>
    <xf numFmtId="0" fontId="6" fillId="0" borderId="0" xfId="0" applyFont="1">
      <alignment vertical="center"/>
    </xf>
    <xf numFmtId="0" fontId="7" fillId="6" borderId="56" xfId="0" applyFont="1" applyFill="1" applyBorder="1" applyAlignment="1">
      <alignment horizontal="center" vertical="center" wrapText="1" readingOrder="1"/>
    </xf>
    <xf numFmtId="0" fontId="7" fillId="6" borderId="43" xfId="0" applyFont="1" applyFill="1" applyBorder="1" applyAlignment="1">
      <alignment horizontal="center" vertical="center" wrapText="1" readingOrder="1"/>
    </xf>
    <xf numFmtId="0" fontId="7" fillId="6" borderId="31" xfId="0" applyFont="1" applyFill="1" applyBorder="1" applyAlignment="1">
      <alignment horizontal="center" vertical="center" wrapText="1" readingOrder="1"/>
    </xf>
    <xf numFmtId="164" fontId="8" fillId="0" borderId="27" xfId="0" applyNumberFormat="1" applyFont="1" applyFill="1" applyBorder="1" applyAlignment="1">
      <alignment horizontal="center" vertical="center" wrapText="1" readingOrder="1"/>
    </xf>
    <xf numFmtId="164" fontId="8" fillId="0" borderId="25" xfId="0" applyNumberFormat="1" applyFont="1" applyFill="1" applyBorder="1" applyAlignment="1">
      <alignment horizontal="center" vertical="center" wrapText="1" readingOrder="1"/>
    </xf>
    <xf numFmtId="164" fontId="8" fillId="0" borderId="27" xfId="0" applyNumberFormat="1" applyFont="1" applyFill="1" applyBorder="1" applyAlignment="1">
      <alignment horizontal="center" vertical="center" wrapText="1" readingOrder="1"/>
    </xf>
    <xf numFmtId="164" fontId="4" fillId="0" borderId="12" xfId="1" applyNumberFormat="1" applyFont="1" applyFill="1" applyBorder="1" applyAlignment="1">
      <alignment horizontal="center" vertical="center" wrapText="1"/>
    </xf>
    <xf numFmtId="164" fontId="8" fillId="0" borderId="48" xfId="0" applyNumberFormat="1" applyFont="1" applyFill="1" applyBorder="1" applyAlignment="1">
      <alignment horizontal="center" vertical="center" wrapText="1" readingOrder="1"/>
    </xf>
    <xf numFmtId="164" fontId="8" fillId="0" borderId="45" xfId="0" applyNumberFormat="1" applyFont="1" applyFill="1" applyBorder="1" applyAlignment="1">
      <alignment horizontal="center" vertical="center" wrapText="1" readingOrder="1"/>
    </xf>
    <xf numFmtId="164" fontId="8" fillId="0" borderId="26" xfId="0" applyNumberFormat="1" applyFont="1" applyFill="1" applyBorder="1" applyAlignment="1">
      <alignment horizontal="center" vertical="center" wrapText="1" readingOrder="1"/>
    </xf>
    <xf numFmtId="164" fontId="8" fillId="0" borderId="12" xfId="0" applyNumberFormat="1" applyFont="1" applyFill="1" applyBorder="1" applyAlignment="1">
      <alignment horizontal="center" vertical="center" wrapText="1" readingOrder="1"/>
    </xf>
    <xf numFmtId="44" fontId="8" fillId="0" borderId="47" xfId="4" applyFont="1" applyFill="1" applyBorder="1" applyAlignment="1">
      <alignment horizontal="center" vertical="center" wrapText="1" readingOrder="1"/>
    </xf>
    <xf numFmtId="164" fontId="8" fillId="0" borderId="51" xfId="0" applyNumberFormat="1" applyFont="1" applyFill="1" applyBorder="1" applyAlignment="1">
      <alignment horizontal="center" vertical="center" readingOrder="1"/>
    </xf>
    <xf numFmtId="44" fontId="4" fillId="0" borderId="12" xfId="4" applyFont="1" applyFill="1" applyBorder="1" applyAlignment="1">
      <alignment horizontal="center" vertical="center" wrapText="1"/>
    </xf>
    <xf numFmtId="164" fontId="0" fillId="0" borderId="28" xfId="0" applyNumberFormat="1" applyFont="1" applyFill="1" applyBorder="1" applyAlignment="1">
      <alignment horizontal="center" vertical="center" wrapText="1"/>
    </xf>
    <xf numFmtId="15" fontId="0" fillId="3" borderId="37" xfId="0" applyNumberFormat="1" applyFont="1" applyFill="1" applyBorder="1" applyAlignment="1">
      <alignment horizontal="center" vertical="center" wrapText="1" readingOrder="1"/>
    </xf>
    <xf numFmtId="164" fontId="0" fillId="0" borderId="25" xfId="0" applyNumberFormat="1" applyFont="1" applyFill="1" applyBorder="1" applyAlignment="1">
      <alignment horizontal="center" vertical="center" wrapText="1" readingOrder="1"/>
    </xf>
    <xf numFmtId="15" fontId="8" fillId="3" borderId="41" xfId="0" applyNumberFormat="1" applyFont="1" applyFill="1" applyBorder="1" applyAlignment="1">
      <alignment horizontal="center" vertical="center" wrapText="1" readingOrder="1"/>
    </xf>
    <xf numFmtId="164" fontId="4" fillId="0" borderId="60" xfId="1" applyNumberFormat="1" applyFont="1" applyFill="1" applyBorder="1" applyAlignment="1">
      <alignment horizontal="center" vertical="center" wrapText="1"/>
    </xf>
    <xf numFmtId="9" fontId="8" fillId="0" borderId="58" xfId="2" applyFont="1" applyFill="1" applyBorder="1" applyAlignment="1">
      <alignment horizontal="center" vertical="center" wrapText="1" readingOrder="1"/>
    </xf>
    <xf numFmtId="164" fontId="8" fillId="0" borderId="28" xfId="0" applyNumberFormat="1" applyFont="1" applyFill="1" applyBorder="1" applyAlignment="1">
      <alignment horizontal="center" vertical="center" wrapText="1" readingOrder="1"/>
    </xf>
    <xf numFmtId="164" fontId="0" fillId="0" borderId="29" xfId="0" applyNumberFormat="1" applyFont="1" applyFill="1" applyBorder="1" applyAlignment="1">
      <alignment horizontal="center" vertical="center" wrapText="1" readingOrder="1"/>
    </xf>
    <xf numFmtId="164" fontId="0" fillId="0" borderId="28" xfId="0" applyNumberFormat="1" applyFont="1" applyFill="1" applyBorder="1" applyAlignment="1">
      <alignment horizontal="center" vertical="center" wrapText="1" readingOrder="1"/>
    </xf>
    <xf numFmtId="9" fontId="8" fillId="0" borderId="42" xfId="2" applyFont="1" applyFill="1" applyBorder="1" applyAlignment="1">
      <alignment horizontal="center" vertical="center" wrapText="1" readingOrder="1"/>
    </xf>
    <xf numFmtId="9" fontId="15" fillId="0" borderId="23" xfId="2" applyFont="1" applyFill="1" applyBorder="1" applyAlignment="1">
      <alignment horizontal="center" vertical="center" wrapText="1" readingOrder="1"/>
    </xf>
    <xf numFmtId="9" fontId="15" fillId="0" borderId="58" xfId="2" applyFont="1" applyBorder="1" applyAlignment="1">
      <alignment horizontal="center" vertical="center"/>
    </xf>
    <xf numFmtId="9" fontId="15" fillId="0" borderId="36" xfId="2" applyFont="1" applyBorder="1" applyAlignment="1">
      <alignment horizontal="center" vertical="center"/>
    </xf>
    <xf numFmtId="164" fontId="8" fillId="0" borderId="27" xfId="0" applyNumberFormat="1" applyFont="1" applyFill="1" applyBorder="1" applyAlignment="1">
      <alignment horizontal="center" vertical="center" wrapText="1" readingOrder="1"/>
    </xf>
    <xf numFmtId="164" fontId="8" fillId="0" borderId="27" xfId="0" applyNumberFormat="1" applyFont="1" applyFill="1" applyBorder="1" applyAlignment="1">
      <alignment horizontal="center" vertical="center" wrapText="1" readingOrder="1"/>
    </xf>
    <xf numFmtId="9" fontId="0" fillId="7" borderId="24" xfId="0" applyNumberFormat="1" applyFont="1" applyFill="1" applyBorder="1" applyAlignment="1">
      <alignment horizontal="center" vertical="center" wrapText="1" readingOrder="1"/>
    </xf>
    <xf numFmtId="15" fontId="13" fillId="7" borderId="24" xfId="0" applyNumberFormat="1" applyFont="1" applyFill="1" applyBorder="1" applyAlignment="1">
      <alignment horizontal="center" vertical="center" wrapText="1" readingOrder="1"/>
    </xf>
    <xf numFmtId="15" fontId="8" fillId="7" borderId="53" xfId="0" applyNumberFormat="1" applyFont="1" applyFill="1" applyBorder="1" applyAlignment="1">
      <alignment horizontal="center" vertical="center" wrapText="1" readingOrder="1"/>
    </xf>
    <xf numFmtId="164" fontId="4" fillId="7" borderId="28" xfId="1" applyNumberFormat="1" applyFont="1" applyFill="1" applyBorder="1" applyAlignment="1">
      <alignment horizontal="center" vertical="center" wrapText="1"/>
    </xf>
    <xf numFmtId="164" fontId="5" fillId="7" borderId="12" xfId="1" applyNumberFormat="1" applyFont="1" applyFill="1" applyBorder="1" applyAlignment="1">
      <alignment horizontal="center" vertical="center" wrapText="1"/>
    </xf>
    <xf numFmtId="164" fontId="4" fillId="7" borderId="12" xfId="1" applyNumberFormat="1" applyFont="1" applyFill="1" applyBorder="1" applyAlignment="1">
      <alignment horizontal="center" vertical="center" wrapText="1"/>
    </xf>
    <xf numFmtId="15" fontId="8" fillId="7" borderId="50" xfId="0" applyNumberFormat="1" applyFont="1" applyFill="1" applyBorder="1" applyAlignment="1">
      <alignment horizontal="center" vertical="center" wrapText="1" readingOrder="1"/>
    </xf>
    <xf numFmtId="164" fontId="5" fillId="7" borderId="28" xfId="1" applyNumberFormat="1" applyFont="1" applyFill="1" applyBorder="1" applyAlignment="1">
      <alignment horizontal="center" vertical="center" wrapText="1"/>
    </xf>
    <xf numFmtId="164" fontId="12" fillId="7" borderId="45" xfId="0" applyNumberFormat="1" applyFont="1" applyFill="1" applyBorder="1" applyAlignment="1">
      <alignment horizontal="center" vertical="center" wrapText="1" readingOrder="1"/>
    </xf>
    <xf numFmtId="164" fontId="8" fillId="7" borderId="45" xfId="0" applyNumberFormat="1" applyFont="1" applyFill="1" applyBorder="1" applyAlignment="1">
      <alignment horizontal="center" vertical="center" wrapText="1" readingOrder="1"/>
    </xf>
    <xf numFmtId="164" fontId="6" fillId="7" borderId="24" xfId="0" applyNumberFormat="1" applyFont="1" applyFill="1" applyBorder="1" applyAlignment="1">
      <alignment horizontal="center" vertical="center" wrapText="1" readingOrder="1"/>
    </xf>
    <xf numFmtId="9" fontId="8" fillId="7" borderId="27" xfId="2" applyFont="1" applyFill="1" applyBorder="1" applyAlignment="1">
      <alignment horizontal="center" vertical="center" wrapText="1" readingOrder="1"/>
    </xf>
    <xf numFmtId="164" fontId="12" fillId="7" borderId="29" xfId="0" applyNumberFormat="1" applyFont="1" applyFill="1" applyBorder="1" applyAlignment="1">
      <alignment horizontal="center" vertical="center" wrapText="1" readingOrder="1"/>
    </xf>
    <xf numFmtId="164" fontId="8" fillId="7" borderId="29" xfId="0" applyNumberFormat="1" applyFont="1" applyFill="1" applyBorder="1" applyAlignment="1">
      <alignment horizontal="center" vertical="center" wrapText="1" readingOrder="1"/>
    </xf>
    <xf numFmtId="164" fontId="6" fillId="7" borderId="28" xfId="0" applyNumberFormat="1" applyFont="1" applyFill="1" applyBorder="1" applyAlignment="1">
      <alignment horizontal="center" vertical="center" wrapText="1" readingOrder="1"/>
    </xf>
    <xf numFmtId="15" fontId="0" fillId="7" borderId="50" xfId="0" applyNumberFormat="1" applyFont="1" applyFill="1" applyBorder="1" applyAlignment="1">
      <alignment horizontal="center" vertical="center" wrapText="1" readingOrder="1"/>
    </xf>
    <xf numFmtId="164" fontId="13" fillId="7" borderId="29" xfId="0" applyNumberFormat="1" applyFont="1" applyFill="1" applyBorder="1" applyAlignment="1">
      <alignment horizontal="center" vertical="center" wrapText="1" readingOrder="1"/>
    </xf>
    <xf numFmtId="164" fontId="0" fillId="7" borderId="29" xfId="0" applyNumberFormat="1" applyFont="1" applyFill="1" applyBorder="1" applyAlignment="1">
      <alignment horizontal="center" vertical="center" wrapText="1" readingOrder="1"/>
    </xf>
    <xf numFmtId="164" fontId="0" fillId="7" borderId="28" xfId="0" applyNumberFormat="1" applyFont="1" applyFill="1" applyBorder="1" applyAlignment="1">
      <alignment horizontal="center" vertical="center" wrapText="1" readingOrder="1"/>
    </xf>
    <xf numFmtId="9" fontId="8" fillId="7" borderId="26" xfId="2" applyFont="1" applyFill="1" applyBorder="1" applyAlignment="1">
      <alignment horizontal="center" vertical="center" wrapText="1" readingOrder="1"/>
    </xf>
    <xf numFmtId="9" fontId="8" fillId="7" borderId="28" xfId="2" applyFont="1" applyFill="1" applyBorder="1" applyAlignment="1">
      <alignment horizontal="center" vertical="center" wrapText="1" readingOrder="1"/>
    </xf>
    <xf numFmtId="15" fontId="0" fillId="7" borderId="49" xfId="0" applyNumberFormat="1" applyFont="1" applyFill="1" applyBorder="1" applyAlignment="1">
      <alignment horizontal="center" vertical="center" wrapText="1" readingOrder="1"/>
    </xf>
    <xf numFmtId="164" fontId="13" fillId="7" borderId="23" xfId="0" applyNumberFormat="1" applyFont="1" applyFill="1" applyBorder="1" applyAlignment="1">
      <alignment horizontal="center" vertical="center" wrapText="1" readingOrder="1"/>
    </xf>
    <xf numFmtId="164" fontId="0" fillId="7" borderId="23" xfId="0" applyNumberFormat="1" applyFont="1" applyFill="1" applyBorder="1" applyAlignment="1">
      <alignment horizontal="center" vertical="center" wrapText="1" readingOrder="1"/>
    </xf>
    <xf numFmtId="15" fontId="8" fillId="7" borderId="28" xfId="0" applyNumberFormat="1" applyFont="1" applyFill="1" applyBorder="1" applyAlignment="1">
      <alignment horizontal="center" vertical="center" wrapText="1" readingOrder="1"/>
    </xf>
    <xf numFmtId="0" fontId="0" fillId="7" borderId="28" xfId="0" applyFill="1" applyBorder="1" applyAlignment="1">
      <alignment horizontal="center" vertical="center"/>
    </xf>
    <xf numFmtId="164" fontId="6" fillId="7" borderId="28" xfId="1" applyNumberFormat="1" applyFont="1" applyFill="1" applyBorder="1" applyAlignment="1">
      <alignment horizontal="center" vertical="center" wrapText="1"/>
    </xf>
    <xf numFmtId="9" fontId="8" fillId="7" borderId="58" xfId="2" applyFont="1" applyFill="1" applyBorder="1" applyAlignment="1">
      <alignment horizontal="center" vertical="center" wrapText="1" readingOrder="1"/>
    </xf>
    <xf numFmtId="164" fontId="6" fillId="7" borderId="38" xfId="0" applyNumberFormat="1" applyFont="1" applyFill="1" applyBorder="1" applyAlignment="1">
      <alignment horizontal="center" vertical="center" wrapText="1" readingOrder="1"/>
    </xf>
    <xf numFmtId="164" fontId="8" fillId="0" borderId="37" xfId="0" applyNumberFormat="1" applyFont="1" applyFill="1" applyBorder="1" applyAlignment="1">
      <alignment horizontal="center" vertical="center" wrapText="1" readingOrder="1"/>
    </xf>
    <xf numFmtId="164" fontId="8" fillId="0" borderId="56" xfId="0" applyNumberFormat="1" applyFont="1" applyFill="1" applyBorder="1" applyAlignment="1">
      <alignment horizontal="center" vertical="center" wrapText="1" readingOrder="1"/>
    </xf>
    <xf numFmtId="9" fontId="8" fillId="0" borderId="54" xfId="2" applyFont="1" applyFill="1" applyBorder="1" applyAlignment="1">
      <alignment horizontal="center" vertical="center" wrapText="1" readingOrder="1"/>
    </xf>
    <xf numFmtId="9" fontId="0" fillId="7" borderId="41" xfId="0" applyNumberFormat="1" applyFont="1" applyFill="1" applyBorder="1" applyAlignment="1">
      <alignment horizontal="center" vertical="center" wrapText="1" readingOrder="1"/>
    </xf>
    <xf numFmtId="15" fontId="13" fillId="7" borderId="60" xfId="0" applyNumberFormat="1" applyFont="1" applyFill="1" applyBorder="1" applyAlignment="1">
      <alignment horizontal="center" vertical="center" wrapText="1" readingOrder="1"/>
    </xf>
    <xf numFmtId="0" fontId="7" fillId="2" borderId="28" xfId="0" applyFont="1" applyFill="1" applyBorder="1" applyAlignment="1">
      <alignment horizontal="center" vertical="center" wrapText="1" readingOrder="1"/>
    </xf>
    <xf numFmtId="164" fontId="0" fillId="5" borderId="23" xfId="0" applyNumberFormat="1" applyFont="1" applyFill="1" applyBorder="1" applyAlignment="1">
      <alignment horizontal="center" vertical="center" wrapText="1" readingOrder="1"/>
    </xf>
    <xf numFmtId="164" fontId="6" fillId="5" borderId="28" xfId="0" applyNumberFormat="1" applyFont="1" applyFill="1" applyBorder="1" applyAlignment="1">
      <alignment horizontal="center" vertical="center" wrapText="1" readingOrder="1"/>
    </xf>
    <xf numFmtId="9" fontId="8" fillId="5" borderId="27" xfId="2" applyFont="1" applyFill="1" applyBorder="1" applyAlignment="1">
      <alignment horizontal="center" vertical="center" wrapText="1" readingOrder="1"/>
    </xf>
    <xf numFmtId="0" fontId="0" fillId="4" borderId="37" xfId="0" applyFont="1" applyFill="1" applyBorder="1" applyAlignment="1">
      <alignment horizontal="center" vertical="center" wrapText="1" readingOrder="1"/>
    </xf>
    <xf numFmtId="9" fontId="0" fillId="4" borderId="24" xfId="0" applyNumberFormat="1" applyFont="1" applyFill="1" applyBorder="1" applyAlignment="1">
      <alignment horizontal="center" vertical="center" wrapText="1" readingOrder="1"/>
    </xf>
    <xf numFmtId="164" fontId="0" fillId="0" borderId="0" xfId="0" applyNumberFormat="1" applyFont="1" applyFill="1" applyBorder="1" applyAlignment="1">
      <alignment horizontal="center" vertical="center" wrapText="1" readingOrder="1"/>
    </xf>
    <xf numFmtId="15" fontId="0" fillId="3" borderId="0" xfId="0" applyNumberFormat="1" applyFont="1" applyFill="1" applyBorder="1" applyAlignment="1">
      <alignment horizontal="center" vertical="center" wrapText="1" readingOrder="1"/>
    </xf>
    <xf numFmtId="164" fontId="0" fillId="0" borderId="30" xfId="0" applyNumberFormat="1" applyFont="1" applyFill="1" applyBorder="1" applyAlignment="1">
      <alignment horizontal="center" vertical="center" wrapText="1" readingOrder="1"/>
    </xf>
    <xf numFmtId="9" fontId="0" fillId="0" borderId="0" xfId="2" applyFont="1" applyFill="1" applyBorder="1" applyAlignment="1">
      <alignment horizontal="center" vertical="center" wrapText="1" readingOrder="1"/>
    </xf>
    <xf numFmtId="164" fontId="8" fillId="0" borderId="61" xfId="0" applyNumberFormat="1" applyFont="1" applyFill="1" applyBorder="1" applyAlignment="1">
      <alignment horizontal="center" vertical="center" wrapText="1" readingOrder="1"/>
    </xf>
    <xf numFmtId="44" fontId="8" fillId="0" borderId="48" xfId="4" applyFont="1" applyFill="1" applyBorder="1" applyAlignment="1">
      <alignment horizontal="center" vertical="center" wrapText="1" readingOrder="1"/>
    </xf>
    <xf numFmtId="164" fontId="8" fillId="0" borderId="30" xfId="0" applyNumberFormat="1" applyFont="1" applyFill="1" applyBorder="1" applyAlignment="1">
      <alignment horizontal="center" vertical="center" wrapText="1" readingOrder="1"/>
    </xf>
    <xf numFmtId="44" fontId="8" fillId="0" borderId="62" xfId="4" applyFont="1" applyFill="1" applyBorder="1" applyAlignment="1">
      <alignment horizontal="center" vertical="center" wrapText="1" readingOrder="1"/>
    </xf>
    <xf numFmtId="15" fontId="0" fillId="7" borderId="46" xfId="0" applyNumberFormat="1" applyFont="1" applyFill="1" applyBorder="1" applyAlignment="1">
      <alignment horizontal="center" vertical="center" wrapText="1" readingOrder="1"/>
    </xf>
    <xf numFmtId="164" fontId="6" fillId="7" borderId="12" xfId="0" applyNumberFormat="1" applyFont="1" applyFill="1" applyBorder="1" applyAlignment="1">
      <alignment horizontal="center" vertical="center" wrapText="1" readingOrder="1"/>
    </xf>
    <xf numFmtId="164" fontId="0" fillId="7" borderId="57" xfId="0" applyNumberFormat="1" applyFont="1" applyFill="1" applyBorder="1" applyAlignment="1">
      <alignment horizontal="center" vertical="center" wrapText="1" readingOrder="1"/>
    </xf>
    <xf numFmtId="9" fontId="8" fillId="7" borderId="59" xfId="2" applyFont="1" applyFill="1" applyBorder="1" applyAlignment="1">
      <alignment horizontal="center" vertical="center" wrapText="1" readingOrder="1"/>
    </xf>
    <xf numFmtId="164" fontId="3" fillId="8" borderId="27" xfId="0" applyNumberFormat="1" applyFont="1" applyFill="1" applyBorder="1" applyAlignment="1">
      <alignment horizontal="center" vertical="center" wrapText="1" readingOrder="1"/>
    </xf>
    <xf numFmtId="164" fontId="3" fillId="8" borderId="25" xfId="0" applyNumberFormat="1" applyFont="1" applyFill="1" applyBorder="1" applyAlignment="1">
      <alignment horizontal="center" vertical="center" wrapText="1" readingOrder="1"/>
    </xf>
    <xf numFmtId="164" fontId="3" fillId="8" borderId="29" xfId="0" applyNumberFormat="1" applyFont="1" applyFill="1" applyBorder="1" applyAlignment="1">
      <alignment horizontal="center" vertical="center" wrapText="1" readingOrder="1"/>
    </xf>
    <xf numFmtId="164" fontId="3" fillId="8" borderId="24" xfId="0" applyNumberFormat="1" applyFont="1" applyFill="1" applyBorder="1" applyAlignment="1">
      <alignment horizontal="center" vertical="center" wrapText="1" readingOrder="1"/>
    </xf>
    <xf numFmtId="164" fontId="3" fillId="8" borderId="60" xfId="1" applyNumberFormat="1" applyFont="1" applyFill="1" applyBorder="1" applyAlignment="1">
      <alignment horizontal="center" vertical="center" wrapText="1"/>
    </xf>
    <xf numFmtId="164" fontId="3" fillId="8" borderId="26" xfId="0" applyNumberFormat="1" applyFont="1" applyFill="1" applyBorder="1" applyAlignment="1">
      <alignment horizontal="center" vertical="center" wrapText="1" readingOrder="1"/>
    </xf>
    <xf numFmtId="0" fontId="7" fillId="2" borderId="28" xfId="0" applyFont="1" applyFill="1" applyBorder="1" applyAlignment="1">
      <alignment horizontal="center" vertical="center" wrapText="1"/>
    </xf>
    <xf numFmtId="0" fontId="8" fillId="4" borderId="37" xfId="0" applyFont="1" applyFill="1" applyBorder="1" applyAlignment="1">
      <alignment horizontal="center" vertical="center" wrapText="1" readingOrder="1"/>
    </xf>
    <xf numFmtId="15" fontId="13" fillId="4" borderId="24" xfId="0" applyNumberFormat="1" applyFont="1" applyFill="1" applyBorder="1" applyAlignment="1">
      <alignment horizontal="center" vertical="center" wrapText="1" readingOrder="1"/>
    </xf>
    <xf numFmtId="0" fontId="6" fillId="0" borderId="37" xfId="0" applyFont="1" applyFill="1" applyBorder="1" applyAlignment="1">
      <alignment horizontal="center" vertical="center" wrapText="1" readingOrder="1"/>
    </xf>
    <xf numFmtId="9" fontId="0" fillId="7" borderId="61" xfId="0" applyNumberFormat="1" applyFont="1" applyFill="1" applyBorder="1" applyAlignment="1">
      <alignment horizontal="center" vertical="center" wrapText="1" readingOrder="1"/>
    </xf>
    <xf numFmtId="9" fontId="0" fillId="7" borderId="60" xfId="0" applyNumberFormat="1" applyFont="1" applyFill="1" applyBorder="1" applyAlignment="1">
      <alignment horizontal="center" vertical="center" wrapText="1" readingOrder="1"/>
    </xf>
    <xf numFmtId="9" fontId="0" fillId="7" borderId="28" xfId="0" applyNumberFormat="1" applyFont="1" applyFill="1" applyBorder="1" applyAlignment="1">
      <alignment horizontal="center" vertical="center" wrapText="1" readingOrder="1"/>
    </xf>
    <xf numFmtId="0" fontId="0" fillId="0" borderId="12" xfId="0" applyFont="1" applyFill="1" applyBorder="1" applyAlignment="1">
      <alignment horizontal="center" vertical="center" wrapText="1" readingOrder="1"/>
    </xf>
    <xf numFmtId="9" fontId="0" fillId="7" borderId="12" xfId="0" applyNumberFormat="1" applyFont="1" applyFill="1" applyBorder="1" applyAlignment="1">
      <alignment horizontal="center" vertical="center" wrapText="1" readingOrder="1"/>
    </xf>
    <xf numFmtId="164" fontId="17" fillId="7" borderId="12" xfId="0" applyNumberFormat="1" applyFont="1" applyFill="1" applyBorder="1" applyAlignment="1">
      <alignment horizontal="center" vertical="center" wrapText="1" readingOrder="1"/>
    </xf>
    <xf numFmtId="164" fontId="0" fillId="7" borderId="64" xfId="0" applyNumberFormat="1" applyFont="1" applyFill="1" applyBorder="1" applyAlignment="1">
      <alignment horizontal="center" vertical="center" wrapText="1" readingOrder="1"/>
    </xf>
    <xf numFmtId="9" fontId="8" fillId="7" borderId="62" xfId="2" applyFont="1" applyFill="1" applyBorder="1" applyAlignment="1">
      <alignment horizontal="center" vertical="center" wrapText="1" readingOrder="1"/>
    </xf>
    <xf numFmtId="9" fontId="8" fillId="7" borderId="68" xfId="2" applyFont="1" applyFill="1" applyBorder="1" applyAlignment="1">
      <alignment horizontal="center" vertical="center" wrapText="1" readingOrder="1"/>
    </xf>
    <xf numFmtId="0" fontId="0" fillId="0" borderId="40" xfId="0" applyFont="1" applyFill="1" applyBorder="1" applyAlignment="1">
      <alignment horizontal="center" vertical="center" wrapText="1" readingOrder="1"/>
    </xf>
    <xf numFmtId="164" fontId="0" fillId="0" borderId="41" xfId="0" applyNumberFormat="1" applyFont="1" applyFill="1" applyBorder="1" applyAlignment="1">
      <alignment horizontal="center" vertical="center" wrapText="1" readingOrder="1"/>
    </xf>
    <xf numFmtId="9" fontId="15" fillId="0" borderId="60" xfId="2" applyFont="1" applyFill="1" applyBorder="1" applyAlignment="1">
      <alignment horizontal="center" vertical="center" wrapText="1" readingOrder="1"/>
    </xf>
    <xf numFmtId="15" fontId="0" fillId="7" borderId="28" xfId="0" applyNumberFormat="1" applyFont="1" applyFill="1" applyBorder="1" applyAlignment="1">
      <alignment horizontal="center" vertical="center" wrapText="1" readingOrder="1"/>
    </xf>
    <xf numFmtId="164" fontId="17" fillId="7" borderId="28" xfId="0" applyNumberFormat="1" applyFont="1" applyFill="1" applyBorder="1" applyAlignment="1">
      <alignment horizontal="center" vertical="center" wrapText="1" readingOrder="1"/>
    </xf>
    <xf numFmtId="15" fontId="0" fillId="3" borderId="57" xfId="0" applyNumberFormat="1" applyFont="1" applyFill="1" applyBorder="1" applyAlignment="1">
      <alignment horizontal="center" vertical="center" wrapText="1" readingOrder="1"/>
    </xf>
    <xf numFmtId="164" fontId="0" fillId="0" borderId="60" xfId="0" applyNumberFormat="1" applyFont="1" applyFill="1" applyBorder="1" applyAlignment="1">
      <alignment horizontal="center" vertical="center" wrapText="1" readingOrder="1"/>
    </xf>
    <xf numFmtId="164" fontId="0" fillId="0" borderId="57" xfId="0" applyNumberFormat="1" applyFont="1" applyFill="1" applyBorder="1" applyAlignment="1">
      <alignment horizontal="center" vertical="center" wrapText="1" readingOrder="1"/>
    </xf>
    <xf numFmtId="9" fontId="0" fillId="0" borderId="57" xfId="2" applyFont="1" applyFill="1" applyBorder="1" applyAlignment="1">
      <alignment horizontal="center" vertical="center" wrapText="1" readingOrder="1"/>
    </xf>
    <xf numFmtId="164" fontId="17" fillId="7" borderId="38" xfId="0" applyNumberFormat="1" applyFont="1" applyFill="1" applyBorder="1" applyAlignment="1">
      <alignment horizontal="center" vertical="center" wrapText="1" readingOrder="1"/>
    </xf>
    <xf numFmtId="164" fontId="5" fillId="7" borderId="0" xfId="1" applyNumberFormat="1" applyFont="1" applyFill="1" applyBorder="1" applyAlignment="1">
      <alignment horizontal="center" vertical="center" wrapText="1"/>
    </xf>
    <xf numFmtId="15" fontId="8" fillId="3" borderId="0" xfId="0" applyNumberFormat="1" applyFont="1" applyFill="1" applyBorder="1" applyAlignment="1">
      <alignment horizontal="center" vertical="center" wrapText="1" readingOrder="1"/>
    </xf>
    <xf numFmtId="164" fontId="4" fillId="0" borderId="30" xfId="1" applyNumberFormat="1" applyFont="1" applyFill="1" applyBorder="1" applyAlignment="1">
      <alignment horizontal="center" vertical="center" wrapText="1"/>
    </xf>
    <xf numFmtId="164" fontId="4" fillId="0" borderId="0" xfId="1" applyNumberFormat="1" applyFont="1" applyFill="1" applyBorder="1" applyAlignment="1">
      <alignment horizontal="center" vertical="center" wrapText="1"/>
    </xf>
    <xf numFmtId="9" fontId="8" fillId="0" borderId="0" xfId="2" applyFont="1" applyFill="1" applyBorder="1" applyAlignment="1">
      <alignment horizontal="center" vertical="center" wrapText="1" readingOrder="1"/>
    </xf>
    <xf numFmtId="164" fontId="8" fillId="0" borderId="30" xfId="0" applyNumberFormat="1" applyFont="1" applyFill="1" applyBorder="1" applyAlignment="1">
      <alignment horizontal="center" vertical="center" readingOrder="1"/>
    </xf>
    <xf numFmtId="44" fontId="4" fillId="0" borderId="62" xfId="4" applyFont="1" applyFill="1" applyBorder="1" applyAlignment="1">
      <alignment horizontal="center" vertical="center" wrapText="1"/>
    </xf>
    <xf numFmtId="0" fontId="0" fillId="0" borderId="45" xfId="0" applyFont="1" applyFill="1" applyBorder="1" applyAlignment="1">
      <alignment horizontal="center" vertical="center" wrapText="1" readingOrder="1"/>
    </xf>
    <xf numFmtId="0" fontId="8" fillId="0" borderId="28" xfId="0" applyFont="1" applyFill="1" applyBorder="1" applyAlignment="1">
      <alignment horizontal="center" vertical="center" wrapText="1" readingOrder="1"/>
    </xf>
    <xf numFmtId="0" fontId="8" fillId="0" borderId="12" xfId="0" applyFont="1" applyFill="1" applyBorder="1" applyAlignment="1">
      <alignment horizontal="center" vertical="center" wrapText="1" readingOrder="1"/>
    </xf>
    <xf numFmtId="9" fontId="0" fillId="7" borderId="72" xfId="0" applyNumberFormat="1" applyFont="1" applyFill="1" applyBorder="1" applyAlignment="1">
      <alignment horizontal="center" vertical="center" wrapText="1" readingOrder="1"/>
    </xf>
    <xf numFmtId="15" fontId="8" fillId="7" borderId="12" xfId="0" applyNumberFormat="1" applyFont="1" applyFill="1" applyBorder="1" applyAlignment="1">
      <alignment horizontal="center" vertical="center" wrapText="1" readingOrder="1"/>
    </xf>
    <xf numFmtId="0" fontId="0" fillId="7" borderId="12" xfId="0" applyFill="1" applyBorder="1" applyAlignment="1">
      <alignment horizontal="center" vertical="center"/>
    </xf>
    <xf numFmtId="164" fontId="6" fillId="7" borderId="12" xfId="1" applyNumberFormat="1" applyFont="1" applyFill="1" applyBorder="1" applyAlignment="1">
      <alignment horizontal="center" vertical="center" wrapText="1"/>
    </xf>
    <xf numFmtId="9" fontId="8" fillId="7" borderId="61" xfId="2" applyFont="1" applyFill="1" applyBorder="1" applyAlignment="1">
      <alignment horizontal="center" vertical="center" wrapText="1" readingOrder="1"/>
    </xf>
    <xf numFmtId="15" fontId="8" fillId="3" borderId="66" xfId="0" applyNumberFormat="1" applyFont="1" applyFill="1" applyBorder="1" applyAlignment="1">
      <alignment horizontal="center" vertical="center" wrapText="1" readingOrder="1"/>
    </xf>
    <xf numFmtId="164" fontId="4" fillId="0" borderId="72" xfId="1" applyNumberFormat="1" applyFont="1" applyFill="1" applyBorder="1" applyAlignment="1">
      <alignment horizontal="center" vertical="center" wrapText="1"/>
    </xf>
    <xf numFmtId="9" fontId="8" fillId="0" borderId="61" xfId="2" applyFont="1" applyFill="1" applyBorder="1" applyAlignment="1">
      <alignment horizontal="center" vertical="center" wrapText="1" readingOrder="1"/>
    </xf>
    <xf numFmtId="164" fontId="5" fillId="7" borderId="57" xfId="1" applyNumberFormat="1" applyFont="1" applyFill="1" applyBorder="1" applyAlignment="1">
      <alignment horizontal="center" vertical="center" wrapText="1"/>
    </xf>
    <xf numFmtId="9" fontId="8" fillId="7" borderId="57" xfId="2" applyFont="1" applyFill="1" applyBorder="1" applyAlignment="1">
      <alignment horizontal="center" vertical="center" wrapText="1" readingOrder="1"/>
    </xf>
    <xf numFmtId="15" fontId="8" fillId="3" borderId="57" xfId="0" applyNumberFormat="1" applyFont="1" applyFill="1" applyBorder="1" applyAlignment="1">
      <alignment horizontal="center" vertical="center" wrapText="1" readingOrder="1"/>
    </xf>
    <xf numFmtId="164" fontId="4" fillId="0" borderId="57" xfId="1" applyNumberFormat="1" applyFont="1" applyFill="1" applyBorder="1" applyAlignment="1">
      <alignment horizontal="center" vertical="center" wrapText="1"/>
    </xf>
    <xf numFmtId="9" fontId="8" fillId="0" borderId="57" xfId="2" applyFont="1" applyFill="1" applyBorder="1" applyAlignment="1">
      <alignment horizontal="center" vertical="center" wrapText="1" readingOrder="1"/>
    </xf>
    <xf numFmtId="9" fontId="0" fillId="7" borderId="40" xfId="0" applyNumberFormat="1" applyFont="1" applyFill="1" applyBorder="1" applyAlignment="1">
      <alignment horizontal="center" vertical="center" wrapText="1" readingOrder="1"/>
    </xf>
    <xf numFmtId="0" fontId="0" fillId="0" borderId="70" xfId="0" applyFont="1" applyFill="1" applyBorder="1" applyAlignment="1">
      <alignment horizontal="center" vertical="center" wrapText="1" readingOrder="1"/>
    </xf>
    <xf numFmtId="15" fontId="13" fillId="7" borderId="41" xfId="0" applyNumberFormat="1" applyFont="1" applyFill="1" applyBorder="1" applyAlignment="1">
      <alignment horizontal="center" vertical="center" wrapText="1" readingOrder="1"/>
    </xf>
    <xf numFmtId="164" fontId="13" fillId="7" borderId="60" xfId="0" applyNumberFormat="1" applyFont="1" applyFill="1" applyBorder="1" applyAlignment="1">
      <alignment horizontal="center" vertical="center" wrapText="1" readingOrder="1"/>
    </xf>
    <xf numFmtId="164" fontId="0" fillId="7" borderId="60" xfId="0" applyNumberFormat="1" applyFont="1" applyFill="1" applyBorder="1" applyAlignment="1">
      <alignment horizontal="center" vertical="center" wrapText="1" readingOrder="1"/>
    </xf>
    <xf numFmtId="9" fontId="8" fillId="7" borderId="41" xfId="2" applyFont="1" applyFill="1" applyBorder="1" applyAlignment="1">
      <alignment horizontal="center" vertical="center" wrapText="1" readingOrder="1"/>
    </xf>
    <xf numFmtId="9" fontId="0" fillId="0" borderId="41" xfId="2" applyFont="1" applyFill="1" applyBorder="1" applyAlignment="1">
      <alignment horizontal="center" vertical="center" wrapText="1" readingOrder="1"/>
    </xf>
    <xf numFmtId="164" fontId="3" fillId="8" borderId="41" xfId="0" applyNumberFormat="1" applyFont="1" applyFill="1" applyBorder="1" applyAlignment="1">
      <alignment horizontal="center" vertical="center" wrapText="1" readingOrder="1"/>
    </xf>
    <xf numFmtId="9" fontId="0" fillId="0" borderId="0" xfId="0" applyNumberFormat="1">
      <alignment vertical="center"/>
    </xf>
    <xf numFmtId="15" fontId="0" fillId="0" borderId="0" xfId="0" applyNumberFormat="1">
      <alignment vertical="center"/>
    </xf>
    <xf numFmtId="9" fontId="0" fillId="0" borderId="0" xfId="0" applyNumberFormat="1" applyAlignment="1">
      <alignment horizontal="center" vertical="center"/>
    </xf>
    <xf numFmtId="0" fontId="0" fillId="0" borderId="0" xfId="0" applyAlignment="1">
      <alignment vertical="center" wrapText="1"/>
    </xf>
    <xf numFmtId="15" fontId="0" fillId="5" borderId="0" xfId="0" applyNumberFormat="1" applyFill="1">
      <alignment vertical="center"/>
    </xf>
    <xf numFmtId="0" fontId="18" fillId="0" borderId="0" xfId="0" applyFont="1">
      <alignment vertical="center"/>
    </xf>
    <xf numFmtId="9" fontId="18" fillId="0" borderId="0" xfId="0" applyNumberFormat="1" applyFont="1">
      <alignment vertical="center"/>
    </xf>
    <xf numFmtId="9" fontId="18" fillId="0" borderId="0" xfId="0" applyNumberFormat="1" applyFont="1" applyAlignment="1">
      <alignment horizontal="center" vertical="center"/>
    </xf>
    <xf numFmtId="15" fontId="18" fillId="0" borderId="0" xfId="0" applyNumberFormat="1" applyFont="1">
      <alignment vertical="center"/>
    </xf>
    <xf numFmtId="0" fontId="0" fillId="3" borderId="0" xfId="0" applyFill="1" applyAlignment="1">
      <alignment vertical="center" wrapText="1"/>
    </xf>
    <xf numFmtId="15" fontId="18" fillId="10" borderId="0" xfId="0" applyNumberFormat="1" applyFont="1" applyFill="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horizontal="center" vertical="center"/>
    </xf>
    <xf numFmtId="0" fontId="13" fillId="0" borderId="0" xfId="0" applyFont="1" applyAlignment="1">
      <alignment horizontal="center" vertical="center" wrapText="1"/>
    </xf>
    <xf numFmtId="0" fontId="13" fillId="0" borderId="0" xfId="0" applyFont="1" applyAlignment="1">
      <alignment vertical="center" wrapText="1"/>
    </xf>
    <xf numFmtId="0" fontId="13" fillId="10" borderId="0" xfId="0" applyFont="1" applyFill="1" applyAlignment="1">
      <alignment vertical="center" wrapText="1"/>
    </xf>
    <xf numFmtId="0" fontId="13" fillId="3" borderId="0" xfId="0" applyFont="1" applyFill="1" applyAlignment="1">
      <alignment vertical="center" wrapText="1"/>
    </xf>
    <xf numFmtId="0" fontId="0" fillId="3" borderId="0" xfId="0" applyFill="1" applyAlignment="1">
      <alignment vertical="top" wrapText="1"/>
    </xf>
    <xf numFmtId="15" fontId="13" fillId="7" borderId="61" xfId="0" applyNumberFormat="1" applyFont="1" applyFill="1" applyBorder="1" applyAlignment="1">
      <alignment horizontal="center" vertical="center" wrapText="1" readingOrder="1"/>
    </xf>
    <xf numFmtId="0" fontId="0" fillId="0" borderId="0" xfId="0" applyAlignment="1"/>
    <xf numFmtId="15" fontId="19" fillId="0" borderId="0" xfId="0" applyNumberFormat="1" applyFont="1" applyAlignment="1">
      <alignment horizontal="left" vertical="center"/>
    </xf>
    <xf numFmtId="164" fontId="8" fillId="0" borderId="27" xfId="0" applyNumberFormat="1" applyFont="1" applyFill="1" applyBorder="1" applyAlignment="1">
      <alignment horizontal="center" vertical="center" wrapText="1" readingOrder="1"/>
    </xf>
    <xf numFmtId="164" fontId="8" fillId="0" borderId="12" xfId="0" applyNumberFormat="1" applyFont="1" applyFill="1" applyBorder="1" applyAlignment="1">
      <alignment horizontal="center" vertical="center" wrapText="1" readingOrder="1"/>
    </xf>
    <xf numFmtId="164" fontId="8" fillId="0" borderId="56" xfId="0" applyNumberFormat="1" applyFont="1" applyFill="1" applyBorder="1" applyAlignment="1">
      <alignment horizontal="center" vertical="center" wrapText="1" readingOrder="1"/>
    </xf>
    <xf numFmtId="164" fontId="0" fillId="4" borderId="28" xfId="0" applyNumberFormat="1" applyFont="1" applyFill="1" applyBorder="1" applyAlignment="1">
      <alignment horizontal="center" vertical="center" wrapText="1"/>
    </xf>
    <xf numFmtId="0" fontId="0" fillId="4" borderId="70" xfId="0" applyFont="1" applyFill="1" applyBorder="1" applyAlignment="1">
      <alignment horizontal="center" vertical="center" wrapText="1" readingOrder="1"/>
    </xf>
    <xf numFmtId="9" fontId="0" fillId="4" borderId="41" xfId="0" applyNumberFormat="1" applyFont="1" applyFill="1" applyBorder="1" applyAlignment="1">
      <alignment horizontal="center" vertical="center" wrapText="1" readingOrder="1"/>
    </xf>
    <xf numFmtId="15" fontId="13" fillId="4" borderId="41" xfId="0" applyNumberFormat="1" applyFont="1" applyFill="1" applyBorder="1" applyAlignment="1">
      <alignment horizontal="center" vertical="center" wrapText="1" readingOrder="1"/>
    </xf>
    <xf numFmtId="164" fontId="0" fillId="4" borderId="41" xfId="0" applyNumberFormat="1" applyFont="1" applyFill="1" applyBorder="1" applyAlignment="1">
      <alignment horizontal="center" vertical="center" wrapText="1" readingOrder="1"/>
    </xf>
    <xf numFmtId="164" fontId="8" fillId="4" borderId="28" xfId="0" applyNumberFormat="1" applyFont="1" applyFill="1" applyBorder="1" applyAlignment="1">
      <alignment horizontal="center" vertical="center" wrapText="1" readingOrder="1"/>
    </xf>
    <xf numFmtId="9" fontId="15" fillId="4" borderId="58" xfId="2" applyFont="1" applyFill="1" applyBorder="1" applyAlignment="1">
      <alignment horizontal="center" vertical="center"/>
    </xf>
    <xf numFmtId="15" fontId="0" fillId="4" borderId="28" xfId="0" applyNumberFormat="1" applyFont="1" applyFill="1" applyBorder="1" applyAlignment="1">
      <alignment horizontal="center" vertical="center" wrapText="1" readingOrder="1"/>
    </xf>
    <xf numFmtId="164" fontId="13" fillId="4" borderId="60" xfId="0" applyNumberFormat="1" applyFont="1" applyFill="1" applyBorder="1" applyAlignment="1">
      <alignment horizontal="center" vertical="center" wrapText="1" readingOrder="1"/>
    </xf>
    <xf numFmtId="164" fontId="0" fillId="4" borderId="60" xfId="0" applyNumberFormat="1" applyFont="1" applyFill="1" applyBorder="1" applyAlignment="1">
      <alignment horizontal="center" vertical="center" wrapText="1" readingOrder="1"/>
    </xf>
    <xf numFmtId="164" fontId="6" fillId="4" borderId="28" xfId="0" applyNumberFormat="1" applyFont="1" applyFill="1" applyBorder="1" applyAlignment="1">
      <alignment horizontal="center" vertical="center" wrapText="1" readingOrder="1"/>
    </xf>
    <xf numFmtId="9" fontId="8" fillId="4" borderId="41" xfId="2" applyFont="1" applyFill="1" applyBorder="1" applyAlignment="1">
      <alignment horizontal="center" vertical="center" wrapText="1" readingOrder="1"/>
    </xf>
    <xf numFmtId="15" fontId="0" fillId="4" borderId="57" xfId="0" applyNumberFormat="1" applyFont="1" applyFill="1" applyBorder="1" applyAlignment="1">
      <alignment horizontal="center" vertical="center" wrapText="1" readingOrder="1"/>
    </xf>
    <xf numFmtId="9" fontId="0" fillId="4" borderId="41" xfId="2" applyFont="1" applyFill="1" applyBorder="1" applyAlignment="1">
      <alignment horizontal="center" vertical="center" wrapText="1" readingOrder="1"/>
    </xf>
    <xf numFmtId="164" fontId="4" fillId="4" borderId="28" xfId="1" applyNumberFormat="1" applyFont="1" applyFill="1" applyBorder="1" applyAlignment="1">
      <alignment horizontal="center" vertical="center" wrapText="1"/>
    </xf>
    <xf numFmtId="164" fontId="3" fillId="4" borderId="41" xfId="0" applyNumberFormat="1" applyFont="1" applyFill="1" applyBorder="1" applyAlignment="1">
      <alignment horizontal="center" vertical="center" wrapText="1" readingOrder="1"/>
    </xf>
    <xf numFmtId="164" fontId="8" fillId="4" borderId="40" xfId="0" applyNumberFormat="1" applyFont="1" applyFill="1" applyBorder="1" applyAlignment="1">
      <alignment horizontal="center" vertical="center" wrapText="1" readingOrder="1"/>
    </xf>
    <xf numFmtId="164" fontId="8" fillId="4" borderId="41" xfId="0" applyNumberFormat="1" applyFont="1" applyFill="1" applyBorder="1" applyAlignment="1">
      <alignment horizontal="center" vertical="center" wrapText="1" readingOrder="1"/>
    </xf>
    <xf numFmtId="9" fontId="8" fillId="4" borderId="42" xfId="2" applyFont="1" applyFill="1" applyBorder="1" applyAlignment="1">
      <alignment horizontal="center" vertical="center" wrapText="1" readingOrder="1"/>
    </xf>
    <xf numFmtId="164" fontId="0" fillId="0" borderId="38" xfId="0" applyNumberFormat="1" applyFont="1" applyFill="1" applyBorder="1" applyAlignment="1">
      <alignment horizontal="center" vertical="center" wrapText="1"/>
    </xf>
    <xf numFmtId="164" fontId="13" fillId="0" borderId="28" xfId="0" applyNumberFormat="1" applyFont="1" applyFill="1" applyBorder="1" applyAlignment="1">
      <alignment horizontal="center" vertical="center" wrapText="1"/>
    </xf>
    <xf numFmtId="164" fontId="0" fillId="5" borderId="38" xfId="0" applyNumberFormat="1" applyFont="1" applyFill="1" applyBorder="1" applyAlignment="1">
      <alignment horizontal="center" vertical="center" wrapText="1"/>
    </xf>
    <xf numFmtId="164" fontId="4" fillId="5" borderId="28" xfId="0" applyNumberFormat="1" applyFont="1" applyFill="1" applyBorder="1" applyAlignment="1">
      <alignment horizontal="center" vertical="center" wrapText="1"/>
    </xf>
    <xf numFmtId="9" fontId="0" fillId="7" borderId="71" xfId="0" applyNumberFormat="1" applyFont="1" applyFill="1" applyBorder="1" applyAlignment="1">
      <alignment horizontal="center" vertical="center" wrapText="1" readingOrder="1"/>
    </xf>
    <xf numFmtId="15" fontId="13" fillId="7" borderId="72" xfId="0" applyNumberFormat="1" applyFont="1" applyFill="1" applyBorder="1" applyAlignment="1">
      <alignment horizontal="center" vertical="center" wrapText="1" readingOrder="1"/>
    </xf>
    <xf numFmtId="164" fontId="8" fillId="0" borderId="12" xfId="0" applyNumberFormat="1" applyFont="1" applyFill="1" applyBorder="1" applyAlignment="1">
      <alignment horizontal="center" vertical="center" wrapText="1" readingOrder="1"/>
    </xf>
    <xf numFmtId="164" fontId="3" fillId="8" borderId="28" xfId="0" applyNumberFormat="1" applyFont="1" applyFill="1" applyBorder="1" applyAlignment="1">
      <alignment horizontal="center" vertical="center" wrapText="1" readingOrder="1"/>
    </xf>
    <xf numFmtId="164" fontId="5" fillId="7" borderId="61" xfId="1" applyNumberFormat="1" applyFont="1" applyFill="1" applyBorder="1" applyAlignment="1">
      <alignment horizontal="center" vertical="center" wrapText="1"/>
    </xf>
    <xf numFmtId="164" fontId="0" fillId="7" borderId="31" xfId="0" applyNumberFormat="1" applyFont="1" applyFill="1" applyBorder="1" applyAlignment="1">
      <alignment horizontal="center" vertical="center" wrapText="1" readingOrder="1"/>
    </xf>
    <xf numFmtId="0" fontId="9" fillId="11" borderId="57" xfId="0" applyFont="1" applyFill="1" applyBorder="1" applyAlignment="1">
      <alignment horizontal="center" vertical="center" wrapText="1" readingOrder="1"/>
    </xf>
    <xf numFmtId="0" fontId="14" fillId="11" borderId="57" xfId="0" applyFont="1" applyFill="1" applyBorder="1" applyAlignment="1">
      <alignment horizontal="center" vertical="center" wrapText="1" readingOrder="1"/>
    </xf>
    <xf numFmtId="164" fontId="8" fillId="0" borderId="43" xfId="0" applyNumberFormat="1" applyFont="1" applyFill="1" applyBorder="1" applyAlignment="1">
      <alignment horizontal="center" vertical="center" wrapText="1" readingOrder="1"/>
    </xf>
    <xf numFmtId="164" fontId="8" fillId="0" borderId="38" xfId="0" applyNumberFormat="1" applyFont="1" applyFill="1" applyBorder="1" applyAlignment="1">
      <alignment horizontal="center" vertical="center" wrapText="1" readingOrder="1"/>
    </xf>
    <xf numFmtId="164" fontId="8" fillId="0" borderId="56" xfId="0" applyNumberFormat="1" applyFont="1" applyFill="1" applyBorder="1" applyAlignment="1">
      <alignment horizontal="center" vertical="center" wrapText="1" readingOrder="1"/>
    </xf>
    <xf numFmtId="164" fontId="0" fillId="0" borderId="38" xfId="0" applyNumberFormat="1" applyFont="1" applyFill="1" applyBorder="1" applyAlignment="1">
      <alignment horizontal="center" vertical="center" wrapText="1"/>
    </xf>
    <xf numFmtId="164" fontId="4" fillId="0" borderId="39" xfId="1" applyNumberFormat="1" applyFont="1" applyFill="1" applyBorder="1" applyAlignment="1">
      <alignment horizontal="center" vertical="center" wrapText="1"/>
    </xf>
    <xf numFmtId="0" fontId="20" fillId="0" borderId="3" xfId="0" applyFont="1" applyBorder="1" applyAlignment="1"/>
    <xf numFmtId="0" fontId="20" fillId="0" borderId="3" xfId="0" applyFont="1" applyBorder="1" applyAlignment="1">
      <alignment horizontal="center"/>
    </xf>
    <xf numFmtId="15" fontId="0" fillId="7" borderId="38" xfId="0" applyNumberFormat="1" applyFont="1" applyFill="1" applyBorder="1" applyAlignment="1">
      <alignment horizontal="center" vertical="center" wrapText="1" readingOrder="1"/>
    </xf>
    <xf numFmtId="9" fontId="0" fillId="7" borderId="70" xfId="0" applyNumberFormat="1" applyFont="1" applyFill="1" applyBorder="1" applyAlignment="1">
      <alignment horizontal="center" vertical="center" wrapText="1" readingOrder="1"/>
    </xf>
    <xf numFmtId="0" fontId="20" fillId="0" borderId="12" xfId="0" applyFont="1" applyBorder="1" applyAlignment="1">
      <alignment wrapText="1"/>
    </xf>
    <xf numFmtId="0" fontId="20" fillId="0" borderId="28" xfId="5" applyFont="1" applyBorder="1" applyAlignment="1">
      <alignment horizontal="left"/>
    </xf>
    <xf numFmtId="0" fontId="20" fillId="4" borderId="28" xfId="5" applyFont="1" applyFill="1" applyBorder="1" applyAlignment="1">
      <alignment horizontal="left"/>
    </xf>
    <xf numFmtId="9" fontId="0" fillId="4" borderId="70" xfId="0" applyNumberFormat="1" applyFont="1" applyFill="1" applyBorder="1" applyAlignment="1">
      <alignment horizontal="center" vertical="center" wrapText="1" readingOrder="1"/>
    </xf>
    <xf numFmtId="164" fontId="4" fillId="4" borderId="12" xfId="1" applyNumberFormat="1" applyFont="1" applyFill="1" applyBorder="1" applyAlignment="1">
      <alignment horizontal="center" vertical="center" wrapText="1"/>
    </xf>
    <xf numFmtId="164" fontId="0" fillId="4" borderId="27" xfId="0" applyNumberFormat="1" applyFont="1" applyFill="1" applyBorder="1" applyAlignment="1">
      <alignment horizontal="center" vertical="center" wrapText="1" readingOrder="1"/>
    </xf>
    <xf numFmtId="0" fontId="0" fillId="4" borderId="0" xfId="0" applyFill="1">
      <alignment vertical="center"/>
    </xf>
    <xf numFmtId="164" fontId="0" fillId="4" borderId="24" xfId="0" applyNumberFormat="1" applyFont="1" applyFill="1" applyBorder="1" applyAlignment="1">
      <alignment horizontal="center" vertical="center" wrapText="1" readingOrder="1"/>
    </xf>
    <xf numFmtId="164" fontId="0" fillId="4" borderId="38" xfId="0" applyNumberFormat="1" applyFont="1" applyFill="1" applyBorder="1" applyAlignment="1">
      <alignment horizontal="center" vertical="center" wrapText="1"/>
    </xf>
    <xf numFmtId="9" fontId="15" fillId="4" borderId="36" xfId="2" applyFont="1" applyFill="1" applyBorder="1" applyAlignment="1">
      <alignment horizontal="center" vertical="center"/>
    </xf>
    <xf numFmtId="44" fontId="8" fillId="4" borderId="41" xfId="4" applyFont="1" applyFill="1" applyBorder="1" applyAlignment="1">
      <alignment horizontal="center" vertical="center" wrapText="1" readingOrder="1"/>
    </xf>
    <xf numFmtId="44" fontId="8" fillId="4" borderId="42" xfId="4" applyFont="1" applyFill="1" applyBorder="1" applyAlignment="1">
      <alignment horizontal="center" vertical="center" wrapText="1" readingOrder="1"/>
    </xf>
    <xf numFmtId="0" fontId="0" fillId="4" borderId="0" xfId="0" applyFont="1" applyFill="1">
      <alignment vertical="center"/>
    </xf>
    <xf numFmtId="0" fontId="0" fillId="4" borderId="78" xfId="0" applyFont="1" applyFill="1" applyBorder="1" applyAlignment="1">
      <alignment horizontal="center" vertical="center" wrapText="1" readingOrder="1"/>
    </xf>
    <xf numFmtId="9" fontId="0" fillId="4" borderId="43" xfId="0" applyNumberFormat="1" applyFont="1" applyFill="1" applyBorder="1" applyAlignment="1">
      <alignment horizontal="center" vertical="center" wrapText="1" readingOrder="1"/>
    </xf>
    <xf numFmtId="15" fontId="13" fillId="4" borderId="43" xfId="0" applyNumberFormat="1" applyFont="1" applyFill="1" applyBorder="1" applyAlignment="1">
      <alignment horizontal="center" vertical="center" wrapText="1" readingOrder="1"/>
    </xf>
    <xf numFmtId="164" fontId="0" fillId="4" borderId="43" xfId="0" applyNumberFormat="1" applyFont="1" applyFill="1" applyBorder="1" applyAlignment="1">
      <alignment horizontal="center" vertical="center" wrapText="1" readingOrder="1"/>
    </xf>
    <xf numFmtId="164" fontId="8" fillId="4" borderId="38" xfId="0" applyNumberFormat="1" applyFont="1" applyFill="1" applyBorder="1" applyAlignment="1">
      <alignment horizontal="center" vertical="center" wrapText="1" readingOrder="1"/>
    </xf>
    <xf numFmtId="15" fontId="0" fillId="4" borderId="38" xfId="0" applyNumberFormat="1" applyFont="1" applyFill="1" applyBorder="1" applyAlignment="1">
      <alignment horizontal="center" vertical="center" wrapText="1" readingOrder="1"/>
    </xf>
    <xf numFmtId="164" fontId="13" fillId="4" borderId="69" xfId="0" applyNumberFormat="1" applyFont="1" applyFill="1" applyBorder="1" applyAlignment="1">
      <alignment horizontal="center" vertical="center" wrapText="1" readingOrder="1"/>
    </xf>
    <xf numFmtId="164" fontId="0" fillId="4" borderId="69" xfId="0" applyNumberFormat="1" applyFont="1" applyFill="1" applyBorder="1" applyAlignment="1">
      <alignment horizontal="center" vertical="center" wrapText="1" readingOrder="1"/>
    </xf>
    <xf numFmtId="164" fontId="6" fillId="4" borderId="38" xfId="0" applyNumberFormat="1" applyFont="1" applyFill="1" applyBorder="1" applyAlignment="1">
      <alignment horizontal="center" vertical="center" wrapText="1" readingOrder="1"/>
    </xf>
    <xf numFmtId="9" fontId="8" fillId="4" borderId="43" xfId="2" applyFont="1" applyFill="1" applyBorder="1" applyAlignment="1">
      <alignment horizontal="center" vertical="center" wrapText="1" readingOrder="1"/>
    </xf>
    <xf numFmtId="15" fontId="0" fillId="4" borderId="79" xfId="0" applyNumberFormat="1" applyFont="1" applyFill="1" applyBorder="1" applyAlignment="1">
      <alignment horizontal="center" vertical="center" wrapText="1" readingOrder="1"/>
    </xf>
    <xf numFmtId="9" fontId="0" fillId="4" borderId="43" xfId="2" applyFont="1" applyFill="1" applyBorder="1" applyAlignment="1">
      <alignment horizontal="center" vertical="center" wrapText="1" readingOrder="1"/>
    </xf>
    <xf numFmtId="164" fontId="4" fillId="4" borderId="39" xfId="1" applyNumberFormat="1" applyFont="1" applyFill="1" applyBorder="1" applyAlignment="1">
      <alignment horizontal="center" vertical="center" wrapText="1"/>
    </xf>
    <xf numFmtId="164" fontId="3" fillId="4" borderId="43" xfId="0" applyNumberFormat="1" applyFont="1" applyFill="1" applyBorder="1" applyAlignment="1">
      <alignment horizontal="center" vertical="center" wrapText="1" readingOrder="1"/>
    </xf>
    <xf numFmtId="164" fontId="8" fillId="4" borderId="56" xfId="0" applyNumberFormat="1" applyFont="1" applyFill="1" applyBorder="1" applyAlignment="1">
      <alignment horizontal="center" vertical="center" wrapText="1" readingOrder="1"/>
    </xf>
    <xf numFmtId="164" fontId="8" fillId="4" borderId="43" xfId="0" applyNumberFormat="1" applyFont="1" applyFill="1" applyBorder="1" applyAlignment="1">
      <alignment horizontal="center" vertical="center" wrapText="1" readingOrder="1"/>
    </xf>
    <xf numFmtId="9" fontId="8" fillId="4" borderId="54" xfId="2" applyFont="1" applyFill="1" applyBorder="1" applyAlignment="1">
      <alignment horizontal="center" vertical="center" wrapText="1" readingOrder="1"/>
    </xf>
    <xf numFmtId="164" fontId="8" fillId="4" borderId="70" xfId="0" applyNumberFormat="1" applyFont="1" applyFill="1" applyBorder="1" applyAlignment="1">
      <alignment horizontal="center" vertical="center" wrapText="1" readingOrder="1"/>
    </xf>
    <xf numFmtId="0" fontId="0" fillId="0" borderId="78" xfId="0" applyFont="1" applyFill="1" applyBorder="1" applyAlignment="1">
      <alignment horizontal="center" vertical="center" wrapText="1" readingOrder="1"/>
    </xf>
    <xf numFmtId="9" fontId="0" fillId="7" borderId="43" xfId="0" applyNumberFormat="1" applyFont="1" applyFill="1" applyBorder="1" applyAlignment="1">
      <alignment horizontal="center" vertical="center" wrapText="1" readingOrder="1"/>
    </xf>
    <xf numFmtId="15" fontId="13" fillId="7" borderId="43" xfId="0" applyNumberFormat="1" applyFont="1" applyFill="1" applyBorder="1" applyAlignment="1">
      <alignment horizontal="center" vertical="center" wrapText="1" readingOrder="1"/>
    </xf>
    <xf numFmtId="164" fontId="0" fillId="0" borderId="43" xfId="0" applyNumberFormat="1" applyFont="1" applyFill="1" applyBorder="1" applyAlignment="1">
      <alignment horizontal="center" vertical="center" wrapText="1" readingOrder="1"/>
    </xf>
    <xf numFmtId="164" fontId="13" fillId="7" borderId="69" xfId="0" applyNumberFormat="1" applyFont="1" applyFill="1" applyBorder="1" applyAlignment="1">
      <alignment horizontal="center" vertical="center" wrapText="1" readingOrder="1"/>
    </xf>
    <xf numFmtId="164" fontId="0" fillId="7" borderId="69" xfId="0" applyNumberFormat="1" applyFont="1" applyFill="1" applyBorder="1" applyAlignment="1">
      <alignment horizontal="center" vertical="center" wrapText="1" readingOrder="1"/>
    </xf>
    <xf numFmtId="9" fontId="8" fillId="7" borderId="43" xfId="2" applyFont="1" applyFill="1" applyBorder="1" applyAlignment="1">
      <alignment horizontal="center" vertical="center" wrapText="1" readingOrder="1"/>
    </xf>
    <xf numFmtId="15" fontId="0" fillId="3" borderId="79" xfId="0" applyNumberFormat="1" applyFont="1" applyFill="1" applyBorder="1" applyAlignment="1">
      <alignment horizontal="center" vertical="center" wrapText="1" readingOrder="1"/>
    </xf>
    <xf numFmtId="9" fontId="0" fillId="0" borderId="43" xfId="2" applyFont="1" applyFill="1" applyBorder="1" applyAlignment="1">
      <alignment horizontal="center" vertical="center" wrapText="1" readingOrder="1"/>
    </xf>
    <xf numFmtId="164" fontId="3" fillId="8" borderId="43" xfId="0" applyNumberFormat="1" applyFont="1" applyFill="1" applyBorder="1" applyAlignment="1">
      <alignment horizontal="center" vertical="center" wrapText="1" readingOrder="1"/>
    </xf>
    <xf numFmtId="9" fontId="8" fillId="4" borderId="76" xfId="2" applyFont="1" applyFill="1" applyBorder="1" applyAlignment="1">
      <alignment horizontal="center" vertical="center" wrapText="1" readingOrder="1"/>
    </xf>
    <xf numFmtId="0" fontId="23" fillId="2" borderId="28" xfId="0" applyFont="1" applyFill="1" applyBorder="1" applyAlignment="1">
      <alignment horizontal="left" vertical="center" wrapText="1" readingOrder="1"/>
    </xf>
    <xf numFmtId="0" fontId="7" fillId="2" borderId="40" xfId="0" applyFont="1" applyFill="1" applyBorder="1" applyAlignment="1">
      <alignment horizontal="center" vertical="center" wrapText="1" readingOrder="1"/>
    </xf>
    <xf numFmtId="0" fontId="7" fillId="2" borderId="41" xfId="0" applyFont="1" applyFill="1" applyBorder="1" applyAlignment="1">
      <alignment horizontal="center" vertical="center" wrapText="1" readingOrder="1"/>
    </xf>
    <xf numFmtId="0" fontId="7" fillId="2" borderId="42" xfId="0" applyFont="1" applyFill="1" applyBorder="1" applyAlignment="1">
      <alignment horizontal="center" vertical="center" wrapText="1" readingOrder="1"/>
    </xf>
    <xf numFmtId="164" fontId="7" fillId="2" borderId="41" xfId="0" applyNumberFormat="1" applyFont="1" applyFill="1" applyBorder="1" applyAlignment="1">
      <alignment horizontal="center" vertical="center" wrapText="1" readingOrder="1"/>
    </xf>
    <xf numFmtId="0" fontId="7" fillId="2" borderId="60" xfId="0" applyFont="1" applyFill="1" applyBorder="1" applyAlignment="1">
      <alignment horizontal="center" vertical="center" wrapText="1" readingOrder="1"/>
    </xf>
    <xf numFmtId="0" fontId="7" fillId="6" borderId="40" xfId="0" applyFont="1" applyFill="1" applyBorder="1" applyAlignment="1">
      <alignment horizontal="center" vertical="center" wrapText="1" readingOrder="1"/>
    </xf>
    <xf numFmtId="0" fontId="7" fillId="6" borderId="41" xfId="0" applyFont="1" applyFill="1" applyBorder="1" applyAlignment="1">
      <alignment horizontal="center" vertical="center" wrapText="1" readingOrder="1"/>
    </xf>
    <xf numFmtId="0" fontId="7" fillId="6" borderId="60" xfId="0" applyFont="1" applyFill="1" applyBorder="1" applyAlignment="1">
      <alignment horizontal="center" vertical="center" wrapText="1" readingOrder="1"/>
    </xf>
    <xf numFmtId="0" fontId="7" fillId="2" borderId="70" xfId="0" applyFont="1" applyFill="1" applyBorder="1" applyAlignment="1">
      <alignment horizontal="center" vertical="center" wrapText="1" readingOrder="1"/>
    </xf>
    <xf numFmtId="164" fontId="0" fillId="0" borderId="22" xfId="0" applyNumberFormat="1" applyFont="1" applyFill="1" applyBorder="1" applyAlignment="1">
      <alignment horizontal="center" vertical="center" wrapText="1"/>
    </xf>
    <xf numFmtId="164" fontId="0" fillId="0" borderId="13" xfId="0" applyNumberFormat="1" applyFont="1" applyFill="1" applyBorder="1" applyAlignment="1">
      <alignment horizontal="center" vertical="center" wrapText="1"/>
    </xf>
    <xf numFmtId="164" fontId="0" fillId="0" borderId="44" xfId="0" applyNumberFormat="1" applyFont="1" applyFill="1" applyBorder="1" applyAlignment="1">
      <alignment horizontal="center" vertical="center" wrapText="1"/>
    </xf>
    <xf numFmtId="0" fontId="8" fillId="0" borderId="22" xfId="0" applyFont="1" applyBorder="1" applyAlignment="1">
      <alignment horizontal="center" vertical="center" wrapText="1" readingOrder="1"/>
    </xf>
    <xf numFmtId="0" fontId="8" fillId="0" borderId="13" xfId="0" applyFont="1" applyBorder="1" applyAlignment="1">
      <alignment horizontal="center" vertical="center" wrapText="1" readingOrder="1"/>
    </xf>
    <xf numFmtId="0" fontId="0" fillId="0" borderId="47" xfId="0" applyFont="1" applyFill="1" applyBorder="1" applyAlignment="1">
      <alignment horizontal="center" vertical="center" wrapText="1" readingOrder="1"/>
    </xf>
    <xf numFmtId="0" fontId="0" fillId="0" borderId="58" xfId="0" applyFont="1" applyFill="1" applyBorder="1" applyAlignment="1">
      <alignment horizontal="center" vertical="center" wrapText="1" readingOrder="1"/>
    </xf>
    <xf numFmtId="9" fontId="6" fillId="7" borderId="24" xfId="0" applyNumberFormat="1" applyFont="1" applyFill="1" applyBorder="1" applyAlignment="1">
      <alignment horizontal="center" vertical="center" wrapText="1" readingOrder="1"/>
    </xf>
    <xf numFmtId="9" fontId="6" fillId="7" borderId="24" xfId="0" quotePrefix="1" applyNumberFormat="1" applyFont="1" applyFill="1" applyBorder="1" applyAlignment="1">
      <alignment horizontal="center" vertical="center" wrapText="1" readingOrder="1"/>
    </xf>
    <xf numFmtId="9" fontId="6" fillId="7" borderId="38" xfId="0" applyNumberFormat="1" applyFont="1" applyFill="1" applyBorder="1" applyAlignment="1">
      <alignment horizontal="center" vertical="center" wrapText="1" readingOrder="1"/>
    </xf>
    <xf numFmtId="15" fontId="17" fillId="7" borderId="24" xfId="0" applyNumberFormat="1" applyFont="1" applyFill="1" applyBorder="1" applyAlignment="1">
      <alignment horizontal="center" vertical="center" wrapText="1" readingOrder="1"/>
    </xf>
    <xf numFmtId="15" fontId="17" fillId="7" borderId="69" xfId="0" applyNumberFormat="1" applyFont="1" applyFill="1" applyBorder="1" applyAlignment="1">
      <alignment horizontal="center" vertical="center" wrapText="1" readingOrder="1"/>
    </xf>
    <xf numFmtId="15" fontId="13" fillId="7" borderId="57" xfId="0" applyNumberFormat="1" applyFont="1" applyFill="1" applyBorder="1" applyAlignment="1">
      <alignment horizontal="center" vertical="center" wrapText="1" readingOrder="1"/>
    </xf>
    <xf numFmtId="164" fontId="6" fillId="0" borderId="24" xfId="0" applyNumberFormat="1" applyFont="1" applyFill="1" applyBorder="1" applyAlignment="1">
      <alignment horizontal="center" vertical="center" wrapText="1" readingOrder="1"/>
    </xf>
    <xf numFmtId="9" fontId="17" fillId="0" borderId="29" xfId="2" applyFont="1" applyFill="1" applyBorder="1" applyAlignment="1">
      <alignment horizontal="center" vertical="center" wrapText="1" readingOrder="1"/>
    </xf>
    <xf numFmtId="164" fontId="6" fillId="0" borderId="41" xfId="0" applyNumberFormat="1" applyFont="1" applyFill="1" applyBorder="1" applyAlignment="1">
      <alignment horizontal="center" vertical="center" wrapText="1" readingOrder="1"/>
    </xf>
    <xf numFmtId="9" fontId="17" fillId="0" borderId="60" xfId="2" applyFont="1" applyFill="1" applyBorder="1" applyAlignment="1">
      <alignment horizontal="center" vertical="center" wrapText="1" readingOrder="1"/>
    </xf>
    <xf numFmtId="16" fontId="21" fillId="14" borderId="3" xfId="0" applyNumberFormat="1" applyFont="1" applyFill="1" applyBorder="1" applyAlignment="1">
      <alignment horizontal="center" vertical="center" wrapText="1"/>
    </xf>
    <xf numFmtId="0" fontId="21" fillId="15" borderId="3" xfId="0" applyFont="1" applyFill="1" applyBorder="1" applyAlignment="1">
      <alignment horizontal="center" vertical="center"/>
    </xf>
    <xf numFmtId="0" fontId="21" fillId="15" borderId="3" xfId="0" applyFont="1" applyFill="1" applyBorder="1" applyAlignment="1">
      <alignment vertical="center"/>
    </xf>
    <xf numFmtId="0" fontId="21" fillId="15" borderId="3" xfId="0" applyFont="1" applyFill="1" applyBorder="1" applyAlignment="1">
      <alignment horizontal="left" vertical="center" wrapText="1"/>
    </xf>
    <xf numFmtId="0" fontId="21" fillId="16" borderId="3" xfId="0" applyFont="1" applyFill="1" applyBorder="1" applyAlignment="1">
      <alignment horizontal="center" vertical="center"/>
    </xf>
    <xf numFmtId="0" fontId="21" fillId="14" borderId="3" xfId="5" applyFont="1" applyFill="1" applyBorder="1" applyAlignment="1">
      <alignment horizontal="center" vertical="center" wrapText="1"/>
    </xf>
    <xf numFmtId="0" fontId="26" fillId="0" borderId="3" xfId="0" applyFont="1" applyFill="1" applyBorder="1" applyAlignment="1">
      <alignment vertical="center"/>
    </xf>
    <xf numFmtId="166" fontId="21" fillId="16" borderId="3" xfId="1" applyNumberFormat="1" applyFont="1" applyFill="1" applyBorder="1" applyAlignment="1">
      <alignment horizontal="right" vertical="center" wrapText="1"/>
    </xf>
    <xf numFmtId="164" fontId="20" fillId="17" borderId="3" xfId="1" applyNumberFormat="1" applyFont="1" applyFill="1" applyBorder="1" applyAlignment="1">
      <alignment vertical="center" wrapText="1"/>
    </xf>
    <xf numFmtId="166" fontId="20" fillId="0" borderId="3" xfId="1" applyNumberFormat="1" applyFont="1" applyBorder="1" applyAlignment="1">
      <alignment vertical="center" wrapText="1"/>
    </xf>
    <xf numFmtId="0" fontId="20" fillId="0" borderId="3" xfId="0" applyFont="1" applyFill="1" applyBorder="1" applyAlignment="1">
      <alignment vertical="center" wrapText="1"/>
    </xf>
    <xf numFmtId="0" fontId="26" fillId="18" borderId="3" xfId="0" applyFont="1" applyFill="1" applyBorder="1" applyAlignment="1">
      <alignment vertical="center" wrapText="1"/>
    </xf>
    <xf numFmtId="0" fontId="20" fillId="18" borderId="3" xfId="0" applyFont="1" applyFill="1" applyBorder="1" applyAlignment="1">
      <alignment vertical="center" wrapText="1"/>
    </xf>
    <xf numFmtId="166" fontId="28" fillId="16" borderId="3" xfId="1" applyNumberFormat="1" applyFont="1" applyFill="1" applyBorder="1" applyAlignment="1">
      <alignment horizontal="right" vertical="center" wrapText="1"/>
    </xf>
    <xf numFmtId="164" fontId="21" fillId="16" borderId="3" xfId="1" applyNumberFormat="1" applyFont="1" applyFill="1" applyBorder="1" applyAlignment="1">
      <alignment horizontal="right" vertical="center" wrapText="1"/>
    </xf>
    <xf numFmtId="166" fontId="20" fillId="0" borderId="3" xfId="1" applyNumberFormat="1" applyFont="1" applyFill="1" applyBorder="1" applyAlignment="1">
      <alignment vertical="center" wrapText="1"/>
    </xf>
    <xf numFmtId="166" fontId="26" fillId="0" borderId="3" xfId="1" applyNumberFormat="1" applyFont="1" applyFill="1" applyBorder="1" applyAlignment="1">
      <alignment vertical="center" wrapText="1"/>
    </xf>
    <xf numFmtId="0" fontId="26" fillId="0" borderId="3" xfId="0" applyFont="1" applyFill="1" applyBorder="1" applyAlignment="1">
      <alignment horizontal="left" vertical="center" wrapText="1"/>
    </xf>
    <xf numFmtId="0" fontId="26" fillId="18" borderId="3" xfId="0" applyFont="1" applyFill="1" applyBorder="1" applyAlignment="1">
      <alignment vertical="center"/>
    </xf>
    <xf numFmtId="0" fontId="20" fillId="0" borderId="3" xfId="0" applyFont="1" applyFill="1" applyBorder="1" applyAlignment="1">
      <alignment horizontal="left" vertical="center"/>
    </xf>
    <xf numFmtId="0" fontId="20" fillId="0" borderId="3" xfId="0" applyFont="1" applyFill="1" applyBorder="1" applyAlignment="1">
      <alignment vertical="center"/>
    </xf>
    <xf numFmtId="166" fontId="20" fillId="0" borderId="3" xfId="1" applyNumberFormat="1" applyFont="1" applyFill="1" applyBorder="1" applyAlignment="1">
      <alignment horizontal="left" vertical="center" wrapText="1"/>
    </xf>
    <xf numFmtId="0" fontId="22" fillId="0" borderId="3" xfId="5" applyFont="1" applyBorder="1" applyAlignment="1">
      <alignment vertical="center"/>
    </xf>
    <xf numFmtId="0" fontId="29" fillId="14" borderId="3" xfId="0" applyFont="1" applyFill="1" applyBorder="1" applyAlignment="1">
      <alignment horizontal="center" vertical="center"/>
    </xf>
    <xf numFmtId="0" fontId="29" fillId="14" borderId="3" xfId="0" applyFont="1" applyFill="1" applyBorder="1" applyAlignment="1">
      <alignment horizontal="center"/>
    </xf>
    <xf numFmtId="0" fontId="29" fillId="14" borderId="3" xfId="0" applyFont="1" applyFill="1" applyBorder="1" applyAlignment="1">
      <alignment horizontal="center" vertical="center" wrapText="1"/>
    </xf>
    <xf numFmtId="0" fontId="30" fillId="14" borderId="3" xfId="0" applyFont="1" applyFill="1" applyBorder="1" applyAlignment="1">
      <alignment vertical="center"/>
    </xf>
    <xf numFmtId="0" fontId="22" fillId="14" borderId="3" xfId="5" applyFill="1" applyBorder="1" applyAlignment="1">
      <alignment vertical="center"/>
    </xf>
    <xf numFmtId="166" fontId="21" fillId="14" borderId="3" xfId="1" applyNumberFormat="1" applyFont="1" applyFill="1" applyBorder="1" applyAlignment="1">
      <alignment horizontal="right" vertical="center"/>
    </xf>
    <xf numFmtId="166" fontId="20" fillId="14" borderId="3" xfId="1" applyNumberFormat="1" applyFont="1" applyFill="1" applyBorder="1" applyAlignment="1">
      <alignment horizontal="right" vertical="center"/>
    </xf>
    <xf numFmtId="0" fontId="20" fillId="0" borderId="3" xfId="0" applyFont="1" applyFill="1" applyBorder="1" applyAlignment="1">
      <alignment horizontal="left" vertical="top" wrapText="1"/>
    </xf>
    <xf numFmtId="0" fontId="20" fillId="0" borderId="3" xfId="0" applyFont="1" applyFill="1" applyBorder="1" applyAlignment="1">
      <alignment horizontal="center" vertical="center"/>
    </xf>
    <xf numFmtId="0" fontId="31" fillId="9" borderId="3" xfId="0" applyFont="1" applyFill="1" applyBorder="1" applyAlignment="1">
      <alignment horizontal="center"/>
    </xf>
    <xf numFmtId="0" fontId="31" fillId="9" borderId="3" xfId="0" applyFont="1" applyFill="1" applyBorder="1" applyAlignment="1">
      <alignment horizontal="left" vertical="center"/>
    </xf>
    <xf numFmtId="164" fontId="20" fillId="3" borderId="3" xfId="1" applyNumberFormat="1" applyFont="1" applyFill="1" applyBorder="1" applyAlignment="1">
      <alignment vertical="center" wrapText="1"/>
    </xf>
    <xf numFmtId="0" fontId="20" fillId="0" borderId="3" xfId="0" applyFont="1" applyBorder="1" applyAlignment="1">
      <alignment horizontal="center" wrapText="1"/>
    </xf>
    <xf numFmtId="0" fontId="20" fillId="0" borderId="3" xfId="5" applyFont="1" applyBorder="1" applyAlignment="1">
      <alignment horizontal="left" vertical="center"/>
    </xf>
    <xf numFmtId="0" fontId="22" fillId="0" borderId="3" xfId="5" applyFont="1" applyBorder="1" applyAlignment="1">
      <alignment horizontal="left" vertical="center"/>
    </xf>
    <xf numFmtId="0" fontId="4" fillId="0" borderId="3" xfId="6" applyFont="1" applyFill="1" applyBorder="1" applyAlignment="1">
      <alignment horizontal="left" vertical="center" wrapText="1"/>
    </xf>
    <xf numFmtId="0" fontId="20" fillId="0" borderId="3" xfId="5" applyFont="1" applyFill="1" applyBorder="1" applyAlignment="1">
      <alignment horizontal="left" vertical="center"/>
    </xf>
    <xf numFmtId="0" fontId="20" fillId="4" borderId="3" xfId="5" applyFont="1" applyFill="1" applyBorder="1" applyAlignment="1">
      <alignment horizontal="left" vertical="center"/>
    </xf>
    <xf numFmtId="0" fontId="22" fillId="4" borderId="3" xfId="5" applyFont="1" applyFill="1" applyBorder="1" applyAlignment="1">
      <alignment horizontal="left" vertical="center"/>
    </xf>
    <xf numFmtId="166" fontId="28" fillId="4" borderId="3" xfId="1" applyNumberFormat="1" applyFont="1" applyFill="1" applyBorder="1" applyAlignment="1">
      <alignment horizontal="right" vertical="center" wrapText="1"/>
    </xf>
    <xf numFmtId="0" fontId="22" fillId="0" borderId="3" xfId="5" applyFont="1" applyBorder="1"/>
    <xf numFmtId="0" fontId="20" fillId="0" borderId="3" xfId="0" applyFont="1" applyBorder="1" applyAlignment="1">
      <alignment horizontal="left" wrapText="1"/>
    </xf>
    <xf numFmtId="0" fontId="20" fillId="0" borderId="3" xfId="0" applyFont="1" applyBorder="1" applyAlignment="1">
      <alignment vertical="top" wrapText="1"/>
    </xf>
    <xf numFmtId="166" fontId="22" fillId="16" borderId="3" xfId="1" applyNumberFormat="1" applyFont="1" applyFill="1" applyBorder="1" applyAlignment="1">
      <alignment vertical="center"/>
    </xf>
    <xf numFmtId="0" fontId="21" fillId="15" borderId="3" xfId="0" applyFont="1" applyFill="1" applyBorder="1" applyAlignment="1">
      <alignment horizontal="center" vertical="center" wrapText="1"/>
    </xf>
    <xf numFmtId="164" fontId="8" fillId="0" borderId="12" xfId="0" applyNumberFormat="1" applyFont="1" applyFill="1" applyBorder="1" applyAlignment="1">
      <alignment horizontal="center" vertical="center" wrapText="1" readingOrder="1"/>
    </xf>
    <xf numFmtId="0" fontId="26"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20" fillId="0" borderId="3" xfId="0" applyFont="1" applyFill="1" applyBorder="1" applyAlignment="1">
      <alignment horizontal="left" vertical="center" wrapText="1"/>
    </xf>
    <xf numFmtId="0" fontId="27" fillId="18" borderId="3" xfId="0" applyFont="1" applyFill="1" applyBorder="1" applyAlignment="1">
      <alignment horizontal="center" vertical="center" wrapText="1"/>
    </xf>
    <xf numFmtId="0" fontId="20" fillId="0" borderId="3" xfId="0" applyFont="1" applyFill="1" applyBorder="1" applyAlignment="1">
      <alignment horizontal="center" vertical="center" wrapText="1"/>
    </xf>
    <xf numFmtId="164" fontId="8" fillId="0" borderId="66" xfId="0" applyNumberFormat="1" applyFont="1" applyFill="1" applyBorder="1" applyAlignment="1">
      <alignment horizontal="center" vertical="center" wrapText="1" readingOrder="1"/>
    </xf>
    <xf numFmtId="164" fontId="8" fillId="0" borderId="26" xfId="0" applyNumberFormat="1" applyFont="1" applyFill="1" applyBorder="1" applyAlignment="1">
      <alignment horizontal="center" vertical="center" wrapText="1" readingOrder="1"/>
    </xf>
    <xf numFmtId="9" fontId="8" fillId="0" borderId="26" xfId="2" applyFont="1" applyFill="1" applyBorder="1" applyAlignment="1">
      <alignment horizontal="center" vertical="center" wrapText="1" readingOrder="1"/>
    </xf>
    <xf numFmtId="164" fontId="8" fillId="0" borderId="12" xfId="0" applyNumberFormat="1" applyFont="1" applyFill="1" applyBorder="1" applyAlignment="1">
      <alignment horizontal="center" vertical="center" wrapText="1" readingOrder="1"/>
    </xf>
    <xf numFmtId="164" fontId="8" fillId="0" borderId="65" xfId="0" applyNumberFormat="1" applyFont="1" applyFill="1" applyBorder="1" applyAlignment="1">
      <alignment horizontal="center" vertical="center" wrapText="1" readingOrder="1"/>
    </xf>
    <xf numFmtId="164" fontId="4" fillId="0" borderId="39" xfId="1" applyNumberFormat="1" applyFont="1" applyFill="1" applyBorder="1" applyAlignment="1">
      <alignment horizontal="center" vertical="center" wrapText="1"/>
    </xf>
    <xf numFmtId="164" fontId="6" fillId="8" borderId="28" xfId="0" applyNumberFormat="1" applyFont="1" applyFill="1" applyBorder="1" applyAlignment="1">
      <alignment horizontal="center" vertical="center" wrapText="1"/>
    </xf>
    <xf numFmtId="9" fontId="17" fillId="0" borderId="23" xfId="2" applyFont="1" applyFill="1" applyBorder="1" applyAlignment="1">
      <alignment horizontal="center" vertical="center" wrapText="1" readingOrder="1"/>
    </xf>
    <xf numFmtId="164" fontId="6" fillId="8" borderId="38" xfId="0" applyNumberFormat="1" applyFont="1" applyFill="1" applyBorder="1" applyAlignment="1">
      <alignment horizontal="center" vertical="center" wrapText="1"/>
    </xf>
    <xf numFmtId="166" fontId="24" fillId="13" borderId="3" xfId="1" applyNumberFormat="1" applyFont="1" applyFill="1" applyBorder="1" applyAlignment="1">
      <alignment horizontal="left" vertical="center"/>
    </xf>
    <xf numFmtId="0" fontId="25" fillId="0" borderId="3" xfId="0" applyNumberFormat="1" applyFont="1" applyBorder="1" applyAlignment="1">
      <alignment horizontal="center" wrapText="1"/>
    </xf>
    <xf numFmtId="0" fontId="20" fillId="0" borderId="3" xfId="0" applyFont="1" applyBorder="1" applyAlignment="1">
      <alignment vertical="center"/>
    </xf>
    <xf numFmtId="0" fontId="21" fillId="15" borderId="3" xfId="0" applyFont="1" applyFill="1" applyBorder="1" applyAlignment="1">
      <alignment horizontal="left" vertical="center"/>
    </xf>
    <xf numFmtId="0" fontId="26" fillId="0" borderId="3" xfId="0" applyFont="1" applyFill="1" applyBorder="1" applyAlignment="1">
      <alignment vertical="center" wrapText="1"/>
    </xf>
    <xf numFmtId="166" fontId="26" fillId="18" borderId="3" xfId="1" applyNumberFormat="1" applyFont="1" applyFill="1" applyBorder="1" applyAlignment="1">
      <alignment horizontal="left" vertical="center" wrapText="1"/>
    </xf>
    <xf numFmtId="166" fontId="3" fillId="0" borderId="3" xfId="1" applyNumberFormat="1" applyFont="1" applyFill="1" applyBorder="1" applyAlignment="1">
      <alignment vertical="center" wrapText="1" readingOrder="1"/>
    </xf>
    <xf numFmtId="0" fontId="29" fillId="0" borderId="3" xfId="0" applyFont="1" applyBorder="1" applyAlignment="1">
      <alignment horizontal="left" vertical="center" wrapText="1"/>
    </xf>
    <xf numFmtId="166" fontId="26" fillId="0" borderId="3" xfId="1" applyNumberFormat="1" applyFont="1" applyBorder="1" applyAlignment="1">
      <alignment horizontal="left" vertical="center" wrapText="1"/>
    </xf>
    <xf numFmtId="166" fontId="20" fillId="18" borderId="3" xfId="1" applyNumberFormat="1" applyFont="1" applyFill="1" applyBorder="1" applyAlignment="1">
      <alignment horizontal="left" vertical="center" wrapText="1"/>
    </xf>
    <xf numFmtId="0" fontId="20" fillId="0" borderId="3" xfId="0" applyFont="1" applyBorder="1" applyAlignment="1">
      <alignment vertical="center" wrapText="1"/>
    </xf>
    <xf numFmtId="166" fontId="20" fillId="0" borderId="3" xfId="1" applyNumberFormat="1" applyFont="1" applyBorder="1" applyAlignment="1">
      <alignment horizontal="left" vertical="center" wrapText="1"/>
    </xf>
    <xf numFmtId="166" fontId="21" fillId="16" borderId="3" xfId="1" applyNumberFormat="1" applyFont="1" applyFill="1" applyBorder="1" applyAlignment="1">
      <alignment vertical="center" wrapText="1"/>
    </xf>
    <xf numFmtId="0" fontId="26" fillId="18" borderId="3" xfId="0" applyFont="1" applyFill="1" applyBorder="1" applyAlignment="1"/>
    <xf numFmtId="0" fontId="26" fillId="18" borderId="3" xfId="5" applyFont="1" applyFill="1" applyBorder="1" applyAlignment="1">
      <alignment vertical="center"/>
    </xf>
    <xf numFmtId="0" fontId="26" fillId="18" borderId="3" xfId="0" applyFont="1" applyFill="1" applyBorder="1" applyAlignment="1">
      <alignment horizontal="center" vertical="center"/>
    </xf>
    <xf numFmtId="0" fontId="26" fillId="18" borderId="3" xfId="0" applyFont="1" applyFill="1" applyBorder="1" applyAlignment="1">
      <alignment horizontal="left" vertical="center"/>
    </xf>
    <xf numFmtId="0" fontId="26" fillId="18" borderId="3" xfId="0" applyFont="1" applyFill="1" applyBorder="1" applyAlignment="1">
      <alignment horizontal="left" vertical="center" wrapText="1"/>
    </xf>
    <xf numFmtId="166" fontId="26" fillId="18" borderId="3" xfId="1" applyNumberFormat="1" applyFont="1" applyFill="1" applyBorder="1" applyAlignment="1">
      <alignment vertical="center" wrapText="1"/>
    </xf>
    <xf numFmtId="0" fontId="26" fillId="18" borderId="3" xfId="0" applyFont="1" applyFill="1" applyBorder="1" applyAlignment="1">
      <alignment horizontal="center" vertical="center" wrapText="1"/>
    </xf>
    <xf numFmtId="0" fontId="31" fillId="9" borderId="3" xfId="0" applyFont="1" applyFill="1" applyBorder="1" applyAlignment="1"/>
    <xf numFmtId="0" fontId="31" fillId="9" borderId="3" xfId="5" applyFont="1" applyFill="1" applyBorder="1" applyAlignment="1">
      <alignment vertical="center"/>
    </xf>
    <xf numFmtId="0" fontId="31" fillId="9" borderId="3" xfId="0" applyFont="1" applyFill="1" applyBorder="1" applyAlignment="1">
      <alignment horizontal="center" vertical="center" wrapText="1"/>
    </xf>
    <xf numFmtId="0" fontId="31" fillId="9" borderId="3" xfId="0" applyFont="1" applyFill="1" applyBorder="1" applyAlignment="1">
      <alignment vertical="center"/>
    </xf>
    <xf numFmtId="0" fontId="31" fillId="9" borderId="3" xfId="0" applyFont="1" applyFill="1" applyBorder="1" applyAlignment="1">
      <alignment vertical="center" wrapText="1"/>
    </xf>
    <xf numFmtId="166" fontId="31" fillId="9" borderId="3" xfId="1" applyNumberFormat="1" applyFont="1" applyFill="1" applyBorder="1" applyAlignment="1">
      <alignment horizontal="left" vertical="center" wrapText="1"/>
    </xf>
    <xf numFmtId="166" fontId="38" fillId="9" borderId="3" xfId="1" applyNumberFormat="1" applyFont="1" applyFill="1" applyBorder="1" applyAlignment="1">
      <alignment horizontal="right" vertical="center" wrapText="1"/>
    </xf>
    <xf numFmtId="164" fontId="31" fillId="9" borderId="3" xfId="1" applyNumberFormat="1" applyFont="1" applyFill="1" applyBorder="1" applyAlignment="1">
      <alignment vertical="center" wrapText="1"/>
    </xf>
    <xf numFmtId="166" fontId="31" fillId="9" borderId="3" xfId="1" applyNumberFormat="1" applyFont="1" applyFill="1" applyBorder="1" applyAlignment="1">
      <alignment vertical="center" wrapText="1"/>
    </xf>
    <xf numFmtId="166" fontId="29" fillId="0" borderId="3" xfId="1" applyNumberFormat="1" applyFont="1" applyBorder="1" applyAlignment="1">
      <alignment horizontal="left" vertical="center" wrapText="1"/>
    </xf>
    <xf numFmtId="166" fontId="3" fillId="14" borderId="3" xfId="1" applyNumberFormat="1" applyFill="1" applyBorder="1" applyAlignment="1">
      <alignment horizontal="left" vertical="center"/>
    </xf>
    <xf numFmtId="167" fontId="21" fillId="14" borderId="3" xfId="4" applyNumberFormat="1" applyFont="1" applyFill="1" applyBorder="1" applyAlignment="1">
      <alignment horizontal="right" vertical="center"/>
    </xf>
    <xf numFmtId="167" fontId="20" fillId="14" borderId="3" xfId="4" applyNumberFormat="1" applyFont="1" applyFill="1" applyBorder="1" applyAlignment="1">
      <alignment horizontal="right" vertical="center"/>
    </xf>
    <xf numFmtId="166" fontId="20" fillId="0" borderId="3" xfId="1" applyNumberFormat="1" applyFont="1" applyBorder="1" applyAlignment="1">
      <alignment horizontal="left" wrapText="1"/>
    </xf>
    <xf numFmtId="164" fontId="21" fillId="0" borderId="3" xfId="0" applyNumberFormat="1" applyFont="1" applyBorder="1" applyAlignment="1">
      <alignment wrapText="1"/>
    </xf>
    <xf numFmtId="164" fontId="20" fillId="0" borderId="3" xfId="0" applyNumberFormat="1" applyFont="1" applyBorder="1" applyAlignment="1"/>
    <xf numFmtId="164" fontId="20" fillId="0" borderId="3" xfId="0" applyNumberFormat="1" applyFont="1" applyBorder="1" applyAlignment="1">
      <alignment wrapText="1"/>
    </xf>
    <xf numFmtId="0" fontId="21" fillId="0" borderId="3" xfId="0" applyFont="1" applyBorder="1" applyAlignment="1">
      <alignment wrapText="1"/>
    </xf>
    <xf numFmtId="0" fontId="31" fillId="9" borderId="3" xfId="0" applyFont="1" applyFill="1" applyBorder="1" applyAlignment="1">
      <alignment horizontal="left" vertical="center" wrapText="1"/>
    </xf>
    <xf numFmtId="164" fontId="21" fillId="5" borderId="3" xfId="1" applyNumberFormat="1" applyFont="1" applyFill="1" applyBorder="1" applyAlignment="1">
      <alignment horizontal="right" vertical="center" wrapText="1"/>
    </xf>
    <xf numFmtId="166" fontId="24" fillId="19" borderId="3" xfId="1" applyNumberFormat="1" applyFont="1" applyFill="1" applyBorder="1" applyAlignment="1">
      <alignment horizontal="left" vertical="center"/>
    </xf>
    <xf numFmtId="166" fontId="21" fillId="15" borderId="3" xfId="1" applyNumberFormat="1" applyFont="1" applyFill="1" applyBorder="1" applyAlignment="1">
      <alignment horizontal="left" vertical="center" wrapText="1"/>
    </xf>
    <xf numFmtId="0" fontId="26" fillId="0" borderId="3" xfId="0" applyFont="1" applyBorder="1" applyAlignment="1">
      <alignment vertical="center" wrapText="1"/>
    </xf>
    <xf numFmtId="0" fontId="22" fillId="4" borderId="3" xfId="5" applyFont="1" applyFill="1" applyBorder="1" applyAlignment="1">
      <alignment vertical="center"/>
    </xf>
    <xf numFmtId="0" fontId="26" fillId="4" borderId="3" xfId="0" applyFont="1" applyFill="1" applyBorder="1" applyAlignment="1">
      <alignment vertical="center" wrapText="1"/>
    </xf>
    <xf numFmtId="166" fontId="26" fillId="4" borderId="3" xfId="1" applyNumberFormat="1" applyFont="1" applyFill="1" applyBorder="1" applyAlignment="1">
      <alignment horizontal="left" vertical="center" wrapText="1"/>
    </xf>
    <xf numFmtId="0" fontId="33" fillId="0" borderId="3" xfId="0" applyFont="1" applyBorder="1" applyAlignment="1"/>
    <xf numFmtId="0" fontId="33" fillId="0" borderId="3" xfId="0" applyFont="1" applyBorder="1" applyAlignment="1">
      <alignment horizontal="center"/>
    </xf>
    <xf numFmtId="0" fontId="33" fillId="0" borderId="3" xfId="0" applyFont="1" applyBorder="1" applyAlignment="1">
      <alignment horizontal="center" wrapText="1"/>
    </xf>
    <xf numFmtId="0" fontId="33" fillId="0" borderId="3" xfId="0" applyFont="1" applyBorder="1" applyAlignment="1">
      <alignment horizontal="left" wrapText="1"/>
    </xf>
    <xf numFmtId="166" fontId="33" fillId="0" borderId="3" xfId="1" applyNumberFormat="1" applyFont="1" applyBorder="1" applyAlignment="1">
      <alignment horizontal="left" wrapText="1"/>
    </xf>
    <xf numFmtId="167" fontId="34" fillId="0" borderId="3" xfId="4" applyNumberFormat="1" applyFont="1" applyBorder="1" applyAlignment="1">
      <alignment wrapText="1"/>
    </xf>
    <xf numFmtId="0" fontId="33" fillId="0" borderId="3" xfId="0" applyFont="1" applyBorder="1" applyAlignment="1">
      <alignment vertical="top" wrapText="1"/>
    </xf>
    <xf numFmtId="0" fontId="35" fillId="0" borderId="3" xfId="0" applyFont="1" applyBorder="1" applyAlignment="1">
      <alignment vertical="center"/>
    </xf>
    <xf numFmtId="0" fontId="35" fillId="0" borderId="3" xfId="0" applyFont="1" applyBorder="1" applyAlignment="1">
      <alignment horizontal="center" vertical="center"/>
    </xf>
    <xf numFmtId="0" fontId="35" fillId="0" borderId="3" xfId="0" applyFont="1" applyBorder="1" applyAlignment="1">
      <alignment horizontal="center" vertical="center" wrapText="1"/>
    </xf>
    <xf numFmtId="0" fontId="36" fillId="0" borderId="3" xfId="0" applyFont="1" applyBorder="1" applyAlignment="1">
      <alignment vertical="center"/>
    </xf>
    <xf numFmtId="0" fontId="35" fillId="0" borderId="3" xfId="0" applyFont="1" applyBorder="1" applyAlignment="1">
      <alignment horizontal="left" vertical="center" wrapText="1"/>
    </xf>
    <xf numFmtId="166" fontId="35" fillId="0" borderId="3" xfId="1" applyNumberFormat="1" applyFont="1" applyBorder="1" applyAlignment="1">
      <alignment horizontal="left" vertical="center" wrapText="1"/>
    </xf>
    <xf numFmtId="166" fontId="36" fillId="0" borderId="3" xfId="0" applyNumberFormat="1" applyFont="1" applyBorder="1" applyAlignment="1">
      <alignment vertical="center" wrapText="1"/>
    </xf>
    <xf numFmtId="0" fontId="35" fillId="0" borderId="3" xfId="0" applyFont="1" applyBorder="1" applyAlignment="1">
      <alignment vertical="center" wrapText="1"/>
    </xf>
    <xf numFmtId="166" fontId="37" fillId="12" borderId="3" xfId="1" applyNumberFormat="1" applyFont="1" applyFill="1" applyBorder="1" applyAlignment="1">
      <alignment horizontal="left" vertical="center"/>
    </xf>
    <xf numFmtId="166" fontId="22" fillId="16" borderId="3" xfId="1" applyNumberFormat="1" applyFont="1" applyFill="1" applyBorder="1" applyAlignment="1">
      <alignment horizontal="center" vertical="center"/>
    </xf>
    <xf numFmtId="166" fontId="20" fillId="0" borderId="3" xfId="1" applyNumberFormat="1" applyFont="1" applyBorder="1" applyAlignment="1">
      <alignment horizontal="left"/>
    </xf>
    <xf numFmtId="166" fontId="20" fillId="17" borderId="3" xfId="1" applyNumberFormat="1" applyFont="1" applyFill="1" applyBorder="1" applyAlignment="1">
      <alignment vertical="center" wrapText="1"/>
    </xf>
    <xf numFmtId="164" fontId="0" fillId="0" borderId="12" xfId="0" applyNumberFormat="1" applyFont="1" applyFill="1" applyBorder="1" applyAlignment="1">
      <alignment horizontal="center" vertical="center" wrapText="1"/>
    </xf>
    <xf numFmtId="164" fontId="8" fillId="0" borderId="25" xfId="0" applyNumberFormat="1" applyFont="1" applyFill="1" applyBorder="1" applyAlignment="1">
      <alignment horizontal="center" vertical="center" wrapText="1" readingOrder="1"/>
    </xf>
    <xf numFmtId="9" fontId="15" fillId="0" borderId="29" xfId="2" applyFont="1" applyFill="1" applyBorder="1" applyAlignment="1">
      <alignment horizontal="center" vertical="center" wrapText="1" readingOrder="1"/>
    </xf>
    <xf numFmtId="164" fontId="4" fillId="0" borderId="38" xfId="1" applyNumberFormat="1" applyFont="1" applyFill="1" applyBorder="1" applyAlignment="1">
      <alignment horizontal="center" vertical="center" wrapText="1"/>
    </xf>
    <xf numFmtId="164" fontId="0" fillId="0" borderId="63" xfId="0" applyNumberFormat="1" applyFont="1" applyFill="1" applyBorder="1" applyAlignment="1">
      <alignment horizontal="center" vertical="center" wrapText="1"/>
    </xf>
    <xf numFmtId="164" fontId="0" fillId="0" borderId="74" xfId="0" applyNumberFormat="1" applyFont="1" applyFill="1" applyBorder="1" applyAlignment="1">
      <alignment horizontal="center" vertical="center" wrapText="1"/>
    </xf>
    <xf numFmtId="164" fontId="0" fillId="0" borderId="68" xfId="0" applyNumberFormat="1" applyFont="1" applyFill="1" applyBorder="1" applyAlignment="1">
      <alignment horizontal="center" vertical="center" wrapText="1"/>
    </xf>
    <xf numFmtId="164" fontId="8" fillId="0" borderId="66" xfId="0" applyNumberFormat="1" applyFont="1" applyFill="1" applyBorder="1" applyAlignment="1">
      <alignment horizontal="center" vertical="center" wrapText="1" readingOrder="1"/>
    </xf>
    <xf numFmtId="164" fontId="8" fillId="0" borderId="43" xfId="0" applyNumberFormat="1" applyFont="1" applyFill="1" applyBorder="1" applyAlignment="1">
      <alignment horizontal="center" vertical="center" wrapText="1" readingOrder="1"/>
    </xf>
    <xf numFmtId="9" fontId="8" fillId="0" borderId="26" xfId="2" applyFont="1" applyFill="1" applyBorder="1" applyAlignment="1">
      <alignment horizontal="center" vertical="center" wrapText="1" readingOrder="1"/>
    </xf>
    <xf numFmtId="9" fontId="8" fillId="0" borderId="76" xfId="2" applyFont="1" applyFill="1" applyBorder="1" applyAlignment="1">
      <alignment horizontal="center" vertical="center" wrapText="1" readingOrder="1"/>
    </xf>
    <xf numFmtId="164" fontId="8" fillId="0" borderId="12" xfId="0" applyNumberFormat="1" applyFont="1" applyFill="1" applyBorder="1" applyAlignment="1">
      <alignment horizontal="center" vertical="center" wrapText="1" readingOrder="1"/>
    </xf>
    <xf numFmtId="164" fontId="8" fillId="0" borderId="38" xfId="0" applyNumberFormat="1" applyFont="1" applyFill="1" applyBorder="1" applyAlignment="1">
      <alignment horizontal="center" vertical="center" wrapText="1" readingOrder="1"/>
    </xf>
    <xf numFmtId="164" fontId="8" fillId="0" borderId="65" xfId="0" applyNumberFormat="1" applyFont="1" applyFill="1" applyBorder="1" applyAlignment="1">
      <alignment horizontal="center" vertical="center" wrapText="1" readingOrder="1"/>
    </xf>
    <xf numFmtId="164" fontId="8" fillId="0" borderId="56" xfId="0" applyNumberFormat="1" applyFont="1" applyFill="1" applyBorder="1" applyAlignment="1">
      <alignment horizontal="center" vertical="center" wrapText="1" readingOrder="1"/>
    </xf>
    <xf numFmtId="15" fontId="8" fillId="7" borderId="39" xfId="0" applyNumberFormat="1" applyFont="1" applyFill="1" applyBorder="1" applyAlignment="1">
      <alignment horizontal="center" vertical="center" wrapText="1" readingOrder="1"/>
    </xf>
    <xf numFmtId="164" fontId="12" fillId="7" borderId="12" xfId="0" applyNumberFormat="1" applyFont="1" applyFill="1" applyBorder="1" applyAlignment="1">
      <alignment horizontal="center" vertical="center" wrapText="1" readingOrder="1"/>
    </xf>
    <xf numFmtId="164" fontId="8" fillId="7" borderId="0" xfId="0" applyNumberFormat="1" applyFont="1" applyFill="1" applyBorder="1" applyAlignment="1">
      <alignment horizontal="center" vertical="center" wrapText="1" readingOrder="1"/>
    </xf>
    <xf numFmtId="164" fontId="6" fillId="7" borderId="39" xfId="0" applyNumberFormat="1" applyFont="1" applyFill="1" applyBorder="1" applyAlignment="1">
      <alignment horizontal="center" vertical="center" wrapText="1" readingOrder="1"/>
    </xf>
    <xf numFmtId="15" fontId="8" fillId="3" borderId="48" xfId="0" applyNumberFormat="1" applyFont="1" applyFill="1" applyBorder="1" applyAlignment="1">
      <alignment horizontal="center" vertical="center" wrapText="1" readingOrder="1"/>
    </xf>
    <xf numFmtId="9" fontId="8" fillId="0" borderId="67" xfId="2" applyFont="1" applyFill="1" applyBorder="1" applyAlignment="1">
      <alignment horizontal="center" vertical="center" wrapText="1" readingOrder="1"/>
    </xf>
    <xf numFmtId="0" fontId="0" fillId="0" borderId="5" xfId="0" applyBorder="1">
      <alignment vertical="center"/>
    </xf>
    <xf numFmtId="0" fontId="0" fillId="0" borderId="6" xfId="0" applyBorder="1">
      <alignment vertical="center"/>
    </xf>
    <xf numFmtId="9" fontId="6" fillId="7" borderId="25" xfId="0" applyNumberFormat="1" applyFont="1" applyFill="1" applyBorder="1" applyAlignment="1">
      <alignment horizontal="center" vertical="center" wrapText="1" readingOrder="1"/>
    </xf>
    <xf numFmtId="9" fontId="6" fillId="7" borderId="25" xfId="0" quotePrefix="1" applyNumberFormat="1" applyFont="1" applyFill="1" applyBorder="1" applyAlignment="1">
      <alignment horizontal="center" vertical="center" wrapText="1" readingOrder="1"/>
    </xf>
    <xf numFmtId="15" fontId="17" fillId="7" borderId="25" xfId="0" applyNumberFormat="1" applyFont="1" applyFill="1" applyBorder="1" applyAlignment="1">
      <alignment horizontal="center" vertical="center" wrapText="1" readingOrder="1"/>
    </xf>
    <xf numFmtId="9" fontId="8" fillId="7" borderId="0" xfId="2" applyFont="1" applyFill="1" applyBorder="1" applyAlignment="1">
      <alignment horizontal="center" vertical="center" wrapText="1" readingOrder="1"/>
    </xf>
    <xf numFmtId="164" fontId="0" fillId="0" borderId="39" xfId="0" applyNumberFormat="1" applyFont="1" applyFill="1" applyBorder="1" applyAlignment="1">
      <alignment horizontal="center" vertical="center" wrapText="1"/>
    </xf>
    <xf numFmtId="9" fontId="0" fillId="0" borderId="26" xfId="2" applyFont="1" applyFill="1" applyBorder="1" applyAlignment="1">
      <alignment horizontal="center" vertical="center" wrapText="1" readingOrder="1"/>
    </xf>
    <xf numFmtId="0" fontId="0" fillId="0" borderId="71" xfId="0" applyFont="1" applyFill="1" applyBorder="1" applyAlignment="1">
      <alignment horizontal="center" vertical="center" wrapText="1" readingOrder="1"/>
    </xf>
    <xf numFmtId="9" fontId="0" fillId="7" borderId="66" xfId="0" applyNumberFormat="1" applyFont="1" applyFill="1" applyBorder="1" applyAlignment="1">
      <alignment horizontal="center" vertical="center" wrapText="1" readingOrder="1"/>
    </xf>
    <xf numFmtId="15" fontId="13" fillId="7" borderId="66" xfId="0" applyNumberFormat="1" applyFont="1" applyFill="1" applyBorder="1" applyAlignment="1">
      <alignment horizontal="center" vertical="center" wrapText="1" readingOrder="1"/>
    </xf>
    <xf numFmtId="164" fontId="6" fillId="0" borderId="80" xfId="0" applyNumberFormat="1" applyFont="1" applyFill="1" applyBorder="1" applyAlignment="1">
      <alignment horizontal="center" vertical="center" wrapText="1" readingOrder="1"/>
    </xf>
    <xf numFmtId="164" fontId="6" fillId="0" borderId="66" xfId="0" applyNumberFormat="1" applyFont="1" applyFill="1" applyBorder="1" applyAlignment="1">
      <alignment horizontal="center" vertical="center" wrapText="1" readingOrder="1"/>
    </xf>
    <xf numFmtId="9" fontId="17" fillId="0" borderId="72" xfId="2" applyFont="1" applyFill="1" applyBorder="1" applyAlignment="1">
      <alignment horizontal="center" vertical="center" wrapText="1" readingOrder="1"/>
    </xf>
    <xf numFmtId="15" fontId="0" fillId="7" borderId="12" xfId="0" applyNumberFormat="1" applyFont="1" applyFill="1" applyBorder="1" applyAlignment="1">
      <alignment horizontal="center" vertical="center" wrapText="1" readingOrder="1"/>
    </xf>
    <xf numFmtId="164" fontId="17" fillId="7" borderId="72" xfId="0" applyNumberFormat="1" applyFont="1" applyFill="1" applyBorder="1" applyAlignment="1">
      <alignment horizontal="center" vertical="center" wrapText="1" readingOrder="1"/>
    </xf>
    <xf numFmtId="164" fontId="0" fillId="7" borderId="72" xfId="0" applyNumberFormat="1" applyFont="1" applyFill="1" applyBorder="1" applyAlignment="1">
      <alignment horizontal="center" vertical="center" wrapText="1" readingOrder="1"/>
    </xf>
    <xf numFmtId="9" fontId="8" fillId="7" borderId="66" xfId="2" applyFont="1" applyFill="1" applyBorder="1" applyAlignment="1">
      <alignment horizontal="center" vertical="center" wrapText="1" readingOrder="1"/>
    </xf>
    <xf numFmtId="15" fontId="0" fillId="3" borderId="64" xfId="0" applyNumberFormat="1" applyFont="1" applyFill="1" applyBorder="1" applyAlignment="1">
      <alignment horizontal="center" vertical="center" wrapText="1" readingOrder="1"/>
    </xf>
    <xf numFmtId="164" fontId="0" fillId="0" borderId="80" xfId="0" applyNumberFormat="1" applyFont="1" applyFill="1" applyBorder="1" applyAlignment="1">
      <alignment horizontal="center" vertical="center" wrapText="1" readingOrder="1"/>
    </xf>
    <xf numFmtId="9" fontId="0" fillId="0" borderId="80" xfId="2" applyFont="1" applyFill="1" applyBorder="1" applyAlignment="1">
      <alignment horizontal="center" vertical="center" wrapText="1" readingOrder="1"/>
    </xf>
    <xf numFmtId="164" fontId="3" fillId="8" borderId="66" xfId="0" applyNumberFormat="1" applyFont="1" applyFill="1" applyBorder="1" applyAlignment="1">
      <alignment horizontal="center" vertical="center" wrapText="1" readingOrder="1"/>
    </xf>
    <xf numFmtId="9" fontId="8" fillId="0" borderId="81" xfId="2" applyFont="1" applyFill="1" applyBorder="1" applyAlignment="1">
      <alignment horizontal="center" vertical="center" wrapText="1" readingOrder="1"/>
    </xf>
    <xf numFmtId="164" fontId="0" fillId="0" borderId="32" xfId="0" applyNumberFormat="1" applyFont="1" applyFill="1" applyBorder="1" applyAlignment="1">
      <alignment horizontal="center" vertical="center" wrapText="1"/>
    </xf>
    <xf numFmtId="9" fontId="6" fillId="7" borderId="69" xfId="0" applyNumberFormat="1" applyFont="1" applyFill="1" applyBorder="1" applyAlignment="1">
      <alignment horizontal="center" vertical="center" wrapText="1" readingOrder="1"/>
    </xf>
    <xf numFmtId="164" fontId="6" fillId="0" borderId="43" xfId="0" applyNumberFormat="1" applyFont="1" applyFill="1" applyBorder="1" applyAlignment="1">
      <alignment horizontal="center" vertical="center" wrapText="1" readingOrder="1"/>
    </xf>
    <xf numFmtId="9" fontId="17" fillId="0" borderId="69" xfId="2" applyFont="1" applyFill="1" applyBorder="1" applyAlignment="1">
      <alignment horizontal="center" vertical="center" wrapText="1" readingOrder="1"/>
    </xf>
    <xf numFmtId="164" fontId="0" fillId="7" borderId="79" xfId="0" applyNumberFormat="1" applyFont="1" applyFill="1" applyBorder="1" applyAlignment="1">
      <alignment horizontal="center" vertical="center" wrapText="1" readingOrder="1"/>
    </xf>
    <xf numFmtId="164" fontId="0" fillId="0" borderId="69" xfId="0" applyNumberFormat="1" applyFont="1" applyFill="1" applyBorder="1" applyAlignment="1">
      <alignment horizontal="center" vertical="center" wrapText="1" readingOrder="1"/>
    </xf>
    <xf numFmtId="164" fontId="0" fillId="0" borderId="79" xfId="0" applyNumberFormat="1" applyFont="1" applyFill="1" applyBorder="1" applyAlignment="1">
      <alignment horizontal="center" vertical="center" wrapText="1" readingOrder="1"/>
    </xf>
    <xf numFmtId="9" fontId="0" fillId="0" borderId="79" xfId="2" applyFont="1" applyFill="1" applyBorder="1" applyAlignment="1">
      <alignment horizontal="center" vertical="center" wrapText="1" readingOrder="1"/>
    </xf>
    <xf numFmtId="164" fontId="3" fillId="8" borderId="69" xfId="0" applyNumberFormat="1" applyFont="1" applyFill="1" applyBorder="1" applyAlignment="1">
      <alignment horizontal="center" vertical="center" wrapText="1" readingOrder="1"/>
    </xf>
    <xf numFmtId="9" fontId="15" fillId="0" borderId="57" xfId="2" applyFont="1" applyBorder="1" applyAlignment="1">
      <alignment horizontal="center" vertical="center"/>
    </xf>
    <xf numFmtId="9" fontId="15" fillId="0" borderId="79" xfId="2" applyFont="1" applyBorder="1" applyAlignment="1">
      <alignment horizontal="center" vertical="center"/>
    </xf>
    <xf numFmtId="9" fontId="15" fillId="0" borderId="0" xfId="2" applyFont="1" applyBorder="1" applyAlignment="1">
      <alignment horizontal="center" vertical="center"/>
    </xf>
    <xf numFmtId="0" fontId="0" fillId="0" borderId="82" xfId="0" applyBorder="1">
      <alignment vertical="center"/>
    </xf>
    <xf numFmtId="0" fontId="8" fillId="0" borderId="83" xfId="0" applyFont="1" applyBorder="1" applyAlignment="1">
      <alignment horizontal="center" vertical="center" wrapText="1" readingOrder="1"/>
    </xf>
    <xf numFmtId="0" fontId="12" fillId="0" borderId="84" xfId="0" applyFont="1" applyBorder="1" applyAlignment="1">
      <alignment horizontal="center" vertical="center" wrapText="1" readingOrder="1"/>
    </xf>
    <xf numFmtId="0" fontId="8" fillId="0" borderId="84" xfId="0" applyFont="1" applyBorder="1" applyAlignment="1">
      <alignment horizontal="center" vertical="center" wrapText="1" readingOrder="1"/>
    </xf>
    <xf numFmtId="0" fontId="8" fillId="0" borderId="84" xfId="0" applyFont="1" applyFill="1" applyBorder="1" applyAlignment="1">
      <alignment horizontal="center" vertical="center" wrapText="1" readingOrder="1"/>
    </xf>
    <xf numFmtId="164" fontId="0" fillId="0" borderId="84" xfId="0" applyNumberFormat="1" applyFill="1" applyBorder="1" applyAlignment="1">
      <alignment horizontal="center" vertical="center"/>
    </xf>
    <xf numFmtId="164" fontId="0" fillId="0" borderId="84" xfId="0" applyNumberFormat="1" applyBorder="1" applyAlignment="1">
      <alignment horizontal="center" vertical="center"/>
    </xf>
    <xf numFmtId="164" fontId="8" fillId="0" borderId="85" xfId="0" applyNumberFormat="1" applyFont="1" applyFill="1" applyBorder="1" applyAlignment="1">
      <alignment horizontal="center" vertical="center" wrapText="1" readingOrder="1"/>
    </xf>
    <xf numFmtId="164" fontId="0" fillId="0" borderId="83" xfId="0" applyNumberFormat="1" applyFont="1" applyFill="1" applyBorder="1" applyAlignment="1">
      <alignment horizontal="center" vertical="center" wrapText="1"/>
    </xf>
    <xf numFmtId="164" fontId="0" fillId="0" borderId="84" xfId="0" applyNumberFormat="1" applyFont="1" applyFill="1" applyBorder="1" applyAlignment="1">
      <alignment horizontal="center" vertical="center" wrapText="1"/>
    </xf>
    <xf numFmtId="0" fontId="0" fillId="0" borderId="84" xfId="0" applyFont="1" applyFill="1" applyBorder="1" applyAlignment="1">
      <alignment horizontal="center" vertical="center" wrapText="1" readingOrder="1"/>
    </xf>
    <xf numFmtId="164" fontId="0" fillId="0" borderId="84" xfId="0" applyNumberFormat="1" applyFont="1" applyFill="1" applyBorder="1" applyAlignment="1">
      <alignment horizontal="center" vertical="center" wrapText="1" readingOrder="1"/>
    </xf>
    <xf numFmtId="164" fontId="8" fillId="0" borderId="84" xfId="0" applyNumberFormat="1" applyFont="1" applyFill="1" applyBorder="1" applyAlignment="1">
      <alignment horizontal="center" vertical="center" wrapText="1" readingOrder="1"/>
    </xf>
    <xf numFmtId="9" fontId="15" fillId="0" borderId="59" xfId="2" applyFont="1" applyBorder="1" applyAlignment="1">
      <alignment horizontal="center" vertical="center"/>
    </xf>
    <xf numFmtId="164" fontId="13" fillId="0" borderId="84" xfId="0" applyNumberFormat="1" applyFont="1" applyFill="1" applyBorder="1" applyAlignment="1">
      <alignment horizontal="center" vertical="center" wrapText="1"/>
    </xf>
    <xf numFmtId="164" fontId="4" fillId="0" borderId="83" xfId="0" applyNumberFormat="1" applyFont="1" applyFill="1" applyBorder="1" applyAlignment="1">
      <alignment horizontal="center" vertical="center" wrapText="1"/>
    </xf>
    <xf numFmtId="164" fontId="5" fillId="0" borderId="84" xfId="0" applyNumberFormat="1" applyFont="1" applyFill="1" applyBorder="1" applyAlignment="1">
      <alignment horizontal="center" vertical="center" wrapText="1"/>
    </xf>
    <xf numFmtId="164" fontId="4" fillId="0" borderId="84" xfId="0" applyNumberFormat="1" applyFont="1" applyFill="1" applyBorder="1" applyAlignment="1">
      <alignment horizontal="center" vertical="center" wrapText="1"/>
    </xf>
    <xf numFmtId="0" fontId="0" fillId="0" borderId="84" xfId="0" applyBorder="1" applyAlignment="1">
      <alignment horizontal="center" vertical="center"/>
    </xf>
    <xf numFmtId="0" fontId="0" fillId="0" borderId="84" xfId="0" applyBorder="1">
      <alignment vertical="center"/>
    </xf>
    <xf numFmtId="0" fontId="6" fillId="0" borderId="84" xfId="0" applyFont="1" applyBorder="1">
      <alignment vertical="center"/>
    </xf>
    <xf numFmtId="9" fontId="0" fillId="18" borderId="84" xfId="0" applyNumberFormat="1" applyFont="1" applyFill="1" applyBorder="1" applyAlignment="1">
      <alignment horizontal="center" vertical="center" wrapText="1" readingOrder="1"/>
    </xf>
    <xf numFmtId="15" fontId="13" fillId="18" borderId="84" xfId="0" applyNumberFormat="1" applyFont="1" applyFill="1" applyBorder="1" applyAlignment="1">
      <alignment horizontal="center" vertical="center" wrapText="1" readingOrder="1"/>
    </xf>
    <xf numFmtId="9" fontId="0" fillId="18" borderId="86" xfId="0" applyNumberFormat="1" applyFont="1" applyFill="1" applyBorder="1" applyAlignment="1">
      <alignment vertical="center" wrapText="1" readingOrder="1"/>
    </xf>
    <xf numFmtId="9" fontId="0" fillId="18" borderId="57" xfId="0" applyNumberFormat="1" applyFont="1" applyFill="1" applyBorder="1" applyAlignment="1">
      <alignment vertical="center" wrapText="1" readingOrder="1"/>
    </xf>
    <xf numFmtId="9" fontId="0" fillId="18" borderId="87" xfId="0" applyNumberFormat="1" applyFont="1" applyFill="1" applyBorder="1" applyAlignment="1">
      <alignment vertical="center" wrapText="1" readingOrder="1"/>
    </xf>
    <xf numFmtId="164" fontId="8" fillId="0" borderId="26" xfId="0" applyNumberFormat="1" applyFont="1" applyFill="1" applyBorder="1" applyAlignment="1">
      <alignment horizontal="center" vertical="center" wrapText="1" readingOrder="1"/>
    </xf>
    <xf numFmtId="164" fontId="8" fillId="0" borderId="43" xfId="0" applyNumberFormat="1" applyFont="1" applyFill="1" applyBorder="1" applyAlignment="1">
      <alignment horizontal="center" vertical="center" wrapText="1" readingOrder="1"/>
    </xf>
    <xf numFmtId="9" fontId="8" fillId="0" borderId="26" xfId="2" applyFont="1" applyFill="1" applyBorder="1" applyAlignment="1">
      <alignment horizontal="center" vertical="center" wrapText="1" readingOrder="1"/>
    </xf>
    <xf numFmtId="9" fontId="8" fillId="0" borderId="52" xfId="2" applyFont="1" applyFill="1" applyBorder="1" applyAlignment="1">
      <alignment horizontal="center" vertical="center" wrapText="1" readingOrder="1"/>
    </xf>
    <xf numFmtId="164" fontId="8" fillId="0" borderId="12" xfId="0" applyNumberFormat="1" applyFont="1" applyFill="1" applyBorder="1" applyAlignment="1">
      <alignment horizontal="center" vertical="center" wrapText="1" readingOrder="1"/>
    </xf>
    <xf numFmtId="164" fontId="8" fillId="0" borderId="38" xfId="0" applyNumberFormat="1" applyFont="1" applyFill="1" applyBorder="1" applyAlignment="1">
      <alignment horizontal="center" vertical="center" wrapText="1" readingOrder="1"/>
    </xf>
    <xf numFmtId="164" fontId="8" fillId="0" borderId="34" xfId="0" applyNumberFormat="1" applyFont="1" applyFill="1" applyBorder="1" applyAlignment="1">
      <alignment horizontal="center" vertical="center" wrapText="1" readingOrder="1"/>
    </xf>
    <xf numFmtId="164" fontId="8" fillId="0" borderId="56" xfId="0" applyNumberFormat="1" applyFont="1" applyFill="1" applyBorder="1" applyAlignment="1">
      <alignment horizontal="center" vertical="center" wrapText="1" readingOrder="1"/>
    </xf>
    <xf numFmtId="164" fontId="4" fillId="0" borderId="39" xfId="1" applyNumberFormat="1" applyFont="1" applyFill="1" applyBorder="1" applyAlignment="1">
      <alignment horizontal="center" vertical="center" wrapText="1"/>
    </xf>
    <xf numFmtId="9" fontId="15" fillId="0" borderId="30" xfId="2" applyFont="1" applyFill="1" applyBorder="1" applyAlignment="1">
      <alignment horizontal="center" vertical="center" wrapText="1" readingOrder="1"/>
    </xf>
    <xf numFmtId="164" fontId="0" fillId="0" borderId="38" xfId="0" applyNumberFormat="1" applyFont="1" applyFill="1" applyBorder="1" applyAlignment="1">
      <alignment horizontal="center" vertical="center" wrapText="1"/>
    </xf>
    <xf numFmtId="9" fontId="0" fillId="7" borderId="25" xfId="0" applyNumberFormat="1" applyFont="1" applyFill="1" applyBorder="1" applyAlignment="1">
      <alignment horizontal="center" vertical="center" wrapText="1" readingOrder="1"/>
    </xf>
    <xf numFmtId="15" fontId="13" fillId="7" borderId="25" xfId="0" applyNumberFormat="1" applyFont="1" applyFill="1" applyBorder="1" applyAlignment="1">
      <alignment horizontal="center" vertical="center" wrapText="1" readingOrder="1"/>
    </xf>
    <xf numFmtId="164" fontId="6" fillId="0" borderId="25" xfId="0" applyNumberFormat="1" applyFont="1" applyFill="1" applyBorder="1" applyAlignment="1">
      <alignment horizontal="center" vertical="center" wrapText="1" readingOrder="1"/>
    </xf>
    <xf numFmtId="164" fontId="0" fillId="7" borderId="12" xfId="0" applyNumberFormat="1" applyFont="1" applyFill="1" applyBorder="1" applyAlignment="1">
      <alignment horizontal="center" vertical="center" wrapText="1" readingOrder="1"/>
    </xf>
    <xf numFmtId="9" fontId="8" fillId="7" borderId="12" xfId="2" applyFont="1" applyFill="1" applyBorder="1" applyAlignment="1">
      <alignment horizontal="center" vertical="center" wrapText="1" readingOrder="1"/>
    </xf>
    <xf numFmtId="15" fontId="0" fillId="3" borderId="47" xfId="0" applyNumberFormat="1" applyFont="1" applyFill="1" applyBorder="1" applyAlignment="1">
      <alignment horizontal="center" vertical="center" wrapText="1" readingOrder="1"/>
    </xf>
    <xf numFmtId="164" fontId="0" fillId="0" borderId="12" xfId="0" applyNumberFormat="1" applyFont="1" applyFill="1" applyBorder="1" applyAlignment="1">
      <alignment horizontal="center" vertical="center" wrapText="1" readingOrder="1"/>
    </xf>
    <xf numFmtId="164" fontId="8" fillId="0" borderId="47" xfId="0" applyNumberFormat="1" applyFont="1" applyFill="1" applyBorder="1" applyAlignment="1">
      <alignment horizontal="center" vertical="center" wrapText="1" readingOrder="1"/>
    </xf>
    <xf numFmtId="164" fontId="0" fillId="0" borderId="88" xfId="0" applyNumberFormat="1" applyFont="1" applyFill="1" applyBorder="1" applyAlignment="1">
      <alignment horizontal="center" vertical="center" wrapText="1"/>
    </xf>
    <xf numFmtId="9" fontId="0" fillId="7" borderId="27" xfId="0" applyNumberFormat="1" applyFont="1" applyFill="1" applyBorder="1" applyAlignment="1">
      <alignment horizontal="center" vertical="center" wrapText="1" readingOrder="1"/>
    </xf>
    <xf numFmtId="15" fontId="13" fillId="7" borderId="27" xfId="0" applyNumberFormat="1" applyFont="1" applyFill="1" applyBorder="1" applyAlignment="1">
      <alignment horizontal="center" vertical="center" wrapText="1" readingOrder="1"/>
    </xf>
    <xf numFmtId="164" fontId="13" fillId="7" borderId="31" xfId="0" applyNumberFormat="1" applyFont="1" applyFill="1" applyBorder="1" applyAlignment="1">
      <alignment horizontal="center" vertical="center" wrapText="1" readingOrder="1"/>
    </xf>
    <xf numFmtId="9" fontId="8" fillId="7" borderId="38" xfId="2" applyFont="1" applyFill="1" applyBorder="1" applyAlignment="1">
      <alignment horizontal="center" vertical="center" wrapText="1" readingOrder="1"/>
    </xf>
    <xf numFmtId="44" fontId="8" fillId="0" borderId="43" xfId="4" applyFont="1" applyFill="1" applyBorder="1" applyAlignment="1">
      <alignment horizontal="center" vertical="center" wrapText="1" readingOrder="1"/>
    </xf>
    <xf numFmtId="44" fontId="8" fillId="0" borderId="54" xfId="4" applyFont="1" applyFill="1" applyBorder="1" applyAlignment="1">
      <alignment horizontal="center" vertical="center" wrapText="1" readingOrder="1"/>
    </xf>
    <xf numFmtId="164" fontId="5" fillId="5" borderId="58" xfId="0" applyNumberFormat="1" applyFont="1" applyFill="1" applyBorder="1" applyAlignment="1">
      <alignment horizontal="center" vertical="center" wrapText="1"/>
    </xf>
    <xf numFmtId="164" fontId="5" fillId="5" borderId="28" xfId="0" applyNumberFormat="1" applyFont="1" applyFill="1" applyBorder="1" applyAlignment="1">
      <alignment horizontal="center" vertical="center" wrapText="1"/>
    </xf>
    <xf numFmtId="164" fontId="13" fillId="5" borderId="59" xfId="0" applyNumberFormat="1" applyFont="1" applyFill="1" applyBorder="1" applyAlignment="1">
      <alignment horizontal="center" vertical="center" wrapText="1"/>
    </xf>
    <xf numFmtId="164" fontId="17" fillId="5" borderId="41" xfId="0" applyNumberFormat="1" applyFont="1" applyFill="1" applyBorder="1" applyAlignment="1">
      <alignment horizontal="center" vertical="center" wrapText="1" readingOrder="1"/>
    </xf>
    <xf numFmtId="9" fontId="17" fillId="5" borderId="60" xfId="2" applyFont="1" applyFill="1" applyBorder="1" applyAlignment="1">
      <alignment horizontal="center" vertical="center" wrapText="1" readingOrder="1"/>
    </xf>
    <xf numFmtId="15" fontId="13" fillId="5" borderId="28" xfId="0" applyNumberFormat="1" applyFont="1" applyFill="1" applyBorder="1" applyAlignment="1">
      <alignment horizontal="center" vertical="center" wrapText="1" readingOrder="1"/>
    </xf>
    <xf numFmtId="164" fontId="13" fillId="5" borderId="60" xfId="0" applyNumberFormat="1" applyFont="1" applyFill="1" applyBorder="1" applyAlignment="1">
      <alignment horizontal="center" vertical="center" wrapText="1" readingOrder="1"/>
    </xf>
    <xf numFmtId="164" fontId="13" fillId="5" borderId="28" xfId="0" applyNumberFormat="1" applyFont="1" applyFill="1" applyBorder="1" applyAlignment="1">
      <alignment horizontal="center" vertical="center" wrapText="1" readingOrder="1"/>
    </xf>
    <xf numFmtId="9" fontId="12" fillId="5" borderId="28" xfId="2" applyFont="1" applyFill="1" applyBorder="1" applyAlignment="1">
      <alignment horizontal="center" vertical="center" wrapText="1" readingOrder="1"/>
    </xf>
    <xf numFmtId="15" fontId="13" fillId="5" borderId="57" xfId="0" applyNumberFormat="1" applyFont="1" applyFill="1" applyBorder="1" applyAlignment="1">
      <alignment horizontal="center" vertical="center" wrapText="1" readingOrder="1"/>
    </xf>
    <xf numFmtId="164" fontId="13" fillId="5" borderId="41" xfId="0" applyNumberFormat="1" applyFont="1" applyFill="1" applyBorder="1" applyAlignment="1">
      <alignment horizontal="center" vertical="center" wrapText="1" readingOrder="1"/>
    </xf>
    <xf numFmtId="164" fontId="13" fillId="5" borderId="57" xfId="0" applyNumberFormat="1" applyFont="1" applyFill="1" applyBorder="1" applyAlignment="1">
      <alignment horizontal="center" vertical="center" wrapText="1" readingOrder="1"/>
    </xf>
    <xf numFmtId="164" fontId="5" fillId="5" borderId="28" xfId="1" applyNumberFormat="1" applyFont="1" applyFill="1" applyBorder="1" applyAlignment="1">
      <alignment horizontal="center" vertical="center" wrapText="1"/>
    </xf>
    <xf numFmtId="164" fontId="12" fillId="5" borderId="28" xfId="0" applyNumberFormat="1" applyFont="1" applyFill="1" applyBorder="1" applyAlignment="1">
      <alignment horizontal="center" vertical="center" wrapText="1" readingOrder="1"/>
    </xf>
    <xf numFmtId="164" fontId="12" fillId="5" borderId="70" xfId="0" applyNumberFormat="1" applyFont="1" applyFill="1" applyBorder="1" applyAlignment="1">
      <alignment horizontal="center" vertical="center" wrapText="1" readingOrder="1"/>
    </xf>
    <xf numFmtId="164" fontId="12" fillId="5" borderId="58" xfId="0" applyNumberFormat="1" applyFont="1" applyFill="1" applyBorder="1" applyAlignment="1">
      <alignment horizontal="center" vertical="center" wrapText="1" readingOrder="1"/>
    </xf>
    <xf numFmtId="9" fontId="12" fillId="5" borderId="42" xfId="2" applyFont="1" applyFill="1" applyBorder="1" applyAlignment="1">
      <alignment horizontal="center" vertical="center" wrapText="1" readingOrder="1"/>
    </xf>
    <xf numFmtId="9" fontId="12" fillId="5" borderId="41" xfId="2" applyFont="1" applyFill="1" applyBorder="1" applyAlignment="1">
      <alignment horizontal="center" vertical="center" wrapText="1" readingOrder="1"/>
    </xf>
    <xf numFmtId="44" fontId="12" fillId="5" borderId="41" xfId="4" applyFont="1" applyFill="1" applyBorder="1" applyAlignment="1">
      <alignment horizontal="center" vertical="center" wrapText="1" readingOrder="1"/>
    </xf>
    <xf numFmtId="164" fontId="12" fillId="5" borderId="41" xfId="0" applyNumberFormat="1" applyFont="1" applyFill="1" applyBorder="1" applyAlignment="1">
      <alignment horizontal="center" vertical="center" wrapText="1" readingOrder="1"/>
    </xf>
    <xf numFmtId="44" fontId="12" fillId="5" borderId="60" xfId="4" applyFont="1" applyFill="1" applyBorder="1" applyAlignment="1">
      <alignment horizontal="center" vertical="center" wrapText="1" readingOrder="1"/>
    </xf>
    <xf numFmtId="0" fontId="13" fillId="5" borderId="57" xfId="0" applyFont="1" applyFill="1" applyBorder="1">
      <alignment vertical="center"/>
    </xf>
    <xf numFmtId="164" fontId="0" fillId="5" borderId="63" xfId="0" applyNumberFormat="1" applyFont="1" applyFill="1" applyBorder="1" applyAlignment="1">
      <alignment horizontal="center" vertical="center" wrapText="1"/>
    </xf>
    <xf numFmtId="164" fontId="0" fillId="5" borderId="39" xfId="0" applyNumberFormat="1" applyFont="1" applyFill="1" applyBorder="1" applyAlignment="1">
      <alignment horizontal="center" vertical="center" wrapText="1"/>
    </xf>
    <xf numFmtId="164" fontId="0" fillId="5" borderId="74" xfId="0" applyNumberFormat="1" applyFont="1" applyFill="1" applyBorder="1" applyAlignment="1">
      <alignment horizontal="center" vertical="center" wrapText="1"/>
    </xf>
    <xf numFmtId="164" fontId="13" fillId="5" borderId="0" xfId="0" applyNumberFormat="1" applyFont="1" applyFill="1" applyBorder="1" applyAlignment="1">
      <alignment horizontal="center" vertical="center" wrapText="1" readingOrder="1"/>
    </xf>
    <xf numFmtId="9" fontId="17" fillId="5" borderId="0" xfId="2" applyFont="1" applyFill="1" applyBorder="1" applyAlignment="1">
      <alignment horizontal="center" vertical="center" wrapText="1" readingOrder="1"/>
    </xf>
    <xf numFmtId="15" fontId="0" fillId="5" borderId="39" xfId="0" applyNumberFormat="1" applyFont="1" applyFill="1" applyBorder="1" applyAlignment="1">
      <alignment horizontal="center" vertical="center" wrapText="1" readingOrder="1"/>
    </xf>
    <xf numFmtId="164" fontId="17" fillId="5" borderId="63" xfId="0" applyNumberFormat="1" applyFont="1" applyFill="1" applyBorder="1" applyAlignment="1">
      <alignment horizontal="center" vertical="center" wrapText="1" readingOrder="1"/>
    </xf>
    <xf numFmtId="164" fontId="0" fillId="5" borderId="0" xfId="0" applyNumberFormat="1" applyFont="1" applyFill="1" applyBorder="1" applyAlignment="1">
      <alignment horizontal="center" vertical="center" wrapText="1" readingOrder="1"/>
    </xf>
    <xf numFmtId="164" fontId="6" fillId="5" borderId="39" xfId="0" applyNumberFormat="1" applyFont="1" applyFill="1" applyBorder="1" applyAlignment="1">
      <alignment horizontal="center" vertical="center" wrapText="1" readingOrder="1"/>
    </xf>
    <xf numFmtId="9" fontId="8" fillId="5" borderId="0" xfId="2" applyFont="1" applyFill="1" applyBorder="1" applyAlignment="1">
      <alignment horizontal="center" vertical="center" wrapText="1" readingOrder="1"/>
    </xf>
    <xf numFmtId="15" fontId="0" fillId="5" borderId="0" xfId="0" applyNumberFormat="1" applyFont="1" applyFill="1" applyBorder="1" applyAlignment="1">
      <alignment horizontal="center" vertical="center" wrapText="1" readingOrder="1"/>
    </xf>
    <xf numFmtId="164" fontId="0" fillId="5" borderId="30" xfId="0" applyNumberFormat="1" applyFont="1" applyFill="1" applyBorder="1" applyAlignment="1">
      <alignment horizontal="center" vertical="center" wrapText="1" readingOrder="1"/>
    </xf>
    <xf numFmtId="9" fontId="0" fillId="5" borderId="0" xfId="2" applyFont="1" applyFill="1" applyBorder="1" applyAlignment="1">
      <alignment horizontal="center" vertical="center" wrapText="1" readingOrder="1"/>
    </xf>
    <xf numFmtId="164" fontId="4" fillId="5" borderId="39" xfId="1" applyNumberFormat="1" applyFont="1" applyFill="1" applyBorder="1" applyAlignment="1">
      <alignment horizontal="center" vertical="center" wrapText="1"/>
    </xf>
    <xf numFmtId="164" fontId="8" fillId="5" borderId="39" xfId="0" applyNumberFormat="1" applyFont="1" applyFill="1" applyBorder="1" applyAlignment="1">
      <alignment horizontal="center" vertical="center" wrapText="1" readingOrder="1"/>
    </xf>
    <xf numFmtId="164" fontId="0" fillId="5" borderId="48" xfId="0" applyNumberFormat="1" applyFont="1" applyFill="1" applyBorder="1" applyAlignment="1">
      <alignment horizontal="center" vertical="center" wrapText="1" readingOrder="1"/>
    </xf>
    <xf numFmtId="164" fontId="3" fillId="5" borderId="30" xfId="0" applyNumberFormat="1" applyFont="1" applyFill="1" applyBorder="1" applyAlignment="1">
      <alignment horizontal="center" vertical="center" wrapText="1" readingOrder="1"/>
    </xf>
    <xf numFmtId="164" fontId="8" fillId="5" borderId="34" xfId="0" applyNumberFormat="1" applyFont="1" applyFill="1" applyBorder="1" applyAlignment="1">
      <alignment horizontal="center" vertical="center" wrapText="1" readingOrder="1"/>
    </xf>
    <xf numFmtId="164" fontId="8" fillId="5" borderId="26" xfId="0" applyNumberFormat="1" applyFont="1" applyFill="1" applyBorder="1" applyAlignment="1">
      <alignment horizontal="center" vertical="center" wrapText="1" readingOrder="1"/>
    </xf>
    <xf numFmtId="9" fontId="8" fillId="5" borderId="30" xfId="2" applyFont="1" applyFill="1" applyBorder="1" applyAlignment="1">
      <alignment horizontal="center" vertical="center" wrapText="1" readingOrder="1"/>
    </xf>
    <xf numFmtId="164" fontId="8" fillId="5" borderId="61" xfId="0" applyNumberFormat="1" applyFont="1" applyFill="1" applyBorder="1" applyAlignment="1">
      <alignment horizontal="center" vertical="center" wrapText="1" readingOrder="1"/>
    </xf>
    <xf numFmtId="44" fontId="8" fillId="5" borderId="48" xfId="4" applyFont="1" applyFill="1" applyBorder="1" applyAlignment="1">
      <alignment horizontal="center" vertical="center" wrapText="1" readingOrder="1"/>
    </xf>
    <xf numFmtId="164" fontId="8" fillId="5" borderId="30" xfId="0" applyNumberFormat="1" applyFont="1" applyFill="1" applyBorder="1" applyAlignment="1">
      <alignment horizontal="center" vertical="center" wrapText="1" readingOrder="1"/>
    </xf>
    <xf numFmtId="44" fontId="8" fillId="5" borderId="62" xfId="4" applyFont="1" applyFill="1" applyBorder="1" applyAlignment="1">
      <alignment horizontal="center" vertical="center" wrapText="1" readingOrder="1"/>
    </xf>
    <xf numFmtId="0" fontId="0" fillId="5" borderId="0" xfId="0" applyFont="1" applyFill="1">
      <alignment vertical="center"/>
    </xf>
    <xf numFmtId="0" fontId="8" fillId="5" borderId="36" xfId="0" applyFont="1" applyFill="1" applyBorder="1" applyAlignment="1">
      <alignment horizontal="center" vertical="center" wrapText="1" readingOrder="1"/>
    </xf>
    <xf numFmtId="0" fontId="8" fillId="5" borderId="38" xfId="0" applyFont="1" applyFill="1" applyBorder="1" applyAlignment="1">
      <alignment horizontal="center" vertical="center" wrapText="1" readingOrder="1"/>
    </xf>
    <xf numFmtId="0" fontId="8" fillId="5" borderId="74" xfId="0" applyFont="1" applyFill="1" applyBorder="1" applyAlignment="1">
      <alignment horizontal="center" vertical="center" wrapText="1" readingOrder="1"/>
    </xf>
    <xf numFmtId="9" fontId="15" fillId="5" borderId="36" xfId="2" applyFont="1" applyFill="1" applyBorder="1" applyAlignment="1">
      <alignment horizontal="center" vertical="center"/>
    </xf>
    <xf numFmtId="15" fontId="8" fillId="5" borderId="38" xfId="0" applyNumberFormat="1" applyFont="1" applyFill="1" applyBorder="1" applyAlignment="1">
      <alignment horizontal="center" vertical="center" wrapText="1" readingOrder="1"/>
    </xf>
    <xf numFmtId="164" fontId="5" fillId="5" borderId="0" xfId="1" applyNumberFormat="1" applyFont="1" applyFill="1" applyBorder="1" applyAlignment="1">
      <alignment horizontal="center" vertical="center" wrapText="1"/>
    </xf>
    <xf numFmtId="0" fontId="0" fillId="5" borderId="0" xfId="0" applyFill="1" applyBorder="1" applyAlignment="1">
      <alignment horizontal="center" vertical="center"/>
    </xf>
    <xf numFmtId="164" fontId="6" fillId="5" borderId="38" xfId="1" applyNumberFormat="1" applyFont="1" applyFill="1" applyBorder="1" applyAlignment="1">
      <alignment horizontal="center" vertical="center" wrapText="1"/>
    </xf>
    <xf numFmtId="15" fontId="8" fillId="5" borderId="0" xfId="0" applyNumberFormat="1" applyFont="1" applyFill="1" applyBorder="1" applyAlignment="1">
      <alignment horizontal="center" vertical="center" wrapText="1" readingOrder="1"/>
    </xf>
    <xf numFmtId="164" fontId="4" fillId="5" borderId="30" xfId="1" applyNumberFormat="1" applyFont="1" applyFill="1" applyBorder="1" applyAlignment="1">
      <alignment horizontal="center" vertical="center" wrapText="1"/>
    </xf>
    <xf numFmtId="164" fontId="4" fillId="5" borderId="0" xfId="1" applyNumberFormat="1" applyFont="1" applyFill="1" applyBorder="1" applyAlignment="1">
      <alignment horizontal="center" vertical="center" wrapText="1"/>
    </xf>
    <xf numFmtId="164" fontId="4" fillId="5" borderId="12" xfId="1" applyNumberFormat="1" applyFont="1" applyFill="1" applyBorder="1" applyAlignment="1">
      <alignment horizontal="center" vertical="center" wrapText="1"/>
    </xf>
    <xf numFmtId="164" fontId="8" fillId="5" borderId="12" xfId="0" applyNumberFormat="1" applyFont="1" applyFill="1" applyBorder="1" applyAlignment="1">
      <alignment horizontal="center" vertical="center" wrapText="1" readingOrder="1"/>
    </xf>
    <xf numFmtId="164" fontId="0" fillId="5" borderId="45" xfId="0" applyNumberFormat="1" applyFont="1" applyFill="1" applyBorder="1" applyAlignment="1">
      <alignment horizontal="center" vertical="center" wrapText="1" readingOrder="1"/>
    </xf>
    <xf numFmtId="164" fontId="3" fillId="5" borderId="31" xfId="1" applyNumberFormat="1" applyFont="1" applyFill="1" applyBorder="1" applyAlignment="1">
      <alignment horizontal="center" vertical="center" wrapText="1"/>
    </xf>
    <xf numFmtId="164" fontId="8" fillId="5" borderId="56" xfId="0" applyNumberFormat="1" applyFont="1" applyFill="1" applyBorder="1" applyAlignment="1">
      <alignment horizontal="center" vertical="center" wrapText="1" readingOrder="1"/>
    </xf>
    <xf numFmtId="164" fontId="8" fillId="5" borderId="43" xfId="0" applyNumberFormat="1" applyFont="1" applyFill="1" applyBorder="1" applyAlignment="1">
      <alignment horizontal="center" vertical="center" wrapText="1" readingOrder="1"/>
    </xf>
    <xf numFmtId="9" fontId="8" fillId="5" borderId="69" xfId="2" applyFont="1" applyFill="1" applyBorder="1" applyAlignment="1">
      <alignment horizontal="center" vertical="center" wrapText="1" readingOrder="1"/>
    </xf>
    <xf numFmtId="9" fontId="8" fillId="5" borderId="31" xfId="2" applyFont="1" applyFill="1" applyBorder="1" applyAlignment="1">
      <alignment horizontal="center" vertical="center" wrapText="1" readingOrder="1"/>
    </xf>
    <xf numFmtId="164" fontId="8" fillId="5" borderId="30" xfId="0" applyNumberFormat="1" applyFont="1" applyFill="1" applyBorder="1" applyAlignment="1">
      <alignment horizontal="center" vertical="center" readingOrder="1"/>
    </xf>
    <xf numFmtId="44" fontId="4" fillId="5" borderId="62" xfId="4" applyFont="1" applyFill="1" applyBorder="1" applyAlignment="1">
      <alignment horizontal="center" vertical="center" wrapText="1"/>
    </xf>
    <xf numFmtId="0" fontId="0" fillId="5" borderId="0" xfId="0" applyFill="1">
      <alignment vertical="center"/>
    </xf>
    <xf numFmtId="0" fontId="0" fillId="0" borderId="89" xfId="0" applyBorder="1" applyAlignment="1">
      <alignment horizontal="center" vertical="center"/>
    </xf>
    <xf numFmtId="0" fontId="0" fillId="0" borderId="90" xfId="0" applyBorder="1" applyAlignment="1">
      <alignment horizontal="center" vertical="center"/>
    </xf>
    <xf numFmtId="0" fontId="0" fillId="0" borderId="90" xfId="0" applyBorder="1">
      <alignment vertical="center"/>
    </xf>
    <xf numFmtId="0" fontId="0" fillId="0" borderId="90" xfId="0" applyFont="1" applyFill="1" applyBorder="1" applyAlignment="1">
      <alignment horizontal="center" vertical="center" wrapText="1" readingOrder="1"/>
    </xf>
    <xf numFmtId="0" fontId="6" fillId="0" borderId="90" xfId="0" applyFont="1" applyBorder="1">
      <alignment vertical="center"/>
    </xf>
    <xf numFmtId="164" fontId="0" fillId="0" borderId="90" xfId="0" applyNumberFormat="1" applyBorder="1" applyAlignment="1">
      <alignment horizontal="center" vertical="center"/>
    </xf>
    <xf numFmtId="0" fontId="0" fillId="0" borderId="91" xfId="0" applyBorder="1">
      <alignment vertical="center"/>
    </xf>
    <xf numFmtId="0" fontId="0" fillId="0" borderId="92" xfId="0" applyBorder="1">
      <alignment vertical="center"/>
    </xf>
    <xf numFmtId="0" fontId="0" fillId="0" borderId="1" xfId="0" applyBorder="1">
      <alignment vertical="center"/>
    </xf>
    <xf numFmtId="0" fontId="0" fillId="0" borderId="93" xfId="0" applyBorder="1">
      <alignment vertical="center"/>
    </xf>
    <xf numFmtId="0" fontId="8" fillId="5" borderId="58" xfId="0" applyFont="1" applyFill="1" applyBorder="1" applyAlignment="1">
      <alignment horizontal="center" vertical="center" wrapText="1" readingOrder="1"/>
    </xf>
    <xf numFmtId="0" fontId="8" fillId="5" borderId="28" xfId="0" applyFont="1" applyFill="1" applyBorder="1" applyAlignment="1">
      <alignment horizontal="center" vertical="center" wrapText="1" readingOrder="1"/>
    </xf>
    <xf numFmtId="0" fontId="8" fillId="5" borderId="59" xfId="0" applyFont="1" applyFill="1" applyBorder="1" applyAlignment="1">
      <alignment horizontal="center" vertical="center" wrapText="1" readingOrder="1"/>
    </xf>
    <xf numFmtId="9" fontId="15" fillId="5" borderId="58" xfId="2" applyFont="1" applyFill="1" applyBorder="1" applyAlignment="1">
      <alignment horizontal="center" vertical="center"/>
    </xf>
    <xf numFmtId="15" fontId="8" fillId="5" borderId="28" xfId="0" applyNumberFormat="1" applyFont="1" applyFill="1" applyBorder="1" applyAlignment="1">
      <alignment horizontal="center" vertical="center" wrapText="1" readingOrder="1"/>
    </xf>
    <xf numFmtId="164" fontId="5" fillId="5" borderId="57" xfId="1" applyNumberFormat="1" applyFont="1" applyFill="1" applyBorder="1" applyAlignment="1">
      <alignment horizontal="center" vertical="center" wrapText="1"/>
    </xf>
    <xf numFmtId="0" fontId="0" fillId="5" borderId="57" xfId="0" applyFill="1" applyBorder="1" applyAlignment="1">
      <alignment horizontal="center" vertical="center"/>
    </xf>
    <xf numFmtId="164" fontId="6" fillId="5" borderId="28" xfId="1" applyNumberFormat="1" applyFont="1" applyFill="1" applyBorder="1" applyAlignment="1">
      <alignment horizontal="center" vertical="center" wrapText="1"/>
    </xf>
    <xf numFmtId="9" fontId="8" fillId="5" borderId="57" xfId="2" applyFont="1" applyFill="1" applyBorder="1" applyAlignment="1">
      <alignment horizontal="center" vertical="center" wrapText="1" readingOrder="1"/>
    </xf>
    <xf numFmtId="15" fontId="8" fillId="5" borderId="57" xfId="0" applyNumberFormat="1" applyFont="1" applyFill="1" applyBorder="1" applyAlignment="1">
      <alignment horizontal="center" vertical="center" wrapText="1" readingOrder="1"/>
    </xf>
    <xf numFmtId="164" fontId="4" fillId="5" borderId="60" xfId="1" applyNumberFormat="1" applyFont="1" applyFill="1" applyBorder="1" applyAlignment="1">
      <alignment horizontal="center" vertical="center" wrapText="1"/>
    </xf>
    <xf numFmtId="164" fontId="4" fillId="5" borderId="57" xfId="1" applyNumberFormat="1" applyFont="1" applyFill="1" applyBorder="1" applyAlignment="1">
      <alignment horizontal="center" vertical="center" wrapText="1"/>
    </xf>
    <xf numFmtId="164" fontId="4" fillId="5" borderId="28" xfId="1" applyNumberFormat="1" applyFont="1" applyFill="1" applyBorder="1" applyAlignment="1">
      <alignment horizontal="center" vertical="center" wrapText="1"/>
    </xf>
    <xf numFmtId="164" fontId="8" fillId="5" borderId="28" xfId="0" applyNumberFormat="1" applyFont="1" applyFill="1" applyBorder="1" applyAlignment="1">
      <alignment horizontal="center" vertical="center" wrapText="1" readingOrder="1"/>
    </xf>
    <xf numFmtId="164" fontId="0" fillId="5" borderId="70" xfId="0" applyNumberFormat="1" applyFont="1" applyFill="1" applyBorder="1" applyAlignment="1">
      <alignment horizontal="center" vertical="center" wrapText="1" readingOrder="1"/>
    </xf>
    <xf numFmtId="164" fontId="3" fillId="5" borderId="60" xfId="1" applyNumberFormat="1" applyFont="1" applyFill="1" applyBorder="1" applyAlignment="1">
      <alignment horizontal="center" vertical="center" wrapText="1"/>
    </xf>
    <xf numFmtId="164" fontId="8" fillId="5" borderId="40" xfId="0" applyNumberFormat="1" applyFont="1" applyFill="1" applyBorder="1" applyAlignment="1">
      <alignment horizontal="center" vertical="center" wrapText="1" readingOrder="1"/>
    </xf>
    <xf numFmtId="164" fontId="8" fillId="5" borderId="41" xfId="0" applyNumberFormat="1" applyFont="1" applyFill="1" applyBorder="1" applyAlignment="1">
      <alignment horizontal="center" vertical="center" wrapText="1" readingOrder="1"/>
    </xf>
    <xf numFmtId="9" fontId="8" fillId="5" borderId="60" xfId="2" applyFont="1" applyFill="1" applyBorder="1" applyAlignment="1">
      <alignment horizontal="center" vertical="center" wrapText="1" readingOrder="1"/>
    </xf>
    <xf numFmtId="164" fontId="8" fillId="5" borderId="58" xfId="0" applyNumberFormat="1" applyFont="1" applyFill="1" applyBorder="1" applyAlignment="1">
      <alignment horizontal="center" vertical="center" wrapText="1" readingOrder="1"/>
    </xf>
    <xf numFmtId="44" fontId="8" fillId="5" borderId="70" xfId="4" applyFont="1" applyFill="1" applyBorder="1" applyAlignment="1">
      <alignment horizontal="center" vertical="center" wrapText="1" readingOrder="1"/>
    </xf>
    <xf numFmtId="164" fontId="8" fillId="5" borderId="60" xfId="0" applyNumberFormat="1" applyFont="1" applyFill="1" applyBorder="1" applyAlignment="1">
      <alignment horizontal="center" vertical="center" readingOrder="1"/>
    </xf>
    <xf numFmtId="44" fontId="4" fillId="5" borderId="59" xfId="4" applyFont="1" applyFill="1" applyBorder="1" applyAlignment="1">
      <alignment horizontal="center" vertical="center" wrapText="1"/>
    </xf>
    <xf numFmtId="0" fontId="0" fillId="5" borderId="57" xfId="0" applyFill="1" applyBorder="1">
      <alignment vertical="center"/>
    </xf>
    <xf numFmtId="0" fontId="8" fillId="0" borderId="44" xfId="0" applyFont="1" applyBorder="1" applyAlignment="1">
      <alignment horizontal="center" vertical="center" wrapText="1" readingOrder="1"/>
    </xf>
    <xf numFmtId="0" fontId="8" fillId="0" borderId="39" xfId="0" applyFont="1" applyFill="1" applyBorder="1" applyAlignment="1">
      <alignment horizontal="center" vertical="center" wrapText="1" readingOrder="1"/>
    </xf>
    <xf numFmtId="9" fontId="0" fillId="7" borderId="30" xfId="0" applyNumberFormat="1" applyFont="1" applyFill="1" applyBorder="1" applyAlignment="1">
      <alignment horizontal="center" vertical="center" wrapText="1" readingOrder="1"/>
    </xf>
    <xf numFmtId="0" fontId="0" fillId="7" borderId="39" xfId="0" applyFill="1" applyBorder="1" applyAlignment="1">
      <alignment horizontal="center" vertical="center"/>
    </xf>
    <xf numFmtId="164" fontId="6" fillId="7" borderId="39" xfId="1" applyNumberFormat="1" applyFont="1" applyFill="1" applyBorder="1" applyAlignment="1">
      <alignment horizontal="center" vertical="center" wrapText="1"/>
    </xf>
    <xf numFmtId="0" fontId="42" fillId="20" borderId="3" xfId="0" applyFont="1" applyFill="1" applyBorder="1" applyAlignment="1">
      <alignment horizontal="center" vertical="top" wrapText="1"/>
    </xf>
    <xf numFmtId="9" fontId="43" fillId="20" borderId="3" xfId="0" applyNumberFormat="1" applyFont="1" applyFill="1" applyBorder="1" applyAlignment="1">
      <alignment horizontal="center" vertical="top" wrapText="1"/>
    </xf>
    <xf numFmtId="10" fontId="43" fillId="20" borderId="3" xfId="0" applyNumberFormat="1" applyFont="1" applyFill="1" applyBorder="1" applyAlignment="1">
      <alignment horizontal="center" vertical="top" wrapText="1"/>
    </xf>
    <xf numFmtId="0" fontId="43" fillId="20" borderId="3" xfId="0" applyFont="1" applyFill="1" applyBorder="1" applyAlignment="1">
      <alignment horizontal="left" vertical="top" wrapText="1"/>
    </xf>
    <xf numFmtId="0" fontId="43" fillId="20" borderId="3" xfId="0" applyFont="1" applyFill="1" applyBorder="1" applyAlignment="1">
      <alignment horizontal="center" vertical="top" wrapText="1"/>
    </xf>
    <xf numFmtId="15" fontId="43" fillId="20" borderId="3" xfId="0" applyNumberFormat="1" applyFont="1" applyFill="1" applyBorder="1" applyAlignment="1">
      <alignment horizontal="center" vertical="top" wrapText="1"/>
    </xf>
    <xf numFmtId="14" fontId="44" fillId="18" borderId="3" xfId="8" applyNumberFormat="1" applyFont="1" applyFill="1" applyBorder="1" applyAlignment="1">
      <alignment horizontal="left" vertical="top" wrapText="1"/>
    </xf>
    <xf numFmtId="14" fontId="44" fillId="18" borderId="3" xfId="8" applyNumberFormat="1" applyFont="1" applyFill="1" applyBorder="1" applyAlignment="1">
      <alignment horizontal="center" vertical="top" wrapText="1"/>
    </xf>
    <xf numFmtId="0" fontId="40" fillId="2" borderId="83" xfId="0" applyFont="1" applyFill="1" applyBorder="1" applyAlignment="1">
      <alignment horizontal="center" vertical="top" wrapText="1"/>
    </xf>
    <xf numFmtId="0" fontId="40" fillId="2" borderId="84" xfId="0" applyFont="1" applyFill="1" applyBorder="1" applyAlignment="1">
      <alignment horizontal="center" vertical="top" wrapText="1"/>
    </xf>
    <xf numFmtId="0" fontId="40" fillId="2" borderId="85" xfId="0" applyFont="1" applyFill="1" applyBorder="1" applyAlignment="1">
      <alignment horizontal="center" vertical="top" wrapText="1"/>
    </xf>
    <xf numFmtId="9" fontId="43" fillId="20" borderId="18" xfId="0" applyNumberFormat="1" applyFont="1" applyFill="1" applyBorder="1" applyAlignment="1">
      <alignment horizontal="center" vertical="top" wrapText="1"/>
    </xf>
    <xf numFmtId="10" fontId="43" fillId="20" borderId="18" xfId="0" applyNumberFormat="1" applyFont="1" applyFill="1" applyBorder="1" applyAlignment="1">
      <alignment horizontal="center" vertical="top" wrapText="1"/>
    </xf>
    <xf numFmtId="0" fontId="43" fillId="20" borderId="18" xfId="0" applyFont="1" applyFill="1" applyBorder="1" applyAlignment="1">
      <alignment horizontal="left" vertical="top" wrapText="1"/>
    </xf>
    <xf numFmtId="0" fontId="43" fillId="20" borderId="18" xfId="0" applyFont="1" applyFill="1" applyBorder="1" applyAlignment="1">
      <alignment horizontal="center" vertical="top" wrapText="1"/>
    </xf>
    <xf numFmtId="15" fontId="42" fillId="0" borderId="18" xfId="0" applyNumberFormat="1" applyFont="1" applyFill="1" applyBorder="1" applyAlignment="1">
      <alignment horizontal="center" vertical="top" wrapText="1"/>
    </xf>
    <xf numFmtId="15" fontId="43" fillId="20" borderId="18" xfId="0" applyNumberFormat="1" applyFont="1" applyFill="1" applyBorder="1" applyAlignment="1">
      <alignment horizontal="center" vertical="top" wrapText="1"/>
    </xf>
    <xf numFmtId="15" fontId="41" fillId="20" borderId="18" xfId="0" applyNumberFormat="1" applyFont="1" applyFill="1" applyBorder="1" applyAlignment="1">
      <alignment horizontal="center" vertical="top" wrapText="1"/>
    </xf>
    <xf numFmtId="14" fontId="44" fillId="18" borderId="18" xfId="8" applyNumberFormat="1" applyFont="1" applyFill="1" applyBorder="1" applyAlignment="1">
      <alignment horizontal="left" vertical="top" wrapText="1"/>
    </xf>
    <xf numFmtId="14" fontId="44" fillId="18" borderId="18" xfId="8" applyNumberFormat="1" applyFont="1" applyFill="1" applyBorder="1" applyAlignment="1">
      <alignment horizontal="center" vertical="top" wrapText="1"/>
    </xf>
    <xf numFmtId="168" fontId="41" fillId="11" borderId="83" xfId="0" applyNumberFormat="1" applyFont="1" applyFill="1" applyBorder="1" applyAlignment="1">
      <alignment horizontal="center" vertical="top" wrapText="1"/>
    </xf>
    <xf numFmtId="168" fontId="41" fillId="11" borderId="84" xfId="0" applyNumberFormat="1" applyFont="1" applyFill="1" applyBorder="1" applyAlignment="1">
      <alignment horizontal="center" vertical="top" wrapText="1"/>
    </xf>
    <xf numFmtId="9" fontId="41" fillId="11" borderId="84" xfId="0" applyNumberFormat="1" applyFont="1" applyFill="1" applyBorder="1" applyAlignment="1">
      <alignment horizontal="center" vertical="top" wrapText="1"/>
    </xf>
    <xf numFmtId="9" fontId="41" fillId="11" borderId="84" xfId="0" applyNumberFormat="1" applyFont="1" applyFill="1" applyBorder="1" applyAlignment="1">
      <alignment horizontal="left" vertical="top" wrapText="1"/>
    </xf>
    <xf numFmtId="0" fontId="46" fillId="11" borderId="84" xfId="0" applyFont="1" applyFill="1" applyBorder="1" applyAlignment="1">
      <alignment horizontal="center" vertical="top"/>
    </xf>
    <xf numFmtId="15" fontId="46" fillId="11" borderId="84" xfId="0" applyNumberFormat="1" applyFont="1" applyFill="1" applyBorder="1" applyAlignment="1">
      <alignment horizontal="center" vertical="top" wrapText="1"/>
    </xf>
    <xf numFmtId="15" fontId="41" fillId="11" borderId="84" xfId="0" applyNumberFormat="1" applyFont="1" applyFill="1" applyBorder="1" applyAlignment="1">
      <alignment horizontal="center" vertical="top" wrapText="1"/>
    </xf>
    <xf numFmtId="0" fontId="46" fillId="11" borderId="84" xfId="0" applyFont="1" applyFill="1" applyBorder="1" applyAlignment="1">
      <alignment horizontal="center" vertical="top" wrapText="1"/>
    </xf>
    <xf numFmtId="0" fontId="46" fillId="11" borderId="85" xfId="0" applyFont="1" applyFill="1" applyBorder="1" applyAlignment="1">
      <alignment horizontal="center" vertical="top" wrapText="1"/>
    </xf>
    <xf numFmtId="9" fontId="43" fillId="20" borderId="97" xfId="0" applyNumberFormat="1" applyFont="1" applyFill="1" applyBorder="1" applyAlignment="1">
      <alignment horizontal="center" vertical="top" wrapText="1"/>
    </xf>
    <xf numFmtId="0" fontId="44" fillId="18" borderId="19" xfId="8" applyFont="1" applyFill="1" applyBorder="1" applyAlignment="1">
      <alignment horizontal="left" vertical="top" wrapText="1"/>
    </xf>
    <xf numFmtId="9" fontId="43" fillId="20" borderId="7" xfId="0" applyNumberFormat="1" applyFont="1" applyFill="1" applyBorder="1" applyAlignment="1">
      <alignment horizontal="center" vertical="top" wrapText="1"/>
    </xf>
    <xf numFmtId="0" fontId="45" fillId="0" borderId="8" xfId="0" applyFont="1" applyBorder="1" applyAlignment="1">
      <alignment horizontal="center" vertical="top"/>
    </xf>
    <xf numFmtId="0" fontId="44" fillId="18" borderId="8" xfId="8" applyFont="1" applyFill="1" applyBorder="1" applyAlignment="1">
      <alignment horizontal="center" vertical="top" wrapText="1"/>
    </xf>
    <xf numFmtId="0" fontId="42" fillId="20" borderId="8" xfId="0" applyFont="1" applyFill="1" applyBorder="1" applyAlignment="1">
      <alignment horizontal="center" vertical="top" wrapText="1"/>
    </xf>
    <xf numFmtId="9" fontId="43" fillId="20" borderId="98" xfId="0" applyNumberFormat="1" applyFont="1" applyFill="1" applyBorder="1" applyAlignment="1">
      <alignment horizontal="center" vertical="top" wrapText="1"/>
    </xf>
    <xf numFmtId="10" fontId="43" fillId="20" borderId="99" xfId="0" applyNumberFormat="1" applyFont="1" applyFill="1" applyBorder="1" applyAlignment="1">
      <alignment horizontal="center" vertical="top" wrapText="1"/>
    </xf>
    <xf numFmtId="9" fontId="43" fillId="20" borderId="99" xfId="0" applyNumberFormat="1" applyFont="1" applyFill="1" applyBorder="1" applyAlignment="1">
      <alignment horizontal="center" vertical="top" wrapText="1"/>
    </xf>
    <xf numFmtId="0" fontId="43" fillId="20" borderId="99" xfId="0" applyFont="1" applyFill="1" applyBorder="1" applyAlignment="1">
      <alignment horizontal="left" vertical="top" wrapText="1"/>
    </xf>
    <xf numFmtId="0" fontId="43" fillId="20" borderId="99" xfId="0" applyFont="1" applyFill="1" applyBorder="1" applyAlignment="1">
      <alignment horizontal="center" vertical="top" wrapText="1"/>
    </xf>
    <xf numFmtId="15" fontId="43" fillId="20" borderId="99" xfId="0" applyNumberFormat="1" applyFont="1" applyFill="1" applyBorder="1" applyAlignment="1">
      <alignment horizontal="center" vertical="top" wrapText="1"/>
    </xf>
    <xf numFmtId="15" fontId="42" fillId="0" borderId="99" xfId="0" applyNumberFormat="1" applyFont="1" applyFill="1" applyBorder="1" applyAlignment="1">
      <alignment horizontal="center" vertical="top" wrapText="1"/>
    </xf>
    <xf numFmtId="0" fontId="42" fillId="20" borderId="99" xfId="0" applyFont="1" applyFill="1" applyBorder="1" applyAlignment="1">
      <alignment horizontal="center" vertical="top" wrapText="1"/>
    </xf>
    <xf numFmtId="0" fontId="42" fillId="20" borderId="100" xfId="0" applyFont="1" applyFill="1" applyBorder="1" applyAlignment="1">
      <alignment horizontal="center" vertical="top" wrapText="1"/>
    </xf>
    <xf numFmtId="0" fontId="49" fillId="2" borderId="84" xfId="0" applyFont="1" applyFill="1" applyBorder="1" applyAlignment="1">
      <alignment horizontal="center" vertical="center" wrapText="1"/>
    </xf>
    <xf numFmtId="0" fontId="49" fillId="2" borderId="59" xfId="0" applyFont="1" applyFill="1" applyBorder="1" applyAlignment="1">
      <alignment horizontal="center" vertical="center" wrapText="1"/>
    </xf>
    <xf numFmtId="0" fontId="45" fillId="18" borderId="18" xfId="0" applyFont="1" applyFill="1" applyBorder="1" applyAlignment="1">
      <alignment horizontal="center" vertical="center" wrapText="1"/>
    </xf>
    <xf numFmtId="15" fontId="45" fillId="18" borderId="3" xfId="0" applyNumberFormat="1" applyFont="1" applyFill="1" applyBorder="1" applyAlignment="1">
      <alignment horizontal="center" vertical="center" wrapText="1"/>
    </xf>
    <xf numFmtId="9" fontId="45" fillId="18" borderId="18" xfId="0" applyNumberFormat="1" applyFont="1" applyFill="1" applyBorder="1" applyAlignment="1">
      <alignment horizontal="center" vertical="center" wrapText="1"/>
    </xf>
    <xf numFmtId="0" fontId="50" fillId="18" borderId="3" xfId="0" applyNumberFormat="1" applyFont="1" applyFill="1" applyBorder="1" applyAlignment="1">
      <alignment horizontal="center" vertical="center" wrapText="1"/>
    </xf>
    <xf numFmtId="0" fontId="45" fillId="18" borderId="21" xfId="0" applyNumberFormat="1" applyFont="1" applyFill="1" applyBorder="1" applyAlignment="1">
      <alignment horizontal="left" vertical="center" wrapText="1"/>
    </xf>
    <xf numFmtId="0" fontId="45" fillId="18" borderId="3" xfId="0" applyFont="1" applyFill="1" applyBorder="1" applyAlignment="1">
      <alignment horizontal="center" vertical="center" wrapText="1"/>
    </xf>
    <xf numFmtId="9" fontId="45" fillId="18" borderId="3" xfId="0" applyNumberFormat="1" applyFont="1" applyFill="1" applyBorder="1" applyAlignment="1">
      <alignment horizontal="center" vertical="center" wrapText="1"/>
    </xf>
    <xf numFmtId="165" fontId="45" fillId="18" borderId="17" xfId="0" applyNumberFormat="1" applyFont="1" applyFill="1" applyBorder="1" applyAlignment="1">
      <alignment horizontal="left" vertical="center" wrapText="1"/>
    </xf>
    <xf numFmtId="0" fontId="45" fillId="18" borderId="99" xfId="0" applyFont="1" applyFill="1" applyBorder="1" applyAlignment="1">
      <alignment horizontal="center" vertical="center" wrapText="1"/>
    </xf>
    <xf numFmtId="15" fontId="45" fillId="18" borderId="99" xfId="0" applyNumberFormat="1" applyFont="1" applyFill="1" applyBorder="1" applyAlignment="1">
      <alignment horizontal="center" vertical="center" wrapText="1"/>
    </xf>
    <xf numFmtId="9" fontId="45" fillId="18" borderId="99" xfId="0" applyNumberFormat="1" applyFont="1" applyFill="1" applyBorder="1" applyAlignment="1">
      <alignment horizontal="center" vertical="center" wrapText="1"/>
    </xf>
    <xf numFmtId="165" fontId="45" fillId="18" borderId="99" xfId="0" applyNumberFormat="1" applyFont="1" applyFill="1" applyBorder="1" applyAlignment="1">
      <alignment horizontal="center" vertical="center" wrapText="1"/>
    </xf>
    <xf numFmtId="0" fontId="50" fillId="18" borderId="99" xfId="0" applyNumberFormat="1" applyFont="1" applyFill="1" applyBorder="1" applyAlignment="1">
      <alignment horizontal="center" vertical="center" wrapText="1"/>
    </xf>
    <xf numFmtId="165" fontId="51" fillId="18" borderId="107" xfId="0" applyNumberFormat="1" applyFont="1" applyFill="1" applyBorder="1" applyAlignment="1">
      <alignment horizontal="left" vertical="center" wrapText="1"/>
    </xf>
    <xf numFmtId="0" fontId="45" fillId="0" borderId="63" xfId="0" applyFont="1" applyBorder="1" applyAlignment="1">
      <alignment vertical="center" wrapText="1"/>
    </xf>
    <xf numFmtId="0" fontId="45" fillId="0" borderId="0" xfId="0" applyFont="1" applyBorder="1" applyAlignment="1">
      <alignment horizontal="left" vertical="center" wrapText="1"/>
    </xf>
    <xf numFmtId="0" fontId="45" fillId="0" borderId="74" xfId="0" applyFont="1" applyBorder="1" applyAlignment="1">
      <alignment horizontal="left" vertical="center" wrapText="1"/>
    </xf>
    <xf numFmtId="0" fontId="49" fillId="18" borderId="0" xfId="0" applyFont="1" applyFill="1" applyBorder="1" applyAlignment="1">
      <alignment vertical="center" wrapText="1"/>
    </xf>
    <xf numFmtId="0" fontId="45" fillId="18" borderId="0" xfId="0" applyFont="1" applyFill="1" applyBorder="1" applyAlignment="1">
      <alignment vertical="center" wrapText="1"/>
    </xf>
    <xf numFmtId="0" fontId="45" fillId="18" borderId="0" xfId="0" applyFont="1" applyFill="1" applyBorder="1" applyAlignment="1">
      <alignment horizontal="left" vertical="center" wrapText="1"/>
    </xf>
    <xf numFmtId="0" fontId="51" fillId="18" borderId="0" xfId="0" applyFont="1" applyFill="1" applyBorder="1" applyAlignment="1">
      <alignment vertical="center" wrapText="1"/>
    </xf>
    <xf numFmtId="0" fontId="49" fillId="2" borderId="1" xfId="0" applyFont="1" applyFill="1" applyBorder="1" applyAlignment="1">
      <alignment horizontal="center" vertical="center" wrapText="1"/>
    </xf>
    <xf numFmtId="0" fontId="49" fillId="2" borderId="94" xfId="0" applyFont="1" applyFill="1" applyBorder="1" applyAlignment="1">
      <alignment horizontal="center" vertical="center" wrapText="1"/>
    </xf>
    <xf numFmtId="0" fontId="49" fillId="2" borderId="93" xfId="0" applyFont="1" applyFill="1" applyBorder="1" applyAlignment="1">
      <alignment horizontal="center" vertical="center" wrapText="1"/>
    </xf>
    <xf numFmtId="0" fontId="45" fillId="0" borderId="7" xfId="0" applyFont="1" applyFill="1" applyBorder="1" applyAlignment="1">
      <alignment horizontal="left" vertical="center" wrapText="1"/>
    </xf>
    <xf numFmtId="0" fontId="45" fillId="0" borderId="3" xfId="0" applyFont="1" applyFill="1" applyBorder="1" applyAlignment="1">
      <alignment horizontal="center" vertical="center" wrapText="1"/>
    </xf>
    <xf numFmtId="0" fontId="45" fillId="0" borderId="2" xfId="0" applyFont="1" applyFill="1" applyBorder="1" applyAlignment="1">
      <alignment horizontal="center" vertical="center" wrapText="1"/>
    </xf>
    <xf numFmtId="0" fontId="45" fillId="0" borderId="8" xfId="0" applyFont="1" applyFill="1" applyBorder="1" applyAlignment="1">
      <alignment horizontal="center" vertical="center" wrapText="1"/>
    </xf>
    <xf numFmtId="0" fontId="45" fillId="0" borderId="98" xfId="0" applyFont="1" applyFill="1" applyBorder="1" applyAlignment="1">
      <alignment horizontal="left" vertical="center" wrapText="1"/>
    </xf>
    <xf numFmtId="0" fontId="45" fillId="0" borderId="99" xfId="0" applyFont="1" applyFill="1" applyBorder="1" applyAlignment="1">
      <alignment horizontal="center" vertical="center" wrapText="1"/>
    </xf>
    <xf numFmtId="0" fontId="52" fillId="0" borderId="99" xfId="0" applyFont="1" applyFill="1" applyBorder="1" applyAlignment="1">
      <alignment horizontal="center" vertical="center" wrapText="1"/>
    </xf>
    <xf numFmtId="0" fontId="45" fillId="0" borderId="105" xfId="0" applyFont="1" applyFill="1" applyBorder="1" applyAlignment="1">
      <alignment horizontal="center" vertical="center" wrapText="1"/>
    </xf>
    <xf numFmtId="0" fontId="45" fillId="0" borderId="100" xfId="0" applyFont="1" applyFill="1" applyBorder="1" applyAlignment="1">
      <alignment horizontal="center" vertical="center" wrapText="1"/>
    </xf>
    <xf numFmtId="0" fontId="46" fillId="2" borderId="103" xfId="0" applyFont="1" applyFill="1" applyBorder="1" applyAlignment="1">
      <alignment horizontal="center" vertical="center" wrapText="1"/>
    </xf>
    <xf numFmtId="0" fontId="46" fillId="2" borderId="104" xfId="0" applyFont="1" applyFill="1" applyBorder="1" applyAlignment="1">
      <alignment horizontal="center" vertical="center" wrapText="1"/>
    </xf>
    <xf numFmtId="0" fontId="46" fillId="2" borderId="110" xfId="0" applyFont="1" applyFill="1" applyBorder="1" applyAlignment="1">
      <alignment horizontal="center" vertical="center" wrapText="1"/>
    </xf>
    <xf numFmtId="0" fontId="54" fillId="21" borderId="5" xfId="0" applyFont="1" applyFill="1" applyBorder="1" applyAlignment="1">
      <alignment horizontal="left" vertical="center" wrapText="1"/>
    </xf>
    <xf numFmtId="0" fontId="54" fillId="21" borderId="5" xfId="0" applyFont="1" applyFill="1" applyBorder="1" applyAlignment="1">
      <alignment horizontal="center" vertical="center" wrapText="1"/>
    </xf>
    <xf numFmtId="15" fontId="54" fillId="21" borderId="5" xfId="0" applyNumberFormat="1" applyFont="1" applyFill="1" applyBorder="1" applyAlignment="1">
      <alignment horizontal="center" vertical="center" wrapText="1"/>
    </xf>
    <xf numFmtId="165" fontId="54" fillId="21" borderId="5" xfId="0" applyNumberFormat="1" applyFont="1" applyFill="1" applyBorder="1" applyAlignment="1">
      <alignment horizontal="center" vertical="center" wrapText="1"/>
    </xf>
    <xf numFmtId="0" fontId="54" fillId="21" borderId="6" xfId="0" applyFont="1" applyFill="1" applyBorder="1" applyAlignment="1">
      <alignment horizontal="left" vertical="center" wrapText="1"/>
    </xf>
    <xf numFmtId="0" fontId="54" fillId="21" borderId="3" xfId="0" applyFont="1" applyFill="1" applyBorder="1" applyAlignment="1">
      <alignment horizontal="left" vertical="center" wrapText="1"/>
    </xf>
    <xf numFmtId="0" fontId="54" fillId="21" borderId="3" xfId="0" applyFont="1" applyFill="1" applyBorder="1" applyAlignment="1">
      <alignment horizontal="center" vertical="center" wrapText="1"/>
    </xf>
    <xf numFmtId="15" fontId="54" fillId="21" borderId="3" xfId="0" applyNumberFormat="1" applyFont="1" applyFill="1" applyBorder="1" applyAlignment="1">
      <alignment horizontal="center" vertical="center" wrapText="1"/>
    </xf>
    <xf numFmtId="165" fontId="54" fillId="21" borderId="3" xfId="0" applyNumberFormat="1" applyFont="1" applyFill="1" applyBorder="1" applyAlignment="1">
      <alignment horizontal="center" vertical="center" wrapText="1"/>
    </xf>
    <xf numFmtId="0" fontId="54" fillId="21" borderId="8" xfId="0" applyFont="1" applyFill="1" applyBorder="1" applyAlignment="1">
      <alignment horizontal="left" vertical="center" wrapText="1"/>
    </xf>
    <xf numFmtId="0" fontId="54" fillId="14" borderId="3" xfId="0" applyFont="1" applyFill="1" applyBorder="1" applyAlignment="1">
      <alignment horizontal="left" vertical="center" wrapText="1"/>
    </xf>
    <xf numFmtId="0" fontId="54" fillId="14" borderId="3" xfId="0" applyFont="1" applyFill="1" applyBorder="1" applyAlignment="1">
      <alignment horizontal="center" vertical="center" wrapText="1"/>
    </xf>
    <xf numFmtId="15" fontId="54" fillId="14" borderId="3" xfId="0" applyNumberFormat="1" applyFont="1" applyFill="1" applyBorder="1" applyAlignment="1">
      <alignment horizontal="center" vertical="center" wrapText="1"/>
    </xf>
    <xf numFmtId="165" fontId="54" fillId="14" borderId="3" xfId="0" applyNumberFormat="1" applyFont="1" applyFill="1" applyBorder="1" applyAlignment="1">
      <alignment horizontal="center" vertical="center" wrapText="1"/>
    </xf>
    <xf numFmtId="165" fontId="54" fillId="14" borderId="8" xfId="0" applyNumberFormat="1" applyFont="1" applyFill="1" applyBorder="1" applyAlignment="1">
      <alignment horizontal="left" vertical="center" wrapText="1"/>
    </xf>
    <xf numFmtId="0" fontId="54" fillId="10" borderId="3" xfId="0" applyFont="1" applyFill="1" applyBorder="1" applyAlignment="1">
      <alignment horizontal="left" vertical="center" wrapText="1"/>
    </xf>
    <xf numFmtId="0" fontId="54" fillId="10" borderId="3" xfId="0" applyFont="1" applyFill="1" applyBorder="1" applyAlignment="1">
      <alignment horizontal="center" vertical="center" wrapText="1"/>
    </xf>
    <xf numFmtId="15" fontId="54" fillId="10" borderId="3" xfId="0" applyNumberFormat="1" applyFont="1" applyFill="1" applyBorder="1" applyAlignment="1">
      <alignment horizontal="center" vertical="center" wrapText="1"/>
    </xf>
    <xf numFmtId="165" fontId="54" fillId="10" borderId="3" xfId="0" applyNumberFormat="1" applyFont="1" applyFill="1" applyBorder="1" applyAlignment="1">
      <alignment horizontal="center" vertical="center" wrapText="1"/>
    </xf>
    <xf numFmtId="0" fontId="54" fillId="10" borderId="8" xfId="0" applyFont="1" applyFill="1" applyBorder="1" applyAlignment="1">
      <alignment horizontal="left" vertical="center" wrapText="1"/>
    </xf>
    <xf numFmtId="0" fontId="54" fillId="10" borderId="1" xfId="0" applyFont="1" applyFill="1" applyBorder="1" applyAlignment="1">
      <alignment horizontal="left" vertical="center" wrapText="1"/>
    </xf>
    <xf numFmtId="0" fontId="54" fillId="10" borderId="1" xfId="0" applyFont="1" applyFill="1" applyBorder="1" applyAlignment="1">
      <alignment horizontal="center" vertical="center" wrapText="1"/>
    </xf>
    <xf numFmtId="15" fontId="54" fillId="10" borderId="1" xfId="0" applyNumberFormat="1" applyFont="1" applyFill="1" applyBorder="1" applyAlignment="1">
      <alignment horizontal="center" vertical="center" wrapText="1"/>
    </xf>
    <xf numFmtId="165" fontId="54" fillId="10" borderId="1" xfId="0" applyNumberFormat="1" applyFont="1" applyFill="1" applyBorder="1" applyAlignment="1">
      <alignment horizontal="center" vertical="center" wrapText="1"/>
    </xf>
    <xf numFmtId="0" fontId="54" fillId="10" borderId="93" xfId="0" applyFont="1" applyFill="1" applyBorder="1" applyAlignment="1">
      <alignment horizontal="left" vertical="center" wrapText="1"/>
    </xf>
    <xf numFmtId="0" fontId="54" fillId="10" borderId="99" xfId="0" applyFont="1" applyFill="1" applyBorder="1" applyAlignment="1">
      <alignment horizontal="left" vertical="center" wrapText="1"/>
    </xf>
    <xf numFmtId="0" fontId="54" fillId="10" borderId="99" xfId="0" applyFont="1" applyFill="1" applyBorder="1" applyAlignment="1">
      <alignment horizontal="center" vertical="center" wrapText="1"/>
    </xf>
    <xf numFmtId="15" fontId="54" fillId="10" borderId="99" xfId="0" applyNumberFormat="1" applyFont="1" applyFill="1" applyBorder="1" applyAlignment="1">
      <alignment horizontal="center" vertical="center" wrapText="1"/>
    </xf>
    <xf numFmtId="165" fontId="54" fillId="10" borderId="99" xfId="0" applyNumberFormat="1" applyFont="1" applyFill="1" applyBorder="1" applyAlignment="1">
      <alignment horizontal="center" vertical="center" wrapText="1"/>
    </xf>
    <xf numFmtId="0" fontId="54" fillId="10" borderId="100" xfId="0" applyFont="1" applyFill="1" applyBorder="1" applyAlignment="1">
      <alignment horizontal="left" vertical="center" wrapText="1"/>
    </xf>
    <xf numFmtId="0" fontId="54" fillId="10" borderId="18" xfId="0" applyFont="1" applyFill="1" applyBorder="1" applyAlignment="1">
      <alignment horizontal="left" vertical="center" wrapText="1"/>
    </xf>
    <xf numFmtId="0" fontId="54" fillId="10" borderId="18" xfId="0" applyFont="1" applyFill="1" applyBorder="1" applyAlignment="1">
      <alignment horizontal="center" vertical="center" wrapText="1"/>
    </xf>
    <xf numFmtId="15" fontId="54" fillId="10" borderId="18" xfId="0" applyNumberFormat="1" applyFont="1" applyFill="1" applyBorder="1" applyAlignment="1">
      <alignment horizontal="center" vertical="center" wrapText="1"/>
    </xf>
    <xf numFmtId="165" fontId="54" fillId="10" borderId="18" xfId="0" applyNumberFormat="1" applyFont="1" applyFill="1" applyBorder="1" applyAlignment="1">
      <alignment horizontal="center" vertical="center" wrapText="1"/>
    </xf>
    <xf numFmtId="0" fontId="54" fillId="10" borderId="19" xfId="0" applyFont="1" applyFill="1" applyBorder="1" applyAlignment="1">
      <alignment horizontal="left" vertical="center" wrapText="1"/>
    </xf>
    <xf numFmtId="0" fontId="0" fillId="10" borderId="3" xfId="0" applyFont="1" applyFill="1" applyBorder="1" applyAlignment="1">
      <alignment horizontal="center" vertical="center"/>
    </xf>
    <xf numFmtId="0" fontId="54" fillId="0" borderId="3" xfId="0" applyFont="1" applyFill="1" applyBorder="1" applyAlignment="1">
      <alignment horizontal="left" vertical="center" wrapText="1"/>
    </xf>
    <xf numFmtId="0" fontId="54" fillId="0" borderId="3" xfId="0" applyFont="1" applyFill="1" applyBorder="1" applyAlignment="1">
      <alignment horizontal="center" vertical="center" wrapText="1"/>
    </xf>
    <xf numFmtId="15" fontId="54" fillId="0" borderId="3" xfId="0" applyNumberFormat="1" applyFont="1" applyFill="1" applyBorder="1" applyAlignment="1">
      <alignment horizontal="center" vertical="center" wrapText="1"/>
    </xf>
    <xf numFmtId="0" fontId="0" fillId="18" borderId="3" xfId="0" applyFont="1" applyFill="1" applyBorder="1" applyAlignment="1">
      <alignment horizontal="center" vertical="center"/>
    </xf>
    <xf numFmtId="165" fontId="54" fillId="0" borderId="3" xfId="0" applyNumberFormat="1" applyFont="1" applyFill="1" applyBorder="1" applyAlignment="1">
      <alignment horizontal="center" vertical="center" wrapText="1"/>
    </xf>
    <xf numFmtId="165" fontId="54" fillId="0" borderId="8" xfId="0" applyNumberFormat="1" applyFont="1" applyFill="1" applyBorder="1" applyAlignment="1">
      <alignment horizontal="left" vertical="center" wrapText="1"/>
    </xf>
    <xf numFmtId="0" fontId="54" fillId="10" borderId="5" xfId="0" applyFont="1" applyFill="1" applyBorder="1" applyAlignment="1">
      <alignment horizontal="left" vertical="center" wrapText="1"/>
    </xf>
    <xf numFmtId="0" fontId="54" fillId="10" borderId="5" xfId="0" applyFont="1" applyFill="1" applyBorder="1" applyAlignment="1">
      <alignment horizontal="center" vertical="center" wrapText="1"/>
    </xf>
    <xf numFmtId="15" fontId="54" fillId="10" borderId="5" xfId="0" applyNumberFormat="1" applyFont="1" applyFill="1" applyBorder="1" applyAlignment="1">
      <alignment horizontal="center" vertical="center" wrapText="1"/>
    </xf>
    <xf numFmtId="0" fontId="0" fillId="10" borderId="5" xfId="0" applyFont="1" applyFill="1" applyBorder="1" applyAlignment="1">
      <alignment horizontal="center" vertical="center"/>
    </xf>
    <xf numFmtId="165" fontId="54" fillId="10" borderId="5" xfId="0" applyNumberFormat="1" applyFont="1" applyFill="1" applyBorder="1" applyAlignment="1">
      <alignment horizontal="center" vertical="center" wrapText="1"/>
    </xf>
    <xf numFmtId="165" fontId="54" fillId="10" borderId="6" xfId="0" applyNumberFormat="1" applyFont="1" applyFill="1" applyBorder="1" applyAlignment="1">
      <alignment horizontal="left" vertical="center" wrapText="1"/>
    </xf>
    <xf numFmtId="165" fontId="54" fillId="10" borderId="8" xfId="0" applyNumberFormat="1" applyFont="1" applyFill="1" applyBorder="1" applyAlignment="1">
      <alignment horizontal="left" vertical="center" wrapText="1"/>
    </xf>
    <xf numFmtId="0" fontId="54" fillId="10" borderId="104" xfId="0" applyFont="1" applyFill="1" applyBorder="1" applyAlignment="1">
      <alignment horizontal="left" vertical="center" wrapText="1"/>
    </xf>
    <xf numFmtId="0" fontId="54" fillId="10" borderId="104" xfId="0" applyFont="1" applyFill="1" applyBorder="1" applyAlignment="1">
      <alignment horizontal="center" vertical="center" wrapText="1"/>
    </xf>
    <xf numFmtId="15" fontId="54" fillId="10" borderId="104" xfId="0" applyNumberFormat="1" applyFont="1" applyFill="1" applyBorder="1" applyAlignment="1">
      <alignment horizontal="center" vertical="center" wrapText="1"/>
    </xf>
    <xf numFmtId="0" fontId="0" fillId="10" borderId="104" xfId="0" applyFont="1" applyFill="1" applyBorder="1" applyAlignment="1">
      <alignment horizontal="center" vertical="center"/>
    </xf>
    <xf numFmtId="165" fontId="54" fillId="10" borderId="104" xfId="0" applyNumberFormat="1" applyFont="1" applyFill="1" applyBorder="1" applyAlignment="1">
      <alignment horizontal="center" vertical="center" wrapText="1"/>
    </xf>
    <xf numFmtId="165" fontId="54" fillId="10" borderId="110" xfId="0" applyNumberFormat="1" applyFont="1" applyFill="1" applyBorder="1" applyAlignment="1">
      <alignment horizontal="left" vertical="center" wrapText="1"/>
    </xf>
    <xf numFmtId="0" fontId="0" fillId="10" borderId="99" xfId="0" applyFont="1" applyFill="1" applyBorder="1" applyAlignment="1">
      <alignment horizontal="center" vertical="center"/>
    </xf>
    <xf numFmtId="165" fontId="54" fillId="10" borderId="100" xfId="0" applyNumberFormat="1" applyFont="1" applyFill="1" applyBorder="1" applyAlignment="1">
      <alignment horizontal="left" vertical="center" wrapText="1"/>
    </xf>
    <xf numFmtId="0" fontId="0" fillId="0" borderId="63" xfId="0" applyBorder="1">
      <alignment vertical="center"/>
    </xf>
    <xf numFmtId="0" fontId="0" fillId="0" borderId="0" xfId="0" applyBorder="1">
      <alignment vertical="center"/>
    </xf>
    <xf numFmtId="0" fontId="0" fillId="0" borderId="0" xfId="0" applyBorder="1" applyAlignment="1">
      <alignment horizontal="center" vertical="center"/>
    </xf>
    <xf numFmtId="0" fontId="0" fillId="0" borderId="74" xfId="0" applyBorder="1">
      <alignment vertical="center"/>
    </xf>
    <xf numFmtId="15" fontId="8" fillId="7" borderId="112" xfId="0" applyNumberFormat="1" applyFont="1" applyFill="1" applyBorder="1" applyAlignment="1">
      <alignment horizontal="center" vertical="center" wrapText="1" readingOrder="1"/>
    </xf>
    <xf numFmtId="0" fontId="13" fillId="5" borderId="58" xfId="0" applyFont="1" applyFill="1" applyBorder="1" applyAlignment="1">
      <alignment horizontal="center" vertical="center" wrapText="1" readingOrder="1"/>
    </xf>
    <xf numFmtId="0" fontId="13" fillId="5" borderId="57" xfId="0" applyFont="1" applyFill="1" applyBorder="1" applyAlignment="1">
      <alignment horizontal="center" vertical="center" wrapText="1" readingOrder="1"/>
    </xf>
    <xf numFmtId="164" fontId="8" fillId="0" borderId="66" xfId="0" applyNumberFormat="1" applyFont="1" applyFill="1" applyBorder="1" applyAlignment="1">
      <alignment horizontal="center" vertical="center" wrapText="1" readingOrder="1"/>
    </xf>
    <xf numFmtId="164" fontId="8" fillId="0" borderId="26" xfId="0" applyNumberFormat="1" applyFont="1" applyFill="1" applyBorder="1" applyAlignment="1">
      <alignment horizontal="center" vertical="center" wrapText="1" readingOrder="1"/>
    </xf>
    <xf numFmtId="164" fontId="8" fillId="0" borderId="43" xfId="0" applyNumberFormat="1" applyFont="1" applyFill="1" applyBorder="1" applyAlignment="1">
      <alignment horizontal="center" vertical="center" wrapText="1" readingOrder="1"/>
    </xf>
    <xf numFmtId="9" fontId="8" fillId="0" borderId="66" xfId="2" applyFont="1" applyFill="1" applyBorder="1" applyAlignment="1">
      <alignment horizontal="center" vertical="center" wrapText="1" readingOrder="1"/>
    </xf>
    <xf numFmtId="9" fontId="8" fillId="0" borderId="26" xfId="2" applyFont="1" applyFill="1" applyBorder="1" applyAlignment="1">
      <alignment horizontal="center" vertical="center" wrapText="1" readingOrder="1"/>
    </xf>
    <xf numFmtId="9" fontId="8" fillId="0" borderId="43" xfId="2" applyFont="1" applyFill="1" applyBorder="1" applyAlignment="1">
      <alignment horizontal="center" vertical="center" wrapText="1" readingOrder="1"/>
    </xf>
    <xf numFmtId="9" fontId="8" fillId="0" borderId="51" xfId="2" applyFont="1" applyFill="1" applyBorder="1" applyAlignment="1">
      <alignment horizontal="center" vertical="center" wrapText="1" readingOrder="1"/>
    </xf>
    <xf numFmtId="9" fontId="8" fillId="0" borderId="52" xfId="2" applyFont="1" applyFill="1" applyBorder="1" applyAlignment="1">
      <alignment horizontal="center" vertical="center" wrapText="1" readingOrder="1"/>
    </xf>
    <xf numFmtId="9" fontId="8" fillId="0" borderId="76" xfId="2" applyFont="1" applyFill="1" applyBorder="1" applyAlignment="1">
      <alignment horizontal="center" vertical="center" wrapText="1" readingOrder="1"/>
    </xf>
    <xf numFmtId="164" fontId="8" fillId="0" borderId="12" xfId="0" applyNumberFormat="1" applyFont="1" applyFill="1" applyBorder="1" applyAlignment="1">
      <alignment horizontal="center" vertical="center" wrapText="1" readingOrder="1"/>
    </xf>
    <xf numFmtId="164" fontId="8" fillId="0" borderId="39" xfId="0" applyNumberFormat="1" applyFont="1" applyFill="1" applyBorder="1" applyAlignment="1">
      <alignment horizontal="center" vertical="center" wrapText="1" readingOrder="1"/>
    </xf>
    <xf numFmtId="164" fontId="8" fillId="0" borderId="38" xfId="0" applyNumberFormat="1" applyFont="1" applyFill="1" applyBorder="1" applyAlignment="1">
      <alignment horizontal="center" vertical="center" wrapText="1" readingOrder="1"/>
    </xf>
    <xf numFmtId="9" fontId="15" fillId="0" borderId="12" xfId="2" applyFont="1" applyBorder="1" applyAlignment="1">
      <alignment horizontal="center" vertical="center"/>
    </xf>
    <xf numFmtId="9" fontId="15" fillId="0" borderId="39" xfId="2" applyFont="1" applyBorder="1" applyAlignment="1">
      <alignment horizontal="center" vertical="center"/>
    </xf>
    <xf numFmtId="9" fontId="15" fillId="0" borderId="38" xfId="2" applyFont="1" applyBorder="1" applyAlignment="1">
      <alignment horizontal="center" vertical="center"/>
    </xf>
    <xf numFmtId="164" fontId="0" fillId="0" borderId="33" xfId="0" applyNumberFormat="1" applyFont="1" applyFill="1" applyBorder="1" applyAlignment="1">
      <alignment horizontal="center" vertical="center" wrapText="1" readingOrder="1"/>
    </xf>
    <xf numFmtId="164" fontId="0" fillId="0" borderId="34" xfId="0" applyNumberFormat="1" applyFont="1" applyFill="1" applyBorder="1" applyAlignment="1">
      <alignment horizontal="center" vertical="center" wrapText="1" readingOrder="1"/>
    </xf>
    <xf numFmtId="164" fontId="0" fillId="0" borderId="35" xfId="0" applyNumberFormat="1" applyFont="1" applyFill="1" applyBorder="1" applyAlignment="1">
      <alignment horizontal="center" vertical="center" wrapText="1" readingOrder="1"/>
    </xf>
    <xf numFmtId="164" fontId="3" fillId="8" borderId="67" xfId="1" applyNumberFormat="1" applyFont="1" applyFill="1" applyBorder="1" applyAlignment="1">
      <alignment horizontal="center" vertical="center" wrapText="1"/>
    </xf>
    <xf numFmtId="164" fontId="3" fillId="8" borderId="52" xfId="1" applyNumberFormat="1" applyFont="1" applyFill="1" applyBorder="1" applyAlignment="1">
      <alignment horizontal="center" vertical="center" wrapText="1"/>
    </xf>
    <xf numFmtId="164" fontId="3" fillId="8" borderId="76" xfId="1" applyNumberFormat="1" applyFont="1" applyFill="1" applyBorder="1" applyAlignment="1">
      <alignment horizontal="center" vertical="center" wrapText="1"/>
    </xf>
    <xf numFmtId="164" fontId="8" fillId="0" borderId="65" xfId="0" applyNumberFormat="1" applyFont="1" applyFill="1" applyBorder="1" applyAlignment="1">
      <alignment horizontal="center" vertical="center" wrapText="1" readingOrder="1"/>
    </xf>
    <xf numFmtId="164" fontId="8" fillId="0" borderId="34" xfId="0" applyNumberFormat="1" applyFont="1" applyFill="1" applyBorder="1" applyAlignment="1">
      <alignment horizontal="center" vertical="center" wrapText="1" readingOrder="1"/>
    </xf>
    <xf numFmtId="164" fontId="8" fillId="0" borderId="56" xfId="0" applyNumberFormat="1" applyFont="1" applyFill="1" applyBorder="1" applyAlignment="1">
      <alignment horizontal="center" vertical="center" wrapText="1" readingOrder="1"/>
    </xf>
    <xf numFmtId="9" fontId="0" fillId="18" borderId="86" xfId="0" applyNumberFormat="1" applyFont="1" applyFill="1" applyBorder="1" applyAlignment="1">
      <alignment horizontal="center" vertical="center" wrapText="1" readingOrder="1"/>
    </xf>
    <xf numFmtId="9" fontId="0" fillId="18" borderId="57" xfId="0" applyNumberFormat="1" applyFont="1" applyFill="1" applyBorder="1" applyAlignment="1">
      <alignment horizontal="center" vertical="center" wrapText="1" readingOrder="1"/>
    </xf>
    <xf numFmtId="9" fontId="0" fillId="18" borderId="87" xfId="0" applyNumberFormat="1" applyFont="1" applyFill="1" applyBorder="1" applyAlignment="1">
      <alignment horizontal="center" vertical="center" wrapText="1" readingOrder="1"/>
    </xf>
    <xf numFmtId="0" fontId="8" fillId="0" borderId="61" xfId="0" applyFont="1" applyBorder="1" applyAlignment="1">
      <alignment horizontal="center" vertical="center" wrapText="1" readingOrder="1"/>
    </xf>
    <xf numFmtId="0" fontId="8" fillId="0" borderId="63" xfId="0" applyFont="1" applyBorder="1" applyAlignment="1">
      <alignment horizontal="center" vertical="center" wrapText="1" readingOrder="1"/>
    </xf>
    <xf numFmtId="0" fontId="8" fillId="0" borderId="36" xfId="0" applyFont="1" applyBorder="1" applyAlignment="1">
      <alignment horizontal="center" vertical="center" wrapText="1" readingOrder="1"/>
    </xf>
    <xf numFmtId="0" fontId="8" fillId="0" borderId="62" xfId="0" applyFont="1" applyBorder="1" applyAlignment="1">
      <alignment horizontal="center" vertical="center" wrapText="1" readingOrder="1"/>
    </xf>
    <xf numFmtId="0" fontId="8" fillId="0" borderId="74" xfId="0" applyFont="1" applyBorder="1" applyAlignment="1">
      <alignment horizontal="center" vertical="center" wrapText="1" readingOrder="1"/>
    </xf>
    <xf numFmtId="0" fontId="8" fillId="0" borderId="68" xfId="0" applyFont="1" applyBorder="1" applyAlignment="1">
      <alignment horizontal="center" vertical="center" wrapText="1" readingOrder="1"/>
    </xf>
    <xf numFmtId="164" fontId="0" fillId="0" borderId="12" xfId="0" applyNumberFormat="1" applyFill="1" applyBorder="1" applyAlignment="1">
      <alignment horizontal="center" vertical="center"/>
    </xf>
    <xf numFmtId="164" fontId="0" fillId="0" borderId="39" xfId="0" applyNumberFormat="1" applyFill="1" applyBorder="1" applyAlignment="1">
      <alignment horizontal="center" vertical="center"/>
    </xf>
    <xf numFmtId="164" fontId="0" fillId="0" borderId="38" xfId="0" applyNumberFormat="1" applyFill="1" applyBorder="1" applyAlignment="1">
      <alignment horizontal="center" vertical="center"/>
    </xf>
    <xf numFmtId="164" fontId="0" fillId="0" borderId="73" xfId="0" applyNumberFormat="1" applyBorder="1" applyAlignment="1">
      <alignment horizontal="center" vertical="center"/>
    </xf>
    <xf numFmtId="164" fontId="0" fillId="0" borderId="74" xfId="0" applyNumberFormat="1" applyBorder="1" applyAlignment="1">
      <alignment horizontal="center" vertical="center"/>
    </xf>
    <xf numFmtId="164" fontId="0" fillId="0" borderId="75" xfId="0" applyNumberFormat="1" applyBorder="1" applyAlignment="1">
      <alignment horizontal="center" vertical="center"/>
    </xf>
    <xf numFmtId="164" fontId="0" fillId="0" borderId="63" xfId="0" applyNumberFormat="1" applyFont="1" applyFill="1" applyBorder="1" applyAlignment="1">
      <alignment horizontal="center" vertical="center" wrapText="1"/>
    </xf>
    <xf numFmtId="164" fontId="0" fillId="0" borderId="36" xfId="0" applyNumberFormat="1" applyFont="1" applyFill="1" applyBorder="1" applyAlignment="1">
      <alignment horizontal="center" vertical="center" wrapText="1"/>
    </xf>
    <xf numFmtId="164" fontId="0" fillId="0" borderId="74" xfId="0" applyNumberFormat="1" applyFont="1" applyFill="1" applyBorder="1" applyAlignment="1">
      <alignment horizontal="center" vertical="center" wrapText="1"/>
    </xf>
    <xf numFmtId="164" fontId="0" fillId="0" borderId="68" xfId="0" applyNumberFormat="1" applyFont="1" applyFill="1" applyBorder="1" applyAlignment="1">
      <alignment horizontal="center" vertical="center" wrapText="1"/>
    </xf>
    <xf numFmtId="164" fontId="4" fillId="0" borderId="12" xfId="0" applyNumberFormat="1" applyFont="1" applyFill="1" applyBorder="1" applyAlignment="1">
      <alignment horizontal="center" vertical="center" wrapText="1"/>
    </xf>
    <xf numFmtId="164" fontId="4" fillId="0" borderId="39" xfId="0" applyNumberFormat="1" applyFont="1" applyFill="1" applyBorder="1" applyAlignment="1">
      <alignment horizontal="center" vertical="center" wrapText="1"/>
    </xf>
    <xf numFmtId="164" fontId="0" fillId="0" borderId="61" xfId="0" applyNumberFormat="1" applyFont="1" applyFill="1" applyBorder="1" applyAlignment="1">
      <alignment horizontal="center" vertical="center" wrapText="1"/>
    </xf>
    <xf numFmtId="9" fontId="4" fillId="0" borderId="39" xfId="2" applyFont="1" applyFill="1" applyBorder="1" applyAlignment="1">
      <alignment horizontal="center" vertical="center" wrapText="1"/>
    </xf>
    <xf numFmtId="9" fontId="4" fillId="0" borderId="38" xfId="2" applyFont="1" applyFill="1" applyBorder="1" applyAlignment="1">
      <alignment horizontal="center" vertical="center" wrapText="1"/>
    </xf>
    <xf numFmtId="164" fontId="4" fillId="0" borderId="46" xfId="1" applyNumberFormat="1" applyFont="1" applyFill="1" applyBorder="1" applyAlignment="1">
      <alignment horizontal="center" vertical="center" wrapText="1"/>
    </xf>
    <xf numFmtId="164" fontId="4" fillId="0" borderId="39" xfId="1" applyNumberFormat="1" applyFont="1" applyFill="1" applyBorder="1" applyAlignment="1">
      <alignment horizontal="center" vertical="center" wrapText="1"/>
    </xf>
    <xf numFmtId="164" fontId="4" fillId="0" borderId="38" xfId="1" applyNumberFormat="1" applyFont="1" applyFill="1" applyBorder="1" applyAlignment="1">
      <alignment horizontal="center" vertical="center" wrapText="1"/>
    </xf>
    <xf numFmtId="9" fontId="4" fillId="7" borderId="25" xfId="2" applyFont="1" applyFill="1" applyBorder="1" applyAlignment="1">
      <alignment horizontal="center" vertical="center" wrapText="1"/>
    </xf>
    <xf numFmtId="9" fontId="4" fillId="7" borderId="26" xfId="2" applyFont="1" applyFill="1" applyBorder="1" applyAlignment="1">
      <alignment horizontal="center" vertical="center" wrapText="1"/>
    </xf>
    <xf numFmtId="9" fontId="4" fillId="7" borderId="43" xfId="2" applyFont="1" applyFill="1" applyBorder="1" applyAlignment="1">
      <alignment horizontal="center" vertical="center" wrapText="1"/>
    </xf>
    <xf numFmtId="0" fontId="13" fillId="5" borderId="70" xfId="0" applyFont="1" applyFill="1" applyBorder="1" applyAlignment="1">
      <alignment horizontal="center" vertical="center" wrapText="1" readingOrder="1"/>
    </xf>
    <xf numFmtId="44" fontId="4" fillId="0" borderId="39" xfId="4" applyFont="1" applyFill="1" applyBorder="1" applyAlignment="1">
      <alignment horizontal="center" vertical="center" wrapText="1"/>
    </xf>
    <xf numFmtId="44" fontId="4" fillId="0" borderId="38" xfId="4" applyFont="1" applyFill="1" applyBorder="1" applyAlignment="1">
      <alignment horizontal="center" vertical="center" wrapText="1"/>
    </xf>
    <xf numFmtId="0" fontId="9" fillId="2" borderId="58" xfId="0" applyFont="1" applyFill="1" applyBorder="1" applyAlignment="1">
      <alignment horizontal="center" vertical="center" wrapText="1" readingOrder="1"/>
    </xf>
    <xf numFmtId="0" fontId="9" fillId="2" borderId="59" xfId="0" applyFont="1" applyFill="1" applyBorder="1" applyAlignment="1">
      <alignment horizontal="center" vertical="center" wrapText="1" readingOrder="1"/>
    </xf>
    <xf numFmtId="9" fontId="4" fillId="0" borderId="25" xfId="2" applyFont="1" applyFill="1" applyBorder="1" applyAlignment="1">
      <alignment horizontal="center" vertical="center" wrapText="1"/>
    </xf>
    <xf numFmtId="9" fontId="4" fillId="0" borderId="26" xfId="2" applyFont="1" applyFill="1" applyBorder="1" applyAlignment="1">
      <alignment horizontal="center" vertical="center" wrapText="1"/>
    </xf>
    <xf numFmtId="9" fontId="4" fillId="0" borderId="43" xfId="2" applyFont="1" applyFill="1" applyBorder="1" applyAlignment="1">
      <alignment horizontal="center" vertical="center" wrapText="1"/>
    </xf>
    <xf numFmtId="9" fontId="4" fillId="0" borderId="46" xfId="2" applyFont="1" applyFill="1" applyBorder="1" applyAlignment="1">
      <alignment horizontal="center" vertical="center" wrapText="1"/>
    </xf>
    <xf numFmtId="0" fontId="9" fillId="2" borderId="57" xfId="0" applyFont="1" applyFill="1" applyBorder="1" applyAlignment="1">
      <alignment horizontal="center" vertical="center" wrapText="1" readingOrder="1"/>
    </xf>
    <xf numFmtId="164" fontId="3" fillId="8" borderId="51" xfId="1" applyNumberFormat="1" applyFont="1" applyFill="1" applyBorder="1" applyAlignment="1">
      <alignment horizontal="center" vertical="center" wrapText="1"/>
    </xf>
    <xf numFmtId="164" fontId="3" fillId="8" borderId="54" xfId="1" applyNumberFormat="1" applyFont="1" applyFill="1" applyBorder="1" applyAlignment="1">
      <alignment horizontal="center" vertical="center" wrapText="1"/>
    </xf>
    <xf numFmtId="164" fontId="8" fillId="0" borderId="33" xfId="0" applyNumberFormat="1" applyFont="1" applyFill="1" applyBorder="1" applyAlignment="1">
      <alignment horizontal="center" vertical="center" wrapText="1" readingOrder="1"/>
    </xf>
    <xf numFmtId="164" fontId="8" fillId="0" borderId="35" xfId="0" applyNumberFormat="1" applyFont="1" applyFill="1" applyBorder="1" applyAlignment="1">
      <alignment horizontal="center" vertical="center" wrapText="1" readingOrder="1"/>
    </xf>
    <xf numFmtId="0" fontId="9" fillId="6" borderId="58" xfId="0" applyFont="1" applyFill="1" applyBorder="1" applyAlignment="1">
      <alignment horizontal="center" vertical="center" wrapText="1" readingOrder="1"/>
    </xf>
    <xf numFmtId="0" fontId="9" fillId="6" borderId="57" xfId="0" applyFont="1" applyFill="1" applyBorder="1" applyAlignment="1">
      <alignment horizontal="center" vertical="center" wrapText="1" readingOrder="1"/>
    </xf>
    <xf numFmtId="0" fontId="9" fillId="6" borderId="59" xfId="0" applyFont="1" applyFill="1" applyBorder="1" applyAlignment="1">
      <alignment horizontal="center" vertical="center" wrapText="1" readingOrder="1"/>
    </xf>
    <xf numFmtId="164" fontId="0" fillId="0" borderId="12" xfId="0" applyNumberFormat="1" applyFont="1" applyFill="1" applyBorder="1" applyAlignment="1">
      <alignment horizontal="center" vertical="center" wrapText="1"/>
    </xf>
    <xf numFmtId="164" fontId="0" fillId="0" borderId="38" xfId="0" applyNumberFormat="1" applyFont="1" applyFill="1" applyBorder="1" applyAlignment="1">
      <alignment horizontal="center" vertical="center" wrapText="1"/>
    </xf>
    <xf numFmtId="164" fontId="8" fillId="0" borderId="25" xfId="0" applyNumberFormat="1" applyFont="1" applyFill="1" applyBorder="1" applyAlignment="1">
      <alignment horizontal="center" vertical="center" wrapText="1" readingOrder="1"/>
    </xf>
    <xf numFmtId="164" fontId="8" fillId="0" borderId="27" xfId="0" applyNumberFormat="1" applyFont="1" applyFill="1" applyBorder="1" applyAlignment="1">
      <alignment horizontal="center" vertical="center" wrapText="1" readingOrder="1"/>
    </xf>
    <xf numFmtId="164" fontId="4" fillId="5" borderId="22" xfId="0" applyNumberFormat="1" applyFont="1" applyFill="1" applyBorder="1" applyAlignment="1">
      <alignment horizontal="center" vertical="center" wrapText="1"/>
    </xf>
    <xf numFmtId="164" fontId="4" fillId="5" borderId="13" xfId="0" applyNumberFormat="1" applyFont="1" applyFill="1" applyBorder="1" applyAlignment="1">
      <alignment horizontal="center" vertical="center" wrapText="1"/>
    </xf>
    <xf numFmtId="164" fontId="4" fillId="5" borderId="44" xfId="0" applyNumberFormat="1" applyFont="1" applyFill="1" applyBorder="1" applyAlignment="1">
      <alignment horizontal="center" vertical="center" wrapText="1"/>
    </xf>
    <xf numFmtId="164" fontId="4" fillId="5" borderId="32" xfId="0" applyNumberFormat="1" applyFont="1" applyFill="1" applyBorder="1" applyAlignment="1">
      <alignment horizontal="center" vertical="center" wrapText="1"/>
    </xf>
    <xf numFmtId="9" fontId="0" fillId="0" borderId="63" xfId="2" applyNumberFormat="1" applyFont="1" applyBorder="1" applyAlignment="1">
      <alignment horizontal="center" vertical="center"/>
    </xf>
    <xf numFmtId="9" fontId="0" fillId="0" borderId="36" xfId="2" applyNumberFormat="1" applyFont="1" applyBorder="1" applyAlignment="1">
      <alignment horizontal="center" vertical="center"/>
    </xf>
    <xf numFmtId="0" fontId="9" fillId="5" borderId="58" xfId="0" applyFont="1" applyFill="1" applyBorder="1" applyAlignment="1">
      <alignment horizontal="center" vertical="center" wrapText="1" readingOrder="1"/>
    </xf>
    <xf numFmtId="0" fontId="9" fillId="5" borderId="57" xfId="0" applyFont="1" applyFill="1" applyBorder="1" applyAlignment="1">
      <alignment horizontal="center" vertical="center" wrapText="1" readingOrder="1"/>
    </xf>
    <xf numFmtId="0" fontId="9" fillId="5" borderId="59" xfId="0" applyFont="1" applyFill="1" applyBorder="1" applyAlignment="1">
      <alignment horizontal="center" vertical="center" wrapText="1" readingOrder="1"/>
    </xf>
    <xf numFmtId="1" fontId="8" fillId="0" borderId="34" xfId="0" applyNumberFormat="1" applyFont="1" applyFill="1" applyBorder="1" applyAlignment="1">
      <alignment horizontal="center" vertical="center" wrapText="1" readingOrder="1"/>
    </xf>
    <xf numFmtId="1" fontId="8" fillId="0" borderId="35" xfId="0" applyNumberFormat="1" applyFont="1" applyFill="1" applyBorder="1" applyAlignment="1">
      <alignment horizontal="center" vertical="center" wrapText="1" readingOrder="1"/>
    </xf>
    <xf numFmtId="9" fontId="15" fillId="0" borderId="29" xfId="2" applyFont="1" applyFill="1" applyBorder="1" applyAlignment="1">
      <alignment horizontal="center" vertical="center" wrapText="1" readingOrder="1"/>
    </xf>
    <xf numFmtId="9" fontId="15" fillId="0" borderId="30" xfId="2" applyFont="1" applyFill="1" applyBorder="1" applyAlignment="1">
      <alignment horizontal="center" vertical="center" wrapText="1" readingOrder="1"/>
    </xf>
    <xf numFmtId="9" fontId="15" fillId="0" borderId="31" xfId="2" applyFont="1" applyFill="1" applyBorder="1" applyAlignment="1">
      <alignment horizontal="center" vertical="center" wrapText="1" readingOrder="1"/>
    </xf>
    <xf numFmtId="1" fontId="6" fillId="7" borderId="33" xfId="0" applyNumberFormat="1" applyFont="1" applyFill="1" applyBorder="1" applyAlignment="1">
      <alignment horizontal="center" vertical="center" wrapText="1" readingOrder="1"/>
    </xf>
    <xf numFmtId="1" fontId="6" fillId="7" borderId="34" xfId="0" applyNumberFormat="1" applyFont="1" applyFill="1" applyBorder="1" applyAlignment="1">
      <alignment horizontal="center" vertical="center" wrapText="1" readingOrder="1"/>
    </xf>
    <xf numFmtId="1" fontId="6" fillId="7" borderId="35" xfId="0" applyNumberFormat="1" applyFont="1" applyFill="1" applyBorder="1" applyAlignment="1">
      <alignment horizontal="center" vertical="center" wrapText="1" readingOrder="1"/>
    </xf>
    <xf numFmtId="0" fontId="0" fillId="3" borderId="0" xfId="0" applyFill="1" applyAlignment="1">
      <alignment horizontal="center" vertical="center" wrapText="1"/>
    </xf>
    <xf numFmtId="0" fontId="0" fillId="3" borderId="0" xfId="0" applyFill="1" applyAlignment="1">
      <alignment horizontal="left" vertical="top" wrapText="1"/>
    </xf>
    <xf numFmtId="0" fontId="0" fillId="3" borderId="0" xfId="0" applyFill="1" applyAlignment="1">
      <alignment horizontal="left" wrapText="1"/>
    </xf>
    <xf numFmtId="0" fontId="0" fillId="0" borderId="0" xfId="0" applyAlignment="1">
      <alignment horizontal="center" vertical="center"/>
    </xf>
    <xf numFmtId="164" fontId="4" fillId="0" borderId="14" xfId="1" applyNumberFormat="1" applyFont="1" applyFill="1" applyBorder="1" applyAlignment="1">
      <alignment horizontal="center" vertical="center" wrapText="1"/>
    </xf>
    <xf numFmtId="164" fontId="4" fillId="0" borderId="15" xfId="1" applyNumberFormat="1" applyFont="1" applyFill="1" applyBorder="1" applyAlignment="1">
      <alignment horizontal="center" vertical="center" wrapText="1"/>
    </xf>
    <xf numFmtId="164" fontId="4" fillId="0" borderId="16" xfId="1" applyNumberFormat="1" applyFont="1" applyFill="1" applyBorder="1" applyAlignment="1">
      <alignment horizontal="center" vertical="center" wrapText="1"/>
    </xf>
    <xf numFmtId="164" fontId="4" fillId="0" borderId="14" xfId="0" applyNumberFormat="1" applyFont="1" applyFill="1" applyBorder="1" applyAlignment="1">
      <alignment horizontal="center" vertical="center" wrapText="1"/>
    </xf>
    <xf numFmtId="164" fontId="4" fillId="0" borderId="15" xfId="0" applyNumberFormat="1" applyFont="1" applyFill="1" applyBorder="1" applyAlignment="1">
      <alignment horizontal="center" vertical="center" wrapText="1"/>
    </xf>
    <xf numFmtId="164" fontId="4" fillId="0" borderId="16" xfId="0" applyNumberFormat="1" applyFont="1" applyFill="1" applyBorder="1" applyAlignment="1">
      <alignment horizontal="center" vertical="center" wrapText="1"/>
    </xf>
    <xf numFmtId="164" fontId="4" fillId="0" borderId="17" xfId="0" applyNumberFormat="1" applyFont="1" applyFill="1" applyBorder="1" applyAlignment="1">
      <alignment horizontal="center" vertical="center" wrapText="1"/>
    </xf>
    <xf numFmtId="165" fontId="4" fillId="3" borderId="14" xfId="2" applyNumberFormat="1" applyFont="1" applyFill="1" applyBorder="1" applyAlignment="1">
      <alignment horizontal="center" vertical="center" wrapText="1"/>
    </xf>
    <xf numFmtId="165" fontId="4" fillId="3" borderId="15" xfId="2" applyNumberFormat="1" applyFont="1" applyFill="1" applyBorder="1" applyAlignment="1">
      <alignment horizontal="center" vertical="center" wrapText="1"/>
    </xf>
    <xf numFmtId="165" fontId="4" fillId="3" borderId="17" xfId="2" applyNumberFormat="1" applyFont="1" applyFill="1" applyBorder="1" applyAlignment="1">
      <alignment horizontal="center" vertical="center" wrapText="1"/>
    </xf>
    <xf numFmtId="164" fontId="4" fillId="5" borderId="14" xfId="0" applyNumberFormat="1" applyFont="1" applyFill="1" applyBorder="1" applyAlignment="1">
      <alignment horizontal="center" vertical="center" wrapText="1"/>
    </xf>
    <xf numFmtId="164" fontId="4" fillId="5" borderId="15" xfId="0" applyNumberFormat="1" applyFont="1" applyFill="1" applyBorder="1" applyAlignment="1">
      <alignment horizontal="center" vertical="center" wrapText="1"/>
    </xf>
    <xf numFmtId="164" fontId="4" fillId="5" borderId="17" xfId="0" applyNumberFormat="1" applyFont="1" applyFill="1" applyBorder="1" applyAlignment="1">
      <alignment horizontal="center" vertical="center" wrapText="1"/>
    </xf>
    <xf numFmtId="164" fontId="4" fillId="5" borderId="16"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164" fontId="5" fillId="2" borderId="4" xfId="0" applyNumberFormat="1" applyFont="1" applyFill="1" applyBorder="1" applyAlignment="1">
      <alignment horizontal="center" vertical="center" wrapText="1"/>
    </xf>
    <xf numFmtId="164" fontId="5" fillId="2" borderId="5" xfId="0" applyNumberFormat="1" applyFont="1" applyFill="1" applyBorder="1" applyAlignment="1">
      <alignment horizontal="center" vertical="center" wrapText="1"/>
    </xf>
    <xf numFmtId="164" fontId="5" fillId="2" borderId="6" xfId="0" applyNumberFormat="1" applyFont="1" applyFill="1" applyBorder="1" applyAlignment="1">
      <alignment horizontal="center" vertical="center" wrapText="1"/>
    </xf>
    <xf numFmtId="164" fontId="4" fillId="0" borderId="17" xfId="1" applyNumberFormat="1" applyFont="1" applyFill="1" applyBorder="1" applyAlignment="1">
      <alignment horizontal="center" vertical="center" wrapText="1"/>
    </xf>
    <xf numFmtId="164" fontId="5" fillId="2" borderId="14" xfId="0" applyNumberFormat="1" applyFont="1" applyFill="1" applyBorder="1" applyAlignment="1">
      <alignment horizontal="center" vertical="center" wrapText="1"/>
    </xf>
    <xf numFmtId="164" fontId="5" fillId="2" borderId="15" xfId="0" applyNumberFormat="1" applyFont="1" applyFill="1" applyBorder="1" applyAlignment="1">
      <alignment horizontal="center" vertical="center" wrapText="1"/>
    </xf>
    <xf numFmtId="164" fontId="5" fillId="2" borderId="16" xfId="0" applyNumberFormat="1" applyFont="1" applyFill="1" applyBorder="1" applyAlignment="1">
      <alignment horizontal="center" vertical="center" wrapText="1"/>
    </xf>
    <xf numFmtId="164" fontId="5" fillId="2" borderId="17" xfId="0" applyNumberFormat="1" applyFont="1" applyFill="1" applyBorder="1" applyAlignment="1">
      <alignment horizontal="center" vertical="center" wrapText="1"/>
    </xf>
    <xf numFmtId="9" fontId="4" fillId="0" borderId="14" xfId="2" applyFont="1" applyFill="1" applyBorder="1" applyAlignment="1">
      <alignment horizontal="center" vertical="center" wrapText="1"/>
    </xf>
    <xf numFmtId="9" fontId="4" fillId="0" borderId="15" xfId="2" applyFont="1" applyFill="1" applyBorder="1" applyAlignment="1">
      <alignment horizontal="center" vertical="center" wrapText="1"/>
    </xf>
    <xf numFmtId="9" fontId="4" fillId="0" borderId="16" xfId="2" applyFont="1" applyFill="1" applyBorder="1" applyAlignment="1">
      <alignment horizontal="center" vertical="center" wrapText="1"/>
    </xf>
    <xf numFmtId="9" fontId="4" fillId="0" borderId="17" xfId="2" applyFont="1" applyFill="1" applyBorder="1" applyAlignment="1">
      <alignment horizontal="center" vertical="center" wrapText="1"/>
    </xf>
    <xf numFmtId="164" fontId="5" fillId="2" borderId="10" xfId="0" applyNumberFormat="1" applyFont="1" applyFill="1" applyBorder="1" applyAlignment="1">
      <alignment horizontal="center" vertical="center" wrapText="1"/>
    </xf>
    <xf numFmtId="164" fontId="5" fillId="2" borderId="11"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164" fontId="5" fillId="2" borderId="9" xfId="0" applyNumberFormat="1" applyFont="1" applyFill="1" applyBorder="1" applyAlignment="1">
      <alignment horizontal="center" vertical="center" wrapText="1"/>
    </xf>
    <xf numFmtId="0" fontId="40" fillId="18" borderId="58" xfId="0" applyFont="1" applyFill="1" applyBorder="1" applyAlignment="1">
      <alignment horizontal="center" vertical="top" wrapText="1"/>
    </xf>
    <xf numFmtId="0" fontId="40" fillId="18" borderId="57" xfId="0" applyFont="1" applyFill="1" applyBorder="1" applyAlignment="1">
      <alignment horizontal="center" vertical="top" wrapText="1"/>
    </xf>
    <xf numFmtId="0" fontId="40" fillId="18" borderId="59" xfId="0" applyFont="1" applyFill="1" applyBorder="1" applyAlignment="1">
      <alignment horizontal="center" vertical="top" wrapText="1"/>
    </xf>
    <xf numFmtId="0" fontId="39" fillId="0" borderId="61" xfId="7" applyFont="1" applyFill="1" applyBorder="1" applyAlignment="1">
      <alignment horizontal="center" vertical="center" wrapText="1"/>
    </xf>
    <xf numFmtId="0" fontId="39" fillId="0" borderId="64" xfId="7" applyFont="1" applyFill="1" applyBorder="1" applyAlignment="1">
      <alignment horizontal="center" vertical="center" wrapText="1"/>
    </xf>
    <xf numFmtId="0" fontId="39" fillId="0" borderId="62" xfId="7" applyFont="1" applyFill="1" applyBorder="1" applyAlignment="1">
      <alignment horizontal="center" vertical="center" wrapText="1"/>
    </xf>
    <xf numFmtId="0" fontId="39" fillId="0" borderId="36" xfId="7" applyFont="1" applyFill="1" applyBorder="1" applyAlignment="1">
      <alignment horizontal="center" vertical="center" wrapText="1"/>
    </xf>
    <xf numFmtId="0" fontId="39" fillId="0" borderId="79" xfId="7" applyFont="1" applyFill="1" applyBorder="1" applyAlignment="1">
      <alignment horizontal="center" vertical="center" wrapText="1"/>
    </xf>
    <xf numFmtId="0" fontId="39" fillId="0" borderId="68" xfId="7" applyFont="1" applyFill="1" applyBorder="1" applyAlignment="1">
      <alignment horizontal="center" vertical="center" wrapText="1"/>
    </xf>
    <xf numFmtId="0" fontId="47" fillId="0" borderId="58" xfId="0" applyFont="1" applyBorder="1" applyAlignment="1">
      <alignment horizontal="center" vertical="center" wrapText="1"/>
    </xf>
    <xf numFmtId="0" fontId="47" fillId="0" borderId="57" xfId="0" applyFont="1" applyBorder="1" applyAlignment="1">
      <alignment horizontal="center" vertical="center" wrapText="1"/>
    </xf>
    <xf numFmtId="0" fontId="47" fillId="0" borderId="59" xfId="0" applyFont="1" applyBorder="1" applyAlignment="1">
      <alignment horizontal="center" vertical="center" wrapText="1"/>
    </xf>
    <xf numFmtId="0" fontId="47" fillId="0" borderId="12" xfId="0" applyFont="1" applyBorder="1" applyAlignment="1">
      <alignment horizontal="center" vertical="center" wrapText="1"/>
    </xf>
    <xf numFmtId="0" fontId="47" fillId="0" borderId="38" xfId="0" applyFont="1" applyBorder="1" applyAlignment="1">
      <alignment horizontal="center" vertical="center" wrapText="1"/>
    </xf>
    <xf numFmtId="0" fontId="49" fillId="2" borderId="36" xfId="0" applyFont="1" applyFill="1" applyBorder="1" applyAlignment="1">
      <alignment horizontal="center" vertical="center" wrapText="1"/>
    </xf>
    <xf numFmtId="0" fontId="49" fillId="2" borderId="101" xfId="0" applyFont="1" applyFill="1" applyBorder="1" applyAlignment="1">
      <alignment horizontal="center" vertical="center" wrapText="1"/>
    </xf>
    <xf numFmtId="15" fontId="49" fillId="0" borderId="102" xfId="0" applyNumberFormat="1" applyFont="1" applyBorder="1" applyAlignment="1">
      <alignment horizontal="center" vertical="center" wrapText="1"/>
    </xf>
    <xf numFmtId="15" fontId="49" fillId="0" borderId="101" xfId="0" applyNumberFormat="1" applyFont="1" applyBorder="1" applyAlignment="1">
      <alignment horizontal="center" vertical="center" wrapText="1"/>
    </xf>
    <xf numFmtId="0" fontId="49" fillId="2" borderId="102" xfId="0" applyFont="1" applyFill="1" applyBorder="1" applyAlignment="1">
      <alignment horizontal="center" vertical="center" wrapText="1"/>
    </xf>
    <xf numFmtId="0" fontId="49" fillId="2" borderId="79" xfId="0" applyFont="1" applyFill="1" applyBorder="1" applyAlignment="1">
      <alignment horizontal="center" vertical="center" wrapText="1"/>
    </xf>
    <xf numFmtId="165" fontId="49" fillId="0" borderId="102" xfId="0" applyNumberFormat="1" applyFont="1" applyBorder="1" applyAlignment="1">
      <alignment horizontal="center" vertical="center" wrapText="1"/>
    </xf>
    <xf numFmtId="165" fontId="49" fillId="0" borderId="79" xfId="0" applyNumberFormat="1" applyFont="1" applyBorder="1" applyAlignment="1">
      <alignment horizontal="center" vertical="center" wrapText="1"/>
    </xf>
    <xf numFmtId="0" fontId="49" fillId="2" borderId="58" xfId="0" applyFont="1" applyFill="1" applyBorder="1" applyAlignment="1">
      <alignment horizontal="center" vertical="center" wrapText="1"/>
    </xf>
    <xf numFmtId="0" fontId="49" fillId="2" borderId="87" xfId="0" applyFont="1" applyFill="1" applyBorder="1" applyAlignment="1">
      <alignment horizontal="center" vertical="center" wrapText="1"/>
    </xf>
    <xf numFmtId="0" fontId="49" fillId="2" borderId="86" xfId="0" applyFont="1" applyFill="1" applyBorder="1" applyAlignment="1">
      <alignment horizontal="center" vertical="center" wrapText="1"/>
    </xf>
    <xf numFmtId="0" fontId="45" fillId="18" borderId="97" xfId="0" applyFont="1" applyFill="1" applyBorder="1" applyAlignment="1">
      <alignment horizontal="center" vertical="center" wrapText="1"/>
    </xf>
    <xf numFmtId="0" fontId="45" fillId="18" borderId="18" xfId="0" applyFont="1" applyFill="1" applyBorder="1" applyAlignment="1">
      <alignment horizontal="center" vertical="center" wrapText="1"/>
    </xf>
    <xf numFmtId="165" fontId="45" fillId="18" borderId="95" xfId="0" applyNumberFormat="1" applyFont="1" applyFill="1" applyBorder="1" applyAlignment="1">
      <alignment horizontal="center" vertical="center" wrapText="1"/>
    </xf>
    <xf numFmtId="165" fontId="45" fillId="18" borderId="96" xfId="0" applyNumberFormat="1" applyFont="1" applyFill="1" applyBorder="1" applyAlignment="1">
      <alignment horizontal="center" vertical="center" wrapText="1"/>
    </xf>
    <xf numFmtId="0" fontId="45" fillId="18" borderId="7" xfId="0" applyFont="1" applyFill="1" applyBorder="1" applyAlignment="1">
      <alignment horizontal="center" vertical="center" wrapText="1"/>
    </xf>
    <xf numFmtId="0" fontId="45" fillId="18" borderId="3" xfId="0" applyFont="1" applyFill="1" applyBorder="1" applyAlignment="1">
      <alignment horizontal="center" vertical="center" wrapText="1"/>
    </xf>
    <xf numFmtId="165" fontId="45" fillId="18" borderId="2" xfId="0" applyNumberFormat="1" applyFont="1" applyFill="1" applyBorder="1" applyAlignment="1">
      <alignment horizontal="center" vertical="center" wrapText="1"/>
    </xf>
    <xf numFmtId="165" fontId="45" fillId="18" borderId="16" xfId="0" applyNumberFormat="1" applyFont="1" applyFill="1" applyBorder="1" applyAlignment="1">
      <alignment horizontal="center" vertical="center" wrapText="1"/>
    </xf>
    <xf numFmtId="0" fontId="45" fillId="18" borderId="103" xfId="0" applyFont="1" applyFill="1" applyBorder="1" applyAlignment="1">
      <alignment horizontal="center" vertical="center" wrapText="1"/>
    </xf>
    <xf numFmtId="0" fontId="45" fillId="18" borderId="104" xfId="0" applyFont="1" applyFill="1" applyBorder="1" applyAlignment="1">
      <alignment horizontal="center" vertical="center" wrapText="1"/>
    </xf>
    <xf numFmtId="165" fontId="45" fillId="18" borderId="105" xfId="0" applyNumberFormat="1" applyFont="1" applyFill="1" applyBorder="1" applyAlignment="1">
      <alignment horizontal="center" vertical="center" wrapText="1"/>
    </xf>
    <xf numFmtId="165" fontId="45" fillId="18" borderId="106" xfId="0" applyNumberFormat="1" applyFont="1" applyFill="1" applyBorder="1" applyAlignment="1">
      <alignment horizontal="center" vertical="center" wrapText="1"/>
    </xf>
    <xf numFmtId="0" fontId="49" fillId="2" borderId="57" xfId="0" applyFont="1" applyFill="1" applyBorder="1" applyAlignment="1">
      <alignment horizontal="center" vertical="center" wrapText="1"/>
    </xf>
    <xf numFmtId="0" fontId="49" fillId="2" borderId="59" xfId="0" applyFont="1" applyFill="1" applyBorder="1" applyAlignment="1">
      <alignment horizontal="center" vertical="center" wrapText="1"/>
    </xf>
    <xf numFmtId="0" fontId="45" fillId="0" borderId="58" xfId="0" applyFont="1" applyBorder="1" applyAlignment="1">
      <alignment vertical="center" wrapText="1"/>
    </xf>
    <xf numFmtId="0" fontId="45" fillId="0" borderId="57" xfId="0" applyFont="1" applyBorder="1" applyAlignment="1">
      <alignment vertical="center" wrapText="1"/>
    </xf>
    <xf numFmtId="0" fontId="45" fillId="0" borderId="59" xfId="0" applyFont="1" applyBorder="1" applyAlignment="1">
      <alignment vertical="center" wrapText="1"/>
    </xf>
    <xf numFmtId="0" fontId="45" fillId="0" borderId="2" xfId="0" applyFont="1" applyFill="1" applyBorder="1" applyAlignment="1">
      <alignment horizontal="center" vertical="center" wrapText="1"/>
    </xf>
    <xf numFmtId="0" fontId="45" fillId="0" borderId="16" xfId="0" applyFont="1" applyFill="1" applyBorder="1" applyAlignment="1">
      <alignment horizontal="center" vertical="center" wrapText="1"/>
    </xf>
    <xf numFmtId="0" fontId="45" fillId="0" borderId="105" xfId="0" applyFont="1" applyFill="1" applyBorder="1" applyAlignment="1">
      <alignment horizontal="center" vertical="center" wrapText="1"/>
    </xf>
    <xf numFmtId="0" fontId="45" fillId="0" borderId="106" xfId="0" applyFont="1" applyFill="1" applyBorder="1" applyAlignment="1">
      <alignment horizontal="center" vertical="center" wrapText="1"/>
    </xf>
    <xf numFmtId="0" fontId="45" fillId="0" borderId="36" xfId="0" applyFont="1" applyBorder="1" applyAlignment="1">
      <alignment horizontal="left" vertical="center" wrapText="1"/>
    </xf>
    <xf numFmtId="0" fontId="45" fillId="0" borderId="79" xfId="0" applyFont="1" applyBorder="1" applyAlignment="1">
      <alignment horizontal="left" vertical="center" wrapText="1"/>
    </xf>
    <xf numFmtId="0" fontId="45" fillId="0" borderId="68" xfId="0" applyFont="1" applyBorder="1" applyAlignment="1">
      <alignment horizontal="left" vertical="center" wrapText="1"/>
    </xf>
    <xf numFmtId="0" fontId="51" fillId="0" borderId="36" xfId="0" applyFont="1" applyBorder="1" applyAlignment="1">
      <alignment horizontal="left" vertical="center" wrapText="1"/>
    </xf>
    <xf numFmtId="0" fontId="51" fillId="0" borderId="79" xfId="0" applyFont="1" applyBorder="1" applyAlignment="1">
      <alignment horizontal="left" vertical="center" wrapText="1"/>
    </xf>
    <xf numFmtId="0" fontId="51" fillId="0" borderId="68" xfId="0" applyFont="1" applyBorder="1" applyAlignment="1">
      <alignment horizontal="left" vertical="center" wrapText="1"/>
    </xf>
    <xf numFmtId="0" fontId="49" fillId="2" borderId="4" xfId="0" applyFont="1" applyFill="1" applyBorder="1" applyAlignment="1">
      <alignment horizontal="center" vertical="center" wrapText="1"/>
    </xf>
    <xf numFmtId="0" fontId="49" fillId="2" borderId="109" xfId="0" applyFont="1" applyFill="1" applyBorder="1" applyAlignment="1">
      <alignment horizontal="center" vertical="center" wrapText="1"/>
    </xf>
    <xf numFmtId="0" fontId="49" fillId="2" borderId="5" xfId="0" applyFont="1" applyFill="1" applyBorder="1" applyAlignment="1">
      <alignment horizontal="center" vertical="center" wrapText="1"/>
    </xf>
    <xf numFmtId="0" fontId="49" fillId="2" borderId="108" xfId="0" applyFont="1" applyFill="1" applyBorder="1" applyAlignment="1">
      <alignment horizontal="center" vertical="center" wrapText="1"/>
    </xf>
    <xf numFmtId="0" fontId="49" fillId="2" borderId="6" xfId="0" applyFont="1" applyFill="1" applyBorder="1" applyAlignment="1">
      <alignment horizontal="center" vertical="center" wrapText="1"/>
    </xf>
    <xf numFmtId="0" fontId="49" fillId="2" borderId="2" xfId="0" applyFont="1" applyFill="1" applyBorder="1" applyAlignment="1">
      <alignment horizontal="center" vertical="center" wrapText="1"/>
    </xf>
    <xf numFmtId="0" fontId="49" fillId="2" borderId="16" xfId="0" applyFont="1" applyFill="1" applyBorder="1" applyAlignment="1">
      <alignment horizontal="center" vertical="center" wrapText="1"/>
    </xf>
    <xf numFmtId="0" fontId="53" fillId="21" borderId="58" xfId="0" applyFont="1" applyFill="1" applyBorder="1" applyAlignment="1">
      <alignment horizontal="center" vertical="center"/>
    </xf>
    <xf numFmtId="0" fontId="53" fillId="21" borderId="57" xfId="0" applyFont="1" applyFill="1" applyBorder="1" applyAlignment="1">
      <alignment horizontal="center" vertical="center"/>
    </xf>
    <xf numFmtId="0" fontId="53" fillId="21" borderId="59" xfId="0" applyFont="1" applyFill="1" applyBorder="1" applyAlignment="1">
      <alignment horizontal="center" vertical="center"/>
    </xf>
    <xf numFmtId="15" fontId="53" fillId="10" borderId="58" xfId="0" applyNumberFormat="1" applyFont="1" applyFill="1" applyBorder="1" applyAlignment="1">
      <alignment horizontal="center" vertical="center" wrapText="1"/>
    </xf>
    <xf numFmtId="15" fontId="53" fillId="10" borderId="57" xfId="0" applyNumberFormat="1" applyFont="1" applyFill="1" applyBorder="1" applyAlignment="1">
      <alignment horizontal="center" vertical="center" wrapText="1"/>
    </xf>
    <xf numFmtId="15" fontId="53" fillId="10" borderId="59" xfId="0" applyNumberFormat="1" applyFont="1" applyFill="1" applyBorder="1" applyAlignment="1">
      <alignment horizontal="center" vertical="center" wrapText="1"/>
    </xf>
    <xf numFmtId="165" fontId="53" fillId="14" borderId="58" xfId="0" applyNumberFormat="1" applyFont="1" applyFill="1" applyBorder="1" applyAlignment="1">
      <alignment horizontal="center" vertical="center" wrapText="1"/>
    </xf>
    <xf numFmtId="165" fontId="53" fillId="14" borderId="57" xfId="0" applyNumberFormat="1" applyFont="1" applyFill="1" applyBorder="1" applyAlignment="1">
      <alignment horizontal="center" vertical="center" wrapText="1"/>
    </xf>
    <xf numFmtId="165" fontId="53" fillId="14" borderId="59" xfId="0" applyNumberFormat="1" applyFont="1" applyFill="1" applyBorder="1" applyAlignment="1">
      <alignment horizontal="center" vertical="center" wrapText="1"/>
    </xf>
    <xf numFmtId="0" fontId="39" fillId="0" borderId="58" xfId="0" applyFont="1" applyFill="1" applyBorder="1" applyAlignment="1">
      <alignment horizontal="center" vertical="center" wrapText="1"/>
    </xf>
    <xf numFmtId="0" fontId="39" fillId="0" borderId="57" xfId="0" applyFont="1" applyFill="1" applyBorder="1" applyAlignment="1">
      <alignment horizontal="center" vertical="center" wrapText="1"/>
    </xf>
    <xf numFmtId="0" fontId="39" fillId="0" borderId="59" xfId="0" applyFont="1" applyFill="1" applyBorder="1" applyAlignment="1">
      <alignment horizontal="center" vertical="center" wrapText="1"/>
    </xf>
    <xf numFmtId="0" fontId="53" fillId="0" borderId="89" xfId="0" applyFont="1" applyFill="1" applyBorder="1" applyAlignment="1">
      <alignment horizontal="center" vertical="center" wrapText="1"/>
    </xf>
    <xf numFmtId="0" fontId="53" fillId="0" borderId="111" xfId="0" applyFont="1" applyFill="1" applyBorder="1" applyAlignment="1">
      <alignment horizontal="center" vertical="center" wrapText="1"/>
    </xf>
    <xf numFmtId="0" fontId="53" fillId="0" borderId="103" xfId="0" applyFont="1" applyFill="1" applyBorder="1" applyAlignment="1">
      <alignment horizontal="center" vertical="center" wrapText="1"/>
    </xf>
    <xf numFmtId="0" fontId="53" fillId="0" borderId="111" xfId="0" applyFont="1" applyFill="1" applyBorder="1" applyAlignment="1">
      <alignment horizontal="center" vertical="center"/>
    </xf>
    <xf numFmtId="0" fontId="53" fillId="0" borderId="89" xfId="0" applyFont="1" applyBorder="1" applyAlignment="1">
      <alignment horizontal="center" vertical="center"/>
    </xf>
    <xf numFmtId="0" fontId="53" fillId="0" borderId="111" xfId="0" applyFont="1" applyBorder="1" applyAlignment="1">
      <alignment horizontal="center" vertical="center"/>
    </xf>
    <xf numFmtId="0" fontId="53" fillId="0" borderId="103" xfId="0" applyFont="1" applyBorder="1" applyAlignment="1">
      <alignment horizontal="center" vertical="center"/>
    </xf>
    <xf numFmtId="0" fontId="24" fillId="13" borderId="3" xfId="5" applyFont="1" applyFill="1" applyBorder="1" applyAlignment="1">
      <alignment horizontal="center" vertical="center"/>
    </xf>
    <xf numFmtId="0" fontId="27" fillId="18" borderId="3" xfId="0" applyFont="1" applyFill="1" applyBorder="1" applyAlignment="1">
      <alignment horizontal="center" vertical="center" wrapText="1"/>
    </xf>
    <xf numFmtId="166" fontId="3" fillId="0" borderId="3" xfId="1" applyNumberFormat="1" applyFont="1" applyFill="1" applyBorder="1" applyAlignment="1">
      <alignment horizontal="left" vertical="center" wrapText="1" readingOrder="1"/>
    </xf>
    <xf numFmtId="166" fontId="20" fillId="18" borderId="3" xfId="1" applyNumberFormat="1" applyFont="1" applyFill="1" applyBorder="1" applyAlignment="1">
      <alignment horizontal="left" vertical="center" wrapText="1"/>
    </xf>
    <xf numFmtId="0" fontId="20" fillId="0" borderId="3" xfId="0" applyFont="1" applyFill="1" applyBorder="1" applyAlignment="1">
      <alignment horizontal="left" vertical="center" wrapText="1"/>
    </xf>
    <xf numFmtId="166" fontId="26" fillId="0" borderId="3" xfId="1" applyNumberFormat="1" applyFont="1" applyBorder="1" applyAlignment="1">
      <alignment horizontal="left" vertical="center" wrapText="1"/>
    </xf>
    <xf numFmtId="0" fontId="26" fillId="0" borderId="3" xfId="0" applyFont="1" applyFill="1" applyBorder="1" applyAlignment="1">
      <alignment horizontal="center" vertical="center"/>
    </xf>
    <xf numFmtId="166" fontId="26" fillId="18" borderId="1" xfId="1" applyNumberFormat="1" applyFont="1" applyFill="1" applyBorder="1" applyAlignment="1">
      <alignment horizontal="center" vertical="center" wrapText="1"/>
    </xf>
    <xf numFmtId="166" fontId="26" fillId="18" borderId="77" xfId="1" applyNumberFormat="1" applyFont="1" applyFill="1" applyBorder="1" applyAlignment="1">
      <alignment horizontal="center" vertical="center" wrapText="1"/>
    </xf>
    <xf numFmtId="166" fontId="26" fillId="18" borderId="18" xfId="1" applyNumberFormat="1" applyFont="1" applyFill="1" applyBorder="1" applyAlignment="1">
      <alignment horizontal="center" vertical="center" wrapText="1"/>
    </xf>
    <xf numFmtId="0" fontId="26" fillId="0" borderId="3" xfId="0" applyFont="1" applyFill="1" applyBorder="1" applyAlignment="1">
      <alignment horizontal="left" vertical="center" wrapText="1"/>
    </xf>
    <xf numFmtId="0" fontId="26" fillId="0" borderId="3" xfId="0" applyFont="1" applyFill="1" applyBorder="1" applyAlignment="1">
      <alignment horizontal="center" vertical="center" wrapText="1"/>
    </xf>
    <xf numFmtId="166" fontId="20" fillId="0" borderId="3" xfId="1" applyNumberFormat="1" applyFont="1" applyBorder="1" applyAlignment="1">
      <alignment horizontal="left" vertical="center" wrapText="1"/>
    </xf>
    <xf numFmtId="0" fontId="20" fillId="0" borderId="3" xfId="0" applyFont="1" applyFill="1" applyBorder="1" applyAlignment="1">
      <alignment horizontal="center" vertical="center" wrapText="1"/>
    </xf>
    <xf numFmtId="0" fontId="37" fillId="12" borderId="3" xfId="5" applyFont="1" applyFill="1" applyBorder="1" applyAlignment="1">
      <alignment horizontal="center" vertical="center"/>
    </xf>
    <xf numFmtId="166" fontId="22" fillId="16" borderId="3" xfId="1" applyNumberFormat="1" applyFont="1" applyFill="1" applyBorder="1" applyAlignment="1">
      <alignment horizontal="center" vertical="center"/>
    </xf>
    <xf numFmtId="0" fontId="26" fillId="0" borderId="1" xfId="0" applyFont="1" applyFill="1" applyBorder="1" applyAlignment="1">
      <alignment horizontal="center" vertical="center"/>
    </xf>
    <xf numFmtId="0" fontId="26" fillId="0" borderId="18" xfId="0" applyFont="1" applyFill="1" applyBorder="1" applyAlignment="1">
      <alignment horizontal="center" vertical="center"/>
    </xf>
    <xf numFmtId="0" fontId="24" fillId="19" borderId="3" xfId="5" applyFont="1" applyFill="1" applyBorder="1" applyAlignment="1">
      <alignment horizontal="center" vertical="center"/>
    </xf>
    <xf numFmtId="0" fontId="55" fillId="0" borderId="3" xfId="0" applyFont="1" applyBorder="1" applyAlignment="1">
      <alignment horizontal="center" vertical="center"/>
    </xf>
    <xf numFmtId="0" fontId="40" fillId="22" borderId="3" xfId="0" applyFont="1" applyFill="1" applyBorder="1" applyAlignment="1">
      <alignment horizontal="center" vertical="center" wrapText="1"/>
    </xf>
    <xf numFmtId="0" fontId="0" fillId="0" borderId="3" xfId="0" applyBorder="1" applyAlignment="1"/>
    <xf numFmtId="0" fontId="57" fillId="0" borderId="3" xfId="0" applyFont="1" applyBorder="1" applyAlignment="1"/>
    <xf numFmtId="15" fontId="57" fillId="0" borderId="3" xfId="0" applyNumberFormat="1" applyFont="1" applyBorder="1" applyAlignment="1"/>
    <xf numFmtId="0" fontId="55" fillId="0" borderId="18" xfId="0" applyFont="1" applyBorder="1" applyAlignment="1">
      <alignment horizontal="center" vertical="center"/>
    </xf>
    <xf numFmtId="0" fontId="13" fillId="23" borderId="61" xfId="0" applyFont="1" applyFill="1" applyBorder="1" applyAlignment="1">
      <alignment horizontal="center" vertical="center"/>
    </xf>
    <xf numFmtId="0" fontId="13" fillId="23" borderId="64" xfId="0" applyFont="1" applyFill="1" applyBorder="1" applyAlignment="1">
      <alignment horizontal="center" vertical="center"/>
    </xf>
    <xf numFmtId="0" fontId="13" fillId="23" borderId="62" xfId="0" applyFont="1" applyFill="1" applyBorder="1" applyAlignment="1">
      <alignment horizontal="center" vertical="center"/>
    </xf>
    <xf numFmtId="0" fontId="0" fillId="23" borderId="7" xfId="0" applyFill="1" applyBorder="1">
      <alignment vertical="center"/>
    </xf>
    <xf numFmtId="0" fontId="0" fillId="23" borderId="2" xfId="0" applyFill="1" applyBorder="1" applyAlignment="1">
      <alignment horizontal="left" vertical="center"/>
    </xf>
    <xf numFmtId="0" fontId="0" fillId="23" borderId="15" xfId="0" applyFill="1" applyBorder="1" applyAlignment="1">
      <alignment horizontal="left" vertical="center"/>
    </xf>
    <xf numFmtId="0" fontId="0" fillId="23" borderId="17" xfId="0" applyFill="1" applyBorder="1" applyAlignment="1">
      <alignment horizontal="left" vertical="center"/>
    </xf>
    <xf numFmtId="0" fontId="0" fillId="23" borderId="98" xfId="0" applyFill="1" applyBorder="1">
      <alignment vertical="center"/>
    </xf>
    <xf numFmtId="0" fontId="0" fillId="23" borderId="105" xfId="0" applyFill="1" applyBorder="1" applyAlignment="1">
      <alignment horizontal="left" vertical="center"/>
    </xf>
    <xf numFmtId="0" fontId="0" fillId="23" borderId="113" xfId="0" applyFill="1" applyBorder="1" applyAlignment="1">
      <alignment horizontal="left" vertical="center"/>
    </xf>
    <xf numFmtId="0" fontId="0" fillId="23" borderId="107" xfId="0" applyFill="1" applyBorder="1" applyAlignment="1">
      <alignment horizontal="left" vertical="center"/>
    </xf>
  </cellXfs>
  <cellStyles count="9">
    <cellStyle name="Comma" xfId="1" builtinId="3"/>
    <cellStyle name="Currency" xfId="4" builtinId="4"/>
    <cellStyle name="Normal" xfId="0" builtinId="0"/>
    <cellStyle name="Normal 2" xfId="5"/>
    <cellStyle name="Normal 2 4" xfId="7"/>
    <cellStyle name="Normal 3" xfId="8"/>
    <cellStyle name="Normal 3 4" xfId="3"/>
    <cellStyle name="Normal 4" xfId="6"/>
    <cellStyle name="Percent" xfId="2" builtinId="5"/>
  </cellStyles>
  <dxfs count="23">
    <dxf>
      <font>
        <color theme="1"/>
      </font>
      <fill>
        <patternFill>
          <bgColor rgb="FFFFC000"/>
        </patternFill>
      </fill>
    </dxf>
    <dxf>
      <font>
        <color auto="1"/>
      </font>
      <fill>
        <patternFill>
          <bgColor theme="0"/>
        </patternFill>
      </fill>
    </dxf>
    <dxf>
      <fill>
        <patternFill>
          <bgColor theme="0"/>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E1680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971550</xdr:colOff>
      <xdr:row>0</xdr:row>
      <xdr:rowOff>200025</xdr:rowOff>
    </xdr:from>
    <xdr:to>
      <xdr:col>9</xdr:col>
      <xdr:colOff>2628900</xdr:colOff>
      <xdr:row>1</xdr:row>
      <xdr:rowOff>13499</xdr:rowOff>
    </xdr:to>
    <xdr:pic>
      <xdr:nvPicPr>
        <xdr:cNvPr id="3" name="Picture 2" descr="logo"/>
        <xdr:cNvPicPr>
          <a:picLocks noChangeAspect="1" noChangeArrowheads="1"/>
        </xdr:cNvPicPr>
      </xdr:nvPicPr>
      <xdr:blipFill>
        <a:blip xmlns:r="http://schemas.openxmlformats.org/officeDocument/2006/relationships" r:embed="rId1"/>
        <a:srcRect/>
        <a:stretch>
          <a:fillRect/>
        </a:stretch>
      </xdr:blipFill>
      <xdr:spPr bwMode="auto">
        <a:xfrm>
          <a:off x="6457950" y="200025"/>
          <a:ext cx="1657350" cy="7469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0"/>
  <sheetViews>
    <sheetView workbookViewId="0">
      <pane xSplit="5" ySplit="3" topLeftCell="F4" activePane="bottomRight" state="frozen"/>
      <selection pane="topRight" activeCell="E1" sqref="E1"/>
      <selection pane="bottomLeft" activeCell="A4" sqref="A4"/>
      <selection pane="bottomRight" activeCell="D1" sqref="D1"/>
    </sheetView>
  </sheetViews>
  <sheetFormatPr defaultRowHeight="12.75"/>
  <cols>
    <col min="1" max="1" width="15.42578125" customWidth="1"/>
    <col min="2" max="2" width="17.140625" customWidth="1"/>
    <col min="3" max="3" width="18.28515625" customWidth="1"/>
    <col min="4" max="4" width="30.140625" customWidth="1"/>
    <col min="5" max="6" width="16.140625" style="110" customWidth="1"/>
    <col min="7" max="7" width="17.28515625" customWidth="1"/>
    <col min="8" max="8" width="19.7109375" style="60" customWidth="1"/>
    <col min="9" max="11" width="14" customWidth="1"/>
    <col min="12" max="13" width="13.28515625" customWidth="1"/>
    <col min="14" max="15" width="14" customWidth="1"/>
    <col min="16" max="17" width="18" customWidth="1"/>
    <col min="18" max="18" width="18" hidden="1" customWidth="1"/>
    <col min="19" max="19" width="13.140625" hidden="1" customWidth="1"/>
    <col min="20" max="20" width="16.140625" hidden="1" customWidth="1"/>
    <col min="21" max="21" width="13.140625" hidden="1" customWidth="1"/>
    <col min="22" max="23" width="13.140625" customWidth="1"/>
    <col min="24" max="24" width="12.28515625" customWidth="1"/>
    <col min="25" max="25" width="12.140625" customWidth="1"/>
    <col min="26" max="26" width="12.7109375" customWidth="1"/>
    <col min="27" max="27" width="10.85546875" customWidth="1"/>
    <col min="28" max="28" width="11.5703125" customWidth="1"/>
    <col min="29" max="29" width="14.28515625" customWidth="1"/>
    <col min="30" max="30" width="11.28515625" hidden="1" customWidth="1"/>
    <col min="31" max="31" width="10" hidden="1" customWidth="1"/>
    <col min="32" max="32" width="11.5703125" hidden="1" customWidth="1"/>
    <col min="33" max="33" width="11.140625" hidden="1" customWidth="1"/>
  </cols>
  <sheetData>
    <row r="1" spans="1:33" ht="13.5" thickBot="1">
      <c r="B1" s="97" t="s">
        <v>122</v>
      </c>
      <c r="C1" s="97">
        <v>6000</v>
      </c>
      <c r="J1" s="60"/>
    </row>
    <row r="2" spans="1:33" s="68" customFormat="1" ht="24" customHeight="1" thickBot="1">
      <c r="A2" s="358" t="s">
        <v>296</v>
      </c>
      <c r="B2" s="198" t="s">
        <v>159</v>
      </c>
      <c r="C2" s="174">
        <v>5000</v>
      </c>
      <c r="D2" s="305"/>
      <c r="E2" s="306"/>
      <c r="F2" s="306"/>
      <c r="G2" s="305"/>
      <c r="H2" s="932" t="s">
        <v>92</v>
      </c>
      <c r="I2" s="938"/>
      <c r="J2" s="938"/>
      <c r="K2" s="938"/>
      <c r="L2" s="956" t="s">
        <v>100</v>
      </c>
      <c r="M2" s="957"/>
      <c r="N2" s="957"/>
      <c r="O2" s="957"/>
      <c r="P2" s="957"/>
      <c r="Q2" s="958"/>
      <c r="R2" s="943" t="s">
        <v>93</v>
      </c>
      <c r="S2" s="944"/>
      <c r="T2" s="944"/>
      <c r="U2" s="945"/>
      <c r="V2" s="932" t="s">
        <v>98</v>
      </c>
      <c r="W2" s="933"/>
      <c r="X2" s="932" t="s">
        <v>91</v>
      </c>
      <c r="Y2" s="933"/>
      <c r="Z2" s="932" t="s">
        <v>108</v>
      </c>
      <c r="AA2" s="938"/>
      <c r="AB2" s="938"/>
      <c r="AC2" s="933"/>
      <c r="AD2" s="932" t="s">
        <v>107</v>
      </c>
      <c r="AE2" s="938"/>
      <c r="AF2" s="938"/>
      <c r="AG2" s="933"/>
    </row>
    <row r="3" spans="1:33" ht="78" customHeight="1" thickBot="1">
      <c r="A3" s="69" t="s">
        <v>177</v>
      </c>
      <c r="B3" s="69" t="s">
        <v>176</v>
      </c>
      <c r="C3" s="69" t="s">
        <v>94</v>
      </c>
      <c r="D3" s="66" t="s">
        <v>73</v>
      </c>
      <c r="E3" s="106" t="s">
        <v>99</v>
      </c>
      <c r="F3" s="106" t="s">
        <v>174</v>
      </c>
      <c r="G3" s="106" t="s">
        <v>173</v>
      </c>
      <c r="H3" s="67" t="s">
        <v>81</v>
      </c>
      <c r="I3" s="66" t="s">
        <v>80</v>
      </c>
      <c r="J3" s="66" t="s">
        <v>175</v>
      </c>
      <c r="K3" s="66" t="s">
        <v>79</v>
      </c>
      <c r="L3" s="69" t="s">
        <v>534</v>
      </c>
      <c r="M3" s="69" t="s">
        <v>535</v>
      </c>
      <c r="N3" s="69" t="s">
        <v>116</v>
      </c>
      <c r="O3" s="69" t="s">
        <v>117</v>
      </c>
      <c r="P3" s="72" t="s">
        <v>82</v>
      </c>
      <c r="Q3" s="72" t="s">
        <v>95</v>
      </c>
      <c r="R3" s="111" t="s">
        <v>83</v>
      </c>
      <c r="S3" s="112" t="s">
        <v>84</v>
      </c>
      <c r="T3" s="112" t="s">
        <v>74</v>
      </c>
      <c r="U3" s="113" t="s">
        <v>95</v>
      </c>
      <c r="V3" s="109" t="s">
        <v>101</v>
      </c>
      <c r="W3" s="106" t="s">
        <v>102</v>
      </c>
      <c r="X3" s="86" t="s">
        <v>85</v>
      </c>
      <c r="Y3" s="66" t="s">
        <v>86</v>
      </c>
      <c r="Z3" s="66" t="s">
        <v>87</v>
      </c>
      <c r="AA3" s="66" t="s">
        <v>88</v>
      </c>
      <c r="AB3" s="72" t="s">
        <v>89</v>
      </c>
      <c r="AC3" s="174" t="s">
        <v>90</v>
      </c>
      <c r="AD3" s="107" t="s">
        <v>103</v>
      </c>
      <c r="AE3" s="108" t="s">
        <v>104</v>
      </c>
      <c r="AF3" s="108" t="s">
        <v>106</v>
      </c>
      <c r="AG3" s="106" t="s">
        <v>105</v>
      </c>
    </row>
    <row r="4" spans="1:33" ht="13.5" thickBot="1">
      <c r="A4" s="918" t="s">
        <v>312</v>
      </c>
      <c r="B4" s="918" t="s">
        <v>119</v>
      </c>
      <c r="C4" s="950" t="s">
        <v>29</v>
      </c>
      <c r="D4" s="199" t="s">
        <v>75</v>
      </c>
      <c r="E4" s="179">
        <v>1</v>
      </c>
      <c r="F4" s="179" t="s">
        <v>167</v>
      </c>
      <c r="G4" s="200" t="s">
        <v>167</v>
      </c>
      <c r="H4" s="948">
        <v>9465600</v>
      </c>
      <c r="I4" s="948">
        <v>8249760</v>
      </c>
      <c r="J4" s="948">
        <f>H4-I4</f>
        <v>1215840</v>
      </c>
      <c r="K4" s="961">
        <f>+I4/H4</f>
        <v>0.87155172413793103</v>
      </c>
      <c r="L4" s="142">
        <v>42529</v>
      </c>
      <c r="M4" s="872">
        <v>42602</v>
      </c>
      <c r="N4" s="144">
        <f>86+22+12</f>
        <v>120</v>
      </c>
      <c r="O4" s="145">
        <v>86</v>
      </c>
      <c r="P4" s="964">
        <f>88.5+167+241.97+34+25.31+15.75+20.38+14.75+10.75+19.63</f>
        <v>638.04</v>
      </c>
      <c r="Q4" s="926">
        <f>+P4/(N4+N5+N6+N7)</f>
        <v>1.3870434782608694</v>
      </c>
      <c r="R4" s="73">
        <v>42608</v>
      </c>
      <c r="S4" s="74">
        <f>16+22+12</f>
        <v>50</v>
      </c>
      <c r="T4" s="959">
        <f>241.97+34+15.75+20.38</f>
        <v>312.10000000000002</v>
      </c>
      <c r="U4" s="934">
        <f>+T4/(S4+S5+S6+S7)</f>
        <v>1.4721698113207549</v>
      </c>
      <c r="V4" s="74">
        <f t="shared" ref="V4:V17" si="0">+N4*$C$1</f>
        <v>720000</v>
      </c>
      <c r="W4" s="924">
        <f>+P4*C1</f>
        <v>3828240</v>
      </c>
      <c r="X4" s="941">
        <v>10000</v>
      </c>
      <c r="Y4" s="939">
        <v>6670</v>
      </c>
      <c r="Z4" s="923">
        <f>+H4-(V4+V5+V6+V7+X4)</f>
        <v>6695600</v>
      </c>
      <c r="AA4" s="923">
        <f>+H4-(W4+Y4)</f>
        <v>5630690</v>
      </c>
      <c r="AB4" s="937">
        <f>+Z4/H4</f>
        <v>0.70736139283299526</v>
      </c>
      <c r="AC4" s="921">
        <f>+AA4/H4</f>
        <v>0.59485822346179851</v>
      </c>
      <c r="AD4" s="924">
        <f>+Z4/(N4+N5+N6+N7)</f>
        <v>14555.652173913044</v>
      </c>
      <c r="AE4" s="930">
        <f>+AD4/60</f>
        <v>242.59420289855072</v>
      </c>
      <c r="AF4" s="924">
        <f>+AA4/P4</f>
        <v>8824.9796251018743</v>
      </c>
      <c r="AG4" s="930">
        <f>+AF4/60</f>
        <v>147.0829937516979</v>
      </c>
    </row>
    <row r="5" spans="1:33" ht="13.5" thickBot="1">
      <c r="A5" s="919"/>
      <c r="B5" s="919"/>
      <c r="C5" s="951"/>
      <c r="D5" s="70" t="s">
        <v>76</v>
      </c>
      <c r="E5" s="140">
        <v>0.95</v>
      </c>
      <c r="F5" s="140" t="s">
        <v>185</v>
      </c>
      <c r="G5" s="141">
        <v>43190</v>
      </c>
      <c r="H5" s="876"/>
      <c r="I5" s="876"/>
      <c r="J5" s="876"/>
      <c r="K5" s="962"/>
      <c r="L5" s="146">
        <v>42566</v>
      </c>
      <c r="M5" s="872"/>
      <c r="N5" s="147">
        <f>144+7</f>
        <v>151</v>
      </c>
      <c r="O5" s="143">
        <v>144</v>
      </c>
      <c r="P5" s="965"/>
      <c r="Q5" s="927"/>
      <c r="R5" s="65">
        <v>42608</v>
      </c>
      <c r="S5" s="63">
        <f>123+7</f>
        <v>130</v>
      </c>
      <c r="T5" s="959"/>
      <c r="U5" s="935"/>
      <c r="V5" s="64">
        <f t="shared" si="0"/>
        <v>906000</v>
      </c>
      <c r="W5" s="924"/>
      <c r="X5" s="897"/>
      <c r="Y5" s="894"/>
      <c r="Z5" s="924"/>
      <c r="AA5" s="924"/>
      <c r="AB5" s="921"/>
      <c r="AC5" s="921"/>
      <c r="AD5" s="924"/>
      <c r="AE5" s="930"/>
      <c r="AF5" s="924"/>
      <c r="AG5" s="930"/>
    </row>
    <row r="6" spans="1:33" ht="13.5" thickBot="1">
      <c r="A6" s="919"/>
      <c r="B6" s="919"/>
      <c r="C6" s="952"/>
      <c r="D6" s="199" t="s">
        <v>96</v>
      </c>
      <c r="E6" s="179">
        <v>1</v>
      </c>
      <c r="F6" s="179" t="s">
        <v>167</v>
      </c>
      <c r="G6" s="200" t="s">
        <v>167</v>
      </c>
      <c r="H6" s="876"/>
      <c r="I6" s="876"/>
      <c r="J6" s="876"/>
      <c r="K6" s="962"/>
      <c r="L6" s="146">
        <v>42534</v>
      </c>
      <c r="M6" s="872">
        <v>42602</v>
      </c>
      <c r="N6" s="147">
        <v>165</v>
      </c>
      <c r="O6" s="143">
        <v>165</v>
      </c>
      <c r="P6" s="965"/>
      <c r="Q6" s="927"/>
      <c r="R6" s="65">
        <v>42608</v>
      </c>
      <c r="S6" s="63">
        <v>24</v>
      </c>
      <c r="T6" s="959"/>
      <c r="U6" s="935"/>
      <c r="V6" s="64">
        <f t="shared" si="0"/>
        <v>990000</v>
      </c>
      <c r="W6" s="924"/>
      <c r="X6" s="897"/>
      <c r="Y6" s="894"/>
      <c r="Z6" s="924"/>
      <c r="AA6" s="924"/>
      <c r="AB6" s="921"/>
      <c r="AC6" s="921"/>
      <c r="AD6" s="924"/>
      <c r="AE6" s="930"/>
      <c r="AF6" s="924"/>
      <c r="AG6" s="930"/>
    </row>
    <row r="7" spans="1:33" ht="13.5" thickBot="1">
      <c r="A7" s="919"/>
      <c r="B7" s="919"/>
      <c r="C7" s="953"/>
      <c r="D7" s="199" t="s">
        <v>97</v>
      </c>
      <c r="E7" s="179">
        <v>1</v>
      </c>
      <c r="F7" s="179" t="s">
        <v>167</v>
      </c>
      <c r="G7" s="200" t="s">
        <v>167</v>
      </c>
      <c r="H7" s="949"/>
      <c r="I7" s="949"/>
      <c r="J7" s="949"/>
      <c r="K7" s="963"/>
      <c r="L7" s="146">
        <v>42606</v>
      </c>
      <c r="M7" s="872">
        <v>42668</v>
      </c>
      <c r="N7" s="147">
        <v>24</v>
      </c>
      <c r="O7" s="143">
        <v>24</v>
      </c>
      <c r="P7" s="966"/>
      <c r="Q7" s="928"/>
      <c r="R7" s="65">
        <v>42608</v>
      </c>
      <c r="S7" s="63">
        <v>8</v>
      </c>
      <c r="T7" s="960"/>
      <c r="U7" s="936"/>
      <c r="V7" s="64">
        <f t="shared" si="0"/>
        <v>144000</v>
      </c>
      <c r="W7" s="925"/>
      <c r="X7" s="942"/>
      <c r="Y7" s="940"/>
      <c r="Z7" s="925"/>
      <c r="AA7" s="925"/>
      <c r="AB7" s="922"/>
      <c r="AC7" s="922"/>
      <c r="AD7" s="925"/>
      <c r="AE7" s="931"/>
      <c r="AF7" s="925"/>
      <c r="AG7" s="931"/>
    </row>
    <row r="8" spans="1:33" ht="13.5" thickBot="1">
      <c r="A8" s="919"/>
      <c r="B8" s="919"/>
      <c r="C8" s="298" t="s">
        <v>30</v>
      </c>
      <c r="D8" s="70" t="s">
        <v>77</v>
      </c>
      <c r="E8" s="140">
        <v>0.95</v>
      </c>
      <c r="F8" s="140" t="s">
        <v>185</v>
      </c>
      <c r="G8" s="141">
        <v>43174</v>
      </c>
      <c r="H8" s="61">
        <v>1496000</v>
      </c>
      <c r="I8" s="61">
        <v>1196800</v>
      </c>
      <c r="J8" s="61">
        <f t="shared" ref="J8:J26" si="1">+H8-I8</f>
        <v>299200</v>
      </c>
      <c r="K8" s="135">
        <f>+I8/H8</f>
        <v>0.8</v>
      </c>
      <c r="L8" s="146">
        <v>42573</v>
      </c>
      <c r="M8" s="872"/>
      <c r="N8" s="148">
        <f>57+3</f>
        <v>60</v>
      </c>
      <c r="O8" s="149">
        <v>57</v>
      </c>
      <c r="P8" s="150">
        <v>120</v>
      </c>
      <c r="Q8" s="151">
        <f>+P8/N8</f>
        <v>2</v>
      </c>
      <c r="R8" s="65">
        <v>42608</v>
      </c>
      <c r="S8" s="62">
        <f>33+3</f>
        <v>36</v>
      </c>
      <c r="T8" s="61">
        <f>34.13+0.13</f>
        <v>34.260000000000005</v>
      </c>
      <c r="U8" s="85">
        <f>+T8/S8</f>
        <v>0.95166666666666677</v>
      </c>
      <c r="V8" s="64">
        <f t="shared" si="0"/>
        <v>360000</v>
      </c>
      <c r="W8" s="62">
        <f t="shared" ref="W8:W17" si="2">+P8*$C$1</f>
        <v>720000</v>
      </c>
      <c r="X8" s="61">
        <v>5000</v>
      </c>
      <c r="Y8" s="192">
        <v>1612</v>
      </c>
      <c r="Z8" s="62">
        <f t="shared" ref="Z8:Z17" si="3">+H8-(V8+X8)</f>
        <v>1131000</v>
      </c>
      <c r="AA8" s="75">
        <f t="shared" ref="AA8:AA17" si="4">+H8-(W8+Y8)</f>
        <v>774388</v>
      </c>
      <c r="AB8" s="85">
        <f t="shared" ref="AB8:AB17" si="5">+Z8/H8</f>
        <v>0.75601604278074863</v>
      </c>
      <c r="AC8" s="85">
        <f t="shared" ref="AC8:AC17" si="6">+AA8/H8</f>
        <v>0.51763903743315509</v>
      </c>
      <c r="AD8" s="75">
        <f>+Z8/N8</f>
        <v>18850</v>
      </c>
      <c r="AE8" s="88">
        <f>+AD8/60</f>
        <v>314.16666666666669</v>
      </c>
      <c r="AF8" s="75">
        <f>+AA8/N8</f>
        <v>12906.466666666667</v>
      </c>
      <c r="AG8" s="88">
        <f>+AF8/60</f>
        <v>215.10777777777778</v>
      </c>
    </row>
    <row r="9" spans="1:33" ht="13.5" thickBot="1">
      <c r="A9" s="919"/>
      <c r="B9" s="919"/>
      <c r="C9" s="445" t="s">
        <v>124</v>
      </c>
      <c r="D9" s="201" t="s">
        <v>125</v>
      </c>
      <c r="E9" s="375">
        <v>0.85</v>
      </c>
      <c r="F9" s="375" t="s">
        <v>52</v>
      </c>
      <c r="G9" s="378" t="s">
        <v>168</v>
      </c>
      <c r="H9" s="381">
        <v>3372030</v>
      </c>
      <c r="I9" s="381">
        <v>1686015</v>
      </c>
      <c r="J9" s="381">
        <f t="shared" si="1"/>
        <v>1686015</v>
      </c>
      <c r="K9" s="446">
        <f t="shared" ref="K9:K13" si="7">+I9/H9</f>
        <v>0.5</v>
      </c>
      <c r="L9" s="146">
        <v>42709</v>
      </c>
      <c r="M9" s="146"/>
      <c r="N9" s="152">
        <v>131</v>
      </c>
      <c r="O9" s="153"/>
      <c r="P9" s="154">
        <f>10.69+18.81</f>
        <v>29.5</v>
      </c>
      <c r="Q9" s="151">
        <f t="shared" ref="Q9:Q16" si="8">+P9/N9</f>
        <v>0.22519083969465647</v>
      </c>
      <c r="R9" s="87"/>
      <c r="S9" s="61"/>
      <c r="T9" s="115"/>
      <c r="U9" s="115"/>
      <c r="V9" s="63">
        <f t="shared" si="0"/>
        <v>786000</v>
      </c>
      <c r="W9" s="116">
        <f t="shared" si="2"/>
        <v>177000</v>
      </c>
      <c r="X9" s="61">
        <v>20000</v>
      </c>
      <c r="Y9" s="193">
        <v>0</v>
      </c>
      <c r="Z9" s="120">
        <f t="shared" si="3"/>
        <v>2566030</v>
      </c>
      <c r="AA9" s="116">
        <f t="shared" si="4"/>
        <v>3195030</v>
      </c>
      <c r="AB9" s="104">
        <f t="shared" si="5"/>
        <v>0.76097484304706664</v>
      </c>
      <c r="AC9" s="104">
        <f t="shared" si="6"/>
        <v>0.94750936379569572</v>
      </c>
      <c r="AD9" s="89">
        <f>+Z9/N9</f>
        <v>19588.015267175571</v>
      </c>
      <c r="AE9" s="88">
        <f>+AD9/60</f>
        <v>326.46692111959288</v>
      </c>
      <c r="AF9" s="89">
        <f>+AA9/N9</f>
        <v>24389.541984732823</v>
      </c>
      <c r="AG9" s="88">
        <f>+AF9/60</f>
        <v>406.4923664122137</v>
      </c>
    </row>
    <row r="10" spans="1:33" ht="13.5" thickBot="1">
      <c r="A10" s="919"/>
      <c r="B10" s="919"/>
      <c r="C10" s="71" t="s">
        <v>148</v>
      </c>
      <c r="D10" s="99" t="s">
        <v>126</v>
      </c>
      <c r="E10" s="140">
        <v>0.95</v>
      </c>
      <c r="F10" s="140" t="s">
        <v>185</v>
      </c>
      <c r="G10" s="141">
        <v>43190</v>
      </c>
      <c r="H10" s="61">
        <v>2976735</v>
      </c>
      <c r="I10" s="61">
        <v>2083715</v>
      </c>
      <c r="J10" s="61">
        <f t="shared" si="1"/>
        <v>893020</v>
      </c>
      <c r="K10" s="135">
        <f t="shared" si="7"/>
        <v>0.70000016796926834</v>
      </c>
      <c r="L10" s="146">
        <v>42751</v>
      </c>
      <c r="M10" s="146"/>
      <c r="N10" s="152">
        <v>86</v>
      </c>
      <c r="O10" s="153"/>
      <c r="P10" s="154"/>
      <c r="Q10" s="151">
        <f>+P10/N10</f>
        <v>0</v>
      </c>
      <c r="R10" s="87"/>
      <c r="S10" s="61"/>
      <c r="T10" s="115"/>
      <c r="U10" s="115"/>
      <c r="V10" s="63">
        <f t="shared" si="0"/>
        <v>516000</v>
      </c>
      <c r="W10" s="116">
        <f t="shared" si="2"/>
        <v>0</v>
      </c>
      <c r="X10" s="61">
        <v>0</v>
      </c>
      <c r="Y10" s="194">
        <v>7196</v>
      </c>
      <c r="Z10" s="131">
        <f t="shared" si="3"/>
        <v>2460735</v>
      </c>
      <c r="AA10" s="119">
        <f t="shared" si="4"/>
        <v>2969539</v>
      </c>
      <c r="AB10" s="104">
        <f t="shared" si="5"/>
        <v>0.82665571507037072</v>
      </c>
      <c r="AC10" s="104">
        <f t="shared" si="6"/>
        <v>0.9975825862900124</v>
      </c>
      <c r="AD10" s="118"/>
      <c r="AE10" s="88"/>
      <c r="AF10" s="116"/>
      <c r="AG10" s="92"/>
    </row>
    <row r="11" spans="1:33" ht="13.5" thickBot="1">
      <c r="A11" s="919"/>
      <c r="B11" s="919"/>
      <c r="C11" s="71" t="s">
        <v>129</v>
      </c>
      <c r="D11" s="99" t="s">
        <v>127</v>
      </c>
      <c r="E11" s="140">
        <v>0.9</v>
      </c>
      <c r="F11" s="140" t="s">
        <v>185</v>
      </c>
      <c r="G11" s="141">
        <v>43190</v>
      </c>
      <c r="H11" s="61">
        <v>1895055</v>
      </c>
      <c r="I11" s="61">
        <v>1326539</v>
      </c>
      <c r="J11" s="61">
        <f t="shared" si="1"/>
        <v>568516</v>
      </c>
      <c r="K11" s="135">
        <f t="shared" si="7"/>
        <v>0.70000026384458502</v>
      </c>
      <c r="L11" s="146">
        <v>42751</v>
      </c>
      <c r="M11" s="146"/>
      <c r="N11" s="152">
        <v>112</v>
      </c>
      <c r="O11" s="153"/>
      <c r="P11" s="154"/>
      <c r="Q11" s="151">
        <f t="shared" si="8"/>
        <v>0</v>
      </c>
      <c r="R11" s="87"/>
      <c r="S11" s="61"/>
      <c r="T11" s="115"/>
      <c r="U11" s="115"/>
      <c r="V11" s="63">
        <f t="shared" si="0"/>
        <v>672000</v>
      </c>
      <c r="W11" s="116">
        <f t="shared" si="2"/>
        <v>0</v>
      </c>
      <c r="X11" s="61">
        <v>0</v>
      </c>
      <c r="Y11" s="194">
        <v>0</v>
      </c>
      <c r="Z11" s="131">
        <f t="shared" si="3"/>
        <v>1223055</v>
      </c>
      <c r="AA11" s="119">
        <f t="shared" si="4"/>
        <v>1895055</v>
      </c>
      <c r="AB11" s="104">
        <f t="shared" si="5"/>
        <v>0.6453928777792729</v>
      </c>
      <c r="AC11" s="104">
        <f t="shared" si="6"/>
        <v>1</v>
      </c>
      <c r="AD11" s="118"/>
      <c r="AE11" s="88"/>
      <c r="AF11" s="116"/>
      <c r="AG11" s="92"/>
    </row>
    <row r="12" spans="1:33" ht="13.5" thickBot="1">
      <c r="A12" s="919"/>
      <c r="B12" s="919"/>
      <c r="C12" s="447" t="s">
        <v>131</v>
      </c>
      <c r="D12" s="201" t="s">
        <v>132</v>
      </c>
      <c r="E12" s="375">
        <v>0.75</v>
      </c>
      <c r="F12" s="375" t="s">
        <v>52</v>
      </c>
      <c r="G12" s="378" t="s">
        <v>168</v>
      </c>
      <c r="H12" s="381">
        <v>3880556</v>
      </c>
      <c r="I12" s="381">
        <v>1164167</v>
      </c>
      <c r="J12" s="381">
        <f t="shared" si="1"/>
        <v>2716389</v>
      </c>
      <c r="K12" s="446">
        <f t="shared" si="7"/>
        <v>0.30000005153900627</v>
      </c>
      <c r="L12" s="155">
        <v>42744</v>
      </c>
      <c r="M12" s="155"/>
      <c r="N12" s="156">
        <v>140</v>
      </c>
      <c r="O12" s="157"/>
      <c r="P12" s="158"/>
      <c r="Q12" s="151">
        <f>+P12/N12</f>
        <v>0</v>
      </c>
      <c r="R12" s="126"/>
      <c r="S12" s="100"/>
      <c r="T12" s="127"/>
      <c r="U12" s="127"/>
      <c r="V12" s="63">
        <f t="shared" si="0"/>
        <v>840000</v>
      </c>
      <c r="W12" s="116">
        <f t="shared" si="2"/>
        <v>0</v>
      </c>
      <c r="X12" s="61"/>
      <c r="Y12" s="194">
        <v>0</v>
      </c>
      <c r="Z12" s="131">
        <f t="shared" si="3"/>
        <v>3040556</v>
      </c>
      <c r="AA12" s="118">
        <f t="shared" si="4"/>
        <v>3880556</v>
      </c>
      <c r="AB12" s="91">
        <f t="shared" si="5"/>
        <v>0.78353617368232797</v>
      </c>
      <c r="AC12" s="104">
        <f t="shared" si="6"/>
        <v>1</v>
      </c>
      <c r="AD12" s="118"/>
      <c r="AE12" s="88"/>
      <c r="AF12" s="114"/>
      <c r="AG12" s="92"/>
    </row>
    <row r="13" spans="1:33" ht="13.5" thickBot="1">
      <c r="A13" s="919"/>
      <c r="B13" s="919"/>
      <c r="C13" s="98" t="s">
        <v>133</v>
      </c>
      <c r="D13" s="99" t="s">
        <v>158</v>
      </c>
      <c r="E13" s="140">
        <v>0.9</v>
      </c>
      <c r="F13" s="140" t="s">
        <v>52</v>
      </c>
      <c r="G13" s="141" t="s">
        <v>169</v>
      </c>
      <c r="H13" s="100">
        <v>6120000</v>
      </c>
      <c r="I13" s="100">
        <v>4080000</v>
      </c>
      <c r="J13" s="61">
        <f t="shared" si="1"/>
        <v>2040000</v>
      </c>
      <c r="K13" s="135">
        <f t="shared" si="7"/>
        <v>0.66666666666666663</v>
      </c>
      <c r="L13" s="155">
        <v>42850</v>
      </c>
      <c r="M13" s="155"/>
      <c r="N13" s="156">
        <v>133</v>
      </c>
      <c r="O13" s="157"/>
      <c r="P13" s="158"/>
      <c r="Q13" s="159">
        <f t="shared" si="8"/>
        <v>0</v>
      </c>
      <c r="R13" s="126"/>
      <c r="S13" s="100"/>
      <c r="T13" s="132"/>
      <c r="U13" s="133"/>
      <c r="V13" s="63">
        <f t="shared" si="0"/>
        <v>798000</v>
      </c>
      <c r="W13" s="120">
        <f t="shared" si="2"/>
        <v>0</v>
      </c>
      <c r="X13" s="61">
        <v>15000</v>
      </c>
      <c r="Y13" s="194">
        <v>0</v>
      </c>
      <c r="Z13" s="121">
        <f t="shared" si="3"/>
        <v>5307000</v>
      </c>
      <c r="AA13" s="93">
        <f t="shared" si="4"/>
        <v>6120000</v>
      </c>
      <c r="AB13" s="134">
        <f t="shared" si="5"/>
        <v>0.86715686274509807</v>
      </c>
      <c r="AC13" s="104">
        <f t="shared" si="6"/>
        <v>1</v>
      </c>
      <c r="AD13" s="118"/>
      <c r="AE13" s="88"/>
      <c r="AF13" s="116"/>
      <c r="AG13" s="92"/>
    </row>
    <row r="14" spans="1:33" ht="13.5" thickBot="1">
      <c r="A14" s="919"/>
      <c r="B14" s="919"/>
      <c r="C14" s="447" t="s">
        <v>130</v>
      </c>
      <c r="D14" s="201" t="s">
        <v>128</v>
      </c>
      <c r="E14" s="375">
        <v>0.7</v>
      </c>
      <c r="F14" s="375" t="s">
        <v>52</v>
      </c>
      <c r="G14" s="378" t="s">
        <v>168</v>
      </c>
      <c r="H14" s="381">
        <v>4447200</v>
      </c>
      <c r="I14" s="381">
        <v>3113040</v>
      </c>
      <c r="J14" s="381">
        <f t="shared" si="1"/>
        <v>1334160</v>
      </c>
      <c r="K14" s="446">
        <f>+I14/H14</f>
        <v>0.7</v>
      </c>
      <c r="L14" s="155">
        <v>42849</v>
      </c>
      <c r="M14" s="155"/>
      <c r="N14" s="156">
        <v>196</v>
      </c>
      <c r="O14" s="157"/>
      <c r="P14" s="158"/>
      <c r="Q14" s="160">
        <f t="shared" si="8"/>
        <v>0</v>
      </c>
      <c r="R14" s="126"/>
      <c r="S14" s="100"/>
      <c r="T14" s="132"/>
      <c r="U14" s="133"/>
      <c r="V14" s="63">
        <f t="shared" si="0"/>
        <v>1176000</v>
      </c>
      <c r="W14" s="131">
        <f t="shared" si="2"/>
        <v>0</v>
      </c>
      <c r="X14" s="169">
        <v>67800</v>
      </c>
      <c r="Y14" s="194">
        <v>20785</v>
      </c>
      <c r="Z14" s="121">
        <f t="shared" si="3"/>
        <v>3203400</v>
      </c>
      <c r="AA14" s="170">
        <f t="shared" si="4"/>
        <v>4426415</v>
      </c>
      <c r="AB14" s="171">
        <f t="shared" si="5"/>
        <v>0.72031840259039392</v>
      </c>
      <c r="AC14" s="104">
        <f t="shared" si="6"/>
        <v>0.99532627271091922</v>
      </c>
      <c r="AD14" s="118">
        <f>+Z10/N10</f>
        <v>28613.197674418603</v>
      </c>
      <c r="AE14" s="88">
        <f>+AD14/60</f>
        <v>476.88662790697674</v>
      </c>
      <c r="AF14" s="138">
        <f>+AA10/N10</f>
        <v>34529.523255813954</v>
      </c>
      <c r="AG14" s="92">
        <f>+AF14/60</f>
        <v>575.49205426356593</v>
      </c>
    </row>
    <row r="15" spans="1:33" ht="13.5" thickBot="1">
      <c r="A15" s="919"/>
      <c r="B15" s="919"/>
      <c r="C15" s="297" t="s">
        <v>152</v>
      </c>
      <c r="D15" s="99" t="s">
        <v>149</v>
      </c>
      <c r="E15" s="140">
        <v>0.95</v>
      </c>
      <c r="F15" s="140" t="s">
        <v>185</v>
      </c>
      <c r="G15" s="141">
        <v>43174</v>
      </c>
      <c r="H15" s="100">
        <v>1836000</v>
      </c>
      <c r="I15" s="100">
        <v>1285200</v>
      </c>
      <c r="J15" s="61">
        <f t="shared" si="1"/>
        <v>550800</v>
      </c>
      <c r="K15" s="135">
        <f>+I15/H15</f>
        <v>0.7</v>
      </c>
      <c r="L15" s="155">
        <v>42961</v>
      </c>
      <c r="M15" s="155"/>
      <c r="N15" s="156">
        <v>81</v>
      </c>
      <c r="O15" s="157"/>
      <c r="P15" s="158">
        <v>190</v>
      </c>
      <c r="Q15" s="160">
        <f t="shared" si="8"/>
        <v>2.3456790123456792</v>
      </c>
      <c r="R15" s="126"/>
      <c r="S15" s="100"/>
      <c r="T15" s="132"/>
      <c r="U15" s="133"/>
      <c r="V15" s="63">
        <f t="shared" si="0"/>
        <v>486000</v>
      </c>
      <c r="W15" s="131">
        <f t="shared" si="2"/>
        <v>1140000</v>
      </c>
      <c r="X15" s="169">
        <v>5000</v>
      </c>
      <c r="Y15" s="194">
        <v>0</v>
      </c>
      <c r="Z15" s="121">
        <f t="shared" si="3"/>
        <v>1345000</v>
      </c>
      <c r="AA15" s="170">
        <f t="shared" si="4"/>
        <v>696000</v>
      </c>
      <c r="AB15" s="171">
        <f t="shared" si="5"/>
        <v>0.73257080610021785</v>
      </c>
      <c r="AC15" s="104">
        <f t="shared" si="6"/>
        <v>0.37908496732026142</v>
      </c>
      <c r="AD15" s="118"/>
      <c r="AE15" s="88"/>
      <c r="AF15" s="138"/>
      <c r="AG15" s="92"/>
    </row>
    <row r="16" spans="1:33" ht="13.5" thickBot="1">
      <c r="A16" s="919"/>
      <c r="B16" s="919"/>
      <c r="C16" s="297" t="s">
        <v>154</v>
      </c>
      <c r="D16" s="178" t="s">
        <v>151</v>
      </c>
      <c r="E16" s="179">
        <v>1</v>
      </c>
      <c r="F16" s="179" t="s">
        <v>167</v>
      </c>
      <c r="G16" s="200">
        <v>43159</v>
      </c>
      <c r="H16" s="100">
        <v>1020000</v>
      </c>
      <c r="I16" s="100">
        <v>1020000</v>
      </c>
      <c r="J16" s="61">
        <f t="shared" si="1"/>
        <v>0</v>
      </c>
      <c r="K16" s="135">
        <f>+I16/H16</f>
        <v>1</v>
      </c>
      <c r="L16" s="155">
        <v>42999</v>
      </c>
      <c r="M16" s="155"/>
      <c r="N16" s="156">
        <v>50</v>
      </c>
      <c r="O16" s="157"/>
      <c r="P16" s="158">
        <v>80</v>
      </c>
      <c r="Q16" s="160">
        <f t="shared" si="8"/>
        <v>1.6</v>
      </c>
      <c r="R16" s="126"/>
      <c r="S16" s="100"/>
      <c r="T16" s="132"/>
      <c r="U16" s="133"/>
      <c r="V16" s="63">
        <f t="shared" si="0"/>
        <v>300000</v>
      </c>
      <c r="W16" s="131">
        <f t="shared" si="2"/>
        <v>480000</v>
      </c>
      <c r="X16" s="169">
        <v>5000</v>
      </c>
      <c r="Y16" s="194">
        <v>0</v>
      </c>
      <c r="Z16" s="121">
        <f t="shared" si="3"/>
        <v>715000</v>
      </c>
      <c r="AA16" s="170">
        <f t="shared" si="4"/>
        <v>540000</v>
      </c>
      <c r="AB16" s="171">
        <f t="shared" si="5"/>
        <v>0.7009803921568627</v>
      </c>
      <c r="AC16" s="104">
        <f t="shared" si="6"/>
        <v>0.52941176470588236</v>
      </c>
      <c r="AD16" s="118"/>
      <c r="AE16" s="88"/>
      <c r="AF16" s="139"/>
      <c r="AG16" s="92"/>
    </row>
    <row r="17" spans="1:34" ht="13.5" thickBot="1">
      <c r="A17" s="919"/>
      <c r="B17" s="919"/>
      <c r="C17" s="447" t="s">
        <v>153</v>
      </c>
      <c r="D17" s="201" t="s">
        <v>150</v>
      </c>
      <c r="E17" s="375">
        <v>0.3</v>
      </c>
      <c r="F17" s="375" t="s">
        <v>52</v>
      </c>
      <c r="G17" s="378" t="s">
        <v>168</v>
      </c>
      <c r="H17" s="381">
        <v>3570000</v>
      </c>
      <c r="I17" s="381">
        <v>1071000</v>
      </c>
      <c r="J17" s="381">
        <f t="shared" ref="J17" si="9">+H17-I17</f>
        <v>2499000</v>
      </c>
      <c r="K17" s="446">
        <f>+I17/H17</f>
        <v>0.3</v>
      </c>
      <c r="L17" s="155">
        <v>43005</v>
      </c>
      <c r="M17" s="155"/>
      <c r="N17" s="156">
        <v>159</v>
      </c>
      <c r="O17" s="157"/>
      <c r="P17" s="158"/>
      <c r="Q17" s="160">
        <f t="shared" ref="Q17" si="10">+P17/N17</f>
        <v>0</v>
      </c>
      <c r="R17" s="126"/>
      <c r="S17" s="100"/>
      <c r="T17" s="132"/>
      <c r="U17" s="133"/>
      <c r="V17" s="63">
        <f t="shared" si="0"/>
        <v>954000</v>
      </c>
      <c r="W17" s="131">
        <f t="shared" si="2"/>
        <v>0</v>
      </c>
      <c r="X17" s="169">
        <v>5000</v>
      </c>
      <c r="Y17" s="194">
        <v>0</v>
      </c>
      <c r="Z17" s="274">
        <f t="shared" si="3"/>
        <v>2611000</v>
      </c>
      <c r="AA17" s="275">
        <f t="shared" si="4"/>
        <v>3570000</v>
      </c>
      <c r="AB17" s="171">
        <f t="shared" si="5"/>
        <v>0.7313725490196078</v>
      </c>
      <c r="AC17" s="104">
        <f t="shared" si="6"/>
        <v>1</v>
      </c>
      <c r="AD17" s="118"/>
      <c r="AE17" s="88"/>
      <c r="AF17" s="273"/>
      <c r="AG17" s="92"/>
    </row>
    <row r="18" spans="1:34" ht="13.5" thickBot="1">
      <c r="A18" s="919"/>
      <c r="B18" s="919"/>
      <c r="C18" s="540" t="s">
        <v>252</v>
      </c>
      <c r="D18" s="373" t="s">
        <v>251</v>
      </c>
      <c r="E18" s="606"/>
      <c r="F18" s="606"/>
      <c r="G18" s="607"/>
      <c r="H18" s="608"/>
      <c r="I18" s="608"/>
      <c r="J18" s="608"/>
      <c r="K18" s="382"/>
      <c r="L18" s="188"/>
      <c r="M18" s="188"/>
      <c r="N18" s="156"/>
      <c r="O18" s="157"/>
      <c r="P18" s="609"/>
      <c r="Q18" s="610"/>
      <c r="R18" s="611"/>
      <c r="S18" s="127"/>
      <c r="T18" s="132"/>
      <c r="U18" s="612"/>
      <c r="V18" s="117"/>
      <c r="W18" s="599"/>
      <c r="X18" s="613"/>
      <c r="Y18" s="194"/>
      <c r="Z18" s="433"/>
      <c r="AA18" s="601"/>
      <c r="AB18" s="598"/>
      <c r="AC18" s="597"/>
      <c r="AD18" s="118"/>
      <c r="AE18" s="92"/>
      <c r="AF18" s="595"/>
      <c r="AG18" s="92"/>
    </row>
    <row r="19" spans="1:34" s="642" customFormat="1" ht="13.5" thickBot="1">
      <c r="A19" s="621"/>
      <c r="B19" s="622"/>
      <c r="C19" s="623"/>
      <c r="D19" s="873" t="s">
        <v>303</v>
      </c>
      <c r="E19" s="874"/>
      <c r="F19" s="874"/>
      <c r="G19" s="929"/>
      <c r="H19" s="624">
        <f>SUM(H4:H17)</f>
        <v>40079176</v>
      </c>
      <c r="I19" s="624">
        <f t="shared" ref="I19:J19" si="11">SUM(I4:I17)</f>
        <v>26276236</v>
      </c>
      <c r="J19" s="624">
        <f t="shared" si="11"/>
        <v>13802940</v>
      </c>
      <c r="K19" s="625"/>
      <c r="L19" s="626"/>
      <c r="M19" s="626"/>
      <c r="N19" s="627"/>
      <c r="O19" s="627"/>
      <c r="P19" s="628"/>
      <c r="Q19" s="629"/>
      <c r="R19" s="630"/>
      <c r="S19" s="631"/>
      <c r="T19" s="627"/>
      <c r="U19" s="632"/>
      <c r="V19" s="633"/>
      <c r="W19" s="634"/>
      <c r="X19" s="635"/>
      <c r="Y19" s="627"/>
      <c r="Z19" s="636"/>
      <c r="AA19" s="635"/>
      <c r="AB19" s="637"/>
      <c r="AC19" s="638"/>
      <c r="AD19" s="635"/>
      <c r="AE19" s="639"/>
      <c r="AF19" s="640"/>
      <c r="AG19" s="641"/>
    </row>
    <row r="20" spans="1:34" s="103" customFormat="1" ht="13.5" thickBot="1">
      <c r="A20" s="920" t="s">
        <v>299</v>
      </c>
      <c r="B20" s="614" t="s">
        <v>156</v>
      </c>
      <c r="C20" s="519" t="s">
        <v>144</v>
      </c>
      <c r="D20" s="228" t="s">
        <v>139</v>
      </c>
      <c r="E20" s="615">
        <v>1</v>
      </c>
      <c r="F20" s="615" t="s">
        <v>167</v>
      </c>
      <c r="G20" s="616">
        <v>43045</v>
      </c>
      <c r="H20" s="102">
        <v>1186800</v>
      </c>
      <c r="I20" s="102">
        <v>1186800</v>
      </c>
      <c r="J20" s="595">
        <f t="shared" ref="J20:J21" si="12">+H20-I20</f>
        <v>0</v>
      </c>
      <c r="K20" s="604">
        <f t="shared" ref="K20" si="13">+I20/H20</f>
        <v>1</v>
      </c>
      <c r="L20" s="314">
        <v>42780</v>
      </c>
      <c r="M20" s="314">
        <v>43045</v>
      </c>
      <c r="N20" s="617">
        <v>52</v>
      </c>
      <c r="O20" s="304"/>
      <c r="P20" s="168"/>
      <c r="Q20" s="618">
        <f t="shared" ref="Q20:Q21" si="14">+P20/N20</f>
        <v>0</v>
      </c>
      <c r="R20" s="181"/>
      <c r="S20" s="102"/>
      <c r="T20" s="102"/>
      <c r="U20" s="101"/>
      <c r="V20" s="603">
        <f t="shared" ref="V20:V21" si="15">+N20*$C$1</f>
        <v>312000</v>
      </c>
      <c r="W20" s="600">
        <f t="shared" ref="W20:W21" si="16">+P20*$C$1</f>
        <v>0</v>
      </c>
      <c r="X20" s="102">
        <v>63966</v>
      </c>
      <c r="Y20" s="192">
        <v>73813</v>
      </c>
      <c r="Z20" s="602">
        <f>+H20-(V20+X20)</f>
        <v>810834</v>
      </c>
      <c r="AA20" s="596">
        <f>+H20-(W20+Y20)</f>
        <v>1112987</v>
      </c>
      <c r="AB20" s="171">
        <f>+Z20/H20</f>
        <v>0.68321031344792715</v>
      </c>
      <c r="AC20" s="104">
        <f>+AA20/H20</f>
        <v>0.9378050219076508</v>
      </c>
      <c r="AD20" s="602"/>
      <c r="AE20" s="619"/>
      <c r="AF20" s="596"/>
      <c r="AG20" s="620"/>
    </row>
    <row r="21" spans="1:34" s="103" customFormat="1" ht="13.5" thickBot="1">
      <c r="A21" s="914"/>
      <c r="B21" s="370" t="s">
        <v>156</v>
      </c>
      <c r="C21" s="519" t="s">
        <v>145</v>
      </c>
      <c r="D21" s="99" t="s">
        <v>141</v>
      </c>
      <c r="E21" s="140">
        <v>1</v>
      </c>
      <c r="F21" s="140" t="s">
        <v>167</v>
      </c>
      <c r="G21" s="141">
        <v>43084</v>
      </c>
      <c r="H21" s="100">
        <v>968760</v>
      </c>
      <c r="I21" s="100">
        <v>968760</v>
      </c>
      <c r="J21" s="514">
        <f t="shared" si="12"/>
        <v>0</v>
      </c>
      <c r="K21" s="515">
        <f>+I21/H21</f>
        <v>1</v>
      </c>
      <c r="L21" s="161">
        <v>42779</v>
      </c>
      <c r="M21" s="161">
        <v>43084</v>
      </c>
      <c r="N21" s="162">
        <v>51</v>
      </c>
      <c r="O21" s="163"/>
      <c r="P21" s="154"/>
      <c r="Q21" s="160">
        <f t="shared" si="14"/>
        <v>0</v>
      </c>
      <c r="R21" s="105"/>
      <c r="S21" s="100"/>
      <c r="T21" s="100"/>
      <c r="U21" s="101"/>
      <c r="V21" s="117">
        <f t="shared" si="15"/>
        <v>306000</v>
      </c>
      <c r="W21" s="131">
        <f t="shared" si="16"/>
        <v>0</v>
      </c>
      <c r="X21" s="100">
        <v>145300</v>
      </c>
      <c r="Y21" s="195">
        <v>256121</v>
      </c>
      <c r="Z21" s="93">
        <f>+H21-(V21+X21)</f>
        <v>517460</v>
      </c>
      <c r="AA21" s="95">
        <f>+H21-(W21+Y21)</f>
        <v>712639</v>
      </c>
      <c r="AB21" s="134">
        <f>+Z21/H21</f>
        <v>0.53414674429167186</v>
      </c>
      <c r="AC21" s="104">
        <f>+AA21/H21</f>
        <v>0.73561976134439899</v>
      </c>
      <c r="AD21" s="93"/>
      <c r="AE21" s="94"/>
      <c r="AF21" s="95"/>
      <c r="AG21" s="96"/>
    </row>
    <row r="22" spans="1:34" s="103" customFormat="1" ht="13.5" thickBot="1">
      <c r="A22" s="914"/>
      <c r="B22" s="369" t="s">
        <v>156</v>
      </c>
      <c r="C22" s="519" t="s">
        <v>143</v>
      </c>
      <c r="D22" s="99" t="s">
        <v>140</v>
      </c>
      <c r="E22" s="375">
        <v>0.9</v>
      </c>
      <c r="F22" s="376" t="s">
        <v>396</v>
      </c>
      <c r="G22" s="378">
        <v>43119</v>
      </c>
      <c r="H22" s="100">
        <v>1104000</v>
      </c>
      <c r="I22" s="100">
        <f>+H22*70%</f>
        <v>772800</v>
      </c>
      <c r="J22" s="514">
        <f t="shared" ref="J22" si="17">+H22-I22</f>
        <v>331200</v>
      </c>
      <c r="K22" s="515">
        <f t="shared" ref="K22" si="18">+I22/H22</f>
        <v>0.7</v>
      </c>
      <c r="L22" s="161">
        <v>42787</v>
      </c>
      <c r="M22" s="161"/>
      <c r="N22" s="162">
        <v>46</v>
      </c>
      <c r="O22" s="163"/>
      <c r="P22" s="154"/>
      <c r="Q22" s="160">
        <f t="shared" ref="Q22" si="19">+P22/N22</f>
        <v>0</v>
      </c>
      <c r="R22" s="105"/>
      <c r="S22" s="100"/>
      <c r="T22" s="100"/>
      <c r="U22" s="101"/>
      <c r="V22" s="117">
        <f t="shared" ref="V22" si="20">+N22*$C$1</f>
        <v>276000</v>
      </c>
      <c r="W22" s="131">
        <f t="shared" ref="W22" si="21">+P22*$C$1</f>
        <v>0</v>
      </c>
      <c r="X22" s="100">
        <v>184420</v>
      </c>
      <c r="Y22" s="195">
        <v>204020</v>
      </c>
      <c r="Z22" s="93">
        <f>+H22-(V22+X22)</f>
        <v>643580</v>
      </c>
      <c r="AA22" s="95">
        <f>+H22-(W22+Y22)</f>
        <v>899980</v>
      </c>
      <c r="AB22" s="134">
        <f>+Z22/H22</f>
        <v>0.58295289855072463</v>
      </c>
      <c r="AC22" s="104">
        <f>+AA22/H22</f>
        <v>0.81519927536231884</v>
      </c>
      <c r="AD22" s="93"/>
      <c r="AE22" s="94"/>
      <c r="AF22" s="95"/>
      <c r="AG22" s="96"/>
    </row>
    <row r="23" spans="1:34" s="103" customFormat="1" ht="13.5" thickBot="1">
      <c r="A23" s="914"/>
      <c r="B23" s="368" t="s">
        <v>156</v>
      </c>
      <c r="C23" s="519" t="s">
        <v>142</v>
      </c>
      <c r="D23" s="99" t="s">
        <v>138</v>
      </c>
      <c r="E23" s="375">
        <v>0.9</v>
      </c>
      <c r="F23" s="376" t="s">
        <v>396</v>
      </c>
      <c r="G23" s="378">
        <v>43119</v>
      </c>
      <c r="H23" s="100">
        <v>812475</v>
      </c>
      <c r="I23" s="100">
        <v>568733</v>
      </c>
      <c r="J23" s="514">
        <f t="shared" ref="J23" si="22">+H23-I23</f>
        <v>243742</v>
      </c>
      <c r="K23" s="515">
        <f t="shared" ref="K23" si="23">+I23/H23</f>
        <v>0.70000061540355085</v>
      </c>
      <c r="L23" s="161">
        <v>42787</v>
      </c>
      <c r="M23" s="161"/>
      <c r="N23" s="162">
        <v>28</v>
      </c>
      <c r="O23" s="163"/>
      <c r="P23" s="154"/>
      <c r="Q23" s="160">
        <f t="shared" ref="Q23" si="24">+P23/N23</f>
        <v>0</v>
      </c>
      <c r="R23" s="105"/>
      <c r="S23" s="100"/>
      <c r="T23" s="100"/>
      <c r="U23" s="101"/>
      <c r="V23" s="117">
        <f t="shared" ref="V23" si="25">+N23*$C$1</f>
        <v>168000</v>
      </c>
      <c r="W23" s="131">
        <f t="shared" ref="W23" si="26">+P23*$C$1</f>
        <v>0</v>
      </c>
      <c r="X23" s="100">
        <v>5000</v>
      </c>
      <c r="Y23" s="195">
        <v>5000</v>
      </c>
      <c r="Z23" s="93">
        <f>+H23-(V23+X23)</f>
        <v>639475</v>
      </c>
      <c r="AA23" s="95">
        <f>+H23-(W23+Y23)</f>
        <v>807475</v>
      </c>
      <c r="AB23" s="134">
        <f>+Z23/H23</f>
        <v>0.78707037139604297</v>
      </c>
      <c r="AC23" s="104">
        <f>+AA23/H23</f>
        <v>0.99384596449121509</v>
      </c>
      <c r="AD23" s="93"/>
      <c r="AE23" s="94"/>
      <c r="AF23" s="95"/>
      <c r="AG23" s="96"/>
    </row>
    <row r="24" spans="1:34" s="103" customFormat="1" ht="13.5" thickBot="1">
      <c r="A24" s="517"/>
      <c r="B24" s="513"/>
      <c r="C24" s="518"/>
      <c r="D24" s="373"/>
      <c r="E24" s="536"/>
      <c r="F24" s="537"/>
      <c r="G24" s="538"/>
      <c r="H24" s="127">
        <f>SUM(H20:H23)</f>
        <v>4072035</v>
      </c>
      <c r="I24" s="127">
        <f>SUM(I20:I23)</f>
        <v>3497093</v>
      </c>
      <c r="J24" s="127">
        <f>SUM(J20:J23)</f>
        <v>574942</v>
      </c>
      <c r="K24" s="515"/>
      <c r="L24" s="188"/>
      <c r="M24" s="188"/>
      <c r="N24" s="156"/>
      <c r="O24" s="157"/>
      <c r="P24" s="189"/>
      <c r="Q24" s="539"/>
      <c r="R24" s="105"/>
      <c r="S24" s="127"/>
      <c r="T24" s="127"/>
      <c r="U24" s="541"/>
      <c r="V24" s="117"/>
      <c r="W24" s="524"/>
      <c r="X24" s="127"/>
      <c r="Y24" s="193"/>
      <c r="Z24" s="526"/>
      <c r="AA24" s="520"/>
      <c r="AB24" s="533"/>
      <c r="AC24" s="522"/>
      <c r="AD24" s="93"/>
      <c r="AE24" s="94"/>
      <c r="AF24" s="95"/>
      <c r="AG24" s="96"/>
    </row>
    <row r="25" spans="1:34" s="103" customFormat="1" ht="13.5" thickBot="1">
      <c r="A25" s="914"/>
      <c r="B25" s="369" t="s">
        <v>155</v>
      </c>
      <c r="C25" s="916"/>
      <c r="D25" s="205" t="s">
        <v>163</v>
      </c>
      <c r="E25" s="202">
        <v>0.6</v>
      </c>
      <c r="F25" s="206" t="s">
        <v>171</v>
      </c>
      <c r="G25" s="270">
        <v>43166</v>
      </c>
      <c r="H25" s="127">
        <v>780000</v>
      </c>
      <c r="I25" s="127">
        <v>312000</v>
      </c>
      <c r="J25" s="514">
        <f t="shared" si="1"/>
        <v>468000</v>
      </c>
      <c r="K25" s="515">
        <f t="shared" ref="K25:K38" si="27">+I25/H25</f>
        <v>0.4</v>
      </c>
      <c r="L25" s="188">
        <v>42989</v>
      </c>
      <c r="M25" s="188">
        <v>43112</v>
      </c>
      <c r="N25" s="207">
        <v>124</v>
      </c>
      <c r="O25" s="208">
        <v>134</v>
      </c>
      <c r="P25" s="189"/>
      <c r="Q25" s="209">
        <f t="shared" ref="Q25:Q28" si="28">+P25/N25</f>
        <v>0</v>
      </c>
      <c r="R25" s="181"/>
      <c r="S25" s="182"/>
      <c r="T25" s="180"/>
      <c r="U25" s="183"/>
      <c r="V25" s="117">
        <f>+N25*$C$1</f>
        <v>744000</v>
      </c>
      <c r="W25" s="524">
        <f t="shared" ref="W25:W26" si="29">+P25*$C$1</f>
        <v>0</v>
      </c>
      <c r="X25" s="100">
        <v>117667</v>
      </c>
      <c r="Y25" s="193">
        <f>118927/3</f>
        <v>39642.333333333336</v>
      </c>
      <c r="Z25" s="93">
        <f>+H25-(V25+X25)</f>
        <v>-81667</v>
      </c>
      <c r="AA25" s="95">
        <f>+H25-(W25+Y25)</f>
        <v>740357.66666666663</v>
      </c>
      <c r="AB25" s="134">
        <f>+Z25/H25</f>
        <v>-0.10470128205128205</v>
      </c>
      <c r="AC25" s="523">
        <f>+AA25/H25</f>
        <v>0.94917649572649565</v>
      </c>
      <c r="AD25" s="184"/>
      <c r="AE25" s="185"/>
      <c r="AF25" s="186"/>
      <c r="AG25" s="187"/>
    </row>
    <row r="26" spans="1:34" s="103" customFormat="1" ht="13.5" thickBot="1">
      <c r="A26" s="914"/>
      <c r="B26" s="369" t="s">
        <v>155</v>
      </c>
      <c r="C26" s="916"/>
      <c r="D26" s="211" t="s">
        <v>181</v>
      </c>
      <c r="E26" s="203">
        <v>0.5</v>
      </c>
      <c r="F26" s="204" t="s">
        <v>171</v>
      </c>
      <c r="G26" s="173">
        <v>43171</v>
      </c>
      <c r="H26" s="212">
        <v>1040000</v>
      </c>
      <c r="I26" s="212">
        <v>416000</v>
      </c>
      <c r="J26" s="95">
        <f t="shared" si="1"/>
        <v>624000</v>
      </c>
      <c r="K26" s="213">
        <f>+I26/H26</f>
        <v>0.4</v>
      </c>
      <c r="L26" s="214">
        <v>42990</v>
      </c>
      <c r="M26" s="214">
        <v>43117</v>
      </c>
      <c r="N26" s="215">
        <v>130</v>
      </c>
      <c r="O26" s="190">
        <v>145</v>
      </c>
      <c r="P26" s="154"/>
      <c r="Q26" s="191">
        <f t="shared" si="28"/>
        <v>0</v>
      </c>
      <c r="R26" s="216"/>
      <c r="S26" s="217"/>
      <c r="T26" s="218"/>
      <c r="U26" s="219"/>
      <c r="V26" s="63">
        <f t="shared" ref="V26:V28" si="30">+N26*$C$1</f>
        <v>780000</v>
      </c>
      <c r="W26" s="131">
        <f t="shared" si="29"/>
        <v>0</v>
      </c>
      <c r="X26" s="100">
        <v>117667</v>
      </c>
      <c r="Y26" s="302">
        <f>118927/3</f>
        <v>39642.333333333336</v>
      </c>
      <c r="Z26" s="93">
        <f>+H26-(V26+X26)</f>
        <v>142333</v>
      </c>
      <c r="AA26" s="95">
        <f>+H26-(W26+Y26)</f>
        <v>1000357.6666666666</v>
      </c>
      <c r="AB26" s="134">
        <f>+Z26/H26</f>
        <v>0.13685865384615384</v>
      </c>
      <c r="AC26" s="523">
        <f>+AA26/H26</f>
        <v>0.96188237179487179</v>
      </c>
      <c r="AD26" s="184"/>
      <c r="AE26" s="185"/>
      <c r="AF26" s="186"/>
      <c r="AG26" s="187"/>
    </row>
    <row r="27" spans="1:34" s="103" customFormat="1" ht="13.5" thickBot="1">
      <c r="A27" s="914"/>
      <c r="B27" s="368" t="s">
        <v>155</v>
      </c>
      <c r="C27" s="916"/>
      <c r="D27" s="542" t="s">
        <v>178</v>
      </c>
      <c r="E27" s="543">
        <v>0.4</v>
      </c>
      <c r="F27" s="543" t="s">
        <v>171</v>
      </c>
      <c r="G27" s="544">
        <v>43182</v>
      </c>
      <c r="H27" s="545"/>
      <c r="I27" s="545"/>
      <c r="J27" s="546">
        <f t="shared" ref="J27" si="31">+H27-I27</f>
        <v>0</v>
      </c>
      <c r="K27" s="547"/>
      <c r="L27" s="548">
        <v>42989</v>
      </c>
      <c r="M27" s="548"/>
      <c r="N27" s="549">
        <v>110</v>
      </c>
      <c r="O27" s="550">
        <v>117</v>
      </c>
      <c r="P27" s="189"/>
      <c r="Q27" s="551">
        <f t="shared" ref="Q27" si="32">+P27/N27</f>
        <v>0</v>
      </c>
      <c r="R27" s="552"/>
      <c r="S27" s="553"/>
      <c r="T27" s="553"/>
      <c r="U27" s="554"/>
      <c r="V27" s="117">
        <f t="shared" ref="V27" si="33">+N27*$C$1</f>
        <v>660000</v>
      </c>
      <c r="W27" s="131">
        <f t="shared" ref="W27" si="34">+P27*$C$1</f>
        <v>0</v>
      </c>
      <c r="X27" s="553">
        <v>117667</v>
      </c>
      <c r="Y27" s="555">
        <f>118927/3</f>
        <v>39642.333333333336</v>
      </c>
      <c r="Z27" s="93">
        <f>+H27-(V27+X27)</f>
        <v>-777667</v>
      </c>
      <c r="AA27" s="95">
        <f>+H27-(W27+Y27)</f>
        <v>-39642.333333333336</v>
      </c>
      <c r="AB27" s="134" t="e">
        <f>+Z27/H27</f>
        <v>#DIV/0!</v>
      </c>
      <c r="AC27" s="556" t="e">
        <f>+AA27/H27</f>
        <v>#DIV/0!</v>
      </c>
      <c r="AD27" s="93"/>
      <c r="AE27" s="94"/>
      <c r="AF27" s="95"/>
      <c r="AG27" s="96"/>
    </row>
    <row r="28" spans="1:34" s="103" customFormat="1" ht="13.5" thickBot="1">
      <c r="A28" s="914"/>
      <c r="B28" s="369" t="s">
        <v>155</v>
      </c>
      <c r="C28" s="916"/>
      <c r="D28" s="374" t="s">
        <v>179</v>
      </c>
      <c r="E28" s="204">
        <v>0.4</v>
      </c>
      <c r="F28" s="204" t="s">
        <v>171</v>
      </c>
      <c r="G28" s="380">
        <v>43175</v>
      </c>
      <c r="H28" s="383"/>
      <c r="I28" s="383"/>
      <c r="J28" s="383"/>
      <c r="K28" s="384"/>
      <c r="L28" s="214"/>
      <c r="M28" s="214"/>
      <c r="N28" s="215">
        <v>110</v>
      </c>
      <c r="O28" s="190">
        <v>117</v>
      </c>
      <c r="P28" s="154"/>
      <c r="Q28" s="191">
        <f t="shared" si="28"/>
        <v>0</v>
      </c>
      <c r="R28" s="216"/>
      <c r="S28" s="217"/>
      <c r="T28" s="218"/>
      <c r="U28" s="219"/>
      <c r="V28" s="63">
        <f t="shared" si="30"/>
        <v>660000</v>
      </c>
      <c r="W28" s="131"/>
      <c r="X28" s="212">
        <v>303000</v>
      </c>
      <c r="Y28" s="302">
        <f>118927/3</f>
        <v>39642.333333333336</v>
      </c>
      <c r="Z28" s="93">
        <f>+H28-(V28+X28)</f>
        <v>-963000</v>
      </c>
      <c r="AA28" s="95">
        <f>+H28-(W28+Y28)</f>
        <v>-39642.333333333336</v>
      </c>
      <c r="AB28" s="134" t="e">
        <f>+Z28/H28</f>
        <v>#DIV/0!</v>
      </c>
      <c r="AC28" s="523" t="e">
        <f>+AA28/H28</f>
        <v>#DIV/0!</v>
      </c>
      <c r="AD28" s="184"/>
      <c r="AE28" s="185"/>
      <c r="AF28" s="186"/>
      <c r="AG28" s="187"/>
    </row>
    <row r="29" spans="1:34" s="103" customFormat="1" ht="13.5" thickBot="1">
      <c r="A29" s="915"/>
      <c r="B29" s="557" t="s">
        <v>155</v>
      </c>
      <c r="C29" s="917"/>
      <c r="D29" s="347" t="s">
        <v>180</v>
      </c>
      <c r="E29" s="558">
        <v>0.15</v>
      </c>
      <c r="F29" s="377" t="s">
        <v>52</v>
      </c>
      <c r="G29" s="379">
        <v>43021</v>
      </c>
      <c r="H29" s="559"/>
      <c r="I29" s="559"/>
      <c r="J29" s="559"/>
      <c r="K29" s="560"/>
      <c r="L29" s="314"/>
      <c r="M29" s="314"/>
      <c r="N29" s="220"/>
      <c r="O29" s="561"/>
      <c r="P29" s="168"/>
      <c r="Q29" s="210"/>
      <c r="R29" s="354"/>
      <c r="S29" s="562"/>
      <c r="T29" s="563"/>
      <c r="U29" s="564"/>
      <c r="V29" s="516">
        <f>+N29*$C$1</f>
        <v>0</v>
      </c>
      <c r="W29" s="525">
        <f>+P29*$C$1</f>
        <v>0</v>
      </c>
      <c r="X29" s="350"/>
      <c r="Y29" s="565"/>
      <c r="Z29" s="527"/>
      <c r="AA29" s="521"/>
      <c r="AB29" s="171"/>
      <c r="AC29" s="171" t="e">
        <f>+AA29/H29</f>
        <v>#DIV/0!</v>
      </c>
      <c r="AD29" s="184"/>
      <c r="AE29" s="185"/>
      <c r="AF29" s="186"/>
      <c r="AG29" s="187"/>
    </row>
    <row r="30" spans="1:34" s="667" customFormat="1" ht="13.5" thickBot="1">
      <c r="A30" s="643"/>
      <c r="B30" s="644"/>
      <c r="C30" s="645"/>
      <c r="D30" s="873" t="s">
        <v>303</v>
      </c>
      <c r="E30" s="874"/>
      <c r="F30" s="874"/>
      <c r="G30" s="874"/>
      <c r="H30" s="646">
        <f>SUM(H25:H29)</f>
        <v>1820000</v>
      </c>
      <c r="I30" s="646">
        <f>SUM(I25:I29)</f>
        <v>728000</v>
      </c>
      <c r="J30" s="646">
        <f>SUM(J25:J29)</f>
        <v>1092000</v>
      </c>
      <c r="K30" s="647"/>
      <c r="L30" s="648"/>
      <c r="M30" s="648"/>
      <c r="N30" s="649"/>
      <c r="O30" s="650"/>
      <c r="P30" s="651"/>
      <c r="Q30" s="652"/>
      <c r="R30" s="653"/>
      <c r="S30" s="654"/>
      <c r="T30" s="650"/>
      <c r="U30" s="655"/>
      <c r="V30" s="656"/>
      <c r="W30" s="657"/>
      <c r="X30" s="658"/>
      <c r="Y30" s="659"/>
      <c r="Z30" s="660"/>
      <c r="AA30" s="661"/>
      <c r="AB30" s="662"/>
      <c r="AC30" s="662"/>
      <c r="AD30" s="663"/>
      <c r="AE30" s="664"/>
      <c r="AF30" s="665"/>
      <c r="AG30" s="666"/>
    </row>
    <row r="31" spans="1:34" ht="13.5" thickBot="1">
      <c r="A31" s="902" t="s">
        <v>299</v>
      </c>
      <c r="B31" s="371" t="s">
        <v>160</v>
      </c>
      <c r="C31" s="905" t="s">
        <v>161</v>
      </c>
      <c r="D31" s="230" t="s">
        <v>184</v>
      </c>
      <c r="E31" s="299">
        <f>'Project percentage'!B16</f>
        <v>0.9</v>
      </c>
      <c r="F31" s="231" t="s">
        <v>185</v>
      </c>
      <c r="G31" s="300">
        <v>43157</v>
      </c>
      <c r="H31" s="908">
        <f>76000*60</f>
        <v>4560000</v>
      </c>
      <c r="I31" s="911">
        <f>(76000*60)*40%</f>
        <v>1824000</v>
      </c>
      <c r="J31" s="884">
        <f>+H31-I31</f>
        <v>2736000</v>
      </c>
      <c r="K31" s="887">
        <f t="shared" si="27"/>
        <v>0.4</v>
      </c>
      <c r="L31" s="232">
        <v>43054</v>
      </c>
      <c r="M31" s="232">
        <v>43086</v>
      </c>
      <c r="N31" s="303">
        <v>49</v>
      </c>
      <c r="O31" s="233">
        <v>59</v>
      </c>
      <c r="P31" s="234">
        <v>30</v>
      </c>
      <c r="Q31" s="235">
        <f t="shared" ref="Q31:Q38" si="35">+P31/N31</f>
        <v>0.61224489795918369</v>
      </c>
      <c r="R31" s="236"/>
      <c r="S31" s="237"/>
      <c r="T31" s="117"/>
      <c r="U31" s="238"/>
      <c r="V31" s="117">
        <f>+N31*$C$1</f>
        <v>294000</v>
      </c>
      <c r="W31" s="121">
        <f>+P31*$C$1</f>
        <v>180000</v>
      </c>
      <c r="X31" s="890">
        <v>1291560</v>
      </c>
      <c r="Y31" s="893">
        <v>645286</v>
      </c>
      <c r="Z31" s="896">
        <f>+H31-(V31+V32+V33+X31)</f>
        <v>2416440</v>
      </c>
      <c r="AA31" s="875">
        <f>+H31-(W31+W32+W33++Y31)</f>
        <v>3374714</v>
      </c>
      <c r="AB31" s="878">
        <f>+Z31/H31</f>
        <v>0.52992105263157896</v>
      </c>
      <c r="AC31" s="881">
        <f>1-(+AA31/H31)</f>
        <v>0.25993114035087717</v>
      </c>
      <c r="AD31" s="121"/>
      <c r="AE31" s="122"/>
      <c r="AF31" s="123"/>
      <c r="AG31" s="124"/>
      <c r="AH31" s="954"/>
    </row>
    <row r="32" spans="1:34" ht="13.5" thickBot="1">
      <c r="A32" s="903"/>
      <c r="B32" s="372" t="s">
        <v>160</v>
      </c>
      <c r="C32" s="906"/>
      <c r="D32" s="229" t="s">
        <v>183</v>
      </c>
      <c r="E32" s="244">
        <f>'Project percentage'!B16</f>
        <v>0.9</v>
      </c>
      <c r="F32" s="203" t="s">
        <v>185</v>
      </c>
      <c r="G32" s="300">
        <v>43157</v>
      </c>
      <c r="H32" s="909"/>
      <c r="I32" s="912"/>
      <c r="J32" s="885"/>
      <c r="K32" s="888"/>
      <c r="L32" s="164">
        <v>43058</v>
      </c>
      <c r="M32" s="164">
        <v>43094</v>
      </c>
      <c r="N32" s="239">
        <v>49</v>
      </c>
      <c r="O32" s="165">
        <v>59</v>
      </c>
      <c r="P32" s="166">
        <v>30</v>
      </c>
      <c r="Q32" s="240">
        <f t="shared" si="35"/>
        <v>0.61224489795918369</v>
      </c>
      <c r="R32" s="241"/>
      <c r="S32" s="129"/>
      <c r="T32" s="242"/>
      <c r="U32" s="243"/>
      <c r="V32" s="117">
        <f>+N32*$C$1</f>
        <v>294000</v>
      </c>
      <c r="W32" s="301">
        <f>+P32*$C$1</f>
        <v>180000</v>
      </c>
      <c r="X32" s="891"/>
      <c r="Y32" s="894"/>
      <c r="Z32" s="897"/>
      <c r="AA32" s="876"/>
      <c r="AB32" s="879"/>
      <c r="AC32" s="882"/>
      <c r="AD32" s="184"/>
      <c r="AE32" s="185"/>
      <c r="AF32" s="226"/>
      <c r="AG32" s="227"/>
      <c r="AH32" s="954"/>
    </row>
    <row r="33" spans="1:34" ht="13.5" thickBot="1">
      <c r="A33" s="904"/>
      <c r="B33" s="724" t="s">
        <v>160</v>
      </c>
      <c r="C33" s="907"/>
      <c r="D33" s="725" t="s">
        <v>182</v>
      </c>
      <c r="E33" s="244">
        <f>'Project percentage'!B27</f>
        <v>0.8</v>
      </c>
      <c r="F33" s="726" t="s">
        <v>185</v>
      </c>
      <c r="G33" s="300">
        <v>43157</v>
      </c>
      <c r="H33" s="910"/>
      <c r="I33" s="913"/>
      <c r="J33" s="886"/>
      <c r="K33" s="889"/>
      <c r="L33" s="528">
        <v>43060</v>
      </c>
      <c r="M33" s="528">
        <v>42763</v>
      </c>
      <c r="N33" s="221">
        <v>44</v>
      </c>
      <c r="O33" s="727">
        <v>44</v>
      </c>
      <c r="P33" s="728">
        <v>30</v>
      </c>
      <c r="Q33" s="610">
        <f t="shared" si="35"/>
        <v>0.68181818181818177</v>
      </c>
      <c r="R33" s="222"/>
      <c r="S33" s="223"/>
      <c r="T33" s="224"/>
      <c r="U33" s="225"/>
      <c r="V33" s="117">
        <f>+N33*$C$1</f>
        <v>264000</v>
      </c>
      <c r="W33" s="301">
        <f>+P33*$C$1</f>
        <v>180000</v>
      </c>
      <c r="X33" s="892"/>
      <c r="Y33" s="895"/>
      <c r="Z33" s="898"/>
      <c r="AA33" s="877"/>
      <c r="AB33" s="880"/>
      <c r="AC33" s="883"/>
      <c r="AD33" s="184"/>
      <c r="AE33" s="185"/>
      <c r="AF33" s="226"/>
      <c r="AG33" s="227"/>
      <c r="AH33" s="955"/>
    </row>
    <row r="34" spans="1:34" s="723" customFormat="1" ht="13.5" thickBot="1">
      <c r="A34" s="700"/>
      <c r="B34" s="701"/>
      <c r="C34" s="702"/>
      <c r="D34" s="873" t="s">
        <v>303</v>
      </c>
      <c r="E34" s="874"/>
      <c r="F34" s="874"/>
      <c r="G34" s="874"/>
      <c r="H34" s="632">
        <f>SUM(H31:H33)</f>
        <v>4560000</v>
      </c>
      <c r="I34" s="632">
        <f t="shared" ref="I34:J34" si="36">SUM(I31:I33)</f>
        <v>1824000</v>
      </c>
      <c r="J34" s="632">
        <f t="shared" si="36"/>
        <v>2736000</v>
      </c>
      <c r="K34" s="703"/>
      <c r="L34" s="704"/>
      <c r="M34" s="704"/>
      <c r="N34" s="705"/>
      <c r="O34" s="706"/>
      <c r="P34" s="707"/>
      <c r="Q34" s="708"/>
      <c r="R34" s="709"/>
      <c r="S34" s="710"/>
      <c r="T34" s="711"/>
      <c r="U34" s="708"/>
      <c r="V34" s="712"/>
      <c r="W34" s="713"/>
      <c r="X34" s="714"/>
      <c r="Y34" s="715"/>
      <c r="Z34" s="716"/>
      <c r="AA34" s="717"/>
      <c r="AB34" s="718"/>
      <c r="AC34" s="718"/>
      <c r="AD34" s="719"/>
      <c r="AE34" s="720"/>
      <c r="AF34" s="721"/>
      <c r="AG34" s="722"/>
    </row>
    <row r="35" spans="1:34" s="103" customFormat="1" ht="13.5" thickBot="1">
      <c r="A35" s="605" t="s">
        <v>263</v>
      </c>
      <c r="B35" s="98" t="s">
        <v>146</v>
      </c>
      <c r="C35" s="946" t="s">
        <v>147</v>
      </c>
      <c r="D35" s="228" t="s">
        <v>277</v>
      </c>
      <c r="E35" s="615"/>
      <c r="F35" s="615"/>
      <c r="G35" s="616"/>
      <c r="H35" s="102">
        <f>(120000+120000+130000)*60</f>
        <v>22200000</v>
      </c>
      <c r="I35" s="102">
        <f>(120000+120000)*60</f>
        <v>14400000</v>
      </c>
      <c r="J35" s="600">
        <f>+H35-I35</f>
        <v>7800000</v>
      </c>
      <c r="K35" s="137">
        <f>+I35/H35</f>
        <v>0.64864864864864868</v>
      </c>
      <c r="L35" s="314">
        <v>42971</v>
      </c>
      <c r="M35" s="314"/>
      <c r="N35" s="617">
        <v>270</v>
      </c>
      <c r="O35" s="304"/>
      <c r="P35" s="168"/>
      <c r="Q35" s="151">
        <f>+P35/N35</f>
        <v>0</v>
      </c>
      <c r="R35" s="181"/>
      <c r="S35" s="102"/>
      <c r="T35" s="102"/>
      <c r="U35" s="101"/>
      <c r="V35" s="603">
        <f>+N35*$C$1</f>
        <v>1620000</v>
      </c>
      <c r="W35" s="600">
        <f>+P35*$C$1</f>
        <v>0</v>
      </c>
      <c r="X35" s="102">
        <v>589000</v>
      </c>
      <c r="Y35" s="192">
        <v>928931</v>
      </c>
      <c r="Z35" s="602">
        <f>+H35-(V35+X35)</f>
        <v>19991000</v>
      </c>
      <c r="AA35" s="596">
        <f>+H35-(W35+Y35)</f>
        <v>21271069</v>
      </c>
      <c r="AB35" s="171">
        <f>+Z35/H35</f>
        <v>0.90049549549549546</v>
      </c>
      <c r="AC35" s="104">
        <f>+AA35/H35</f>
        <v>0.9581562612612613</v>
      </c>
      <c r="AD35" s="602"/>
      <c r="AE35" s="619"/>
      <c r="AF35" s="596"/>
      <c r="AG35" s="620"/>
    </row>
    <row r="36" spans="1:34" s="103" customFormat="1" ht="13.5" thickBot="1">
      <c r="A36" s="125" t="s">
        <v>263</v>
      </c>
      <c r="B36" s="295" t="s">
        <v>146</v>
      </c>
      <c r="C36" s="947"/>
      <c r="D36" s="228" t="s">
        <v>275</v>
      </c>
      <c r="E36" s="140"/>
      <c r="F36" s="140" t="s">
        <v>276</v>
      </c>
      <c r="G36" s="141"/>
      <c r="H36" s="102"/>
      <c r="I36" s="100"/>
      <c r="J36" s="131"/>
      <c r="K36" s="137"/>
      <c r="L36" s="161"/>
      <c r="M36" s="161"/>
      <c r="N36" s="162"/>
      <c r="O36" s="163"/>
      <c r="P36" s="154"/>
      <c r="Q36" s="151"/>
      <c r="R36" s="105"/>
      <c r="S36" s="100"/>
      <c r="T36" s="100"/>
      <c r="U36" s="101"/>
      <c r="V36" s="117"/>
      <c r="W36" s="131"/>
      <c r="X36" s="100"/>
      <c r="Y36" s="195"/>
      <c r="Z36" s="93"/>
      <c r="AA36" s="95"/>
      <c r="AB36" s="134"/>
      <c r="AC36" s="104"/>
      <c r="AD36" s="93"/>
      <c r="AE36" s="94"/>
      <c r="AF36" s="95"/>
      <c r="AG36" s="96"/>
    </row>
    <row r="37" spans="1:34" s="689" customFormat="1" ht="13.5" thickBot="1">
      <c r="A37" s="668"/>
      <c r="B37" s="669"/>
      <c r="C37" s="670"/>
      <c r="D37" s="873" t="s">
        <v>303</v>
      </c>
      <c r="E37" s="874"/>
      <c r="F37" s="874"/>
      <c r="G37" s="874"/>
      <c r="H37" s="646">
        <f>SUM(H35:H36)</f>
        <v>22200000</v>
      </c>
      <c r="I37" s="646">
        <f t="shared" ref="I37:J37" si="37">SUM(I35:I36)</f>
        <v>14400000</v>
      </c>
      <c r="J37" s="646">
        <f t="shared" si="37"/>
        <v>7800000</v>
      </c>
      <c r="K37" s="671"/>
      <c r="L37" s="672"/>
      <c r="M37" s="672"/>
      <c r="N37" s="673"/>
      <c r="O37" s="674"/>
      <c r="P37" s="675"/>
      <c r="Q37" s="652"/>
      <c r="R37" s="676"/>
      <c r="S37" s="677"/>
      <c r="T37" s="678"/>
      <c r="U37" s="652"/>
      <c r="V37" s="679"/>
      <c r="W37" s="680"/>
      <c r="X37" s="681"/>
      <c r="Y37" s="682"/>
      <c r="Z37" s="683"/>
      <c r="AA37" s="684"/>
      <c r="AB37" s="685"/>
      <c r="AC37" s="686"/>
      <c r="AD37" s="663"/>
      <c r="AE37" s="664"/>
      <c r="AF37" s="687"/>
      <c r="AG37" s="688"/>
    </row>
    <row r="38" spans="1:34" ht="13.5" thickBot="1">
      <c r="A38" s="570" t="s">
        <v>299</v>
      </c>
      <c r="B38" s="571" t="s">
        <v>115</v>
      </c>
      <c r="C38" s="572" t="s">
        <v>134</v>
      </c>
      <c r="D38" s="573" t="s">
        <v>243</v>
      </c>
      <c r="E38" s="590"/>
      <c r="F38" s="590"/>
      <c r="G38" s="591"/>
      <c r="H38" s="574">
        <v>2400000</v>
      </c>
      <c r="I38" s="575">
        <v>1700000</v>
      </c>
      <c r="J38" s="576">
        <f t="shared" ref="J38" si="38">+H38-I38</f>
        <v>700000</v>
      </c>
      <c r="K38" s="566">
        <f t="shared" si="27"/>
        <v>0.70833333333333337</v>
      </c>
      <c r="L38" s="164" t="s">
        <v>262</v>
      </c>
      <c r="M38" s="164">
        <v>42840</v>
      </c>
      <c r="N38" s="147">
        <v>317</v>
      </c>
      <c r="O38" s="165"/>
      <c r="P38" s="166"/>
      <c r="Q38" s="167">
        <f t="shared" si="35"/>
        <v>0</v>
      </c>
      <c r="R38" s="128" t="s">
        <v>59</v>
      </c>
      <c r="S38" s="129">
        <v>0</v>
      </c>
      <c r="T38" s="63">
        <v>0</v>
      </c>
      <c r="U38" s="130" t="e">
        <f>+T38/S38</f>
        <v>#DIV/0!</v>
      </c>
      <c r="V38" s="117">
        <f t="shared" ref="V38:V39" si="39">+N38*$C$1</f>
        <v>1902000</v>
      </c>
      <c r="W38" s="131">
        <f>+P38*$C$1</f>
        <v>0</v>
      </c>
      <c r="X38" s="129">
        <v>75600</v>
      </c>
      <c r="Y38" s="196">
        <v>0</v>
      </c>
      <c r="Z38" s="93">
        <f>+H38-(V38+X38)</f>
        <v>422400</v>
      </c>
      <c r="AA38" s="95">
        <f>+H38-(W38+Y38)</f>
        <v>2400000</v>
      </c>
      <c r="AB38" s="134">
        <f>+Z38/H38</f>
        <v>0.17599999999999999</v>
      </c>
      <c r="AC38" s="104">
        <f>+AA38/H38</f>
        <v>1</v>
      </c>
      <c r="AD38" s="121">
        <f>+Z38/N38</f>
        <v>1332.4921135646687</v>
      </c>
      <c r="AE38" s="122">
        <f>+AD38/60</f>
        <v>22.208201892744476</v>
      </c>
      <c r="AF38" s="123">
        <f>+AA38/N38</f>
        <v>7570.977917981073</v>
      </c>
      <c r="AG38" s="124">
        <f>+AF38/60</f>
        <v>126.18296529968455</v>
      </c>
    </row>
    <row r="39" spans="1:34" s="103" customFormat="1" ht="13.5" thickBot="1">
      <c r="A39" s="577" t="s">
        <v>218</v>
      </c>
      <c r="B39" s="578" t="s">
        <v>249</v>
      </c>
      <c r="C39" s="578" t="s">
        <v>256</v>
      </c>
      <c r="D39" s="579" t="s">
        <v>397</v>
      </c>
      <c r="E39" s="590"/>
      <c r="F39" s="590"/>
      <c r="G39" s="591"/>
      <c r="H39" s="580">
        <v>800000</v>
      </c>
      <c r="I39" s="580">
        <f>28*13000</f>
        <v>364000</v>
      </c>
      <c r="J39" s="581">
        <f>+H39-I39</f>
        <v>436000</v>
      </c>
      <c r="K39" s="582">
        <f>+I39/H39</f>
        <v>0.45500000000000002</v>
      </c>
      <c r="L39" s="161">
        <v>43083</v>
      </c>
      <c r="M39" s="161">
        <v>43130</v>
      </c>
      <c r="N39" s="162">
        <v>62</v>
      </c>
      <c r="O39" s="175"/>
      <c r="P39" s="176"/>
      <c r="Q39" s="177"/>
      <c r="R39" s="105"/>
      <c r="S39" s="100"/>
      <c r="T39" s="100"/>
      <c r="U39" s="101"/>
      <c r="V39" s="117">
        <f t="shared" si="39"/>
        <v>372000</v>
      </c>
      <c r="W39" s="131">
        <f>+P39*$C$1</f>
        <v>0</v>
      </c>
      <c r="X39" s="100">
        <v>5000</v>
      </c>
      <c r="Y39" s="195"/>
      <c r="Z39" s="93">
        <f>+H39-(V39+X39)</f>
        <v>423000</v>
      </c>
      <c r="AA39" s="95">
        <f>+H39-(W39+Y39)</f>
        <v>800000</v>
      </c>
      <c r="AB39" s="134">
        <f>+Z39/H39</f>
        <v>0.52875000000000005</v>
      </c>
      <c r="AC39" s="104">
        <f>+AA39/H39</f>
        <v>1</v>
      </c>
      <c r="AD39" s="93"/>
      <c r="AE39" s="94"/>
      <c r="AF39" s="95"/>
      <c r="AG39" s="96"/>
    </row>
    <row r="40" spans="1:34" s="103" customFormat="1" ht="13.5" thickBot="1">
      <c r="A40" s="577" t="s">
        <v>260</v>
      </c>
      <c r="B40" s="583" t="s">
        <v>250</v>
      </c>
      <c r="C40" s="578" t="s">
        <v>257</v>
      </c>
      <c r="D40" s="579" t="s">
        <v>250</v>
      </c>
      <c r="E40" s="592"/>
      <c r="F40" s="593"/>
      <c r="G40" s="594"/>
      <c r="H40" s="580">
        <v>2658000</v>
      </c>
      <c r="I40" s="580">
        <v>696000</v>
      </c>
      <c r="J40" s="576">
        <f>+H40-I40</f>
        <v>1962000</v>
      </c>
      <c r="K40" s="567">
        <f>+I40/H40</f>
        <v>0.26185101580135439</v>
      </c>
      <c r="L40" s="161">
        <v>43069</v>
      </c>
      <c r="M40" s="161">
        <v>43169</v>
      </c>
      <c r="N40" s="162">
        <v>100</v>
      </c>
      <c r="O40" s="175"/>
      <c r="P40" s="176"/>
      <c r="Q40" s="177">
        <f>+P40/N40</f>
        <v>0</v>
      </c>
      <c r="R40" s="105"/>
      <c r="S40" s="100"/>
      <c r="T40" s="100"/>
      <c r="U40" s="101"/>
      <c r="V40" s="117">
        <f>+N40*$C$1</f>
        <v>600000</v>
      </c>
      <c r="W40" s="131"/>
      <c r="X40" s="100"/>
      <c r="Y40" s="195"/>
      <c r="Z40" s="93"/>
      <c r="AA40" s="95"/>
      <c r="AB40" s="134"/>
      <c r="AC40" s="104"/>
      <c r="AD40" s="93"/>
      <c r="AE40" s="94"/>
      <c r="AF40" s="95"/>
      <c r="AG40" s="96"/>
    </row>
    <row r="41" spans="1:34" ht="13.5" thickBot="1">
      <c r="A41" s="584" t="s">
        <v>260</v>
      </c>
      <c r="B41" s="585" t="s">
        <v>120</v>
      </c>
      <c r="C41" s="586" t="s">
        <v>135</v>
      </c>
      <c r="D41" s="573" t="s">
        <v>398</v>
      </c>
      <c r="E41" s="899"/>
      <c r="F41" s="900"/>
      <c r="G41" s="901"/>
      <c r="H41" s="581">
        <f>4500000*12</f>
        <v>54000000</v>
      </c>
      <c r="I41" s="581">
        <f>4500000*8</f>
        <v>36000000</v>
      </c>
      <c r="J41" s="576">
        <f>+H41-I41</f>
        <v>18000000</v>
      </c>
      <c r="K41" s="568">
        <v>1</v>
      </c>
      <c r="L41" s="528">
        <v>42856</v>
      </c>
      <c r="M41" s="528"/>
      <c r="N41" s="529">
        <v>2440</v>
      </c>
      <c r="O41" s="530"/>
      <c r="P41" s="531"/>
      <c r="Q41" s="159">
        <f>+P41/N41</f>
        <v>0</v>
      </c>
      <c r="R41" s="532" t="s">
        <v>59</v>
      </c>
      <c r="S41" s="440">
        <v>0</v>
      </c>
      <c r="T41" s="440">
        <v>0</v>
      </c>
      <c r="U41" s="441">
        <v>0</v>
      </c>
      <c r="V41" s="117">
        <f>+N41*$C$1</f>
        <v>14640000</v>
      </c>
      <c r="W41" s="442">
        <f>+P41*$C$1</f>
        <v>0</v>
      </c>
      <c r="X41" s="444">
        <v>2193800</v>
      </c>
      <c r="Y41" s="197">
        <v>1792567</v>
      </c>
      <c r="Z41" s="443">
        <f>+H41-(V41+X41)</f>
        <v>37166200</v>
      </c>
      <c r="AA41" s="439">
        <f>+H41-(W41+Y41)</f>
        <v>52207433</v>
      </c>
      <c r="AB41" s="533">
        <f>+Z41/H41</f>
        <v>0.68826296296296297</v>
      </c>
      <c r="AC41" s="441">
        <f>+AA41/H41</f>
        <v>0.96680431481481477</v>
      </c>
      <c r="AD41" s="93">
        <f>+Z41/N41</f>
        <v>15232.049180327869</v>
      </c>
      <c r="AE41" s="94">
        <f>+AD41/60</f>
        <v>253.86748633879782</v>
      </c>
      <c r="AF41" s="95">
        <f>+AA41/N41</f>
        <v>21396.48893442623</v>
      </c>
      <c r="AG41" s="96">
        <f>+AF41/60</f>
        <v>356.60814890710384</v>
      </c>
    </row>
    <row r="42" spans="1:34" ht="13.5" thickBot="1">
      <c r="A42" s="577" t="s">
        <v>312</v>
      </c>
      <c r="B42" s="587" t="s">
        <v>395</v>
      </c>
      <c r="C42" s="588"/>
      <c r="D42" s="579" t="s">
        <v>399</v>
      </c>
      <c r="E42" s="589"/>
      <c r="F42" s="589"/>
      <c r="G42" s="588"/>
      <c r="H42" s="581">
        <f>858000*2</f>
        <v>1716000</v>
      </c>
      <c r="I42" s="581">
        <v>858000</v>
      </c>
      <c r="J42" s="576">
        <f>+H42-I42</f>
        <v>858000</v>
      </c>
      <c r="K42" s="569"/>
      <c r="L42" s="534"/>
      <c r="M42" s="534"/>
      <c r="N42" s="534"/>
      <c r="O42" s="534"/>
      <c r="P42" s="534"/>
      <c r="Q42" s="534"/>
      <c r="R42" s="534"/>
      <c r="S42" s="534"/>
      <c r="T42" s="534"/>
      <c r="U42" s="534"/>
      <c r="V42" s="534"/>
      <c r="W42" s="534"/>
      <c r="X42" s="534"/>
      <c r="Y42" s="534"/>
      <c r="Z42" s="534"/>
      <c r="AA42" s="534"/>
      <c r="AB42" s="534"/>
      <c r="AC42" s="535"/>
    </row>
    <row r="43" spans="1:34" ht="13.5" thickBot="1">
      <c r="A43" s="690" t="s">
        <v>386</v>
      </c>
      <c r="B43" s="691" t="s">
        <v>388</v>
      </c>
      <c r="C43" s="692"/>
      <c r="D43" s="693" t="s">
        <v>388</v>
      </c>
      <c r="E43" s="694"/>
      <c r="F43" s="694"/>
      <c r="G43" s="692"/>
      <c r="H43" s="695">
        <v>2217600</v>
      </c>
      <c r="I43" s="692"/>
      <c r="J43" s="696"/>
      <c r="K43" s="697"/>
      <c r="L43" s="698"/>
      <c r="M43" s="698"/>
      <c r="N43" s="698"/>
      <c r="O43" s="698"/>
      <c r="P43" s="698"/>
      <c r="Q43" s="698"/>
      <c r="R43" s="698"/>
      <c r="S43" s="698"/>
      <c r="T43" s="698"/>
      <c r="U43" s="698"/>
      <c r="V43" s="698"/>
      <c r="W43" s="698"/>
      <c r="X43" s="698"/>
      <c r="Y43" s="698"/>
      <c r="Z43" s="698"/>
      <c r="AA43" s="698"/>
      <c r="AB43" s="698"/>
      <c r="AC43" s="699"/>
    </row>
    <row r="44" spans="1:34" s="723" customFormat="1" ht="13.5" thickBot="1">
      <c r="A44" s="700"/>
      <c r="B44" s="701"/>
      <c r="C44" s="702"/>
      <c r="D44" s="873" t="s">
        <v>303</v>
      </c>
      <c r="E44" s="874"/>
      <c r="F44" s="874"/>
      <c r="G44" s="874"/>
      <c r="H44" s="632">
        <f>SUM(H38:H43)</f>
        <v>63791600</v>
      </c>
      <c r="I44" s="632">
        <f t="shared" ref="I44:J44" si="40">SUM(I38:I43)</f>
        <v>39618000</v>
      </c>
      <c r="J44" s="632">
        <f t="shared" si="40"/>
        <v>21956000</v>
      </c>
      <c r="K44" s="703"/>
      <c r="L44" s="704"/>
      <c r="M44" s="704"/>
      <c r="N44" s="705"/>
      <c r="O44" s="706"/>
      <c r="P44" s="707"/>
      <c r="Q44" s="708"/>
      <c r="R44" s="709"/>
      <c r="S44" s="710"/>
      <c r="T44" s="711"/>
      <c r="U44" s="708"/>
      <c r="V44" s="712"/>
      <c r="W44" s="713"/>
      <c r="X44" s="714"/>
      <c r="Y44" s="715"/>
      <c r="Z44" s="716"/>
      <c r="AA44" s="717"/>
      <c r="AB44" s="718"/>
      <c r="AC44" s="718"/>
      <c r="AD44" s="719"/>
      <c r="AE44" s="720"/>
      <c r="AF44" s="721"/>
      <c r="AG44" s="722"/>
    </row>
    <row r="53" spans="1:33" ht="13.5" thickBot="1"/>
    <row r="54" spans="1:33" ht="18.75" thickBot="1">
      <c r="A54" s="358" t="s">
        <v>297</v>
      </c>
    </row>
    <row r="55" spans="1:33" ht="84" thickBot="1">
      <c r="A55" s="359" t="s">
        <v>177</v>
      </c>
      <c r="B55" s="360" t="s">
        <v>176</v>
      </c>
      <c r="C55" s="360" t="s">
        <v>94</v>
      </c>
      <c r="D55" s="360" t="s">
        <v>73</v>
      </c>
      <c r="E55" s="361" t="s">
        <v>99</v>
      </c>
      <c r="F55" s="361" t="s">
        <v>174</v>
      </c>
      <c r="G55" s="361" t="s">
        <v>173</v>
      </c>
      <c r="H55" s="362" t="s">
        <v>81</v>
      </c>
      <c r="I55" s="360" t="s">
        <v>80</v>
      </c>
      <c r="J55" s="360" t="s">
        <v>175</v>
      </c>
      <c r="K55" s="360" t="s">
        <v>79</v>
      </c>
      <c r="L55" s="360" t="s">
        <v>78</v>
      </c>
      <c r="M55" s="360" t="s">
        <v>172</v>
      </c>
      <c r="N55" s="360" t="s">
        <v>116</v>
      </c>
      <c r="O55" s="360" t="s">
        <v>117</v>
      </c>
      <c r="P55" s="363" t="s">
        <v>82</v>
      </c>
      <c r="Q55" s="363" t="s">
        <v>95</v>
      </c>
      <c r="R55" s="364" t="s">
        <v>83</v>
      </c>
      <c r="S55" s="365" t="s">
        <v>84</v>
      </c>
      <c r="T55" s="365" t="s">
        <v>74</v>
      </c>
      <c r="U55" s="366" t="s">
        <v>95</v>
      </c>
      <c r="V55" s="174" t="s">
        <v>101</v>
      </c>
      <c r="W55" s="361" t="s">
        <v>102</v>
      </c>
      <c r="X55" s="367" t="s">
        <v>85</v>
      </c>
      <c r="Y55" s="360" t="s">
        <v>86</v>
      </c>
      <c r="Z55" s="360" t="s">
        <v>87</v>
      </c>
      <c r="AA55" s="360" t="s">
        <v>88</v>
      </c>
      <c r="AB55" s="363" t="s">
        <v>89</v>
      </c>
      <c r="AC55" s="174" t="s">
        <v>90</v>
      </c>
      <c r="AD55" s="107" t="s">
        <v>103</v>
      </c>
      <c r="AE55" s="108" t="s">
        <v>104</v>
      </c>
      <c r="AF55" s="108" t="s">
        <v>106</v>
      </c>
      <c r="AG55" s="106" t="s">
        <v>105</v>
      </c>
    </row>
    <row r="56" spans="1:33" s="328" customFormat="1" ht="64.5" thickBot="1">
      <c r="A56" s="276" t="s">
        <v>218</v>
      </c>
      <c r="B56" s="276" t="s">
        <v>162</v>
      </c>
      <c r="C56" s="276"/>
      <c r="D56" s="277" t="s">
        <v>270</v>
      </c>
      <c r="E56" s="278"/>
      <c r="F56" s="278" t="s">
        <v>269</v>
      </c>
      <c r="G56" s="279">
        <v>43089</v>
      </c>
      <c r="H56" s="280">
        <f>+(228000*15)</f>
        <v>3420000</v>
      </c>
      <c r="I56" s="280">
        <f>+H56*50%</f>
        <v>1710000</v>
      </c>
      <c r="J56" s="281">
        <f>+H56-I56</f>
        <v>1710000</v>
      </c>
      <c r="K56" s="282">
        <f t="shared" ref="K56" si="41">+I56/H56</f>
        <v>0.5</v>
      </c>
      <c r="L56" s="283">
        <v>43081</v>
      </c>
      <c r="M56" s="283">
        <v>43109</v>
      </c>
      <c r="N56" s="284">
        <v>18</v>
      </c>
      <c r="O56" s="285"/>
      <c r="P56" s="286">
        <v>20</v>
      </c>
      <c r="Q56" s="287">
        <f>+P56/N56</f>
        <v>1.1111111111111112</v>
      </c>
      <c r="R56" s="288"/>
      <c r="S56" s="280"/>
      <c r="T56" s="280"/>
      <c r="U56" s="289"/>
      <c r="V56" s="290">
        <f>+N56*$C$1</f>
        <v>108000</v>
      </c>
      <c r="W56" s="280">
        <f>+P56*$C$1</f>
        <v>120000</v>
      </c>
      <c r="X56" s="280">
        <v>0</v>
      </c>
      <c r="Y56" s="291">
        <v>0</v>
      </c>
      <c r="Z56" s="292">
        <f>+H56-(V56+X56)</f>
        <v>3312000</v>
      </c>
      <c r="AA56" s="293">
        <f>+H56-(W56+Y56)</f>
        <v>3300000</v>
      </c>
      <c r="AB56" s="294">
        <f>+Z56/H56</f>
        <v>0.96842105263157896</v>
      </c>
      <c r="AC56" s="294">
        <f>+AA56/H56</f>
        <v>0.96491228070175439</v>
      </c>
      <c r="AD56" s="346"/>
      <c r="AE56" s="326"/>
      <c r="AF56" s="293"/>
      <c r="AG56" s="327"/>
    </row>
    <row r="57" spans="1:33" s="322" customFormat="1" ht="13.5" thickBot="1">
      <c r="A57" s="324" t="s">
        <v>263</v>
      </c>
      <c r="B57" s="324" t="s">
        <v>165</v>
      </c>
      <c r="C57" s="324" t="s">
        <v>254</v>
      </c>
      <c r="D57" s="329" t="s">
        <v>157</v>
      </c>
      <c r="E57" s="330"/>
      <c r="F57" s="330"/>
      <c r="G57" s="331"/>
      <c r="H57" s="332"/>
      <c r="I57" s="332"/>
      <c r="J57" s="333"/>
      <c r="K57" s="325"/>
      <c r="L57" s="334"/>
      <c r="M57" s="334"/>
      <c r="N57" s="335"/>
      <c r="O57" s="336"/>
      <c r="P57" s="337"/>
      <c r="Q57" s="338"/>
      <c r="R57" s="339"/>
      <c r="S57" s="332"/>
      <c r="T57" s="332"/>
      <c r="U57" s="340"/>
      <c r="V57" s="341">
        <f>+N57*$C$1</f>
        <v>0</v>
      </c>
      <c r="W57" s="321">
        <f>+P57*$C$1</f>
        <v>0</v>
      </c>
      <c r="X57" s="332">
        <v>0</v>
      </c>
      <c r="Y57" s="342">
        <v>0</v>
      </c>
      <c r="Z57" s="343">
        <f>+H57-(V57+X57)</f>
        <v>0</v>
      </c>
      <c r="AA57" s="344">
        <f>+H57-(W57+Y57)</f>
        <v>0</v>
      </c>
      <c r="AB57" s="345" t="e">
        <f>+Z57/H57</f>
        <v>#DIV/0!</v>
      </c>
      <c r="AC57" s="357" t="e">
        <f>+AA57/H57</f>
        <v>#DIV/0!</v>
      </c>
    </row>
    <row r="58" spans="1:33" ht="13.5" thickBot="1">
      <c r="A58" s="125" t="s">
        <v>263</v>
      </c>
      <c r="B58" s="125" t="s">
        <v>283</v>
      </c>
      <c r="C58" s="125"/>
      <c r="D58" s="245" t="s">
        <v>284</v>
      </c>
      <c r="E58" s="172"/>
      <c r="F58" s="172"/>
      <c r="G58" s="246"/>
      <c r="H58" s="212"/>
      <c r="I58" s="212"/>
      <c r="J58" s="131"/>
      <c r="K58" s="136"/>
      <c r="L58" s="214"/>
      <c r="M58" s="214"/>
      <c r="N58" s="247"/>
      <c r="O58" s="248"/>
      <c r="P58" s="154"/>
      <c r="Q58" s="249"/>
      <c r="R58" s="216"/>
      <c r="S58" s="212"/>
      <c r="T58" s="212"/>
      <c r="U58" s="250"/>
      <c r="V58" s="117"/>
      <c r="W58" s="102"/>
      <c r="X58" s="100"/>
      <c r="Y58" s="251"/>
      <c r="Z58" s="93"/>
      <c r="AA58" s="95"/>
      <c r="AB58" s="134"/>
      <c r="AC58" s="104"/>
    </row>
    <row r="59" spans="1:33" ht="13.5" thickBot="1">
      <c r="A59" s="310" t="s">
        <v>263</v>
      </c>
      <c r="B59" s="310" t="s">
        <v>166</v>
      </c>
      <c r="C59" s="310" t="s">
        <v>253</v>
      </c>
      <c r="D59" s="347" t="s">
        <v>272</v>
      </c>
      <c r="E59" s="348"/>
      <c r="F59" s="348" t="s">
        <v>274</v>
      </c>
      <c r="G59" s="349"/>
      <c r="H59" s="350"/>
      <c r="I59" s="350"/>
      <c r="J59" s="308"/>
      <c r="K59" s="137"/>
      <c r="L59" s="314">
        <v>43091</v>
      </c>
      <c r="M59" s="314">
        <v>43096</v>
      </c>
      <c r="N59" s="351">
        <v>5</v>
      </c>
      <c r="O59" s="352"/>
      <c r="P59" s="168"/>
      <c r="Q59" s="353">
        <f>+P59/N59</f>
        <v>0</v>
      </c>
      <c r="R59" s="354"/>
      <c r="S59" s="350"/>
      <c r="T59" s="350"/>
      <c r="U59" s="355"/>
      <c r="V59" s="311">
        <f>+N59*$C$1</f>
        <v>30000</v>
      </c>
      <c r="W59" s="102">
        <f>+P59*$C$1</f>
        <v>0</v>
      </c>
      <c r="X59" s="102">
        <v>0</v>
      </c>
      <c r="Y59" s="356">
        <v>0</v>
      </c>
      <c r="Z59" s="309">
        <f>+H59-(V59+X59)</f>
        <v>-30000</v>
      </c>
      <c r="AA59" s="307">
        <f>+H59-(W59+Y59)</f>
        <v>0</v>
      </c>
      <c r="AB59" s="171" t="e">
        <f>+Z59/H59</f>
        <v>#DIV/0!</v>
      </c>
      <c r="AC59" s="104" t="e">
        <f>+AA59/H59</f>
        <v>#DIV/0!</v>
      </c>
    </row>
    <row r="60" spans="1:33" ht="39" thickBot="1">
      <c r="A60" s="125" t="s">
        <v>263</v>
      </c>
      <c r="B60" s="125" t="s">
        <v>166</v>
      </c>
      <c r="C60" s="125"/>
      <c r="D60" s="245" t="s">
        <v>271</v>
      </c>
      <c r="E60" s="172"/>
      <c r="F60" s="172" t="s">
        <v>273</v>
      </c>
      <c r="G60" s="246"/>
      <c r="H60" s="212"/>
      <c r="I60" s="212"/>
      <c r="J60" s="131"/>
      <c r="K60" s="136"/>
      <c r="L60" s="214">
        <v>43096</v>
      </c>
      <c r="M60" s="214" t="s">
        <v>278</v>
      </c>
      <c r="N60" s="247"/>
      <c r="O60" s="248"/>
      <c r="P60" s="154"/>
      <c r="Q60" s="249"/>
      <c r="R60" s="216"/>
      <c r="S60" s="212"/>
      <c r="T60" s="212"/>
      <c r="U60" s="250"/>
      <c r="V60" s="117"/>
      <c r="W60" s="102"/>
      <c r="X60" s="100">
        <v>0</v>
      </c>
      <c r="Y60" s="251">
        <v>0</v>
      </c>
      <c r="Z60" s="93">
        <f>+H60-(V60+X60)</f>
        <v>0</v>
      </c>
      <c r="AA60" s="95">
        <f>+H60-(W60+Y60)</f>
        <v>0</v>
      </c>
      <c r="AB60" s="134" t="e">
        <f>+Z60/H60</f>
        <v>#DIV/0!</v>
      </c>
      <c r="AC60" s="104" t="e">
        <f>+AA60/H60</f>
        <v>#DIV/0!</v>
      </c>
    </row>
    <row r="61" spans="1:33" ht="13.5" thickBot="1">
      <c r="A61" s="125" t="s">
        <v>263</v>
      </c>
      <c r="B61" s="125" t="s">
        <v>164</v>
      </c>
      <c r="C61" s="125"/>
      <c r="D61" s="316" t="s">
        <v>286</v>
      </c>
      <c r="E61" s="315"/>
      <c r="F61" s="172"/>
      <c r="G61" s="246"/>
      <c r="H61" s="212"/>
      <c r="I61" s="212"/>
      <c r="J61" s="131"/>
      <c r="K61" s="136"/>
      <c r="L61" s="214">
        <v>43081</v>
      </c>
      <c r="M61" s="214">
        <v>43087</v>
      </c>
      <c r="N61" s="247"/>
      <c r="O61" s="248"/>
      <c r="P61" s="154"/>
      <c r="Q61" s="249"/>
      <c r="R61" s="216"/>
      <c r="S61" s="212"/>
      <c r="T61" s="212"/>
      <c r="U61" s="250"/>
      <c r="V61" s="117">
        <f>+N61*$C$1</f>
        <v>0</v>
      </c>
      <c r="W61" s="102">
        <f>+P61*$C$1</f>
        <v>0</v>
      </c>
      <c r="X61" s="100">
        <v>0</v>
      </c>
      <c r="Y61" s="251">
        <v>0</v>
      </c>
      <c r="Z61" s="93">
        <f>+H61-(V61+X61)</f>
        <v>0</v>
      </c>
      <c r="AA61" s="95">
        <f>+H61-(W61+Y61)</f>
        <v>0</v>
      </c>
      <c r="AB61" s="134" t="e">
        <f>+Z61/H61</f>
        <v>#DIV/0!</v>
      </c>
      <c r="AC61" s="104" t="e">
        <f>+AA61/H61</f>
        <v>#DIV/0!</v>
      </c>
    </row>
    <row r="62" spans="1:33" ht="13.5" thickBot="1">
      <c r="A62" s="125" t="s">
        <v>263</v>
      </c>
      <c r="B62" s="125" t="s">
        <v>164</v>
      </c>
      <c r="C62" s="125"/>
      <c r="D62" s="316" t="s">
        <v>285</v>
      </c>
      <c r="E62" s="315"/>
      <c r="F62" s="172"/>
      <c r="G62" s="246"/>
      <c r="H62" s="212"/>
      <c r="I62" s="212"/>
      <c r="J62" s="131"/>
      <c r="K62" s="136"/>
      <c r="L62" s="214">
        <v>43139</v>
      </c>
      <c r="M62" s="214"/>
      <c r="N62" s="247"/>
      <c r="O62" s="248"/>
      <c r="P62" s="154"/>
      <c r="Q62" s="249"/>
      <c r="R62" s="216"/>
      <c r="S62" s="212"/>
      <c r="T62" s="212"/>
      <c r="U62" s="250"/>
      <c r="V62" s="117">
        <f t="shared" ref="V62" si="42">+N62*$C$1</f>
        <v>0</v>
      </c>
      <c r="W62" s="102">
        <f>+P62*$C$1</f>
        <v>0</v>
      </c>
      <c r="X62" s="100">
        <v>0</v>
      </c>
      <c r="Y62" s="251">
        <v>0</v>
      </c>
      <c r="Z62" s="93">
        <f>+H62-(V62+X62)</f>
        <v>0</v>
      </c>
      <c r="AA62" s="95">
        <f>+H62-(W62+Y62)</f>
        <v>0</v>
      </c>
      <c r="AB62" s="134" t="e">
        <f>+Z62/H62</f>
        <v>#DIV/0!</v>
      </c>
      <c r="AC62" s="104" t="e">
        <f>+AA62/H62</f>
        <v>#DIV/0!</v>
      </c>
    </row>
    <row r="63" spans="1:33" ht="13.5" thickBot="1">
      <c r="A63" s="125" t="s">
        <v>263</v>
      </c>
      <c r="B63" s="296" t="s">
        <v>255</v>
      </c>
      <c r="C63" s="125"/>
      <c r="D63" s="317" t="s">
        <v>287</v>
      </c>
      <c r="E63" s="315"/>
      <c r="F63" s="172"/>
      <c r="G63" s="246"/>
      <c r="H63" s="212"/>
      <c r="I63" s="212"/>
      <c r="J63" s="131"/>
      <c r="K63" s="136"/>
      <c r="L63" s="214">
        <v>43129</v>
      </c>
      <c r="M63" s="214">
        <v>43138</v>
      </c>
      <c r="N63" s="247"/>
      <c r="O63" s="248"/>
      <c r="P63" s="154"/>
      <c r="Q63" s="249"/>
      <c r="R63" s="216"/>
      <c r="S63" s="212"/>
      <c r="T63" s="212"/>
      <c r="U63" s="250"/>
      <c r="V63" s="117">
        <f>+N63*$C$1</f>
        <v>0</v>
      </c>
      <c r="W63" s="102">
        <f>+P63*$C$1</f>
        <v>0</v>
      </c>
      <c r="X63" s="212"/>
      <c r="Y63" s="251"/>
      <c r="Z63" s="93"/>
      <c r="AA63" s="95"/>
      <c r="AB63" s="134"/>
      <c r="AC63" s="134"/>
    </row>
    <row r="64" spans="1:33" ht="13.5" thickBot="1">
      <c r="A64" s="125" t="s">
        <v>263</v>
      </c>
      <c r="B64" s="296" t="s">
        <v>288</v>
      </c>
      <c r="C64" s="125"/>
      <c r="D64" s="317" t="s">
        <v>289</v>
      </c>
      <c r="E64" s="315"/>
      <c r="F64" s="172"/>
      <c r="G64" s="246"/>
      <c r="H64" s="212"/>
      <c r="I64" s="212"/>
      <c r="J64" s="131"/>
      <c r="K64" s="136"/>
      <c r="L64" s="214">
        <v>43128</v>
      </c>
      <c r="M64" s="214">
        <v>43151</v>
      </c>
      <c r="N64" s="247"/>
      <c r="O64" s="248"/>
      <c r="P64" s="154"/>
      <c r="Q64" s="249"/>
      <c r="R64" s="216"/>
      <c r="S64" s="212"/>
      <c r="T64" s="212"/>
      <c r="U64" s="250"/>
      <c r="V64" s="117"/>
      <c r="W64" s="102"/>
      <c r="X64" s="212"/>
      <c r="Y64" s="251"/>
      <c r="Z64" s="93"/>
      <c r="AA64" s="95"/>
      <c r="AB64" s="134"/>
      <c r="AC64" s="134"/>
    </row>
    <row r="65" spans="1:29" ht="13.5" thickBot="1">
      <c r="A65" s="125" t="s">
        <v>263</v>
      </c>
      <c r="B65" s="296" t="s">
        <v>282</v>
      </c>
      <c r="C65" s="125"/>
      <c r="D65" s="317" t="s">
        <v>290</v>
      </c>
      <c r="E65" s="315"/>
      <c r="F65" s="172"/>
      <c r="G65" s="246"/>
      <c r="H65" s="212"/>
      <c r="I65" s="212"/>
      <c r="J65" s="131"/>
      <c r="K65" s="136"/>
      <c r="L65" s="214">
        <v>43136</v>
      </c>
      <c r="M65" s="214">
        <v>43140</v>
      </c>
      <c r="N65" s="247"/>
      <c r="O65" s="248"/>
      <c r="P65" s="154"/>
      <c r="Q65" s="249"/>
      <c r="R65" s="216"/>
      <c r="S65" s="212"/>
      <c r="T65" s="212"/>
      <c r="U65" s="250"/>
      <c r="V65" s="117"/>
      <c r="W65" s="102"/>
      <c r="X65" s="212"/>
      <c r="Y65" s="251"/>
      <c r="Z65" s="93"/>
      <c r="AA65" s="95"/>
      <c r="AB65" s="134"/>
      <c r="AC65" s="134"/>
    </row>
    <row r="66" spans="1:29" ht="13.5" thickBot="1">
      <c r="A66" s="125" t="s">
        <v>263</v>
      </c>
      <c r="B66" s="296" t="s">
        <v>291</v>
      </c>
      <c r="C66" s="125"/>
      <c r="D66" s="317" t="s">
        <v>292</v>
      </c>
      <c r="E66" s="315"/>
      <c r="F66" s="172"/>
      <c r="G66" s="246"/>
      <c r="H66" s="212"/>
      <c r="I66" s="212"/>
      <c r="J66" s="131"/>
      <c r="K66" s="136"/>
      <c r="L66" s="214">
        <v>43136</v>
      </c>
      <c r="M66" s="214">
        <v>43143</v>
      </c>
      <c r="N66" s="247"/>
      <c r="O66" s="248"/>
      <c r="P66" s="154"/>
      <c r="Q66" s="249"/>
      <c r="R66" s="216"/>
      <c r="S66" s="212"/>
      <c r="T66" s="212"/>
      <c r="U66" s="250"/>
      <c r="V66" s="117"/>
      <c r="W66" s="102"/>
      <c r="X66" s="212"/>
      <c r="Y66" s="251"/>
      <c r="Z66" s="93"/>
      <c r="AA66" s="95"/>
      <c r="AB66" s="134"/>
      <c r="AC66" s="134"/>
    </row>
    <row r="67" spans="1:29" ht="13.5" thickBot="1">
      <c r="A67" s="125" t="s">
        <v>263</v>
      </c>
      <c r="B67" s="296" t="s">
        <v>293</v>
      </c>
      <c r="C67" s="125"/>
      <c r="D67" s="317" t="s">
        <v>294</v>
      </c>
      <c r="E67" s="315"/>
      <c r="F67" s="172"/>
      <c r="G67" s="246"/>
      <c r="H67" s="212"/>
      <c r="I67" s="212"/>
      <c r="J67" s="131"/>
      <c r="K67" s="136"/>
      <c r="L67" s="214"/>
      <c r="M67" s="214"/>
      <c r="N67" s="247"/>
      <c r="O67" s="248"/>
      <c r="P67" s="154"/>
      <c r="Q67" s="249"/>
      <c r="R67" s="216"/>
      <c r="S67" s="212"/>
      <c r="T67" s="212"/>
      <c r="U67" s="250"/>
      <c r="V67" s="117"/>
      <c r="W67" s="102"/>
      <c r="X67" s="212"/>
      <c r="Y67" s="251"/>
      <c r="Z67" s="93"/>
      <c r="AA67" s="95"/>
      <c r="AB67" s="134"/>
      <c r="AC67" s="134"/>
    </row>
    <row r="68" spans="1:29" s="322" customFormat="1" ht="13.5" thickBot="1">
      <c r="A68" s="276" t="s">
        <v>263</v>
      </c>
      <c r="B68" s="276" t="s">
        <v>295</v>
      </c>
      <c r="C68" s="276"/>
      <c r="D68" s="318"/>
      <c r="E68" s="319"/>
      <c r="F68" s="278"/>
      <c r="G68" s="279"/>
      <c r="H68" s="280"/>
      <c r="I68" s="280"/>
      <c r="J68" s="281"/>
      <c r="K68" s="282"/>
      <c r="L68" s="283">
        <v>43130</v>
      </c>
      <c r="M68" s="283">
        <v>43131</v>
      </c>
      <c r="N68" s="284"/>
      <c r="O68" s="285"/>
      <c r="P68" s="286"/>
      <c r="Q68" s="287"/>
      <c r="R68" s="288"/>
      <c r="S68" s="280"/>
      <c r="T68" s="280"/>
      <c r="U68" s="289"/>
      <c r="V68" s="320"/>
      <c r="W68" s="321"/>
      <c r="X68" s="280"/>
      <c r="Y68" s="291"/>
      <c r="Z68" s="292"/>
      <c r="AA68" s="293"/>
      <c r="AB68" s="294"/>
      <c r="AC68" s="294"/>
    </row>
    <row r="69" spans="1:29" s="322" customFormat="1" ht="13.5" thickBot="1">
      <c r="A69" s="276" t="s">
        <v>298</v>
      </c>
      <c r="B69" s="276" t="s">
        <v>259</v>
      </c>
      <c r="C69" s="276" t="s">
        <v>279</v>
      </c>
      <c r="D69" s="277" t="s">
        <v>157</v>
      </c>
      <c r="E69" s="278"/>
      <c r="F69" s="278"/>
      <c r="G69" s="279"/>
      <c r="H69" s="280"/>
      <c r="I69" s="280"/>
      <c r="J69" s="281"/>
      <c r="K69" s="282"/>
      <c r="L69" s="283">
        <v>43086</v>
      </c>
      <c r="M69" s="283">
        <v>43098</v>
      </c>
      <c r="N69" s="284">
        <v>10</v>
      </c>
      <c r="O69" s="285"/>
      <c r="P69" s="286"/>
      <c r="Q69" s="287">
        <f>+P69/N69</f>
        <v>0</v>
      </c>
      <c r="R69" s="288"/>
      <c r="S69" s="280"/>
      <c r="T69" s="280"/>
      <c r="U69" s="289"/>
      <c r="V69" s="320">
        <f>+N69*$C$1</f>
        <v>60000</v>
      </c>
      <c r="W69" s="321">
        <f>+P69*$C$1</f>
        <v>0</v>
      </c>
      <c r="X69" s="323"/>
      <c r="Y69" s="291"/>
      <c r="Z69" s="292"/>
      <c r="AA69" s="293"/>
      <c r="AB69" s="294"/>
      <c r="AC69" s="294"/>
    </row>
    <row r="70" spans="1:29" s="322" customFormat="1" ht="26.25" thickBot="1">
      <c r="A70" s="276" t="s">
        <v>298</v>
      </c>
      <c r="B70" s="276" t="s">
        <v>258</v>
      </c>
      <c r="C70" s="276"/>
      <c r="D70" s="277" t="s">
        <v>157</v>
      </c>
      <c r="E70" s="278"/>
      <c r="F70" s="278"/>
      <c r="G70" s="279"/>
      <c r="H70" s="280"/>
      <c r="I70" s="280"/>
      <c r="J70" s="281"/>
      <c r="K70" s="282"/>
      <c r="L70" s="283">
        <v>43069</v>
      </c>
      <c r="M70" s="283">
        <v>43108</v>
      </c>
      <c r="N70" s="284">
        <v>15</v>
      </c>
      <c r="O70" s="285"/>
      <c r="P70" s="286"/>
      <c r="Q70" s="287"/>
      <c r="R70" s="288"/>
      <c r="S70" s="280"/>
      <c r="T70" s="280"/>
      <c r="U70" s="289"/>
      <c r="V70" s="320">
        <f>+N70*$C$1</f>
        <v>90000</v>
      </c>
      <c r="W70" s="321">
        <f>+P70*$C$1</f>
        <v>0</v>
      </c>
      <c r="X70" s="280"/>
      <c r="Y70" s="291"/>
      <c r="Z70" s="292"/>
      <c r="AA70" s="293"/>
      <c r="AB70" s="294"/>
      <c r="AC70" s="294"/>
    </row>
  </sheetData>
  <autoFilter ref="A3:AG39"/>
  <mergeCells count="52">
    <mergeCell ref="C35:C36"/>
    <mergeCell ref="H2:K2"/>
    <mergeCell ref="J4:J7"/>
    <mergeCell ref="C4:C7"/>
    <mergeCell ref="AH31:AH33"/>
    <mergeCell ref="L2:Q2"/>
    <mergeCell ref="D30:G30"/>
    <mergeCell ref="D34:G34"/>
    <mergeCell ref="T4:T7"/>
    <mergeCell ref="H4:H7"/>
    <mergeCell ref="I4:I7"/>
    <mergeCell ref="K4:K7"/>
    <mergeCell ref="P4:P7"/>
    <mergeCell ref="AD2:AG2"/>
    <mergeCell ref="AD4:AD7"/>
    <mergeCell ref="AE4:AE7"/>
    <mergeCell ref="AF4:AF7"/>
    <mergeCell ref="AG4:AG7"/>
    <mergeCell ref="X2:Y2"/>
    <mergeCell ref="V2:W2"/>
    <mergeCell ref="U4:U7"/>
    <mergeCell ref="AB4:AB7"/>
    <mergeCell ref="Z2:AC2"/>
    <mergeCell ref="Y4:Y7"/>
    <mergeCell ref="X4:X7"/>
    <mergeCell ref="AA4:AA7"/>
    <mergeCell ref="R2:U2"/>
    <mergeCell ref="A4:A18"/>
    <mergeCell ref="A20:A23"/>
    <mergeCell ref="B4:B18"/>
    <mergeCell ref="AC4:AC7"/>
    <mergeCell ref="Z4:Z7"/>
    <mergeCell ref="W4:W7"/>
    <mergeCell ref="Q4:Q7"/>
    <mergeCell ref="D19:G19"/>
    <mergeCell ref="A31:A33"/>
    <mergeCell ref="C31:C33"/>
    <mergeCell ref="H31:H33"/>
    <mergeCell ref="I31:I33"/>
    <mergeCell ref="A25:A29"/>
    <mergeCell ref="C25:C29"/>
    <mergeCell ref="D44:G44"/>
    <mergeCell ref="AA31:AA33"/>
    <mergeCell ref="AB31:AB33"/>
    <mergeCell ref="AC31:AC33"/>
    <mergeCell ref="J31:J33"/>
    <mergeCell ref="K31:K33"/>
    <mergeCell ref="X31:X33"/>
    <mergeCell ref="Y31:Y33"/>
    <mergeCell ref="Z31:Z33"/>
    <mergeCell ref="D37:G37"/>
    <mergeCell ref="E41:G41"/>
  </mergeCells>
  <conditionalFormatting sqref="AC4:AC16 AC56:AC57 AC59:AC63 AC69 AC35:AC36 AC28:AC31 AC25:AC26 AC38:AC41">
    <cfRule type="cellIs" dxfId="22" priority="85" operator="lessThan">
      <formula>80</formula>
    </cfRule>
    <cfRule type="cellIs" dxfId="21" priority="86" operator="greaterThan">
      <formula>0.8</formula>
    </cfRule>
  </conditionalFormatting>
  <conditionalFormatting sqref="AC17:AC19">
    <cfRule type="cellIs" dxfId="20" priority="25" operator="lessThan">
      <formula>80</formula>
    </cfRule>
    <cfRule type="cellIs" dxfId="19" priority="26" operator="greaterThan">
      <formula>0.8</formula>
    </cfRule>
  </conditionalFormatting>
  <conditionalFormatting sqref="AC70">
    <cfRule type="cellIs" dxfId="18" priority="17" operator="lessThan">
      <formula>80</formula>
    </cfRule>
    <cfRule type="cellIs" dxfId="17" priority="18" operator="greaterThan">
      <formula>0.8</formula>
    </cfRule>
  </conditionalFormatting>
  <conditionalFormatting sqref="AC58">
    <cfRule type="cellIs" dxfId="16" priority="11" operator="lessThan">
      <formula>80</formula>
    </cfRule>
    <cfRule type="cellIs" dxfId="15" priority="12" operator="greaterThan">
      <formula>0.8</formula>
    </cfRule>
  </conditionalFormatting>
  <conditionalFormatting sqref="AC64:AC68">
    <cfRule type="cellIs" dxfId="14" priority="13" operator="lessThan">
      <formula>80</formula>
    </cfRule>
    <cfRule type="cellIs" dxfId="13" priority="14" operator="greaterThan">
      <formula>0.8</formula>
    </cfRule>
  </conditionalFormatting>
  <conditionalFormatting sqref="AC23:AC24">
    <cfRule type="cellIs" dxfId="12" priority="9" operator="lessThan">
      <formula>80</formula>
    </cfRule>
    <cfRule type="cellIs" dxfId="11" priority="10" operator="greaterThan">
      <formula>0.8</formula>
    </cfRule>
  </conditionalFormatting>
  <conditionalFormatting sqref="AC20">
    <cfRule type="cellIs" dxfId="10" priority="7" operator="lessThan">
      <formula>80</formula>
    </cfRule>
    <cfRule type="cellIs" dxfId="9" priority="8" operator="greaterThan">
      <formula>0.8</formula>
    </cfRule>
  </conditionalFormatting>
  <conditionalFormatting sqref="AC21">
    <cfRule type="cellIs" dxfId="8" priority="3" operator="lessThan">
      <formula>80</formula>
    </cfRule>
    <cfRule type="cellIs" dxfId="7" priority="4" operator="greaterThan">
      <formula>0.8</formula>
    </cfRule>
  </conditionalFormatting>
  <conditionalFormatting sqref="AC22">
    <cfRule type="cellIs" dxfId="6" priority="5" operator="lessThan">
      <formula>80</formula>
    </cfRule>
    <cfRule type="cellIs" dxfId="5" priority="6" operator="greaterThan">
      <formula>0.8</formula>
    </cfRule>
  </conditionalFormatting>
  <conditionalFormatting sqref="AC27">
    <cfRule type="cellIs" dxfId="4" priority="1" operator="lessThan">
      <formula>80</formula>
    </cfRule>
    <cfRule type="cellIs" dxfId="3" priority="2" operator="greaterThan">
      <formula>0.8</formula>
    </cfRule>
  </conditionalFormatting>
  <pageMargins left="0.25" right="0.25" top="0.75" bottom="0.75" header="0.3" footer="0.3"/>
  <pageSetup scale="7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46"/>
  <sheetViews>
    <sheetView workbookViewId="0">
      <pane xSplit="4" ySplit="2" topLeftCell="E3" activePane="bottomRight" state="frozen"/>
      <selection pane="topRight" activeCell="E1" sqref="E1"/>
      <selection pane="bottomLeft" activeCell="A3" sqref="A3"/>
      <selection pane="bottomRight" activeCell="A3" sqref="A3:A16"/>
    </sheetView>
  </sheetViews>
  <sheetFormatPr defaultRowHeight="12.75"/>
  <cols>
    <col min="1" max="2" width="19.28515625" style="97" bestFit="1" customWidth="1"/>
    <col min="3" max="3" width="24.42578125" bestFit="1" customWidth="1"/>
    <col min="4" max="4" width="13.5703125" customWidth="1"/>
    <col min="5" max="5" width="18.5703125" style="97" bestFit="1" customWidth="1"/>
    <col min="6" max="6" width="15" style="264" bestFit="1" customWidth="1"/>
    <col min="7" max="7" width="9.42578125" bestFit="1" customWidth="1"/>
    <col min="8" max="8" width="9.5703125" bestFit="1" customWidth="1"/>
    <col min="9" max="9" width="37.140625" style="255" customWidth="1"/>
    <col min="10" max="10" width="37.7109375" style="255" customWidth="1"/>
  </cols>
  <sheetData>
    <row r="2" spans="1:10" s="266" customFormat="1" ht="38.25">
      <c r="A2" s="265" t="s">
        <v>191</v>
      </c>
      <c r="B2" s="266" t="s">
        <v>118</v>
      </c>
      <c r="C2" s="266" t="s">
        <v>186</v>
      </c>
      <c r="D2" s="266" t="s">
        <v>187</v>
      </c>
      <c r="E2" s="266" t="s">
        <v>170</v>
      </c>
      <c r="F2" s="267" t="s">
        <v>188</v>
      </c>
      <c r="G2" s="266" t="s">
        <v>189</v>
      </c>
      <c r="H2" s="266" t="s">
        <v>190</v>
      </c>
      <c r="I2" s="268" t="s">
        <v>205</v>
      </c>
      <c r="J2" s="268" t="s">
        <v>204</v>
      </c>
    </row>
    <row r="3" spans="1:10">
      <c r="A3" s="970" t="str">
        <f>+'Current POC''s n Projects'!A4</f>
        <v>Atul</v>
      </c>
      <c r="B3" s="970" t="str">
        <f>+'Current POC''s n Projects'!B4</f>
        <v>Optum</v>
      </c>
      <c r="C3" s="257" t="str">
        <f>+'Current POC''s n Projects'!D4</f>
        <v>PNSO - CCI</v>
      </c>
      <c r="D3" s="258">
        <f>+'Current POC''s n Projects'!E4</f>
        <v>1</v>
      </c>
      <c r="E3" s="259" t="str">
        <f>+'Current POC''s n Projects'!F4</f>
        <v>Completed</v>
      </c>
      <c r="F3" s="262" t="str">
        <f>+'Current POC''s n Projects'!G4</f>
        <v>Completed</v>
      </c>
      <c r="G3" s="260">
        <f>+'Current POC''s n Projects'!L4</f>
        <v>42529</v>
      </c>
      <c r="H3" s="260">
        <f>+'Current POC''s n Projects'!M4</f>
        <v>42602</v>
      </c>
      <c r="I3" s="261"/>
      <c r="J3" s="261"/>
    </row>
    <row r="4" spans="1:10">
      <c r="A4" s="970">
        <f>+'Current POC''s n Projects'!A5</f>
        <v>0</v>
      </c>
      <c r="B4" s="970"/>
      <c r="C4" t="str">
        <f>+'Current POC''s n Projects'!D5</f>
        <v>PNSO - GLO</v>
      </c>
      <c r="D4" s="252">
        <f>+'Current POC''s n Projects'!E5</f>
        <v>0.95</v>
      </c>
      <c r="E4" s="254" t="str">
        <f>+'Current POC''s n Projects'!F5</f>
        <v>Go-Live</v>
      </c>
      <c r="F4" s="263">
        <f>+'Current POC''s n Projects'!G5</f>
        <v>43190</v>
      </c>
      <c r="G4" s="253">
        <f>+'Current POC''s n Projects'!L5</f>
        <v>42566</v>
      </c>
      <c r="H4" s="253">
        <f>+'Current POC''s n Projects'!M5</f>
        <v>0</v>
      </c>
      <c r="I4" s="261" t="s">
        <v>193</v>
      </c>
      <c r="J4" s="261"/>
    </row>
    <row r="5" spans="1:10">
      <c r="A5" s="970">
        <f>+'Current POC''s n Projects'!A6</f>
        <v>0</v>
      </c>
      <c r="B5" s="970"/>
      <c r="C5" s="257" t="str">
        <f>+'Current POC''s n Projects'!D6</f>
        <v>PNSO - Author</v>
      </c>
      <c r="D5" s="258">
        <f>+'Current POC''s n Projects'!E6</f>
        <v>1</v>
      </c>
      <c r="E5" s="259" t="str">
        <f>+'Current POC''s n Projects'!F6</f>
        <v>Completed</v>
      </c>
      <c r="F5" s="262" t="str">
        <f>+'Current POC''s n Projects'!G6</f>
        <v>Completed</v>
      </c>
      <c r="G5" s="260">
        <f>+'Current POC''s n Projects'!L6</f>
        <v>42534</v>
      </c>
      <c r="H5" s="260">
        <f>+'Current POC''s n Projects'!M6</f>
        <v>42602</v>
      </c>
      <c r="I5" s="261"/>
      <c r="J5" s="261"/>
    </row>
    <row r="6" spans="1:10">
      <c r="A6" s="970">
        <f>+'Current POC''s n Projects'!A7</f>
        <v>0</v>
      </c>
      <c r="B6" s="970"/>
      <c r="C6" s="257" t="str">
        <f>+'Current POC''s n Projects'!D7</f>
        <v>PNSO-MPQ</v>
      </c>
      <c r="D6" s="258">
        <f>+'Current POC''s n Projects'!E7</f>
        <v>1</v>
      </c>
      <c r="E6" s="259" t="str">
        <f>+'Current POC''s n Projects'!F7</f>
        <v>Completed</v>
      </c>
      <c r="F6" s="262" t="str">
        <f>+'Current POC''s n Projects'!G7</f>
        <v>Completed</v>
      </c>
      <c r="G6" s="260">
        <f>+'Current POC''s n Projects'!L7</f>
        <v>42606</v>
      </c>
      <c r="H6" s="260">
        <f>+'Current POC''s n Projects'!M7</f>
        <v>42668</v>
      </c>
      <c r="I6" s="261"/>
      <c r="J6" s="261"/>
    </row>
    <row r="7" spans="1:10" ht="25.5">
      <c r="A7" s="970">
        <f>+'Current POC''s n Projects'!A8</f>
        <v>0</v>
      </c>
      <c r="B7" s="970"/>
      <c r="C7" t="str">
        <f>+'Current POC''s n Projects'!D8</f>
        <v>ID Creation</v>
      </c>
      <c r="D7" s="252">
        <f>+'Current POC''s n Projects'!E8</f>
        <v>0.95</v>
      </c>
      <c r="E7" s="254" t="str">
        <f>+'Current POC''s n Projects'!F8</f>
        <v>Go-Live</v>
      </c>
      <c r="F7" s="263">
        <f>+'Current POC''s n Projects'!G8</f>
        <v>43174</v>
      </c>
      <c r="G7" s="253">
        <f>+'Current POC''s n Projects'!L8</f>
        <v>42573</v>
      </c>
      <c r="H7" s="253">
        <f>+'Current POC''s n Projects'!M8</f>
        <v>0</v>
      </c>
      <c r="I7" s="261" t="s">
        <v>192</v>
      </c>
      <c r="J7" s="261"/>
    </row>
    <row r="8" spans="1:10">
      <c r="A8" s="970">
        <f>+'Current POC''s n Projects'!A9</f>
        <v>0</v>
      </c>
      <c r="B8" s="970"/>
      <c r="C8" t="str">
        <f>+'Current POC''s n Projects'!D9</f>
        <v>UMR</v>
      </c>
      <c r="D8" s="252">
        <f>+'Current POC''s n Projects'!E9</f>
        <v>0.85</v>
      </c>
      <c r="E8" s="254" t="str">
        <f>+'Current POC''s n Projects'!F9</f>
        <v>On Hold</v>
      </c>
      <c r="F8" s="263" t="str">
        <f>+'Current POC''s n Projects'!G9</f>
        <v>Hold</v>
      </c>
      <c r="G8" s="253">
        <f>+'Current POC''s n Projects'!L9</f>
        <v>42709</v>
      </c>
      <c r="H8" s="253">
        <f>+'Current POC''s n Projects'!M9</f>
        <v>0</v>
      </c>
      <c r="I8" s="261" t="s">
        <v>198</v>
      </c>
      <c r="J8" s="261"/>
    </row>
    <row r="9" spans="1:10">
      <c r="A9" s="970">
        <f>+'Current POC''s n Projects'!A10</f>
        <v>0</v>
      </c>
      <c r="B9" s="970"/>
      <c r="C9" t="str">
        <f>+'Current POC''s n Projects'!D10</f>
        <v>M&amp;R Claims</v>
      </c>
      <c r="D9" s="252">
        <f>+'Current POC''s n Projects'!E10</f>
        <v>0.95</v>
      </c>
      <c r="E9" s="254" t="str">
        <f>+'Current POC''s n Projects'!F10</f>
        <v>Go-Live</v>
      </c>
      <c r="F9" s="263">
        <f>+'Current POC''s n Projects'!G10</f>
        <v>43190</v>
      </c>
      <c r="G9" s="253">
        <f>+'Current POC''s n Projects'!L10</f>
        <v>42751</v>
      </c>
      <c r="H9" s="256">
        <f>+'Current POC''s n Projects'!M10</f>
        <v>0</v>
      </c>
      <c r="I9" s="261" t="s">
        <v>196</v>
      </c>
      <c r="J9" s="261"/>
    </row>
    <row r="10" spans="1:10" ht="25.5">
      <c r="A10" s="970">
        <f>+'Current POC''s n Projects'!A11</f>
        <v>0</v>
      </c>
      <c r="B10" s="970"/>
      <c r="C10" t="str">
        <f>+'Current POC''s n Projects'!D11</f>
        <v>E&amp;I</v>
      </c>
      <c r="D10" s="252">
        <f>+'Current POC''s n Projects'!E11</f>
        <v>0.9</v>
      </c>
      <c r="E10" s="254" t="str">
        <f>+'Current POC''s n Projects'!F11</f>
        <v>Go-Live</v>
      </c>
      <c r="F10" s="263">
        <f>+'Current POC''s n Projects'!G11</f>
        <v>43190</v>
      </c>
      <c r="G10" s="253">
        <f>+'Current POC''s n Projects'!L11</f>
        <v>42751</v>
      </c>
      <c r="H10" s="256">
        <f>+'Current POC''s n Projects'!M11</f>
        <v>0</v>
      </c>
      <c r="I10" s="261" t="s">
        <v>197</v>
      </c>
      <c r="J10" s="261"/>
    </row>
    <row r="11" spans="1:10">
      <c r="A11" s="970">
        <f>+'Current POC''s n Projects'!A12</f>
        <v>0</v>
      </c>
      <c r="B11" s="970"/>
      <c r="C11" t="str">
        <f>+'Current POC''s n Projects'!D12</f>
        <v xml:space="preserve">M&amp;R UBH </v>
      </c>
      <c r="D11" s="252">
        <f>+'Current POC''s n Projects'!E12</f>
        <v>0.75</v>
      </c>
      <c r="E11" s="254" t="str">
        <f>+'Current POC''s n Projects'!F12</f>
        <v>On Hold</v>
      </c>
      <c r="F11" s="263" t="str">
        <f>+'Current POC''s n Projects'!G12</f>
        <v>Hold</v>
      </c>
      <c r="G11" s="253">
        <f>+'Current POC''s n Projects'!L12</f>
        <v>42744</v>
      </c>
      <c r="H11" s="256">
        <f>+'Current POC''s n Projects'!M12</f>
        <v>0</v>
      </c>
      <c r="I11" s="261" t="s">
        <v>198</v>
      </c>
      <c r="J11" s="261"/>
    </row>
    <row r="12" spans="1:10">
      <c r="A12" s="970">
        <f>+'Current POC''s n Projects'!A13</f>
        <v>0</v>
      </c>
      <c r="B12" s="970"/>
      <c r="C12" t="str">
        <f>+'Current POC''s n Projects'!D13</f>
        <v>E&amp;I Support</v>
      </c>
      <c r="D12" s="252">
        <f>+'Current POC''s n Projects'!E13</f>
        <v>0.9</v>
      </c>
      <c r="E12" s="254" t="str">
        <f>+'Current POC''s n Projects'!F13</f>
        <v>On Hold</v>
      </c>
      <c r="F12" s="263" t="str">
        <f>+'Current POC''s n Projects'!G13</f>
        <v>UAT-15th Jan'18</v>
      </c>
      <c r="G12" s="253">
        <f>+'Current POC''s n Projects'!L13</f>
        <v>42850</v>
      </c>
      <c r="H12" s="256">
        <f>+'Current POC''s n Projects'!M13</f>
        <v>0</v>
      </c>
      <c r="I12" s="261"/>
      <c r="J12" s="261"/>
    </row>
    <row r="13" spans="1:10" ht="25.5">
      <c r="A13" s="970">
        <f>+'Current POC''s n Projects'!A14</f>
        <v>0</v>
      </c>
      <c r="B13" s="970"/>
      <c r="C13" t="str">
        <f>+'Current POC''s n Projects'!D14</f>
        <v>SMS Missing</v>
      </c>
      <c r="D13" s="252">
        <f>+'Current POC''s n Projects'!E14</f>
        <v>0.7</v>
      </c>
      <c r="E13" s="254" t="str">
        <f>+'Current POC''s n Projects'!F14</f>
        <v>On Hold</v>
      </c>
      <c r="F13" s="263" t="str">
        <f>+'Current POC''s n Projects'!G14</f>
        <v>Hold</v>
      </c>
      <c r="G13" s="253">
        <f>+'Current POC''s n Projects'!L14</f>
        <v>42849</v>
      </c>
      <c r="H13" s="256">
        <f>+'Current POC''s n Projects'!M14</f>
        <v>0</v>
      </c>
      <c r="I13" s="261" t="s">
        <v>195</v>
      </c>
      <c r="J13" s="261"/>
    </row>
    <row r="14" spans="1:10" ht="25.5">
      <c r="A14" s="970">
        <f>+'Current POC''s n Projects'!A15</f>
        <v>0</v>
      </c>
      <c r="B14" s="970"/>
      <c r="C14" t="str">
        <f>+'Current POC''s n Projects'!D15</f>
        <v>Billing</v>
      </c>
      <c r="D14" s="252">
        <f>+'Current POC''s n Projects'!E15</f>
        <v>0.95</v>
      </c>
      <c r="E14" s="254" t="str">
        <f>+'Current POC''s n Projects'!F15</f>
        <v>Go-Live</v>
      </c>
      <c r="F14" s="263">
        <f>+'Current POC''s n Projects'!G15</f>
        <v>43174</v>
      </c>
      <c r="G14" s="253">
        <f>+'Current POC''s n Projects'!L15</f>
        <v>42961</v>
      </c>
      <c r="H14" s="256">
        <f>+'Current POC''s n Projects'!M15</f>
        <v>0</v>
      </c>
      <c r="I14" s="261" t="s">
        <v>194</v>
      </c>
      <c r="J14" s="261"/>
    </row>
    <row r="15" spans="1:10" ht="25.5">
      <c r="A15" s="970">
        <f>+'Current POC''s n Projects'!A16</f>
        <v>0</v>
      </c>
      <c r="B15" s="970"/>
      <c r="C15" t="str">
        <f>+'Current POC''s n Projects'!D16</f>
        <v>Chiro</v>
      </c>
      <c r="D15" s="252">
        <f>+'Current POC''s n Projects'!E16</f>
        <v>1</v>
      </c>
      <c r="E15" s="254" t="str">
        <f>+'Current POC''s n Projects'!F16</f>
        <v>Completed</v>
      </c>
      <c r="F15" s="263">
        <f>+'Current POC''s n Projects'!G16</f>
        <v>43159</v>
      </c>
      <c r="G15" s="253">
        <f>+'Current POC''s n Projects'!L16</f>
        <v>42999</v>
      </c>
      <c r="H15" s="256">
        <f>+'Current POC''s n Projects'!M16</f>
        <v>0</v>
      </c>
      <c r="I15" s="261" t="s">
        <v>195</v>
      </c>
      <c r="J15" s="261"/>
    </row>
    <row r="16" spans="1:10" ht="76.5">
      <c r="A16" s="970" t="e">
        <f>+'Current POC''s n Projects'!#REF!</f>
        <v>#REF!</v>
      </c>
      <c r="B16" s="970"/>
      <c r="C16" t="e">
        <f>+'Current POC''s n Projects'!#REF!</f>
        <v>#REF!</v>
      </c>
      <c r="D16" s="252" t="e">
        <f>+'Current POC''s n Projects'!#REF!</f>
        <v>#REF!</v>
      </c>
      <c r="E16" s="254" t="e">
        <f>+'Current POC''s n Projects'!#REF!</f>
        <v>#REF!</v>
      </c>
      <c r="F16" s="263" t="e">
        <f>+'Current POC''s n Projects'!#REF!</f>
        <v>#REF!</v>
      </c>
      <c r="G16" s="253" t="e">
        <f>+'Current POC''s n Projects'!#REF!</f>
        <v>#REF!</v>
      </c>
      <c r="H16" s="256" t="e">
        <f>+'Current POC''s n Projects'!#REF!</f>
        <v>#REF!</v>
      </c>
      <c r="I16" s="261" t="s">
        <v>199</v>
      </c>
      <c r="J16" s="261"/>
    </row>
    <row r="17" spans="1:10" ht="12.75" customHeight="1">
      <c r="A17" s="970" t="str">
        <f>+'Current POC''s n Projects'!A20</f>
        <v>Ish</v>
      </c>
      <c r="B17" s="970" t="str">
        <f>+'Current POC''s n Projects'!B20</f>
        <v>Kotak-I</v>
      </c>
      <c r="C17" t="str">
        <f>+'Current POC''s n Projects'!D20</f>
        <v>Payment Gateway</v>
      </c>
      <c r="D17" s="252">
        <f>+'Current POC''s n Projects'!E20</f>
        <v>1</v>
      </c>
      <c r="E17" s="254" t="str">
        <f>+'Current POC''s n Projects'!F20</f>
        <v>Completed</v>
      </c>
      <c r="F17" s="263">
        <f>+'Current POC''s n Projects'!G20</f>
        <v>43045</v>
      </c>
      <c r="G17" s="253">
        <f>+'Current POC''s n Projects'!L20</f>
        <v>42780</v>
      </c>
      <c r="H17" s="253">
        <f>+'Current POC''s n Projects'!M20</f>
        <v>43045</v>
      </c>
      <c r="I17" s="967" t="s">
        <v>200</v>
      </c>
      <c r="J17" s="968" t="s">
        <v>201</v>
      </c>
    </row>
    <row r="18" spans="1:10">
      <c r="A18" s="970">
        <f>+'Current POC''s n Projects'!A21</f>
        <v>0</v>
      </c>
      <c r="B18" s="970"/>
      <c r="C18" t="str">
        <f>+'Current POC''s n Projects'!D21</f>
        <v>Salary Processing</v>
      </c>
      <c r="D18" s="252">
        <f>+'Current POC''s n Projects'!E21</f>
        <v>1</v>
      </c>
      <c r="E18" s="254" t="str">
        <f>+'Current POC''s n Projects'!F21</f>
        <v>Completed</v>
      </c>
      <c r="F18" s="263">
        <f>+'Current POC''s n Projects'!G21</f>
        <v>43084</v>
      </c>
      <c r="G18" s="253">
        <f>+'Current POC''s n Projects'!L21</f>
        <v>42779</v>
      </c>
      <c r="H18" s="253">
        <f>+'Current POC''s n Projects'!M21</f>
        <v>43084</v>
      </c>
      <c r="I18" s="967"/>
      <c r="J18" s="968"/>
    </row>
    <row r="19" spans="1:10">
      <c r="A19" s="970">
        <f>+'Current POC''s n Projects'!A22</f>
        <v>0</v>
      </c>
      <c r="B19" s="970"/>
      <c r="C19" s="257" t="str">
        <f>+'Current POC''s n Projects'!D22</f>
        <v>EEFC</v>
      </c>
      <c r="D19" s="258">
        <f>+'Current POC''s n Projects'!E22</f>
        <v>0.9</v>
      </c>
      <c r="E19" s="259" t="str">
        <f>+'Current POC''s n Projects'!F22</f>
        <v>Cancelled</v>
      </c>
      <c r="F19" s="262">
        <f>+'Current POC''s n Projects'!G22</f>
        <v>43119</v>
      </c>
      <c r="G19" s="260">
        <f>+'Current POC''s n Projects'!L22</f>
        <v>42787</v>
      </c>
      <c r="H19" s="260">
        <f>+'Current POC''s n Projects'!M22</f>
        <v>0</v>
      </c>
      <c r="I19" s="261"/>
      <c r="J19" s="261"/>
    </row>
    <row r="20" spans="1:10" ht="89.25">
      <c r="A20" s="970" t="e">
        <f>+'Current POC''s n Projects'!#REF!</f>
        <v>#REF!</v>
      </c>
      <c r="B20" s="970"/>
      <c r="C20" t="e">
        <f>+'Current POC''s n Projects'!#REF!</f>
        <v>#REF!</v>
      </c>
      <c r="D20" s="252" t="e">
        <f>+'Current POC''s n Projects'!#REF!</f>
        <v>#REF!</v>
      </c>
      <c r="E20" s="254" t="e">
        <f>+'Current POC''s n Projects'!#REF!</f>
        <v>#REF!</v>
      </c>
      <c r="F20" s="263" t="e">
        <f>+'Current POC''s n Projects'!#REF!</f>
        <v>#REF!</v>
      </c>
      <c r="G20" s="253" t="e">
        <f>+'Current POC''s n Projects'!#REF!</f>
        <v>#REF!</v>
      </c>
      <c r="H20" s="253" t="e">
        <f>+'Current POC''s n Projects'!#REF!</f>
        <v>#REF!</v>
      </c>
      <c r="I20" s="261" t="s">
        <v>202</v>
      </c>
      <c r="J20" s="269" t="s">
        <v>203</v>
      </c>
    </row>
    <row r="21" spans="1:10" ht="17.25" customHeight="1">
      <c r="A21" s="970" t="e">
        <f>+'Current POC''s n Projects'!#REF!</f>
        <v>#REF!</v>
      </c>
      <c r="B21" s="970" t="e">
        <f>+'Current POC''s n Projects'!#REF!</f>
        <v>#REF!</v>
      </c>
      <c r="C21" t="e">
        <f>+'Current POC''s n Projects'!#REF!</f>
        <v>#REF!</v>
      </c>
      <c r="D21" s="252" t="e">
        <f>+'Current POC''s n Projects'!#REF!</f>
        <v>#REF!</v>
      </c>
      <c r="E21" s="254" t="e">
        <f>+'Current POC''s n Projects'!#REF!</f>
        <v>#REF!</v>
      </c>
      <c r="F21" s="263" t="e">
        <f>+'Current POC''s n Projects'!#REF!</f>
        <v>#REF!</v>
      </c>
      <c r="G21" s="253" t="e">
        <f>+'Current POC''s n Projects'!#REF!</f>
        <v>#REF!</v>
      </c>
      <c r="H21" s="256" t="e">
        <f>+'Current POC''s n Projects'!#REF!</f>
        <v>#REF!</v>
      </c>
      <c r="I21" s="261"/>
      <c r="J21" s="969" t="s">
        <v>206</v>
      </c>
    </row>
    <row r="22" spans="1:10" ht="17.25" customHeight="1">
      <c r="A22" s="970">
        <f>+'Current POC''s n Projects'!A25</f>
        <v>0</v>
      </c>
      <c r="B22" s="970"/>
      <c r="C22" t="str">
        <f>+'Current POC''s n Projects'!D25</f>
        <v>IMPS and UPI Comp.</v>
      </c>
      <c r="D22" s="252">
        <f>+'Current POC''s n Projects'!E25</f>
        <v>0.6</v>
      </c>
      <c r="E22" s="254" t="str">
        <f>+'Current POC''s n Projects'!F25</f>
        <v>Dev</v>
      </c>
      <c r="F22" s="263">
        <f>+'Current POC''s n Projects'!G25</f>
        <v>43166</v>
      </c>
      <c r="G22" s="253">
        <f>+'Current POC''s n Projects'!L25</f>
        <v>42989</v>
      </c>
      <c r="H22" s="253">
        <f>+'Current POC''s n Projects'!M25</f>
        <v>43112</v>
      </c>
      <c r="I22" s="261"/>
      <c r="J22" s="969"/>
    </row>
    <row r="23" spans="1:10" ht="18" customHeight="1">
      <c r="A23" s="970">
        <f>+'Current POC''s n Projects'!A26</f>
        <v>0</v>
      </c>
      <c r="B23" s="970"/>
      <c r="C23" t="str">
        <f>+'Current POC''s n Projects'!D26</f>
        <v>ATM Complaints</v>
      </c>
      <c r="D23" s="252">
        <f>+'Current POC''s n Projects'!E26</f>
        <v>0.5</v>
      </c>
      <c r="E23" s="254" t="str">
        <f>+'Current POC''s n Projects'!F26</f>
        <v>Dev</v>
      </c>
      <c r="F23" s="263">
        <f>+'Current POC''s n Projects'!G26</f>
        <v>43171</v>
      </c>
      <c r="G23" s="253">
        <f>+'Current POC''s n Projects'!L26</f>
        <v>42990</v>
      </c>
      <c r="H23" s="253">
        <f>+'Current POC''s n Projects'!M26</f>
        <v>43117</v>
      </c>
      <c r="I23" s="261"/>
      <c r="J23" s="969"/>
    </row>
    <row r="24" spans="1:10">
      <c r="A24" s="970">
        <f>+'Current POC''s n Projects'!A28</f>
        <v>0</v>
      </c>
      <c r="B24" s="970"/>
      <c r="C24" t="str">
        <f>+'Current POC''s n Projects'!D28</f>
        <v>POS Complaints</v>
      </c>
      <c r="D24" s="252">
        <f>+'Current POC''s n Projects'!E28</f>
        <v>0.4</v>
      </c>
      <c r="E24" s="254" t="str">
        <f>+'Current POC''s n Projects'!F28</f>
        <v>Dev</v>
      </c>
      <c r="F24" s="263">
        <f>+'Current POC''s n Projects'!G28</f>
        <v>43175</v>
      </c>
      <c r="G24" s="256">
        <f>+'Current POC''s n Projects'!L28</f>
        <v>0</v>
      </c>
      <c r="H24" s="256">
        <f>+'Current POC''s n Projects'!M28</f>
        <v>0</v>
      </c>
      <c r="I24" s="261"/>
      <c r="J24" s="261"/>
    </row>
    <row r="25" spans="1:10">
      <c r="A25" s="970">
        <f>+'Current POC''s n Projects'!A29</f>
        <v>0</v>
      </c>
      <c r="B25" s="970"/>
      <c r="C25" t="str">
        <f>+'Current POC''s n Projects'!D29</f>
        <v>CRN Insta Kits</v>
      </c>
      <c r="D25" s="252">
        <f>+'Current POC''s n Projects'!E29</f>
        <v>0.15</v>
      </c>
      <c r="E25" s="254" t="str">
        <f>+'Current POC''s n Projects'!F29</f>
        <v>On Hold</v>
      </c>
      <c r="F25" s="263">
        <f>+'Current POC''s n Projects'!G29</f>
        <v>43021</v>
      </c>
      <c r="G25" s="256">
        <f>+'Current POC''s n Projects'!L29</f>
        <v>0</v>
      </c>
      <c r="H25" s="256">
        <f>+'Current POC''s n Projects'!M29</f>
        <v>0</v>
      </c>
      <c r="I25" s="261"/>
      <c r="J25" s="261"/>
    </row>
    <row r="26" spans="1:10" ht="63.75" customHeight="1">
      <c r="A26" s="970" t="str">
        <f>+'Current POC''s n Projects'!A31</f>
        <v>Ish</v>
      </c>
      <c r="B26" s="970" t="str">
        <f>+'Current POC''s n Projects'!B31</f>
        <v>Oman Arab Bank</v>
      </c>
      <c r="C26" t="str">
        <f>+'Current POC''s n Projects'!D31</f>
        <v>ATM Reconciliation</v>
      </c>
      <c r="D26" s="252">
        <f>+'Current POC''s n Projects'!E31</f>
        <v>0.9</v>
      </c>
      <c r="E26" s="254" t="str">
        <f>+'Current POC''s n Projects'!F31</f>
        <v>Go-Live</v>
      </c>
      <c r="F26" s="263">
        <f>+'Current POC''s n Projects'!G31</f>
        <v>43157</v>
      </c>
      <c r="G26" s="253">
        <f>+'Current POC''s n Projects'!L31</f>
        <v>43054</v>
      </c>
      <c r="H26" s="253">
        <f>+'Current POC''s n Projects'!M31</f>
        <v>43086</v>
      </c>
      <c r="I26" s="261" t="s">
        <v>207</v>
      </c>
      <c r="J26" s="968" t="s">
        <v>210</v>
      </c>
    </row>
    <row r="27" spans="1:10" ht="48.75" customHeight="1">
      <c r="A27" s="970">
        <f>+'Current POC''s n Projects'!A32</f>
        <v>0</v>
      </c>
      <c r="B27" s="970"/>
      <c r="C27" t="str">
        <f>+'Current POC''s n Projects'!D32</f>
        <v>Outgoing Chargeback</v>
      </c>
      <c r="D27" s="252">
        <f>+'Current POC''s n Projects'!E32</f>
        <v>0.9</v>
      </c>
      <c r="E27" s="254" t="str">
        <f>+'Current POC''s n Projects'!F32</f>
        <v>Go-Live</v>
      </c>
      <c r="F27" s="263">
        <f>+'Current POC''s n Projects'!G32</f>
        <v>43157</v>
      </c>
      <c r="G27" s="253">
        <f>+'Current POC''s n Projects'!L32</f>
        <v>43058</v>
      </c>
      <c r="H27" s="253">
        <f>+'Current POC''s n Projects'!M32</f>
        <v>43094</v>
      </c>
      <c r="I27" s="261" t="s">
        <v>208</v>
      </c>
      <c r="J27" s="968"/>
    </row>
    <row r="28" spans="1:10" ht="50.25" customHeight="1">
      <c r="A28" s="970">
        <f>+'Current POC''s n Projects'!A33</f>
        <v>0</v>
      </c>
      <c r="B28" s="970"/>
      <c r="C28" t="str">
        <f>+'Current POC''s n Projects'!D33</f>
        <v>Incoming Chargeback</v>
      </c>
      <c r="D28" s="252">
        <f>+'Current POC''s n Projects'!E33</f>
        <v>0.8</v>
      </c>
      <c r="E28" s="254" t="str">
        <f>+'Current POC''s n Projects'!F33</f>
        <v>Go-Live</v>
      </c>
      <c r="F28" s="263">
        <f>+'Current POC''s n Projects'!G33</f>
        <v>43157</v>
      </c>
      <c r="G28" s="253">
        <f>+'Current POC''s n Projects'!L33</f>
        <v>43060</v>
      </c>
      <c r="H28" s="253">
        <f>+'Current POC''s n Projects'!M33</f>
        <v>42763</v>
      </c>
      <c r="I28" s="261" t="s">
        <v>209</v>
      </c>
      <c r="J28" s="968"/>
    </row>
    <row r="29" spans="1:10">
      <c r="A29" s="97" t="str">
        <f>+'Current POC''s n Projects'!A41</f>
        <v>Dinesh</v>
      </c>
      <c r="B29" s="97" t="str">
        <f>+'Current POC''s n Projects'!B41</f>
        <v>Scope</v>
      </c>
      <c r="C29" t="str">
        <f>+'Current POC''s n Projects'!D41</f>
        <v>Standard Chartered</v>
      </c>
      <c r="D29" s="252">
        <f>+'Current POC''s n Projects'!E41</f>
        <v>0</v>
      </c>
      <c r="E29" s="254">
        <f>+'Current POC''s n Projects'!F41</f>
        <v>0</v>
      </c>
      <c r="F29" s="263">
        <f>+'Current POC''s n Projects'!G41</f>
        <v>0</v>
      </c>
      <c r="G29" s="253">
        <f>+'Current POC''s n Projects'!L41</f>
        <v>42856</v>
      </c>
      <c r="H29" s="253">
        <f>+'Current POC''s n Projects'!M41</f>
        <v>0</v>
      </c>
      <c r="I29" s="261"/>
      <c r="J29" s="261"/>
    </row>
    <row r="30" spans="1:10" ht="76.5">
      <c r="A30" s="970" t="e">
        <f>+'Current POC''s n Projects'!#REF!</f>
        <v>#REF!</v>
      </c>
      <c r="B30" s="970" t="e">
        <f>+'Current POC''s n Projects'!#REF!</f>
        <v>#REF!</v>
      </c>
      <c r="C30" t="e">
        <f>+'Current POC''s n Projects'!#REF!</f>
        <v>#REF!</v>
      </c>
      <c r="D30" s="252" t="e">
        <f>+'Current POC''s n Projects'!#REF!</f>
        <v>#REF!</v>
      </c>
      <c r="E30" s="254" t="e">
        <f>+'Current POC''s n Projects'!#REF!</f>
        <v>#REF!</v>
      </c>
      <c r="F30" s="263" t="e">
        <f>+'Current POC''s n Projects'!#REF!</f>
        <v>#REF!</v>
      </c>
      <c r="G30" s="253" t="e">
        <f>+'Current POC''s n Projects'!#REF!</f>
        <v>#REF!</v>
      </c>
      <c r="H30" s="253" t="e">
        <f>+'Current POC''s n Projects'!#REF!</f>
        <v>#REF!</v>
      </c>
      <c r="I30" s="269" t="s">
        <v>211</v>
      </c>
      <c r="J30" s="261" t="s">
        <v>212</v>
      </c>
    </row>
    <row r="31" spans="1:10" ht="63.75">
      <c r="A31" s="970" t="e">
        <f>+'Current POC''s n Projects'!#REF!</f>
        <v>#REF!</v>
      </c>
      <c r="B31" s="970"/>
      <c r="C31" t="e">
        <f>+'Current POC''s n Projects'!#REF!</f>
        <v>#REF!</v>
      </c>
      <c r="D31" s="252" t="e">
        <f>+'Current POC''s n Projects'!#REF!</f>
        <v>#REF!</v>
      </c>
      <c r="E31" s="254" t="e">
        <f>+'Current POC''s n Projects'!#REF!</f>
        <v>#REF!</v>
      </c>
      <c r="F31" s="263" t="e">
        <f>+'Current POC''s n Projects'!#REF!</f>
        <v>#REF!</v>
      </c>
      <c r="G31" s="253" t="e">
        <f>+'Current POC''s n Projects'!#REF!</f>
        <v>#REF!</v>
      </c>
      <c r="H31" s="256" t="e">
        <f>+'Current POC''s n Projects'!#REF!</f>
        <v>#REF!</v>
      </c>
      <c r="I31" s="261"/>
      <c r="J31" s="269" t="s">
        <v>213</v>
      </c>
    </row>
    <row r="32" spans="1:10">
      <c r="A32" s="97" t="str">
        <f>+'Current POC''s n Projects'!A35</f>
        <v>Saransh</v>
      </c>
      <c r="B32" s="97" t="str">
        <f>+'Current POC''s n Projects'!B35</f>
        <v>FADV</v>
      </c>
      <c r="C32" t="str">
        <f>+'Current POC''s n Projects'!D35</f>
        <v>DQF Express</v>
      </c>
      <c r="D32" s="252">
        <f>+'Current POC''s n Projects'!E35</f>
        <v>0</v>
      </c>
      <c r="E32" s="254">
        <f>+'Current POC''s n Projects'!F35</f>
        <v>0</v>
      </c>
      <c r="F32" s="263">
        <f>+'Current POC''s n Projects'!G35</f>
        <v>0</v>
      </c>
      <c r="G32" s="253">
        <f>+'Current POC''s n Projects'!L35</f>
        <v>42971</v>
      </c>
      <c r="H32" s="256">
        <f>+'Current POC''s n Projects'!M35</f>
        <v>0</v>
      </c>
      <c r="I32" s="261"/>
      <c r="J32" s="261"/>
    </row>
    <row r="33" spans="1:10">
      <c r="A33" s="97" t="str">
        <f>+'Current POC''s n Projects'!A56</f>
        <v>Janhvi</v>
      </c>
      <c r="B33" s="97" t="str">
        <f>+'Current POC''s n Projects'!B56</f>
        <v>Benline</v>
      </c>
      <c r="C33" t="str">
        <f>+'Current POC''s n Projects'!D56</f>
        <v>Bill of Lading</v>
      </c>
      <c r="D33" s="252">
        <f>+'Current POC''s n Projects'!E56</f>
        <v>0</v>
      </c>
      <c r="E33" s="254" t="str">
        <f>+'Current POC''s n Projects'!F56</f>
        <v xml:space="preserve">UAT 
+ 
Dashboard development 
</v>
      </c>
      <c r="F33" s="263">
        <f>+'Current POC''s n Projects'!G56</f>
        <v>43089</v>
      </c>
      <c r="G33" s="253">
        <f>+'Current POC''s n Projects'!L56</f>
        <v>43081</v>
      </c>
      <c r="H33" s="253">
        <f>+'Current POC''s n Projects'!M56</f>
        <v>43109</v>
      </c>
      <c r="I33" s="261"/>
      <c r="J33" s="261"/>
    </row>
    <row r="34" spans="1:10">
      <c r="A34" s="97" t="str">
        <f>+'Current POC''s n Projects'!A38</f>
        <v>Ish</v>
      </c>
      <c r="B34" s="97" t="str">
        <f>+'Current POC''s n Projects'!B38</f>
        <v>ICICI</v>
      </c>
      <c r="C34" t="str">
        <f>+'Current POC''s n Projects'!D38</f>
        <v>ICICI Support</v>
      </c>
      <c r="D34" s="252">
        <f>+'Current POC''s n Projects'!E38</f>
        <v>0</v>
      </c>
      <c r="E34" s="254">
        <f>+'Current POC''s n Projects'!F38</f>
        <v>0</v>
      </c>
      <c r="F34" s="263">
        <f>+'Current POC''s n Projects'!G38</f>
        <v>0</v>
      </c>
      <c r="G34" s="253" t="str">
        <f>+'Current POC''s n Projects'!L38</f>
        <v>15-Arp-17</v>
      </c>
      <c r="H34" s="256">
        <f>+'Current POC''s n Projects'!M38</f>
        <v>42840</v>
      </c>
      <c r="I34" s="261"/>
      <c r="J34" s="261"/>
    </row>
    <row r="35" spans="1:10" ht="25.5">
      <c r="A35" s="97" t="e">
        <f>+'Current POC''s n Projects'!#REF!</f>
        <v>#REF!</v>
      </c>
      <c r="B35" s="97" t="e">
        <f>+'Current POC''s n Projects'!#REF!</f>
        <v>#REF!</v>
      </c>
      <c r="C35" t="e">
        <f>+'Current POC''s n Projects'!#REF!</f>
        <v>#REF!</v>
      </c>
      <c r="D35" s="252" t="e">
        <f>+'Current POC''s n Projects'!#REF!</f>
        <v>#REF!</v>
      </c>
      <c r="E35" s="254" t="e">
        <f>+'Current POC''s n Projects'!#REF!</f>
        <v>#REF!</v>
      </c>
      <c r="F35" s="263" t="e">
        <f>+'Current POC''s n Projects'!#REF!</f>
        <v>#REF!</v>
      </c>
      <c r="G35" s="253" t="e">
        <f>+'Current POC''s n Projects'!#REF!</f>
        <v>#REF!</v>
      </c>
      <c r="H35" s="256" t="e">
        <f>+'Current POC''s n Projects'!#REF!</f>
        <v>#REF!</v>
      </c>
      <c r="I35" s="261" t="s">
        <v>215</v>
      </c>
      <c r="J35" s="261"/>
    </row>
    <row r="36" spans="1:10" ht="25.5">
      <c r="A36" s="97" t="e">
        <f>+'Current POC''s n Projects'!#REF!</f>
        <v>#REF!</v>
      </c>
      <c r="B36" s="97" t="e">
        <f>+'Current POC''s n Projects'!#REF!</f>
        <v>#REF!</v>
      </c>
      <c r="C36" t="e">
        <f>+'Current POC''s n Projects'!#REF!</f>
        <v>#REF!</v>
      </c>
      <c r="D36" s="252" t="e">
        <f>+'Current POC''s n Projects'!#REF!</f>
        <v>#REF!</v>
      </c>
      <c r="E36" s="254" t="e">
        <f>+'Current POC''s n Projects'!#REF!</f>
        <v>#REF!</v>
      </c>
      <c r="F36" s="263" t="e">
        <f>+'Current POC''s n Projects'!#REF!</f>
        <v>#REF!</v>
      </c>
      <c r="G36" s="253" t="e">
        <f>+'Current POC''s n Projects'!#REF!</f>
        <v>#REF!</v>
      </c>
      <c r="H36" s="256" t="e">
        <f>+'Current POC''s n Projects'!#REF!</f>
        <v>#REF!</v>
      </c>
      <c r="I36" s="261" t="s">
        <v>214</v>
      </c>
      <c r="J36" s="261"/>
    </row>
    <row r="37" spans="1:10" ht="25.5">
      <c r="A37" s="97" t="e">
        <f>+'Current POC''s n Projects'!#REF!</f>
        <v>#REF!</v>
      </c>
      <c r="B37" s="97" t="e">
        <f>+'Current POC''s n Projects'!#REF!</f>
        <v>#REF!</v>
      </c>
      <c r="C37" t="e">
        <f>+'Current POC''s n Projects'!#REF!</f>
        <v>#REF!</v>
      </c>
      <c r="D37" s="252" t="e">
        <f>+'Current POC''s n Projects'!#REF!</f>
        <v>#REF!</v>
      </c>
      <c r="E37" s="254" t="e">
        <f>+'Current POC''s n Projects'!#REF!</f>
        <v>#REF!</v>
      </c>
      <c r="F37" s="263" t="e">
        <f>+'Current POC''s n Projects'!#REF!</f>
        <v>#REF!</v>
      </c>
      <c r="G37" s="253" t="e">
        <f>+'Current POC''s n Projects'!#REF!</f>
        <v>#REF!</v>
      </c>
      <c r="H37" s="256" t="e">
        <f>+'Current POC''s n Projects'!#REF!</f>
        <v>#REF!</v>
      </c>
      <c r="I37" s="261" t="s">
        <v>216</v>
      </c>
      <c r="J37" s="261"/>
    </row>
    <row r="38" spans="1:10">
      <c r="A38" s="97" t="e">
        <f>+'Current POC''s n Projects'!#REF!</f>
        <v>#REF!</v>
      </c>
      <c r="B38" s="97" t="e">
        <f>+'Current POC''s n Projects'!#REF!</f>
        <v>#REF!</v>
      </c>
      <c r="C38" t="e">
        <f>+'Current POC''s n Projects'!#REF!</f>
        <v>#REF!</v>
      </c>
      <c r="D38" s="252" t="e">
        <f>+'Current POC''s n Projects'!#REF!</f>
        <v>#REF!</v>
      </c>
      <c r="E38" s="254" t="e">
        <f>+'Current POC''s n Projects'!#REF!</f>
        <v>#REF!</v>
      </c>
      <c r="F38" s="263" t="e">
        <f>+'Current POC''s n Projects'!#REF!</f>
        <v>#REF!</v>
      </c>
      <c r="G38" s="253" t="e">
        <f>+'Current POC''s n Projects'!#REF!</f>
        <v>#REF!</v>
      </c>
      <c r="H38" s="256" t="e">
        <f>+'Current POC''s n Projects'!#REF!</f>
        <v>#REF!</v>
      </c>
      <c r="I38" s="261" t="s">
        <v>217</v>
      </c>
      <c r="J38" s="261"/>
    </row>
    <row r="39" spans="1:10">
      <c r="A39" s="97" t="e">
        <f>+'Current POC''s n Projects'!#REF!</f>
        <v>#REF!</v>
      </c>
      <c r="B39" s="97" t="e">
        <f>+'Current POC''s n Projects'!#REF!</f>
        <v>#REF!</v>
      </c>
      <c r="C39" t="e">
        <f>+'Current POC''s n Projects'!#REF!</f>
        <v>#REF!</v>
      </c>
      <c r="D39" s="252" t="e">
        <f>+'Current POC''s n Projects'!#REF!</f>
        <v>#REF!</v>
      </c>
      <c r="E39" s="254" t="e">
        <f>+'Current POC''s n Projects'!#REF!</f>
        <v>#REF!</v>
      </c>
      <c r="F39" s="263" t="e">
        <f>+'Current POC''s n Projects'!#REF!</f>
        <v>#REF!</v>
      </c>
      <c r="G39" s="253" t="e">
        <f>+'Current POC''s n Projects'!#REF!</f>
        <v>#REF!</v>
      </c>
      <c r="H39" s="253" t="e">
        <f>+'Current POC''s n Projects'!#REF!</f>
        <v>#REF!</v>
      </c>
      <c r="I39" s="261"/>
      <c r="J39" s="261"/>
    </row>
    <row r="40" spans="1:10">
      <c r="A40" s="97" t="e">
        <f>+'Current POC''s n Projects'!#REF!</f>
        <v>#REF!</v>
      </c>
      <c r="B40" s="97" t="e">
        <f>+'Current POC''s n Projects'!#REF!</f>
        <v>#REF!</v>
      </c>
      <c r="C40" t="e">
        <f>+'Current POC''s n Projects'!#REF!</f>
        <v>#REF!</v>
      </c>
      <c r="D40" s="252" t="e">
        <f>+'Current POC''s n Projects'!#REF!</f>
        <v>#REF!</v>
      </c>
      <c r="E40" s="254" t="e">
        <f>+'Current POC''s n Projects'!#REF!</f>
        <v>#REF!</v>
      </c>
      <c r="F40" s="263" t="e">
        <f>+'Current POC''s n Projects'!#REF!</f>
        <v>#REF!</v>
      </c>
      <c r="G40" s="253" t="e">
        <f>+'Current POC''s n Projects'!#REF!</f>
        <v>#REF!</v>
      </c>
      <c r="H40" s="253" t="e">
        <f>+'Current POC''s n Projects'!#REF!</f>
        <v>#REF!</v>
      </c>
      <c r="I40" s="261"/>
      <c r="J40" s="261"/>
    </row>
    <row r="41" spans="1:10">
      <c r="A41" s="97" t="str">
        <f>+'Current POC''s n Projects'!A61</f>
        <v>Saransh</v>
      </c>
      <c r="B41" s="97" t="str">
        <f>+'Current POC''s n Projects'!B61</f>
        <v>OneIndia</v>
      </c>
      <c r="C41" t="str">
        <f>+'Current POC''s n Projects'!D61</f>
        <v>MT9 40 Upload</v>
      </c>
      <c r="D41" s="252">
        <f>+'Current POC''s n Projects'!E61</f>
        <v>0</v>
      </c>
      <c r="E41" s="254">
        <f>+'Current POC''s n Projects'!F61</f>
        <v>0</v>
      </c>
      <c r="F41" s="263">
        <f>+'Current POC''s n Projects'!G61</f>
        <v>0</v>
      </c>
      <c r="G41" s="253">
        <f>+'Current POC''s n Projects'!L61</f>
        <v>43081</v>
      </c>
      <c r="H41" s="253">
        <f>+'Current POC''s n Projects'!M61</f>
        <v>43087</v>
      </c>
      <c r="I41" s="261"/>
      <c r="J41" s="261"/>
    </row>
    <row r="42" spans="1:10">
      <c r="A42" s="97" t="str">
        <f>+'Current POC''s n Projects'!A57</f>
        <v>Saransh</v>
      </c>
      <c r="B42" s="97" t="str">
        <f>+'Current POC''s n Projects'!B57</f>
        <v>Courts</v>
      </c>
      <c r="C42" t="str">
        <f>+'Current POC''s n Projects'!D57</f>
        <v>POC</v>
      </c>
      <c r="D42" s="252">
        <f>+'Current POC''s n Projects'!E57</f>
        <v>0</v>
      </c>
      <c r="E42" s="254">
        <f>+'Current POC''s n Projects'!F57</f>
        <v>0</v>
      </c>
      <c r="F42" s="263">
        <f>+'Current POC''s n Projects'!G57</f>
        <v>0</v>
      </c>
      <c r="G42" s="253">
        <f>+'Current POC''s n Projects'!L57</f>
        <v>0</v>
      </c>
      <c r="H42" s="253">
        <f>+'Current POC''s n Projects'!M57</f>
        <v>0</v>
      </c>
      <c r="I42" s="261"/>
      <c r="J42" s="261"/>
    </row>
    <row r="43" spans="1:10">
      <c r="A43" s="97" t="str">
        <f>+'Current POC''s n Projects'!A59</f>
        <v>Saransh</v>
      </c>
      <c r="B43" s="97" t="str">
        <f>+'Current POC''s n Projects'!B59</f>
        <v>Panasonic</v>
      </c>
      <c r="C43" t="str">
        <f>+'Current POC''s n Projects'!D59</f>
        <v>ELD</v>
      </c>
      <c r="D43" s="252">
        <f>+'Current POC''s n Projects'!E59</f>
        <v>0</v>
      </c>
      <c r="E43" s="254" t="str">
        <f>+'Current POC''s n Projects'!F59</f>
        <v>Demo Shared</v>
      </c>
      <c r="F43" s="263">
        <f>+'Current POC''s n Projects'!G59</f>
        <v>0</v>
      </c>
      <c r="G43" s="253">
        <f>+'Current POC''s n Projects'!L59</f>
        <v>43091</v>
      </c>
      <c r="H43" s="253">
        <f>+'Current POC''s n Projects'!M59</f>
        <v>43096</v>
      </c>
      <c r="I43" s="261"/>
      <c r="J43" s="261"/>
    </row>
    <row r="44" spans="1:10">
      <c r="A44" s="97" t="e">
        <f>+'Current POC''s n Projects'!#REF!</f>
        <v>#REF!</v>
      </c>
      <c r="B44" s="97" t="e">
        <f>+'Current POC''s n Projects'!#REF!</f>
        <v>#REF!</v>
      </c>
      <c r="C44" t="e">
        <f>+'Current POC''s n Projects'!#REF!</f>
        <v>#REF!</v>
      </c>
      <c r="D44" s="252" t="e">
        <f>+'Current POC''s n Projects'!#REF!</f>
        <v>#REF!</v>
      </c>
      <c r="E44" s="254" t="e">
        <f>+'Current POC''s n Projects'!#REF!</f>
        <v>#REF!</v>
      </c>
      <c r="F44" s="263" t="e">
        <f>+'Current POC''s n Projects'!#REF!</f>
        <v>#REF!</v>
      </c>
      <c r="G44" s="253" t="e">
        <f>+'Current POC''s n Projects'!#REF!</f>
        <v>#REF!</v>
      </c>
      <c r="H44" s="253" t="e">
        <f>+'Current POC''s n Projects'!#REF!</f>
        <v>#REF!</v>
      </c>
      <c r="I44" s="261"/>
      <c r="J44" s="261"/>
    </row>
    <row r="45" spans="1:10">
      <c r="I45" s="261"/>
      <c r="J45" s="261"/>
    </row>
    <row r="46" spans="1:10">
      <c r="I46" s="261"/>
      <c r="J46" s="261"/>
    </row>
  </sheetData>
  <mergeCells count="14">
    <mergeCell ref="B30:B31"/>
    <mergeCell ref="A3:A16"/>
    <mergeCell ref="A17:A20"/>
    <mergeCell ref="A21:A25"/>
    <mergeCell ref="A26:A28"/>
    <mergeCell ref="A30:A31"/>
    <mergeCell ref="I17:I18"/>
    <mergeCell ref="J17:J18"/>
    <mergeCell ref="J21:J23"/>
    <mergeCell ref="J26:J28"/>
    <mergeCell ref="B3:B16"/>
    <mergeCell ref="B17:B20"/>
    <mergeCell ref="B21:B25"/>
    <mergeCell ref="B26:B28"/>
  </mergeCells>
  <pageMargins left="0.7" right="0.7" top="0.75" bottom="0.75" header="0.3" footer="0.3"/>
  <pageSetup scale="6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workbookViewId="0">
      <pane xSplit="1" ySplit="8" topLeftCell="B9" activePane="bottomRight" state="frozen"/>
      <selection pane="topRight" activeCell="B1" sqref="B1"/>
      <selection pane="bottomLeft" activeCell="A5" sqref="A5"/>
      <selection pane="bottomRight"/>
    </sheetView>
  </sheetViews>
  <sheetFormatPr defaultColWidth="9.140625" defaultRowHeight="12.75"/>
  <cols>
    <col min="1" max="1" width="36.140625" style="3" customWidth="1"/>
    <col min="2" max="2" width="11" style="34" customWidth="1"/>
    <col min="3" max="3" width="9.42578125" style="34" bestFit="1" customWidth="1"/>
    <col min="4" max="4" width="14.42578125" style="34" customWidth="1"/>
    <col min="5" max="5" width="12.85546875" style="34" bestFit="1" customWidth="1"/>
    <col min="6" max="8" width="9.5703125" style="34" bestFit="1" customWidth="1"/>
    <col min="9" max="9" width="8.85546875" style="34" bestFit="1" customWidth="1"/>
    <col min="10" max="10" width="9.7109375" style="34" bestFit="1" customWidth="1"/>
    <col min="11" max="11" width="8.140625" style="34" bestFit="1" customWidth="1"/>
    <col min="12" max="12" width="8.28515625" style="34" customWidth="1"/>
    <col min="13" max="13" width="13.28515625" style="34" customWidth="1"/>
    <col min="14" max="14" width="9.85546875" style="34" customWidth="1"/>
    <col min="15" max="17" width="12.7109375" style="34" customWidth="1"/>
    <col min="18" max="18" width="10.85546875" style="34" bestFit="1" customWidth="1"/>
    <col min="19" max="19" width="12.7109375" style="34" customWidth="1"/>
    <col min="20" max="20" width="9.5703125" style="34" customWidth="1"/>
    <col min="21" max="21" width="12.7109375" style="34" customWidth="1"/>
    <col min="22" max="22" width="11.28515625" style="34" customWidth="1"/>
    <col min="23" max="23" width="9.140625" style="1"/>
    <col min="24" max="24" width="11.85546875" style="1" customWidth="1"/>
    <col min="25" max="16384" width="9.140625" style="1"/>
  </cols>
  <sheetData>
    <row r="1" spans="1:25" customFormat="1">
      <c r="A1" s="90" t="s">
        <v>110</v>
      </c>
      <c r="B1" s="34" t="s">
        <v>109</v>
      </c>
      <c r="C1" t="s">
        <v>111</v>
      </c>
      <c r="D1" t="s">
        <v>112</v>
      </c>
      <c r="E1" t="s">
        <v>114</v>
      </c>
      <c r="H1" t="s">
        <v>121</v>
      </c>
      <c r="I1" s="34"/>
    </row>
    <row r="2" spans="1:25" customFormat="1">
      <c r="D2" s="34"/>
      <c r="E2" s="34"/>
      <c r="H2" t="s">
        <v>113</v>
      </c>
      <c r="I2" s="60">
        <v>6000</v>
      </c>
    </row>
    <row r="3" spans="1:25" customFormat="1">
      <c r="D3" s="34"/>
      <c r="E3" s="34"/>
      <c r="H3" t="s">
        <v>122</v>
      </c>
      <c r="I3" s="60">
        <v>5000</v>
      </c>
    </row>
    <row r="4" spans="1:25" ht="15.75" customHeight="1" thickBot="1">
      <c r="A4" s="985" t="s">
        <v>0</v>
      </c>
      <c r="B4" s="1001" t="s">
        <v>1</v>
      </c>
      <c r="C4" s="1001"/>
      <c r="D4" s="1001"/>
      <c r="E4" s="1001"/>
      <c r="F4" s="1001"/>
      <c r="G4" s="1001"/>
      <c r="H4" s="1001"/>
      <c r="I4" s="1001"/>
      <c r="J4" s="1001"/>
      <c r="K4" s="1001"/>
      <c r="L4" s="1001"/>
      <c r="M4" s="1001"/>
      <c r="N4" s="1001"/>
      <c r="O4" s="1001"/>
      <c r="P4" s="1001"/>
      <c r="Q4" s="1001"/>
      <c r="R4" s="1001"/>
      <c r="S4" s="1002"/>
      <c r="T4" s="1002"/>
      <c r="U4" s="1002"/>
      <c r="V4" s="1001"/>
    </row>
    <row r="5" spans="1:25" ht="38.25">
      <c r="A5" s="986"/>
      <c r="B5" s="987" t="s">
        <v>12</v>
      </c>
      <c r="C5" s="988"/>
      <c r="D5" s="988"/>
      <c r="E5" s="988"/>
      <c r="F5" s="988"/>
      <c r="G5" s="988"/>
      <c r="H5" s="989"/>
      <c r="I5" s="1003" t="s">
        <v>22</v>
      </c>
      <c r="J5" s="999"/>
      <c r="K5" s="999"/>
      <c r="L5" s="999"/>
      <c r="M5" s="999"/>
      <c r="N5" s="999"/>
      <c r="O5" s="1003" t="s">
        <v>23</v>
      </c>
      <c r="P5" s="999"/>
      <c r="Q5" s="999"/>
      <c r="R5" s="5" t="s">
        <v>34</v>
      </c>
      <c r="S5" s="999" t="s">
        <v>18</v>
      </c>
      <c r="T5" s="999"/>
      <c r="U5" s="1000"/>
      <c r="V5" s="6" t="s">
        <v>19</v>
      </c>
      <c r="W5" s="1" t="s">
        <v>53</v>
      </c>
      <c r="X5" s="1" t="s">
        <v>54</v>
      </c>
      <c r="Y5" s="1" t="s">
        <v>55</v>
      </c>
    </row>
    <row r="6" spans="1:25" ht="15.75" customHeight="1">
      <c r="A6" s="986"/>
      <c r="B6" s="991" t="s">
        <v>29</v>
      </c>
      <c r="C6" s="992"/>
      <c r="D6" s="993"/>
      <c r="E6" s="7" t="s">
        <v>30</v>
      </c>
      <c r="F6" s="7" t="s">
        <v>31</v>
      </c>
      <c r="G6" s="7" t="s">
        <v>32</v>
      </c>
      <c r="H6" s="8" t="s">
        <v>33</v>
      </c>
      <c r="I6" s="991" t="s">
        <v>48</v>
      </c>
      <c r="J6" s="992"/>
      <c r="K6" s="992"/>
      <c r="L6" s="992"/>
      <c r="M6" s="992"/>
      <c r="N6" s="992"/>
      <c r="O6" s="992"/>
      <c r="P6" s="992"/>
      <c r="Q6" s="992"/>
      <c r="R6" s="994"/>
      <c r="S6" s="9" t="s">
        <v>35</v>
      </c>
      <c r="T6" s="9" t="s">
        <v>36</v>
      </c>
      <c r="U6" s="10" t="s">
        <v>37</v>
      </c>
      <c r="V6" s="8" t="s">
        <v>38</v>
      </c>
    </row>
    <row r="7" spans="1:25" s="2" customFormat="1" ht="25.5">
      <c r="A7" s="986"/>
      <c r="B7" s="11" t="s">
        <v>39</v>
      </c>
      <c r="C7" s="12" t="s">
        <v>40</v>
      </c>
      <c r="D7" s="12" t="s">
        <v>56</v>
      </c>
      <c r="E7" s="12" t="s">
        <v>9</v>
      </c>
      <c r="F7" s="12" t="s">
        <v>47</v>
      </c>
      <c r="G7" s="12" t="s">
        <v>10</v>
      </c>
      <c r="H7" s="13" t="s">
        <v>11</v>
      </c>
      <c r="I7" s="11" t="s">
        <v>43</v>
      </c>
      <c r="J7" s="12" t="s">
        <v>13</v>
      </c>
      <c r="K7" s="12" t="s">
        <v>41</v>
      </c>
      <c r="L7" s="12" t="s">
        <v>42</v>
      </c>
      <c r="M7" s="12" t="s">
        <v>16</v>
      </c>
      <c r="N7" s="14" t="s">
        <v>44</v>
      </c>
      <c r="O7" s="11" t="s">
        <v>14</v>
      </c>
      <c r="P7" s="12" t="s">
        <v>15</v>
      </c>
      <c r="Q7" s="14" t="s">
        <v>17</v>
      </c>
      <c r="R7" s="38" t="s">
        <v>45</v>
      </c>
      <c r="S7" s="15" t="s">
        <v>2</v>
      </c>
      <c r="T7" s="12" t="s">
        <v>46</v>
      </c>
      <c r="U7" s="13" t="s">
        <v>3</v>
      </c>
      <c r="V7" s="13"/>
    </row>
    <row r="8" spans="1:25">
      <c r="A8" s="4" t="s">
        <v>4</v>
      </c>
      <c r="B8" s="971">
        <v>9465600</v>
      </c>
      <c r="C8" s="972"/>
      <c r="D8" s="973"/>
      <c r="E8" s="16">
        <v>1496000</v>
      </c>
      <c r="F8" s="16">
        <v>3386400</v>
      </c>
      <c r="G8" s="16">
        <v>2516000</v>
      </c>
      <c r="H8" s="35">
        <v>1935630</v>
      </c>
      <c r="I8" s="971">
        <v>7207200</v>
      </c>
      <c r="J8" s="972"/>
      <c r="K8" s="972"/>
      <c r="L8" s="972"/>
      <c r="M8" s="972"/>
      <c r="N8" s="990"/>
      <c r="O8" s="971">
        <v>2679227</v>
      </c>
      <c r="P8" s="972"/>
      <c r="Q8" s="972"/>
      <c r="R8" s="17">
        <v>200000</v>
      </c>
      <c r="S8" s="25">
        <v>2537500</v>
      </c>
      <c r="T8" s="16">
        <v>3737500</v>
      </c>
      <c r="U8" s="35">
        <v>1125000</v>
      </c>
      <c r="V8" s="17">
        <f>28000*60</f>
        <v>1680000</v>
      </c>
    </row>
    <row r="9" spans="1:25">
      <c r="A9" s="4" t="s">
        <v>24</v>
      </c>
      <c r="B9" s="971">
        <v>2839680</v>
      </c>
      <c r="C9" s="972"/>
      <c r="D9" s="973"/>
      <c r="E9" s="16">
        <v>1196800</v>
      </c>
      <c r="F9" s="18">
        <v>1693200</v>
      </c>
      <c r="G9" s="16">
        <v>754800</v>
      </c>
      <c r="H9" s="35">
        <v>1196800</v>
      </c>
      <c r="I9" s="974">
        <v>1801800</v>
      </c>
      <c r="J9" s="975"/>
      <c r="K9" s="975"/>
      <c r="L9" s="975"/>
      <c r="M9" s="975"/>
      <c r="N9" s="977"/>
      <c r="O9" s="974">
        <v>669807</v>
      </c>
      <c r="P9" s="975"/>
      <c r="Q9" s="977"/>
      <c r="R9" s="21">
        <v>200000</v>
      </c>
      <c r="S9" s="25">
        <v>2537500</v>
      </c>
      <c r="T9" s="16">
        <v>3737500</v>
      </c>
      <c r="U9" s="35">
        <v>731250</v>
      </c>
      <c r="V9" s="21">
        <f>14000*60</f>
        <v>840000</v>
      </c>
    </row>
    <row r="10" spans="1:25">
      <c r="A10" s="4" t="s">
        <v>25</v>
      </c>
      <c r="B10" s="995">
        <f>+B9/B8</f>
        <v>0.3</v>
      </c>
      <c r="C10" s="996"/>
      <c r="D10" s="997"/>
      <c r="E10" s="40">
        <f>+E9/E8</f>
        <v>0.8</v>
      </c>
      <c r="F10" s="40">
        <f>+F9/F8</f>
        <v>0.5</v>
      </c>
      <c r="G10" s="40">
        <f>+G9/G8</f>
        <v>0.3</v>
      </c>
      <c r="H10" s="41">
        <f>+H9/H8</f>
        <v>0.61829998501779782</v>
      </c>
      <c r="I10" s="995">
        <f>+I9/I8</f>
        <v>0.25</v>
      </c>
      <c r="J10" s="996"/>
      <c r="K10" s="996"/>
      <c r="L10" s="996"/>
      <c r="M10" s="996"/>
      <c r="N10" s="998"/>
      <c r="O10" s="995">
        <f>+O9/O8</f>
        <v>0.25000009331049589</v>
      </c>
      <c r="P10" s="996"/>
      <c r="Q10" s="998"/>
      <c r="R10" s="42">
        <f>+R9/R8</f>
        <v>1</v>
      </c>
      <c r="S10" s="43">
        <f>+S9/S8</f>
        <v>1</v>
      </c>
      <c r="T10" s="40">
        <f>+T9/T8</f>
        <v>1</v>
      </c>
      <c r="U10" s="41">
        <f>+U9/U8</f>
        <v>0.65</v>
      </c>
      <c r="V10" s="42">
        <f>+V9/V8</f>
        <v>0.5</v>
      </c>
    </row>
    <row r="11" spans="1:25">
      <c r="A11" s="44" t="s">
        <v>50</v>
      </c>
      <c r="B11" s="45">
        <v>42529</v>
      </c>
      <c r="C11" s="46">
        <v>42533</v>
      </c>
      <c r="D11" s="47">
        <v>42534</v>
      </c>
      <c r="E11" s="48">
        <v>42558</v>
      </c>
      <c r="F11" s="48">
        <v>42565</v>
      </c>
      <c r="G11" s="48">
        <v>42551</v>
      </c>
      <c r="H11" s="49">
        <v>42455</v>
      </c>
      <c r="I11" s="978">
        <v>42292</v>
      </c>
      <c r="J11" s="979"/>
      <c r="K11" s="979"/>
      <c r="L11" s="979"/>
      <c r="M11" s="979"/>
      <c r="N11" s="980"/>
      <c r="O11" s="978">
        <v>42368</v>
      </c>
      <c r="P11" s="979"/>
      <c r="Q11" s="980"/>
      <c r="R11" s="50">
        <v>42604</v>
      </c>
      <c r="S11" s="47">
        <v>42464</v>
      </c>
      <c r="T11" s="48">
        <v>42464</v>
      </c>
      <c r="U11" s="49">
        <v>42559</v>
      </c>
      <c r="V11" s="50">
        <v>42639</v>
      </c>
    </row>
    <row r="12" spans="1:25" ht="25.5">
      <c r="A12" s="4" t="s">
        <v>63</v>
      </c>
      <c r="B12" s="22" t="s">
        <v>64</v>
      </c>
      <c r="C12" s="16" t="s">
        <v>64</v>
      </c>
      <c r="D12" s="16" t="s">
        <v>65</v>
      </c>
      <c r="E12" s="18" t="s">
        <v>66</v>
      </c>
      <c r="F12" s="18" t="s">
        <v>67</v>
      </c>
      <c r="G12" s="18" t="s">
        <v>68</v>
      </c>
      <c r="H12" s="36" t="s">
        <v>68</v>
      </c>
      <c r="I12" s="19" t="s">
        <v>71</v>
      </c>
      <c r="J12" s="18"/>
      <c r="K12" s="18"/>
      <c r="L12" s="18" t="s">
        <v>70</v>
      </c>
      <c r="M12" s="18" t="s">
        <v>72</v>
      </c>
      <c r="N12" s="20"/>
      <c r="O12" s="19"/>
      <c r="P12" s="18"/>
      <c r="Q12" s="20"/>
      <c r="R12" s="21"/>
      <c r="S12" s="37"/>
      <c r="T12" s="18"/>
      <c r="U12" s="36"/>
      <c r="V12" s="21" t="s">
        <v>69</v>
      </c>
    </row>
    <row r="13" spans="1:25">
      <c r="A13" s="4" t="s">
        <v>26</v>
      </c>
      <c r="B13" s="22">
        <v>86</v>
      </c>
      <c r="C13" s="16">
        <v>0</v>
      </c>
      <c r="D13" s="16">
        <v>164</v>
      </c>
      <c r="E13" s="18">
        <v>57</v>
      </c>
      <c r="F13" s="18">
        <v>0</v>
      </c>
      <c r="G13" s="18">
        <v>73</v>
      </c>
      <c r="H13" s="36">
        <v>0</v>
      </c>
      <c r="I13" s="974">
        <v>480</v>
      </c>
      <c r="J13" s="975"/>
      <c r="K13" s="975"/>
      <c r="L13" s="975"/>
      <c r="M13" s="976"/>
      <c r="N13" s="20">
        <v>0</v>
      </c>
      <c r="O13" s="974">
        <v>185</v>
      </c>
      <c r="P13" s="975"/>
      <c r="Q13" s="977"/>
      <c r="R13" s="21">
        <v>0</v>
      </c>
      <c r="S13" s="37">
        <v>133</v>
      </c>
      <c r="T13" s="18">
        <v>228</v>
      </c>
      <c r="U13" s="36">
        <v>96</v>
      </c>
      <c r="V13" s="21">
        <v>0</v>
      </c>
    </row>
    <row r="14" spans="1:25" ht="18.75" customHeight="1">
      <c r="A14" s="4" t="s">
        <v>60</v>
      </c>
      <c r="B14" s="971">
        <f>88.5+167+241.97</f>
        <v>497.47</v>
      </c>
      <c r="C14" s="972"/>
      <c r="D14" s="973"/>
      <c r="E14" s="18">
        <f>40.69+12+34.13</f>
        <v>86.82</v>
      </c>
      <c r="F14" s="18">
        <v>68.75</v>
      </c>
      <c r="G14" s="18">
        <f>227.69+17</f>
        <v>244.69</v>
      </c>
      <c r="H14" s="36">
        <v>102</v>
      </c>
      <c r="I14" s="974">
        <f>60.63+252.44</f>
        <v>313.07</v>
      </c>
      <c r="J14" s="975"/>
      <c r="K14" s="975"/>
      <c r="L14" s="975"/>
      <c r="M14" s="975"/>
      <c r="N14" s="975"/>
      <c r="O14" s="975"/>
      <c r="P14" s="975"/>
      <c r="Q14" s="975"/>
      <c r="R14" s="977"/>
      <c r="S14" s="37">
        <f>21+16</f>
        <v>37</v>
      </c>
      <c r="T14" s="18">
        <f>33.13+21.88</f>
        <v>55.010000000000005</v>
      </c>
      <c r="U14" s="36">
        <f>56.31+125</f>
        <v>181.31</v>
      </c>
      <c r="V14" s="21">
        <v>25</v>
      </c>
    </row>
    <row r="15" spans="1:25" ht="2.25" customHeight="1">
      <c r="A15" s="4"/>
      <c r="B15" s="22"/>
      <c r="C15" s="16"/>
      <c r="D15" s="16"/>
      <c r="E15" s="18"/>
      <c r="F15" s="18"/>
      <c r="G15" s="18"/>
      <c r="H15" s="36"/>
      <c r="I15" s="19"/>
      <c r="J15" s="18"/>
      <c r="K15" s="18"/>
      <c r="L15" s="18"/>
      <c r="M15" s="18"/>
      <c r="N15" s="20"/>
      <c r="O15" s="19"/>
      <c r="P15" s="18"/>
      <c r="Q15" s="20"/>
      <c r="R15" s="21"/>
      <c r="S15" s="37"/>
      <c r="T15" s="18"/>
      <c r="U15" s="36"/>
      <c r="V15" s="21"/>
    </row>
    <row r="16" spans="1:25">
      <c r="A16" s="44" t="s">
        <v>58</v>
      </c>
      <c r="B16" s="45">
        <v>42608</v>
      </c>
      <c r="C16" s="46">
        <v>42608</v>
      </c>
      <c r="D16" s="47">
        <v>42608</v>
      </c>
      <c r="E16" s="48">
        <v>42608</v>
      </c>
      <c r="F16" s="48">
        <v>42608</v>
      </c>
      <c r="G16" s="48">
        <v>42608</v>
      </c>
      <c r="H16" s="49">
        <v>42608</v>
      </c>
      <c r="I16" s="978">
        <v>42608</v>
      </c>
      <c r="J16" s="979"/>
      <c r="K16" s="979"/>
      <c r="L16" s="979"/>
      <c r="M16" s="979"/>
      <c r="N16" s="980"/>
      <c r="O16" s="978">
        <v>42608</v>
      </c>
      <c r="P16" s="979"/>
      <c r="Q16" s="980"/>
      <c r="R16" s="50">
        <v>42604</v>
      </c>
      <c r="S16" s="47">
        <v>42608</v>
      </c>
      <c r="T16" s="48">
        <v>42608</v>
      </c>
      <c r="U16" s="49">
        <v>42608</v>
      </c>
      <c r="V16" s="50" t="s">
        <v>59</v>
      </c>
    </row>
    <row r="17" spans="1:22" ht="24.75" customHeight="1">
      <c r="A17" s="4" t="s">
        <v>61</v>
      </c>
      <c r="B17" s="22">
        <v>16</v>
      </c>
      <c r="C17" s="16">
        <v>123</v>
      </c>
      <c r="D17" s="16">
        <f>24+8</f>
        <v>32</v>
      </c>
      <c r="E17" s="18">
        <v>33</v>
      </c>
      <c r="F17" s="18">
        <v>99</v>
      </c>
      <c r="G17" s="18">
        <v>40</v>
      </c>
      <c r="H17" s="36">
        <v>0</v>
      </c>
      <c r="I17" s="974">
        <v>0</v>
      </c>
      <c r="J17" s="975"/>
      <c r="K17" s="975"/>
      <c r="L17" s="975"/>
      <c r="M17" s="976"/>
      <c r="N17" s="20">
        <v>70</v>
      </c>
      <c r="O17" s="974">
        <v>0</v>
      </c>
      <c r="P17" s="975"/>
      <c r="Q17" s="977"/>
      <c r="R17" s="21">
        <v>25</v>
      </c>
      <c r="S17" s="37">
        <v>15</v>
      </c>
      <c r="T17" s="18">
        <v>16</v>
      </c>
      <c r="U17" s="36">
        <v>30</v>
      </c>
      <c r="V17" s="21">
        <v>25</v>
      </c>
    </row>
    <row r="18" spans="1:22" s="84" customFormat="1">
      <c r="A18" s="76" t="s">
        <v>57</v>
      </c>
      <c r="B18" s="77">
        <f>22+12</f>
        <v>34</v>
      </c>
      <c r="C18" s="78">
        <v>7</v>
      </c>
      <c r="D18" s="78">
        <v>0</v>
      </c>
      <c r="E18" s="79">
        <v>3</v>
      </c>
      <c r="F18" s="79">
        <v>0</v>
      </c>
      <c r="G18" s="79">
        <v>35</v>
      </c>
      <c r="H18" s="80">
        <v>0</v>
      </c>
      <c r="I18" s="981">
        <v>0</v>
      </c>
      <c r="J18" s="982"/>
      <c r="K18" s="982"/>
      <c r="L18" s="982"/>
      <c r="M18" s="984"/>
      <c r="N18" s="81">
        <v>0</v>
      </c>
      <c r="O18" s="981">
        <v>0</v>
      </c>
      <c r="P18" s="982"/>
      <c r="Q18" s="983"/>
      <c r="R18" s="82">
        <v>0</v>
      </c>
      <c r="S18" s="83">
        <v>0</v>
      </c>
      <c r="T18" s="79">
        <v>0</v>
      </c>
      <c r="U18" s="80">
        <v>11</v>
      </c>
      <c r="V18" s="82"/>
    </row>
    <row r="19" spans="1:22" ht="2.25" customHeight="1">
      <c r="A19" s="4"/>
      <c r="B19" s="22"/>
      <c r="C19" s="16"/>
      <c r="D19" s="16"/>
      <c r="E19" s="18"/>
      <c r="F19" s="18"/>
      <c r="G19" s="18"/>
      <c r="H19" s="36"/>
      <c r="I19" s="19"/>
      <c r="J19" s="18"/>
      <c r="K19" s="18"/>
      <c r="L19" s="18"/>
      <c r="M19" s="18"/>
      <c r="N19" s="20"/>
      <c r="O19" s="19"/>
      <c r="P19" s="18"/>
      <c r="Q19" s="20"/>
      <c r="R19" s="21"/>
      <c r="S19" s="37"/>
      <c r="T19" s="18"/>
      <c r="U19" s="36"/>
      <c r="V19" s="21"/>
    </row>
    <row r="20" spans="1:22" ht="26.25" customHeight="1">
      <c r="A20" s="4" t="s">
        <v>62</v>
      </c>
      <c r="B20" s="971">
        <f>241.97+34</f>
        <v>275.97000000000003</v>
      </c>
      <c r="C20" s="972"/>
      <c r="D20" s="973"/>
      <c r="E20" s="18">
        <v>34.130000000000003</v>
      </c>
      <c r="F20" s="18">
        <v>66.75</v>
      </c>
      <c r="G20" s="18">
        <v>167</v>
      </c>
      <c r="H20" s="36">
        <v>0</v>
      </c>
      <c r="I20" s="974">
        <f>21.13+252.44</f>
        <v>273.57</v>
      </c>
      <c r="J20" s="975"/>
      <c r="K20" s="975"/>
      <c r="L20" s="975"/>
      <c r="M20" s="975"/>
      <c r="N20" s="975"/>
      <c r="O20" s="975"/>
      <c r="P20" s="975"/>
      <c r="Q20" s="975"/>
      <c r="R20" s="977"/>
      <c r="S20" s="37">
        <v>20</v>
      </c>
      <c r="T20" s="18">
        <f>8.88+21.88</f>
        <v>30.759999999999998</v>
      </c>
      <c r="U20" s="36">
        <f>14.56+125</f>
        <v>139.56</v>
      </c>
      <c r="V20" s="21">
        <v>25</v>
      </c>
    </row>
    <row r="21" spans="1:22">
      <c r="A21" s="44" t="s">
        <v>51</v>
      </c>
      <c r="B21" s="45">
        <v>42685</v>
      </c>
      <c r="C21" s="46">
        <v>42692</v>
      </c>
      <c r="D21" s="51">
        <v>42678</v>
      </c>
      <c r="E21" s="54" t="s">
        <v>52</v>
      </c>
      <c r="F21" s="48">
        <v>42692</v>
      </c>
      <c r="G21" s="52">
        <v>42678</v>
      </c>
      <c r="H21" s="53" t="s">
        <v>52</v>
      </c>
      <c r="I21" s="55">
        <v>42536</v>
      </c>
      <c r="J21" s="56">
        <v>42514</v>
      </c>
      <c r="K21" s="56">
        <v>42646</v>
      </c>
      <c r="L21" s="56">
        <v>42650</v>
      </c>
      <c r="M21" s="56">
        <v>42683</v>
      </c>
      <c r="N21" s="46">
        <v>42713</v>
      </c>
      <c r="O21" s="55">
        <v>42650</v>
      </c>
      <c r="P21" s="56">
        <v>42685</v>
      </c>
      <c r="Q21" s="46">
        <v>42734</v>
      </c>
      <c r="R21" s="57">
        <v>42682</v>
      </c>
      <c r="S21" s="58">
        <v>42646</v>
      </c>
      <c r="T21" s="59">
        <v>42621</v>
      </c>
      <c r="U21" s="49">
        <v>42685</v>
      </c>
      <c r="V21" s="57">
        <v>42671</v>
      </c>
    </row>
    <row r="22" spans="1:22">
      <c r="A22" s="4" t="s">
        <v>8</v>
      </c>
      <c r="B22" s="22"/>
      <c r="C22" s="16"/>
      <c r="D22" s="16"/>
      <c r="E22" s="18"/>
      <c r="F22" s="18"/>
      <c r="G22" s="18"/>
      <c r="H22" s="36"/>
      <c r="I22" s="19"/>
      <c r="J22" s="18"/>
      <c r="K22" s="18"/>
      <c r="L22" s="18"/>
      <c r="M22" s="18"/>
      <c r="N22" s="20"/>
      <c r="O22" s="19"/>
      <c r="P22" s="18"/>
      <c r="Q22" s="20"/>
      <c r="R22" s="21"/>
      <c r="S22" s="37"/>
      <c r="T22" s="18"/>
      <c r="U22" s="36"/>
      <c r="V22" s="21"/>
    </row>
    <row r="23" spans="1:22">
      <c r="A23" s="4" t="s">
        <v>5</v>
      </c>
      <c r="B23" s="971"/>
      <c r="C23" s="972"/>
      <c r="D23" s="973"/>
      <c r="E23" s="18"/>
      <c r="F23" s="18"/>
      <c r="G23" s="18"/>
      <c r="H23" s="36"/>
      <c r="I23" s="974"/>
      <c r="J23" s="975"/>
      <c r="K23" s="975"/>
      <c r="L23" s="975"/>
      <c r="M23" s="976"/>
      <c r="N23" s="20"/>
      <c r="O23" s="974"/>
      <c r="P23" s="975"/>
      <c r="Q23" s="977"/>
      <c r="R23" s="21"/>
      <c r="S23" s="37"/>
      <c r="T23" s="18"/>
      <c r="U23" s="36"/>
      <c r="V23" s="21"/>
    </row>
    <row r="24" spans="1:22">
      <c r="A24" s="4" t="s">
        <v>6</v>
      </c>
      <c r="B24" s="22">
        <v>5000</v>
      </c>
      <c r="C24" s="16">
        <v>0</v>
      </c>
      <c r="D24" s="16">
        <v>5000</v>
      </c>
      <c r="E24" s="16">
        <v>5000</v>
      </c>
      <c r="F24" s="18">
        <v>0</v>
      </c>
      <c r="G24" s="16">
        <v>5000</v>
      </c>
      <c r="H24" s="35">
        <v>10000</v>
      </c>
      <c r="I24" s="974">
        <v>72000</v>
      </c>
      <c r="J24" s="975"/>
      <c r="K24" s="975"/>
      <c r="L24" s="975"/>
      <c r="M24" s="975"/>
      <c r="N24" s="975"/>
      <c r="O24" s="975"/>
      <c r="P24" s="975"/>
      <c r="Q24" s="975"/>
      <c r="R24" s="977"/>
      <c r="S24" s="25">
        <v>0</v>
      </c>
      <c r="T24" s="16">
        <v>0</v>
      </c>
      <c r="U24" s="35">
        <v>0</v>
      </c>
      <c r="V24" s="21">
        <v>418000</v>
      </c>
    </row>
    <row r="25" spans="1:22">
      <c r="A25" s="4" t="s">
        <v>7</v>
      </c>
      <c r="B25" s="971">
        <v>0</v>
      </c>
      <c r="C25" s="972"/>
      <c r="D25" s="973"/>
      <c r="E25" s="39">
        <v>0</v>
      </c>
      <c r="F25" s="39">
        <v>0</v>
      </c>
      <c r="G25" s="39">
        <v>0</v>
      </c>
      <c r="H25" s="35">
        <v>104</v>
      </c>
      <c r="I25" s="974">
        <v>663149</v>
      </c>
      <c r="J25" s="975"/>
      <c r="K25" s="975"/>
      <c r="L25" s="975"/>
      <c r="M25" s="975"/>
      <c r="N25" s="975"/>
      <c r="O25" s="975"/>
      <c r="P25" s="975"/>
      <c r="Q25" s="975"/>
      <c r="R25" s="977"/>
      <c r="S25" s="25">
        <v>260473</v>
      </c>
      <c r="T25" s="16">
        <v>355985</v>
      </c>
      <c r="U25" s="35">
        <v>132717</v>
      </c>
      <c r="V25" s="21">
        <f>123293+8077+31500</f>
        <v>162870</v>
      </c>
    </row>
    <row r="26" spans="1:22">
      <c r="A26" s="4" t="s">
        <v>49</v>
      </c>
      <c r="B26" s="23"/>
      <c r="C26" s="24"/>
      <c r="D26" s="25"/>
      <c r="E26" s="16"/>
      <c r="F26" s="18"/>
      <c r="G26" s="16"/>
      <c r="H26" s="35"/>
      <c r="I26" s="19"/>
      <c r="J26" s="18"/>
      <c r="K26" s="18"/>
      <c r="L26" s="18"/>
      <c r="M26" s="18"/>
      <c r="N26" s="20"/>
      <c r="O26" s="19"/>
      <c r="P26" s="18"/>
      <c r="Q26" s="20"/>
      <c r="R26" s="21"/>
      <c r="S26" s="25"/>
      <c r="T26" s="16"/>
      <c r="U26" s="35"/>
      <c r="V26" s="21"/>
    </row>
    <row r="27" spans="1:22" ht="2.25" customHeight="1">
      <c r="A27" s="4"/>
      <c r="B27" s="22"/>
      <c r="C27" s="16"/>
      <c r="D27" s="16"/>
      <c r="E27" s="18"/>
      <c r="F27" s="18"/>
      <c r="G27" s="18"/>
      <c r="H27" s="36"/>
      <c r="I27" s="19"/>
      <c r="J27" s="18"/>
      <c r="K27" s="18"/>
      <c r="L27" s="18"/>
      <c r="M27" s="18"/>
      <c r="N27" s="20"/>
      <c r="O27" s="19"/>
      <c r="P27" s="18"/>
      <c r="Q27" s="20"/>
      <c r="R27" s="21"/>
      <c r="S27" s="37"/>
      <c r="T27" s="18"/>
      <c r="U27" s="36"/>
      <c r="V27" s="21"/>
    </row>
    <row r="28" spans="1:22" s="3" customFormat="1">
      <c r="A28" s="4" t="s">
        <v>20</v>
      </c>
      <c r="B28" s="26"/>
      <c r="C28" s="27"/>
      <c r="D28" s="27"/>
      <c r="E28" s="27"/>
      <c r="F28" s="28"/>
      <c r="G28" s="28"/>
      <c r="H28" s="29"/>
      <c r="I28" s="30"/>
      <c r="J28" s="28"/>
      <c r="K28" s="28"/>
      <c r="L28" s="28"/>
      <c r="M28" s="28"/>
      <c r="N28" s="31"/>
      <c r="O28" s="30"/>
      <c r="P28" s="28"/>
      <c r="Q28" s="31"/>
      <c r="R28" s="32"/>
      <c r="S28" s="33"/>
      <c r="T28" s="28"/>
      <c r="U28" s="29"/>
      <c r="V28" s="32"/>
    </row>
    <row r="29" spans="1:22" s="3" customFormat="1">
      <c r="A29" s="4" t="s">
        <v>21</v>
      </c>
      <c r="B29" s="26"/>
      <c r="C29" s="27"/>
      <c r="D29" s="27"/>
      <c r="E29" s="27"/>
      <c r="F29" s="28"/>
      <c r="G29" s="28"/>
      <c r="H29" s="29"/>
      <c r="I29" s="30"/>
      <c r="J29" s="28"/>
      <c r="K29" s="28"/>
      <c r="L29" s="28"/>
      <c r="M29" s="28"/>
      <c r="N29" s="31"/>
      <c r="O29" s="30"/>
      <c r="P29" s="28"/>
      <c r="Q29" s="31"/>
      <c r="R29" s="32"/>
      <c r="S29" s="33"/>
      <c r="T29" s="28"/>
      <c r="U29" s="29"/>
      <c r="V29" s="32"/>
    </row>
    <row r="30" spans="1:22" s="3" customFormat="1">
      <c r="A30" s="4" t="s">
        <v>27</v>
      </c>
      <c r="B30" s="26"/>
      <c r="C30" s="27"/>
      <c r="D30" s="27"/>
      <c r="E30" s="27"/>
      <c r="F30" s="28"/>
      <c r="G30" s="28"/>
      <c r="H30" s="29"/>
      <c r="I30" s="30"/>
      <c r="J30" s="28"/>
      <c r="K30" s="28"/>
      <c r="L30" s="28"/>
      <c r="M30" s="28"/>
      <c r="N30" s="31"/>
      <c r="O30" s="30"/>
      <c r="P30" s="28"/>
      <c r="Q30" s="31"/>
      <c r="R30" s="32"/>
      <c r="S30" s="33"/>
      <c r="T30" s="28"/>
      <c r="U30" s="29"/>
      <c r="V30" s="32"/>
    </row>
    <row r="31" spans="1:22" s="3" customFormat="1">
      <c r="A31" s="4" t="s">
        <v>28</v>
      </c>
      <c r="B31" s="26"/>
      <c r="C31" s="27"/>
      <c r="D31" s="27"/>
      <c r="E31" s="27"/>
      <c r="F31" s="28"/>
      <c r="G31" s="28"/>
      <c r="H31" s="29"/>
      <c r="I31" s="30"/>
      <c r="J31" s="28"/>
      <c r="K31" s="28"/>
      <c r="L31" s="28"/>
      <c r="M31" s="28"/>
      <c r="N31" s="31"/>
      <c r="O31" s="30"/>
      <c r="P31" s="28"/>
      <c r="Q31" s="31"/>
      <c r="R31" s="32"/>
      <c r="S31" s="33"/>
      <c r="T31" s="28"/>
      <c r="U31" s="29"/>
      <c r="V31" s="32"/>
    </row>
  </sheetData>
  <mergeCells count="37">
    <mergeCell ref="S5:U5"/>
    <mergeCell ref="B4:V4"/>
    <mergeCell ref="I5:N5"/>
    <mergeCell ref="O5:Q5"/>
    <mergeCell ref="I11:N11"/>
    <mergeCell ref="A4:A7"/>
    <mergeCell ref="B5:H5"/>
    <mergeCell ref="I8:N8"/>
    <mergeCell ref="O8:Q8"/>
    <mergeCell ref="B25:D25"/>
    <mergeCell ref="B6:D6"/>
    <mergeCell ref="I6:R6"/>
    <mergeCell ref="I9:N9"/>
    <mergeCell ref="O9:Q9"/>
    <mergeCell ref="I25:R25"/>
    <mergeCell ref="B9:D9"/>
    <mergeCell ref="B8:D8"/>
    <mergeCell ref="B10:D10"/>
    <mergeCell ref="I10:N10"/>
    <mergeCell ref="O10:Q10"/>
    <mergeCell ref="I24:R24"/>
    <mergeCell ref="B23:D23"/>
    <mergeCell ref="I23:M23"/>
    <mergeCell ref="O23:Q23"/>
    <mergeCell ref="O11:Q11"/>
    <mergeCell ref="B14:D14"/>
    <mergeCell ref="I13:M13"/>
    <mergeCell ref="O13:Q13"/>
    <mergeCell ref="O18:Q18"/>
    <mergeCell ref="I18:M18"/>
    <mergeCell ref="I16:N16"/>
    <mergeCell ref="O16:Q16"/>
    <mergeCell ref="I14:R14"/>
    <mergeCell ref="B20:D20"/>
    <mergeCell ref="I17:M17"/>
    <mergeCell ref="O17:Q17"/>
    <mergeCell ref="I20:R20"/>
  </mergeCells>
  <pageMargins left="0.25" right="0.25" top="0.75" bottom="0.75" header="0.3" footer="0.3"/>
  <pageSetup scale="9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pane xSplit="1" ySplit="1" topLeftCell="B2" activePane="bottomRight" state="frozen"/>
      <selection pane="topRight" activeCell="B1" sqref="B1"/>
      <selection pane="bottomLeft" activeCell="A2" sqref="A2"/>
      <selection pane="bottomRight" activeCell="B15" sqref="B15"/>
    </sheetView>
  </sheetViews>
  <sheetFormatPr defaultRowHeight="12.75"/>
  <cols>
    <col min="1" max="1" width="17.5703125" bestFit="1" customWidth="1"/>
    <col min="2" max="2" width="131.140625" bestFit="1" customWidth="1"/>
  </cols>
  <sheetData>
    <row r="1" spans="1:2">
      <c r="B1" s="272">
        <v>43091</v>
      </c>
    </row>
    <row r="2" spans="1:2">
      <c r="A2" t="s">
        <v>119</v>
      </c>
      <c r="B2" s="271" t="s">
        <v>222</v>
      </c>
    </row>
    <row r="3" spans="1:2">
      <c r="B3" s="271" t="s">
        <v>227</v>
      </c>
    </row>
    <row r="4" spans="1:2">
      <c r="B4" s="271" t="s">
        <v>221</v>
      </c>
    </row>
    <row r="5" spans="1:2">
      <c r="B5" s="271"/>
    </row>
    <row r="6" spans="1:2">
      <c r="B6" s="271" t="s">
        <v>220</v>
      </c>
    </row>
    <row r="7" spans="1:2">
      <c r="B7" s="271"/>
    </row>
    <row r="8" spans="1:2">
      <c r="B8" s="271" t="s">
        <v>219</v>
      </c>
    </row>
    <row r="10" spans="1:2">
      <c r="A10" t="s">
        <v>223</v>
      </c>
      <c r="B10" t="s">
        <v>224</v>
      </c>
    </row>
    <row r="11" spans="1:2">
      <c r="B11" t="s">
        <v>229</v>
      </c>
    </row>
    <row r="12" spans="1:2">
      <c r="B12" t="s">
        <v>225</v>
      </c>
    </row>
    <row r="13" spans="1:2">
      <c r="B13" t="s">
        <v>226</v>
      </c>
    </row>
    <row r="15" spans="1:2" ht="63.75">
      <c r="A15" t="s">
        <v>228</v>
      </c>
      <c r="B15" s="255" t="s">
        <v>264</v>
      </c>
    </row>
    <row r="16" spans="1:2">
      <c r="B16" t="s">
        <v>231</v>
      </c>
    </row>
    <row r="18" spans="1:2">
      <c r="A18" t="s">
        <v>230</v>
      </c>
      <c r="B18" t="s">
        <v>232</v>
      </c>
    </row>
    <row r="19" spans="1:2">
      <c r="B19" t="s">
        <v>233</v>
      </c>
    </row>
    <row r="20" spans="1:2">
      <c r="B20" t="s">
        <v>234</v>
      </c>
    </row>
    <row r="21" spans="1:2">
      <c r="B21" t="s">
        <v>235</v>
      </c>
    </row>
    <row r="22" spans="1:2">
      <c r="B22" t="s">
        <v>236</v>
      </c>
    </row>
    <row r="24" spans="1:2">
      <c r="A24" t="s">
        <v>160</v>
      </c>
      <c r="B24" t="s">
        <v>237</v>
      </c>
    </row>
    <row r="26" spans="1:2">
      <c r="A26" t="s">
        <v>238</v>
      </c>
      <c r="B26" t="s">
        <v>239</v>
      </c>
    </row>
    <row r="27" spans="1:2">
      <c r="B27" t="s">
        <v>240</v>
      </c>
    </row>
    <row r="28" spans="1:2">
      <c r="B28" t="s">
        <v>241</v>
      </c>
    </row>
    <row r="29" spans="1:2">
      <c r="B29" t="s">
        <v>242</v>
      </c>
    </row>
    <row r="31" spans="1:2">
      <c r="A31" t="s">
        <v>243</v>
      </c>
      <c r="B31" t="s">
        <v>244</v>
      </c>
    </row>
    <row r="33" spans="1:2">
      <c r="A33" t="s">
        <v>157</v>
      </c>
      <c r="B33" t="s">
        <v>245</v>
      </c>
    </row>
    <row r="34" spans="1:2">
      <c r="B34" t="s">
        <v>246</v>
      </c>
    </row>
    <row r="35" spans="1:2">
      <c r="B35" t="s">
        <v>247</v>
      </c>
    </row>
    <row r="36" spans="1:2">
      <c r="B36" t="s">
        <v>248</v>
      </c>
    </row>
    <row r="39" spans="1:2">
      <c r="A39" t="s">
        <v>146</v>
      </c>
      <c r="B39" t="s">
        <v>267</v>
      </c>
    </row>
    <row r="40" spans="1:2">
      <c r="B40" t="s">
        <v>265</v>
      </c>
    </row>
    <row r="41" spans="1:2">
      <c r="B41" t="s">
        <v>268</v>
      </c>
    </row>
    <row r="42" spans="1:2">
      <c r="B42" t="s">
        <v>266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A6" sqref="A6"/>
    </sheetView>
  </sheetViews>
  <sheetFormatPr defaultRowHeight="12.75"/>
  <cols>
    <col min="1" max="1" width="16.28515625" customWidth="1"/>
    <col min="2" max="2" width="18.140625" customWidth="1"/>
    <col min="3" max="3" width="12.7109375" customWidth="1"/>
    <col min="4" max="4" width="15.5703125" customWidth="1"/>
    <col min="5" max="5" width="13.28515625" customWidth="1"/>
    <col min="6" max="6" width="15.7109375" customWidth="1"/>
    <col min="7" max="7" width="13.140625" customWidth="1"/>
    <col min="8" max="8" width="14.28515625" customWidth="1"/>
    <col min="9" max="9" width="12.5703125" customWidth="1"/>
    <col min="10" max="10" width="12.28515625" customWidth="1"/>
    <col min="11" max="11" width="16.28515625" customWidth="1"/>
  </cols>
  <sheetData>
    <row r="1" spans="1:11" ht="12.75" customHeight="1">
      <c r="A1" s="1007" t="s">
        <v>417</v>
      </c>
      <c r="B1" s="1008"/>
      <c r="C1" s="1008"/>
      <c r="D1" s="1008"/>
      <c r="E1" s="1008"/>
      <c r="F1" s="1008"/>
      <c r="G1" s="1008"/>
      <c r="H1" s="1008"/>
      <c r="I1" s="1008"/>
      <c r="J1" s="1008"/>
      <c r="K1" s="1009"/>
    </row>
    <row r="2" spans="1:11" ht="12.75" customHeight="1" thickBot="1">
      <c r="A2" s="1010"/>
      <c r="B2" s="1011"/>
      <c r="C2" s="1011"/>
      <c r="D2" s="1011"/>
      <c r="E2" s="1011"/>
      <c r="F2" s="1011"/>
      <c r="G2" s="1011"/>
      <c r="H2" s="1011"/>
      <c r="I2" s="1011"/>
      <c r="J2" s="1011"/>
      <c r="K2" s="1012"/>
    </row>
    <row r="3" spans="1:11" ht="36" customHeight="1" thickBot="1">
      <c r="A3" s="737" t="s">
        <v>400</v>
      </c>
      <c r="B3" s="738" t="s">
        <v>401</v>
      </c>
      <c r="C3" s="738" t="s">
        <v>402</v>
      </c>
      <c r="D3" s="738" t="s">
        <v>403</v>
      </c>
      <c r="E3" s="738" t="s">
        <v>404</v>
      </c>
      <c r="F3" s="738" t="s">
        <v>405</v>
      </c>
      <c r="G3" s="738" t="s">
        <v>406</v>
      </c>
      <c r="H3" s="738" t="s">
        <v>407</v>
      </c>
      <c r="I3" s="738" t="s">
        <v>408</v>
      </c>
      <c r="J3" s="738" t="s">
        <v>409</v>
      </c>
      <c r="K3" s="739" t="s">
        <v>410</v>
      </c>
    </row>
    <row r="4" spans="1:11" ht="16.5" thickBot="1">
      <c r="A4" s="1004" t="s">
        <v>533</v>
      </c>
      <c r="B4" s="1005"/>
      <c r="C4" s="1005"/>
      <c r="D4" s="1005"/>
      <c r="E4" s="1005"/>
      <c r="F4" s="1005"/>
      <c r="G4" s="1005"/>
      <c r="H4" s="1005"/>
      <c r="I4" s="1005"/>
      <c r="J4" s="1005"/>
      <c r="K4" s="1006"/>
    </row>
    <row r="5" spans="1:11" ht="16.5" thickBot="1">
      <c r="A5" s="749"/>
      <c r="B5" s="750">
        <f>SUM(B6:B12)</f>
        <v>0.26500000000000001</v>
      </c>
      <c r="C5" s="751">
        <f>SUM(C6:C12)</f>
        <v>1</v>
      </c>
      <c r="D5" s="752"/>
      <c r="E5" s="753"/>
      <c r="F5" s="754">
        <v>42516</v>
      </c>
      <c r="G5" s="754">
        <v>42533</v>
      </c>
      <c r="H5" s="755"/>
      <c r="I5" s="755"/>
      <c r="J5" s="756"/>
      <c r="K5" s="757"/>
    </row>
    <row r="6" spans="1:11" ht="15.75">
      <c r="A6" s="758">
        <v>1</v>
      </c>
      <c r="B6" s="741">
        <f>(A6/100)*C6*100</f>
        <v>0.15</v>
      </c>
      <c r="C6" s="740">
        <v>0.15</v>
      </c>
      <c r="D6" s="742" t="s">
        <v>411</v>
      </c>
      <c r="E6" s="743"/>
      <c r="F6" s="744">
        <v>42516</v>
      </c>
      <c r="G6" s="745"/>
      <c r="H6" s="746"/>
      <c r="I6" s="747"/>
      <c r="J6" s="748"/>
      <c r="K6" s="759"/>
    </row>
    <row r="7" spans="1:11" ht="15.75">
      <c r="A7" s="760">
        <v>0.8</v>
      </c>
      <c r="B7" s="731">
        <f t="shared" ref="B7:B12" si="0">(A7/100)*C7*100</f>
        <v>0.04</v>
      </c>
      <c r="C7" s="730">
        <v>0.05</v>
      </c>
      <c r="D7" s="732" t="s">
        <v>276</v>
      </c>
      <c r="E7" s="733"/>
      <c r="F7" s="733"/>
      <c r="G7" s="733"/>
      <c r="H7" s="733"/>
      <c r="I7" s="735"/>
      <c r="J7" s="736"/>
      <c r="K7" s="761"/>
    </row>
    <row r="8" spans="1:11" ht="15.75">
      <c r="A8" s="760">
        <v>0.5</v>
      </c>
      <c r="B8" s="731">
        <f t="shared" si="0"/>
        <v>7.4999999999999997E-2</v>
      </c>
      <c r="C8" s="730">
        <v>0.15</v>
      </c>
      <c r="D8" s="732" t="s">
        <v>412</v>
      </c>
      <c r="E8" s="733"/>
      <c r="F8" s="733"/>
      <c r="G8" s="733"/>
      <c r="H8" s="733"/>
      <c r="I8" s="733"/>
      <c r="J8" s="729"/>
      <c r="K8" s="761"/>
    </row>
    <row r="9" spans="1:11" ht="15.75">
      <c r="A9" s="760">
        <v>0</v>
      </c>
      <c r="B9" s="731">
        <f t="shared" si="0"/>
        <v>0</v>
      </c>
      <c r="C9" s="730">
        <v>0.45</v>
      </c>
      <c r="D9" s="732" t="s">
        <v>413</v>
      </c>
      <c r="E9" s="733">
        <v>14</v>
      </c>
      <c r="F9" s="734">
        <v>42614</v>
      </c>
      <c r="G9" s="734">
        <v>42633</v>
      </c>
      <c r="H9" s="733"/>
      <c r="I9" s="733"/>
      <c r="J9" s="729"/>
      <c r="K9" s="762"/>
    </row>
    <row r="10" spans="1:11" ht="15.75">
      <c r="A10" s="760">
        <v>0</v>
      </c>
      <c r="B10" s="731">
        <f t="shared" si="0"/>
        <v>0</v>
      </c>
      <c r="C10" s="730">
        <v>0.1</v>
      </c>
      <c r="D10" s="732" t="s">
        <v>414</v>
      </c>
      <c r="E10" s="733">
        <v>5</v>
      </c>
      <c r="F10" s="734">
        <v>42634</v>
      </c>
      <c r="G10" s="734">
        <v>42640</v>
      </c>
      <c r="H10" s="733"/>
      <c r="I10" s="733"/>
      <c r="J10" s="729"/>
      <c r="K10" s="763"/>
    </row>
    <row r="11" spans="1:11" ht="15.75">
      <c r="A11" s="760">
        <v>0</v>
      </c>
      <c r="B11" s="731">
        <f t="shared" si="0"/>
        <v>0</v>
      </c>
      <c r="C11" s="730">
        <v>0.05</v>
      </c>
      <c r="D11" s="732" t="s">
        <v>415</v>
      </c>
      <c r="E11" s="733">
        <v>1</v>
      </c>
      <c r="F11" s="734">
        <v>42641</v>
      </c>
      <c r="G11" s="734">
        <v>42641</v>
      </c>
      <c r="H11" s="733"/>
      <c r="I11" s="733"/>
      <c r="J11" s="729"/>
      <c r="K11" s="763"/>
    </row>
    <row r="12" spans="1:11" ht="16.5" thickBot="1">
      <c r="A12" s="764">
        <v>0</v>
      </c>
      <c r="B12" s="765">
        <f t="shared" si="0"/>
        <v>0</v>
      </c>
      <c r="C12" s="766">
        <v>0.05</v>
      </c>
      <c r="D12" s="767" t="s">
        <v>416</v>
      </c>
      <c r="E12" s="768">
        <v>2</v>
      </c>
      <c r="F12" s="769">
        <v>42642</v>
      </c>
      <c r="G12" s="770">
        <v>42643</v>
      </c>
      <c r="H12" s="768"/>
      <c r="I12" s="768"/>
      <c r="J12" s="771"/>
      <c r="K12" s="772"/>
    </row>
    <row r="13" spans="1:11" ht="13.5" thickBot="1"/>
    <row r="14" spans="1:11" ht="16.5" thickBot="1">
      <c r="A14" s="1004" t="s">
        <v>430</v>
      </c>
      <c r="B14" s="1005"/>
      <c r="C14" s="1005"/>
      <c r="D14" s="1005"/>
      <c r="E14" s="1005"/>
      <c r="F14" s="1005"/>
      <c r="G14" s="1005"/>
      <c r="H14" s="1005"/>
      <c r="I14" s="1005"/>
      <c r="J14" s="1005"/>
      <c r="K14" s="1006"/>
    </row>
    <row r="15" spans="1:11" ht="34.5" customHeight="1" thickBot="1">
      <c r="A15" s="737" t="s">
        <v>400</v>
      </c>
      <c r="B15" s="738" t="s">
        <v>401</v>
      </c>
      <c r="C15" s="738" t="s">
        <v>402</v>
      </c>
      <c r="D15" s="738" t="s">
        <v>403</v>
      </c>
      <c r="E15" s="738" t="s">
        <v>404</v>
      </c>
      <c r="F15" s="738" t="s">
        <v>405</v>
      </c>
      <c r="G15" s="738" t="s">
        <v>406</v>
      </c>
      <c r="H15" s="738" t="s">
        <v>407</v>
      </c>
      <c r="I15" s="738" t="s">
        <v>408</v>
      </c>
      <c r="J15" s="738" t="s">
        <v>409</v>
      </c>
      <c r="K15" s="739" t="s">
        <v>410</v>
      </c>
    </row>
    <row r="16" spans="1:11" ht="16.5" thickBot="1">
      <c r="A16" s="749"/>
      <c r="B16" s="750">
        <f>SUM(B17:B23)</f>
        <v>0.9</v>
      </c>
      <c r="C16" s="751">
        <f>SUM(C17:C23)</f>
        <v>1</v>
      </c>
      <c r="D16" s="752"/>
      <c r="E16" s="753"/>
      <c r="F16" s="754">
        <v>42516</v>
      </c>
      <c r="G16" s="754">
        <v>42533</v>
      </c>
      <c r="H16" s="755"/>
      <c r="I16" s="755"/>
      <c r="J16" s="756"/>
      <c r="K16" s="757"/>
    </row>
    <row r="17" spans="1:11" ht="15.75">
      <c r="A17" s="758">
        <v>1</v>
      </c>
      <c r="B17" s="741">
        <f>(A17/100)*C17*100</f>
        <v>0.15</v>
      </c>
      <c r="C17" s="740">
        <v>0.15</v>
      </c>
      <c r="D17" s="742" t="s">
        <v>411</v>
      </c>
      <c r="E17" s="743"/>
      <c r="F17" s="744">
        <v>42516</v>
      </c>
      <c r="G17" s="745"/>
      <c r="H17" s="746"/>
      <c r="I17" s="747"/>
      <c r="J17" s="748"/>
      <c r="K17" s="759"/>
    </row>
    <row r="18" spans="1:11" ht="15.75">
      <c r="A18" s="758">
        <v>1</v>
      </c>
      <c r="B18" s="731">
        <f t="shared" ref="B18:B23" si="1">(A18/100)*C18*100</f>
        <v>0.05</v>
      </c>
      <c r="C18" s="730">
        <v>0.05</v>
      </c>
      <c r="D18" s="732" t="s">
        <v>276</v>
      </c>
      <c r="E18" s="733"/>
      <c r="F18" s="733"/>
      <c r="G18" s="733"/>
      <c r="H18" s="733"/>
      <c r="I18" s="735"/>
      <c r="J18" s="736"/>
      <c r="K18" s="761"/>
    </row>
    <row r="19" spans="1:11" ht="15.75">
      <c r="A19" s="758">
        <v>1</v>
      </c>
      <c r="B19" s="731">
        <f t="shared" si="1"/>
        <v>0.15</v>
      </c>
      <c r="C19" s="730">
        <v>0.15</v>
      </c>
      <c r="D19" s="732" t="s">
        <v>412</v>
      </c>
      <c r="E19" s="733"/>
      <c r="F19" s="733"/>
      <c r="G19" s="733"/>
      <c r="H19" s="733"/>
      <c r="I19" s="733"/>
      <c r="J19" s="729"/>
      <c r="K19" s="761"/>
    </row>
    <row r="20" spans="1:11" ht="15.75">
      <c r="A20" s="758">
        <v>1</v>
      </c>
      <c r="B20" s="731">
        <f t="shared" si="1"/>
        <v>0.45000000000000007</v>
      </c>
      <c r="C20" s="730">
        <v>0.45</v>
      </c>
      <c r="D20" s="732" t="s">
        <v>413</v>
      </c>
      <c r="E20" s="733">
        <v>14</v>
      </c>
      <c r="F20" s="734">
        <v>42614</v>
      </c>
      <c r="G20" s="734">
        <v>42633</v>
      </c>
      <c r="H20" s="733"/>
      <c r="I20" s="733"/>
      <c r="J20" s="729"/>
      <c r="K20" s="762"/>
    </row>
    <row r="21" spans="1:11" ht="15.75">
      <c r="A21" s="758">
        <v>1</v>
      </c>
      <c r="B21" s="731">
        <f t="shared" si="1"/>
        <v>0.1</v>
      </c>
      <c r="C21" s="730">
        <v>0.1</v>
      </c>
      <c r="D21" s="732" t="s">
        <v>414</v>
      </c>
      <c r="E21" s="733">
        <v>5</v>
      </c>
      <c r="F21" s="734">
        <v>42634</v>
      </c>
      <c r="G21" s="734">
        <v>42640</v>
      </c>
      <c r="H21" s="733"/>
      <c r="I21" s="733"/>
      <c r="J21" s="729"/>
      <c r="K21" s="763"/>
    </row>
    <row r="22" spans="1:11" ht="15.75">
      <c r="A22" s="758">
        <v>0</v>
      </c>
      <c r="B22" s="731">
        <f t="shared" si="1"/>
        <v>0</v>
      </c>
      <c r="C22" s="730">
        <v>0.05</v>
      </c>
      <c r="D22" s="732" t="s">
        <v>415</v>
      </c>
      <c r="E22" s="733">
        <v>1</v>
      </c>
      <c r="F22" s="734">
        <v>42641</v>
      </c>
      <c r="G22" s="734">
        <v>42641</v>
      </c>
      <c r="H22" s="733"/>
      <c r="I22" s="733"/>
      <c r="J22" s="729"/>
      <c r="K22" s="763"/>
    </row>
    <row r="23" spans="1:11" ht="16.5" thickBot="1">
      <c r="A23" s="758">
        <v>0</v>
      </c>
      <c r="B23" s="765">
        <f t="shared" si="1"/>
        <v>0</v>
      </c>
      <c r="C23" s="766">
        <v>0.05</v>
      </c>
      <c r="D23" s="767" t="s">
        <v>416</v>
      </c>
      <c r="E23" s="768">
        <v>2</v>
      </c>
      <c r="F23" s="769">
        <v>42642</v>
      </c>
      <c r="G23" s="770">
        <v>42643</v>
      </c>
      <c r="H23" s="768"/>
      <c r="I23" s="768"/>
      <c r="J23" s="771"/>
      <c r="K23" s="772"/>
    </row>
    <row r="24" spans="1:11" ht="13.5" thickBot="1"/>
    <row r="25" spans="1:11" ht="16.5" thickBot="1">
      <c r="A25" s="1004" t="s">
        <v>431</v>
      </c>
      <c r="B25" s="1005"/>
      <c r="C25" s="1005"/>
      <c r="D25" s="1005"/>
      <c r="E25" s="1005"/>
      <c r="F25" s="1005"/>
      <c r="G25" s="1005"/>
      <c r="H25" s="1005"/>
      <c r="I25" s="1005"/>
      <c r="J25" s="1005"/>
      <c r="K25" s="1006"/>
    </row>
    <row r="26" spans="1:11" ht="34.5" customHeight="1" thickBot="1">
      <c r="A26" s="737" t="s">
        <v>400</v>
      </c>
      <c r="B26" s="738" t="s">
        <v>401</v>
      </c>
      <c r="C26" s="738" t="s">
        <v>402</v>
      </c>
      <c r="D26" s="738" t="s">
        <v>403</v>
      </c>
      <c r="E26" s="738" t="s">
        <v>404</v>
      </c>
      <c r="F26" s="738" t="s">
        <v>405</v>
      </c>
      <c r="G26" s="738" t="s">
        <v>406</v>
      </c>
      <c r="H26" s="738" t="s">
        <v>407</v>
      </c>
      <c r="I26" s="738" t="s">
        <v>408</v>
      </c>
      <c r="J26" s="738" t="s">
        <v>409</v>
      </c>
      <c r="K26" s="739" t="s">
        <v>410</v>
      </c>
    </row>
    <row r="27" spans="1:11" ht="16.5" thickBot="1">
      <c r="A27" s="749"/>
      <c r="B27" s="750">
        <f>SUM(B28:B34)</f>
        <v>0.8</v>
      </c>
      <c r="C27" s="751">
        <f>SUM(C28:C34)</f>
        <v>1</v>
      </c>
      <c r="D27" s="752"/>
      <c r="E27" s="753"/>
      <c r="F27" s="754">
        <v>42516</v>
      </c>
      <c r="G27" s="754">
        <v>42533</v>
      </c>
      <c r="H27" s="755"/>
      <c r="I27" s="755"/>
      <c r="J27" s="756"/>
      <c r="K27" s="757"/>
    </row>
    <row r="28" spans="1:11" ht="15.75">
      <c r="A28" s="758">
        <v>1</v>
      </c>
      <c r="B28" s="741">
        <f>(A28/100)*C28*100</f>
        <v>0.15</v>
      </c>
      <c r="C28" s="740">
        <v>0.15</v>
      </c>
      <c r="D28" s="742" t="s">
        <v>411</v>
      </c>
      <c r="E28" s="743"/>
      <c r="F28" s="744">
        <v>42516</v>
      </c>
      <c r="G28" s="745"/>
      <c r="H28" s="746"/>
      <c r="I28" s="747"/>
      <c r="J28" s="748"/>
      <c r="K28" s="759"/>
    </row>
    <row r="29" spans="1:11" ht="15.75">
      <c r="A29" s="758">
        <v>1</v>
      </c>
      <c r="B29" s="731">
        <f t="shared" ref="B29:B34" si="2">(A29/100)*C29*100</f>
        <v>0.05</v>
      </c>
      <c r="C29" s="730">
        <v>0.05</v>
      </c>
      <c r="D29" s="732" t="s">
        <v>276</v>
      </c>
      <c r="E29" s="733"/>
      <c r="F29" s="733"/>
      <c r="G29" s="733"/>
      <c r="H29" s="733"/>
      <c r="I29" s="735"/>
      <c r="J29" s="736"/>
      <c r="K29" s="761"/>
    </row>
    <row r="30" spans="1:11" ht="15.75">
      <c r="A30" s="758">
        <v>1</v>
      </c>
      <c r="B30" s="731">
        <f t="shared" si="2"/>
        <v>0.15</v>
      </c>
      <c r="C30" s="730">
        <v>0.15</v>
      </c>
      <c r="D30" s="732" t="s">
        <v>412</v>
      </c>
      <c r="E30" s="733"/>
      <c r="F30" s="733"/>
      <c r="G30" s="733"/>
      <c r="H30" s="733"/>
      <c r="I30" s="733"/>
      <c r="J30" s="729"/>
      <c r="K30" s="761"/>
    </row>
    <row r="31" spans="1:11" ht="15.75">
      <c r="A31" s="758">
        <v>1</v>
      </c>
      <c r="B31" s="731">
        <f t="shared" si="2"/>
        <v>0.45000000000000007</v>
      </c>
      <c r="C31" s="730">
        <v>0.45</v>
      </c>
      <c r="D31" s="732" t="s">
        <v>413</v>
      </c>
      <c r="E31" s="733">
        <v>14</v>
      </c>
      <c r="F31" s="734">
        <v>42614</v>
      </c>
      <c r="G31" s="734">
        <v>42633</v>
      </c>
      <c r="H31" s="733"/>
      <c r="I31" s="733"/>
      <c r="J31" s="729"/>
      <c r="K31" s="762"/>
    </row>
    <row r="32" spans="1:11" ht="15.75">
      <c r="A32" s="758">
        <v>0</v>
      </c>
      <c r="B32" s="731">
        <f t="shared" si="2"/>
        <v>0</v>
      </c>
      <c r="C32" s="730">
        <v>0.1</v>
      </c>
      <c r="D32" s="732" t="s">
        <v>414</v>
      </c>
      <c r="E32" s="733">
        <v>5</v>
      </c>
      <c r="F32" s="734">
        <v>42634</v>
      </c>
      <c r="G32" s="734">
        <v>42640</v>
      </c>
      <c r="H32" s="733"/>
      <c r="I32" s="733"/>
      <c r="J32" s="729"/>
      <c r="K32" s="763"/>
    </row>
    <row r="33" spans="1:11" ht="15.75">
      <c r="A33" s="760">
        <v>0</v>
      </c>
      <c r="B33" s="731">
        <f t="shared" si="2"/>
        <v>0</v>
      </c>
      <c r="C33" s="730">
        <v>0.05</v>
      </c>
      <c r="D33" s="732" t="s">
        <v>415</v>
      </c>
      <c r="E33" s="733">
        <v>1</v>
      </c>
      <c r="F33" s="734">
        <v>42641</v>
      </c>
      <c r="G33" s="734">
        <v>42641</v>
      </c>
      <c r="H33" s="733"/>
      <c r="I33" s="733"/>
      <c r="J33" s="729"/>
      <c r="K33" s="763"/>
    </row>
    <row r="34" spans="1:11" ht="16.5" thickBot="1">
      <c r="A34" s="764">
        <v>0</v>
      </c>
      <c r="B34" s="765">
        <f t="shared" si="2"/>
        <v>0</v>
      </c>
      <c r="C34" s="766">
        <v>0.05</v>
      </c>
      <c r="D34" s="767" t="s">
        <v>416</v>
      </c>
      <c r="E34" s="768">
        <v>2</v>
      </c>
      <c r="F34" s="769">
        <v>42642</v>
      </c>
      <c r="G34" s="770">
        <v>42643</v>
      </c>
      <c r="H34" s="768"/>
      <c r="I34" s="768"/>
      <c r="J34" s="771"/>
      <c r="K34" s="772"/>
    </row>
  </sheetData>
  <mergeCells count="4">
    <mergeCell ref="A4:K4"/>
    <mergeCell ref="A1:K2"/>
    <mergeCell ref="A14:K14"/>
    <mergeCell ref="A25:K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80" zoomScaleNormal="80" workbookViewId="0">
      <selection activeCell="E4" sqref="E4"/>
    </sheetView>
  </sheetViews>
  <sheetFormatPr defaultRowHeight="12.75"/>
  <cols>
    <col min="1" max="1" width="17.42578125" customWidth="1"/>
    <col min="2" max="2" width="14.140625" customWidth="1"/>
    <col min="3" max="3" width="13.7109375" customWidth="1"/>
    <col min="4" max="4" width="15.85546875" customWidth="1"/>
    <col min="5" max="5" width="15" customWidth="1"/>
    <col min="7" max="7" width="14.140625" customWidth="1"/>
    <col min="8" max="8" width="16.5703125" customWidth="1"/>
    <col min="9" max="9" width="18.5703125" customWidth="1"/>
    <col min="10" max="10" width="40.140625" customWidth="1"/>
  </cols>
  <sheetData>
    <row r="1" spans="1:10" ht="73.5" customHeight="1" thickBot="1">
      <c r="A1" s="1013" t="s">
        <v>418</v>
      </c>
      <c r="B1" s="1014"/>
      <c r="C1" s="1014"/>
      <c r="D1" s="1014"/>
      <c r="E1" s="1014"/>
      <c r="F1" s="1014"/>
      <c r="G1" s="1014"/>
      <c r="H1" s="1014"/>
      <c r="I1" s="1015"/>
      <c r="J1" s="1016"/>
    </row>
    <row r="2" spans="1:10" ht="28.5" customHeight="1" thickBot="1">
      <c r="A2" s="1018" t="s">
        <v>419</v>
      </c>
      <c r="B2" s="1019"/>
      <c r="C2" s="1020">
        <v>43075</v>
      </c>
      <c r="D2" s="1021"/>
      <c r="E2" s="1022" t="s">
        <v>420</v>
      </c>
      <c r="F2" s="1023"/>
      <c r="G2" s="1019"/>
      <c r="H2" s="1024" t="s">
        <v>421</v>
      </c>
      <c r="I2" s="1025"/>
      <c r="J2" s="1017"/>
    </row>
    <row r="3" spans="1:10" ht="39" thickBot="1">
      <c r="A3" s="1026" t="s">
        <v>73</v>
      </c>
      <c r="B3" s="1027"/>
      <c r="C3" s="773" t="s">
        <v>174</v>
      </c>
      <c r="D3" s="773" t="s">
        <v>422</v>
      </c>
      <c r="E3" s="773" t="s">
        <v>423</v>
      </c>
      <c r="F3" s="1028" t="s">
        <v>424</v>
      </c>
      <c r="G3" s="1027"/>
      <c r="H3" s="773" t="s">
        <v>425</v>
      </c>
      <c r="I3" s="773" t="s">
        <v>426</v>
      </c>
      <c r="J3" s="774" t="s">
        <v>427</v>
      </c>
    </row>
    <row r="4" spans="1:10">
      <c r="A4" s="1029" t="s">
        <v>428</v>
      </c>
      <c r="B4" s="1030"/>
      <c r="C4" s="775" t="s">
        <v>413</v>
      </c>
      <c r="D4" s="776">
        <v>43072</v>
      </c>
      <c r="E4" s="777">
        <v>0.7</v>
      </c>
      <c r="F4" s="1031">
        <v>43086</v>
      </c>
      <c r="G4" s="1032"/>
      <c r="H4" s="776">
        <v>43086</v>
      </c>
      <c r="I4" s="778">
        <f>NETWORKDAYS(F4,H4)</f>
        <v>0</v>
      </c>
      <c r="J4" s="779" t="s">
        <v>429</v>
      </c>
    </row>
    <row r="5" spans="1:10">
      <c r="A5" s="1033" t="s">
        <v>430</v>
      </c>
      <c r="B5" s="1034"/>
      <c r="C5" s="780" t="s">
        <v>413</v>
      </c>
      <c r="D5" s="776">
        <v>43082</v>
      </c>
      <c r="E5" s="781">
        <v>0.3</v>
      </c>
      <c r="F5" s="1035">
        <v>43094</v>
      </c>
      <c r="G5" s="1036"/>
      <c r="H5" s="776">
        <v>43094</v>
      </c>
      <c r="I5" s="778">
        <v>0</v>
      </c>
      <c r="J5" s="782" t="s">
        <v>429</v>
      </c>
    </row>
    <row r="6" spans="1:10" ht="13.5" thickBot="1">
      <c r="A6" s="1037" t="s">
        <v>431</v>
      </c>
      <c r="B6" s="1038"/>
      <c r="C6" s="783" t="s">
        <v>432</v>
      </c>
      <c r="D6" s="784">
        <v>43072</v>
      </c>
      <c r="E6" s="785">
        <v>0.15</v>
      </c>
      <c r="F6" s="1039">
        <v>42765</v>
      </c>
      <c r="G6" s="1040"/>
      <c r="H6" s="786">
        <v>42765</v>
      </c>
      <c r="I6" s="787">
        <v>0</v>
      </c>
      <c r="J6" s="788" t="s">
        <v>429</v>
      </c>
    </row>
    <row r="7" spans="1:10" ht="13.5" thickBot="1">
      <c r="A7" s="789"/>
      <c r="B7" s="790"/>
      <c r="C7" s="790"/>
      <c r="D7" s="790"/>
      <c r="E7" s="790"/>
      <c r="F7" s="790"/>
      <c r="G7" s="790"/>
      <c r="H7" s="790"/>
      <c r="I7" s="790"/>
      <c r="J7" s="791"/>
    </row>
    <row r="8" spans="1:10" ht="13.5" thickBot="1">
      <c r="A8" s="1026" t="s">
        <v>433</v>
      </c>
      <c r="B8" s="1041"/>
      <c r="C8" s="1041"/>
      <c r="D8" s="1041"/>
      <c r="E8" s="1042"/>
      <c r="F8" s="792"/>
      <c r="G8" s="1026" t="s">
        <v>434</v>
      </c>
      <c r="H8" s="1041"/>
      <c r="I8" s="1041"/>
      <c r="J8" s="1042"/>
    </row>
    <row r="9" spans="1:10" ht="72" customHeight="1" thickBot="1">
      <c r="A9" s="1043" t="s">
        <v>435</v>
      </c>
      <c r="B9" s="1044"/>
      <c r="C9" s="1044"/>
      <c r="D9" s="1044"/>
      <c r="E9" s="1045"/>
      <c r="F9" s="793"/>
      <c r="G9" s="1043" t="s">
        <v>436</v>
      </c>
      <c r="H9" s="1044"/>
      <c r="I9" s="1044"/>
      <c r="J9" s="1045"/>
    </row>
    <row r="10" spans="1:10" ht="13.5" thickBot="1">
      <c r="A10" s="789"/>
      <c r="B10" s="790"/>
      <c r="C10" s="790"/>
      <c r="D10" s="790"/>
      <c r="E10" s="790"/>
      <c r="F10" s="794"/>
      <c r="G10" s="790"/>
      <c r="H10" s="790"/>
      <c r="I10" s="790"/>
      <c r="J10" s="791"/>
    </row>
    <row r="11" spans="1:10" ht="13.5" thickBot="1">
      <c r="A11" s="1026" t="s">
        <v>437</v>
      </c>
      <c r="B11" s="1041"/>
      <c r="C11" s="1041"/>
      <c r="D11" s="1041"/>
      <c r="E11" s="1042"/>
      <c r="F11" s="792"/>
      <c r="G11" s="1026" t="s">
        <v>438</v>
      </c>
      <c r="H11" s="1041"/>
      <c r="I11" s="1041"/>
      <c r="J11" s="1042"/>
    </row>
    <row r="12" spans="1:10" ht="36.75" customHeight="1" thickBot="1">
      <c r="A12" s="1050" t="s">
        <v>439</v>
      </c>
      <c r="B12" s="1051"/>
      <c r="C12" s="1051"/>
      <c r="D12" s="1051"/>
      <c r="E12" s="1052"/>
      <c r="F12" s="795"/>
      <c r="G12" s="1053" t="s">
        <v>440</v>
      </c>
      <c r="H12" s="1054"/>
      <c r="I12" s="1054"/>
      <c r="J12" s="1055"/>
    </row>
    <row r="13" spans="1:10" ht="13.5" thickBot="1">
      <c r="A13" s="789"/>
      <c r="B13" s="790"/>
      <c r="C13" s="790"/>
      <c r="D13" s="790"/>
      <c r="E13" s="790"/>
      <c r="F13" s="790"/>
      <c r="G13" s="790"/>
      <c r="H13" s="790"/>
      <c r="I13" s="790"/>
      <c r="J13" s="791"/>
    </row>
    <row r="14" spans="1:10">
      <c r="A14" s="1056" t="s">
        <v>73</v>
      </c>
      <c r="B14" s="1058" t="s">
        <v>441</v>
      </c>
      <c r="C14" s="1058"/>
      <c r="D14" s="1058"/>
      <c r="E14" s="1058"/>
      <c r="F14" s="1058"/>
      <c r="G14" s="1058"/>
      <c r="H14" s="1058"/>
      <c r="I14" s="1059"/>
      <c r="J14" s="1060"/>
    </row>
    <row r="15" spans="1:10">
      <c r="A15" s="1057"/>
      <c r="B15" s="796" t="s">
        <v>442</v>
      </c>
      <c r="C15" s="796" t="s">
        <v>443</v>
      </c>
      <c r="D15" s="796" t="s">
        <v>444</v>
      </c>
      <c r="E15" s="1061" t="s">
        <v>445</v>
      </c>
      <c r="F15" s="1062"/>
      <c r="G15" s="796" t="s">
        <v>446</v>
      </c>
      <c r="H15" s="796" t="s">
        <v>414</v>
      </c>
      <c r="I15" s="797" t="s">
        <v>447</v>
      </c>
      <c r="J15" s="798" t="s">
        <v>448</v>
      </c>
    </row>
    <row r="16" spans="1:10" ht="25.5">
      <c r="A16" s="799" t="s">
        <v>449</v>
      </c>
      <c r="B16" s="800" t="s">
        <v>167</v>
      </c>
      <c r="C16" s="800" t="s">
        <v>167</v>
      </c>
      <c r="D16" s="800" t="s">
        <v>450</v>
      </c>
      <c r="E16" s="1046" t="s">
        <v>167</v>
      </c>
      <c r="F16" s="1047"/>
      <c r="G16" s="800" t="s">
        <v>167</v>
      </c>
      <c r="H16" s="800"/>
      <c r="I16" s="801"/>
      <c r="J16" s="802"/>
    </row>
    <row r="17" spans="1:10" ht="25.5">
      <c r="A17" s="799" t="s">
        <v>430</v>
      </c>
      <c r="B17" s="800" t="s">
        <v>167</v>
      </c>
      <c r="C17" s="800" t="s">
        <v>450</v>
      </c>
      <c r="D17" s="800"/>
      <c r="E17" s="1046"/>
      <c r="F17" s="1047"/>
      <c r="G17" s="800"/>
      <c r="H17" s="800"/>
      <c r="I17" s="801"/>
      <c r="J17" s="802"/>
    </row>
    <row r="18" spans="1:10" ht="26.25" thickBot="1">
      <c r="A18" s="803" t="s">
        <v>431</v>
      </c>
      <c r="B18" s="804" t="s">
        <v>167</v>
      </c>
      <c r="C18" s="804" t="s">
        <v>450</v>
      </c>
      <c r="D18" s="805"/>
      <c r="E18" s="1048"/>
      <c r="F18" s="1049"/>
      <c r="G18" s="804"/>
      <c r="H18" s="805"/>
      <c r="I18" s="806"/>
      <c r="J18" s="807"/>
    </row>
  </sheetData>
  <mergeCells count="28">
    <mergeCell ref="E16:F16"/>
    <mergeCell ref="E17:F17"/>
    <mergeCell ref="E18:F18"/>
    <mergeCell ref="A11:E11"/>
    <mergeCell ref="G11:J11"/>
    <mergeCell ref="A12:E12"/>
    <mergeCell ref="G12:J12"/>
    <mergeCell ref="A14:A15"/>
    <mergeCell ref="B14:J14"/>
    <mergeCell ref="E15:F15"/>
    <mergeCell ref="A6:B6"/>
    <mergeCell ref="F6:G6"/>
    <mergeCell ref="A8:E8"/>
    <mergeCell ref="G8:J8"/>
    <mergeCell ref="A9:E9"/>
    <mergeCell ref="G9:J9"/>
    <mergeCell ref="A3:B3"/>
    <mergeCell ref="F3:G3"/>
    <mergeCell ref="A4:B4"/>
    <mergeCell ref="F4:G4"/>
    <mergeCell ref="A5:B5"/>
    <mergeCell ref="F5:G5"/>
    <mergeCell ref="A1:I1"/>
    <mergeCell ref="J1:J2"/>
    <mergeCell ref="A2:B2"/>
    <mergeCell ref="C2:D2"/>
    <mergeCell ref="E2:G2"/>
    <mergeCell ref="H2:I2"/>
  </mergeCells>
  <conditionalFormatting sqref="I4:I6">
    <cfRule type="cellIs" dxfId="2" priority="1" operator="greaterThan">
      <formula>12</formula>
    </cfRule>
    <cfRule type="cellIs" dxfId="1" priority="3" operator="equal">
      <formula>0</formula>
    </cfRule>
  </conditionalFormatting>
  <conditionalFormatting sqref="J7">
    <cfRule type="cellIs" dxfId="0" priority="2" operator="between">
      <formula>1</formula>
      <formula>12</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pane xSplit="1" topLeftCell="E1" activePane="topRight" state="frozen"/>
      <selection activeCell="A3" sqref="A3"/>
      <selection pane="topRight" sqref="A1:J1"/>
    </sheetView>
  </sheetViews>
  <sheetFormatPr defaultRowHeight="12.75"/>
  <cols>
    <col min="1" max="1" width="15.85546875" customWidth="1"/>
    <col min="2" max="3" width="16.85546875" customWidth="1"/>
    <col min="4" max="4" width="21.7109375" customWidth="1"/>
    <col min="5" max="5" width="17.5703125" customWidth="1"/>
    <col min="6" max="6" width="29.85546875" customWidth="1"/>
    <col min="7" max="7" width="11.5703125" customWidth="1"/>
    <col min="8" max="8" width="15.5703125" customWidth="1"/>
    <col min="10" max="10" width="34" customWidth="1"/>
  </cols>
  <sheetData>
    <row r="1" spans="1:10" ht="29.25" thickBot="1">
      <c r="A1" s="1072" t="s">
        <v>451</v>
      </c>
      <c r="B1" s="1073"/>
      <c r="C1" s="1073"/>
      <c r="D1" s="1073"/>
      <c r="E1" s="1073"/>
      <c r="F1" s="1073"/>
      <c r="G1" s="1073"/>
      <c r="H1" s="1073"/>
      <c r="I1" s="1073"/>
      <c r="J1" s="1074"/>
    </row>
    <row r="2" spans="1:10" ht="48" thickBot="1">
      <c r="A2" s="808" t="s">
        <v>73</v>
      </c>
      <c r="B2" s="809" t="s">
        <v>452</v>
      </c>
      <c r="C2" s="809" t="s">
        <v>536</v>
      </c>
      <c r="D2" s="809" t="s">
        <v>453</v>
      </c>
      <c r="E2" s="809" t="s">
        <v>454</v>
      </c>
      <c r="F2" s="809" t="s">
        <v>455</v>
      </c>
      <c r="G2" s="809" t="s">
        <v>456</v>
      </c>
      <c r="H2" s="809" t="s">
        <v>540</v>
      </c>
      <c r="I2" s="809" t="s">
        <v>457</v>
      </c>
      <c r="J2" s="810" t="s">
        <v>458</v>
      </c>
    </row>
    <row r="3" spans="1:10" ht="36.75" thickBot="1">
      <c r="A3" s="1075" t="s">
        <v>141</v>
      </c>
      <c r="B3" s="811" t="s">
        <v>459</v>
      </c>
      <c r="C3" s="811"/>
      <c r="D3" s="812" t="s">
        <v>413</v>
      </c>
      <c r="E3" s="813">
        <v>42822</v>
      </c>
      <c r="F3" s="811" t="s">
        <v>460</v>
      </c>
      <c r="G3" s="812">
        <v>5</v>
      </c>
      <c r="H3" s="814" t="s">
        <v>461</v>
      </c>
      <c r="I3" s="812" t="s">
        <v>167</v>
      </c>
      <c r="J3" s="815" t="s">
        <v>462</v>
      </c>
    </row>
    <row r="4" spans="1:10" ht="24.75" thickBot="1">
      <c r="A4" s="1076"/>
      <c r="B4" s="816" t="s">
        <v>463</v>
      </c>
      <c r="C4" s="811"/>
      <c r="D4" s="817" t="s">
        <v>413</v>
      </c>
      <c r="E4" s="818">
        <v>42842</v>
      </c>
      <c r="F4" s="816" t="s">
        <v>464</v>
      </c>
      <c r="G4" s="817">
        <v>1</v>
      </c>
      <c r="H4" s="819" t="s">
        <v>461</v>
      </c>
      <c r="I4" s="817" t="s">
        <v>167</v>
      </c>
      <c r="J4" s="820" t="s">
        <v>465</v>
      </c>
    </row>
    <row r="5" spans="1:10" ht="36.75" thickBot="1">
      <c r="A5" s="1076"/>
      <c r="B5" s="816" t="s">
        <v>466</v>
      </c>
      <c r="C5" s="811"/>
      <c r="D5" s="817" t="s">
        <v>413</v>
      </c>
      <c r="E5" s="818">
        <v>42850</v>
      </c>
      <c r="F5" s="816" t="s">
        <v>467</v>
      </c>
      <c r="G5" s="817">
        <v>4</v>
      </c>
      <c r="H5" s="819" t="s">
        <v>461</v>
      </c>
      <c r="I5" s="818" t="s">
        <v>167</v>
      </c>
      <c r="J5" s="820" t="s">
        <v>468</v>
      </c>
    </row>
    <row r="6" spans="1:10" ht="48.75" thickBot="1">
      <c r="A6" s="1076"/>
      <c r="B6" s="816" t="s">
        <v>469</v>
      </c>
      <c r="C6" s="811"/>
      <c r="D6" s="817" t="s">
        <v>414</v>
      </c>
      <c r="E6" s="818">
        <v>42857</v>
      </c>
      <c r="F6" s="816" t="s">
        <v>470</v>
      </c>
      <c r="G6" s="817">
        <v>1</v>
      </c>
      <c r="H6" s="819" t="s">
        <v>461</v>
      </c>
      <c r="I6" s="818" t="s">
        <v>167</v>
      </c>
      <c r="J6" s="820" t="s">
        <v>471</v>
      </c>
    </row>
    <row r="7" spans="1:10" ht="36.75" thickBot="1">
      <c r="A7" s="1076"/>
      <c r="B7" s="816" t="s">
        <v>472</v>
      </c>
      <c r="C7" s="811"/>
      <c r="D7" s="817" t="s">
        <v>414</v>
      </c>
      <c r="E7" s="818">
        <v>42867</v>
      </c>
      <c r="F7" s="816" t="s">
        <v>473</v>
      </c>
      <c r="G7" s="817">
        <v>1</v>
      </c>
      <c r="H7" s="819" t="s">
        <v>461</v>
      </c>
      <c r="I7" s="818" t="s">
        <v>167</v>
      </c>
      <c r="J7" s="820" t="s">
        <v>474</v>
      </c>
    </row>
    <row r="8" spans="1:10" ht="60.75" thickBot="1">
      <c r="A8" s="1076"/>
      <c r="B8" s="821" t="s">
        <v>475</v>
      </c>
      <c r="C8" s="811"/>
      <c r="D8" s="822" t="s">
        <v>414</v>
      </c>
      <c r="E8" s="823">
        <v>42863</v>
      </c>
      <c r="F8" s="821" t="s">
        <v>476</v>
      </c>
      <c r="G8" s="824" t="s">
        <v>477</v>
      </c>
      <c r="H8" s="824" t="s">
        <v>477</v>
      </c>
      <c r="I8" s="824" t="s">
        <v>477</v>
      </c>
      <c r="J8" s="825" t="s">
        <v>478</v>
      </c>
    </row>
    <row r="9" spans="1:10" ht="48.75" thickBot="1">
      <c r="A9" s="1076"/>
      <c r="B9" s="816" t="s">
        <v>479</v>
      </c>
      <c r="C9" s="811"/>
      <c r="D9" s="817" t="s">
        <v>414</v>
      </c>
      <c r="E9" s="818">
        <v>42865</v>
      </c>
      <c r="F9" s="816" t="s">
        <v>480</v>
      </c>
      <c r="G9" s="817">
        <v>1</v>
      </c>
      <c r="H9" s="819" t="s">
        <v>461</v>
      </c>
      <c r="I9" s="818" t="s">
        <v>167</v>
      </c>
      <c r="J9" s="820" t="s">
        <v>481</v>
      </c>
    </row>
    <row r="10" spans="1:10" ht="60.75" thickBot="1">
      <c r="A10" s="1076"/>
      <c r="B10" s="816" t="s">
        <v>482</v>
      </c>
      <c r="C10" s="811"/>
      <c r="D10" s="817" t="s">
        <v>414</v>
      </c>
      <c r="E10" s="818">
        <v>42865</v>
      </c>
      <c r="F10" s="816" t="s">
        <v>483</v>
      </c>
      <c r="G10" s="817">
        <v>3</v>
      </c>
      <c r="H10" s="819" t="s">
        <v>461</v>
      </c>
      <c r="I10" s="819" t="s">
        <v>167</v>
      </c>
      <c r="J10" s="820" t="s">
        <v>484</v>
      </c>
    </row>
    <row r="11" spans="1:10" ht="60.75" thickBot="1">
      <c r="A11" s="1076"/>
      <c r="B11" s="826" t="s">
        <v>485</v>
      </c>
      <c r="C11" s="811"/>
      <c r="D11" s="827" t="s">
        <v>414</v>
      </c>
      <c r="E11" s="828">
        <v>42879</v>
      </c>
      <c r="F11" s="826" t="s">
        <v>486</v>
      </c>
      <c r="G11" s="827">
        <v>1</v>
      </c>
      <c r="H11" s="829" t="s">
        <v>487</v>
      </c>
      <c r="I11" s="829" t="s">
        <v>167</v>
      </c>
      <c r="J11" s="830" t="s">
        <v>488</v>
      </c>
    </row>
    <row r="12" spans="1:10" ht="60.75" thickBot="1">
      <c r="A12" s="1076"/>
      <c r="B12" s="831" t="s">
        <v>489</v>
      </c>
      <c r="C12" s="811"/>
      <c r="D12" s="832" t="s">
        <v>414</v>
      </c>
      <c r="E12" s="833">
        <v>42881</v>
      </c>
      <c r="F12" s="831" t="s">
        <v>490</v>
      </c>
      <c r="G12" s="832">
        <v>1</v>
      </c>
      <c r="H12" s="834" t="s">
        <v>487</v>
      </c>
      <c r="I12" s="834" t="s">
        <v>167</v>
      </c>
      <c r="J12" s="835" t="s">
        <v>491</v>
      </c>
    </row>
    <row r="13" spans="1:10" ht="84.75" thickBot="1">
      <c r="A13" s="1076"/>
      <c r="B13" s="826" t="s">
        <v>492</v>
      </c>
      <c r="C13" s="811"/>
      <c r="D13" s="827" t="s">
        <v>414</v>
      </c>
      <c r="E13" s="828">
        <v>42916</v>
      </c>
      <c r="F13" s="826" t="s">
        <v>493</v>
      </c>
      <c r="G13" s="827">
        <v>6</v>
      </c>
      <c r="H13" s="829" t="s">
        <v>487</v>
      </c>
      <c r="I13" s="829" t="s">
        <v>167</v>
      </c>
      <c r="J13" s="830"/>
    </row>
    <row r="14" spans="1:10" ht="48.75" thickBot="1">
      <c r="A14" s="1076"/>
      <c r="B14" s="826" t="s">
        <v>494</v>
      </c>
      <c r="C14" s="811"/>
      <c r="D14" s="827" t="s">
        <v>414</v>
      </c>
      <c r="E14" s="828">
        <v>42916</v>
      </c>
      <c r="F14" s="826" t="s">
        <v>495</v>
      </c>
      <c r="G14" s="827">
        <v>1</v>
      </c>
      <c r="H14" s="829" t="s">
        <v>487</v>
      </c>
      <c r="I14" s="829" t="s">
        <v>167</v>
      </c>
      <c r="J14" s="830"/>
    </row>
    <row r="15" spans="1:10" ht="60.75" thickBot="1">
      <c r="A15" s="1077"/>
      <c r="B15" s="836" t="s">
        <v>496</v>
      </c>
      <c r="C15" s="811"/>
      <c r="D15" s="837" t="s">
        <v>414</v>
      </c>
      <c r="E15" s="838">
        <v>42944</v>
      </c>
      <c r="F15" s="836" t="s">
        <v>497</v>
      </c>
      <c r="G15" s="837">
        <v>3</v>
      </c>
      <c r="H15" s="839" t="s">
        <v>487</v>
      </c>
      <c r="I15" s="839" t="s">
        <v>167</v>
      </c>
      <c r="J15" s="840" t="s">
        <v>498</v>
      </c>
    </row>
    <row r="16" spans="1:10" ht="36.75" thickBot="1">
      <c r="A16" s="1078" t="s">
        <v>139</v>
      </c>
      <c r="B16" s="841" t="s">
        <v>499</v>
      </c>
      <c r="C16" s="811"/>
      <c r="D16" s="842" t="s">
        <v>413</v>
      </c>
      <c r="E16" s="843">
        <v>42815</v>
      </c>
      <c r="F16" s="841" t="s">
        <v>500</v>
      </c>
      <c r="G16" s="842">
        <v>4</v>
      </c>
      <c r="H16" s="844" t="s">
        <v>487</v>
      </c>
      <c r="I16" s="844" t="s">
        <v>167</v>
      </c>
      <c r="J16" s="845" t="s">
        <v>501</v>
      </c>
    </row>
    <row r="17" spans="1:10" ht="36.75" thickBot="1">
      <c r="A17" s="1078"/>
      <c r="B17" s="826" t="s">
        <v>502</v>
      </c>
      <c r="C17" s="811"/>
      <c r="D17" s="827" t="s">
        <v>413</v>
      </c>
      <c r="E17" s="828">
        <v>42842</v>
      </c>
      <c r="F17" s="826" t="s">
        <v>503</v>
      </c>
      <c r="G17" s="846">
        <v>3</v>
      </c>
      <c r="H17" s="829" t="s">
        <v>487</v>
      </c>
      <c r="I17" s="829" t="s">
        <v>167</v>
      </c>
      <c r="J17" s="830" t="s">
        <v>504</v>
      </c>
    </row>
    <row r="18" spans="1:10" ht="48.75" thickBot="1">
      <c r="A18" s="1078"/>
      <c r="B18" s="826" t="s">
        <v>505</v>
      </c>
      <c r="C18" s="811"/>
      <c r="D18" s="827" t="s">
        <v>413</v>
      </c>
      <c r="E18" s="828">
        <v>42838</v>
      </c>
      <c r="F18" s="826" t="s">
        <v>506</v>
      </c>
      <c r="G18" s="846">
        <v>3</v>
      </c>
      <c r="H18" s="829" t="s">
        <v>507</v>
      </c>
      <c r="I18" s="829" t="s">
        <v>167</v>
      </c>
      <c r="J18" s="830" t="s">
        <v>508</v>
      </c>
    </row>
    <row r="19" spans="1:10" ht="36.75" thickBot="1">
      <c r="A19" s="1078"/>
      <c r="B19" s="847" t="s">
        <v>469</v>
      </c>
      <c r="C19" s="811"/>
      <c r="D19" s="848" t="s">
        <v>413</v>
      </c>
      <c r="E19" s="849">
        <v>42838</v>
      </c>
      <c r="F19" s="847" t="s">
        <v>509</v>
      </c>
      <c r="G19" s="850">
        <v>5</v>
      </c>
      <c r="H19" s="851" t="s">
        <v>510</v>
      </c>
      <c r="I19" s="851" t="s">
        <v>510</v>
      </c>
      <c r="J19" s="852" t="s">
        <v>511</v>
      </c>
    </row>
    <row r="20" spans="1:10" ht="72.75" thickBot="1">
      <c r="A20" s="1078"/>
      <c r="B20" s="847" t="s">
        <v>512</v>
      </c>
      <c r="C20" s="811"/>
      <c r="D20" s="848" t="s">
        <v>513</v>
      </c>
      <c r="E20" s="849">
        <v>42963</v>
      </c>
      <c r="F20" s="847" t="s">
        <v>514</v>
      </c>
      <c r="G20" s="850">
        <v>3</v>
      </c>
      <c r="H20" s="851" t="s">
        <v>487</v>
      </c>
      <c r="I20" s="851"/>
      <c r="J20" s="852" t="s">
        <v>515</v>
      </c>
    </row>
    <row r="21" spans="1:10" ht="84.75" thickBot="1">
      <c r="A21" s="1079" t="s">
        <v>360</v>
      </c>
      <c r="B21" s="853" t="s">
        <v>516</v>
      </c>
      <c r="C21" s="811"/>
      <c r="D21" s="854" t="s">
        <v>517</v>
      </c>
      <c r="E21" s="855">
        <v>42857</v>
      </c>
      <c r="F21" s="853" t="s">
        <v>518</v>
      </c>
      <c r="G21" s="856">
        <v>2</v>
      </c>
      <c r="H21" s="857" t="s">
        <v>487</v>
      </c>
      <c r="I21" s="857" t="s">
        <v>167</v>
      </c>
      <c r="J21" s="858" t="s">
        <v>519</v>
      </c>
    </row>
    <row r="22" spans="1:10" ht="24.75" thickBot="1">
      <c r="A22" s="1080"/>
      <c r="B22" s="826" t="s">
        <v>520</v>
      </c>
      <c r="C22" s="811"/>
      <c r="D22" s="827" t="s">
        <v>517</v>
      </c>
      <c r="E22" s="828">
        <v>42872</v>
      </c>
      <c r="F22" s="826" t="s">
        <v>521</v>
      </c>
      <c r="G22" s="846">
        <v>1</v>
      </c>
      <c r="H22" s="829" t="s">
        <v>487</v>
      </c>
      <c r="I22" s="829" t="s">
        <v>167</v>
      </c>
      <c r="J22" s="859" t="s">
        <v>522</v>
      </c>
    </row>
    <row r="23" spans="1:10" ht="84.75" thickBot="1">
      <c r="A23" s="1081"/>
      <c r="B23" s="860" t="s">
        <v>523</v>
      </c>
      <c r="C23" s="811"/>
      <c r="D23" s="861" t="s">
        <v>524</v>
      </c>
      <c r="E23" s="862">
        <v>42894</v>
      </c>
      <c r="F23" s="860" t="s">
        <v>525</v>
      </c>
      <c r="G23" s="863">
        <v>1</v>
      </c>
      <c r="H23" s="864" t="s">
        <v>526</v>
      </c>
      <c r="I23" s="864" t="s">
        <v>167</v>
      </c>
      <c r="J23" s="865"/>
    </row>
    <row r="24" spans="1:10" ht="24.75" thickBot="1">
      <c r="A24" s="1079" t="s">
        <v>138</v>
      </c>
      <c r="B24" s="853" t="s">
        <v>516</v>
      </c>
      <c r="C24" s="811"/>
      <c r="D24" s="854" t="s">
        <v>517</v>
      </c>
      <c r="E24" s="855">
        <v>42859</v>
      </c>
      <c r="F24" s="853" t="s">
        <v>527</v>
      </c>
      <c r="G24" s="856">
        <v>7</v>
      </c>
      <c r="H24" s="857" t="s">
        <v>487</v>
      </c>
      <c r="I24" s="857" t="s">
        <v>167</v>
      </c>
      <c r="J24" s="858" t="s">
        <v>528</v>
      </c>
    </row>
    <row r="25" spans="1:10" ht="24.75" thickBot="1">
      <c r="A25" s="1080"/>
      <c r="B25" s="826" t="s">
        <v>520</v>
      </c>
      <c r="C25" s="811"/>
      <c r="D25" s="827" t="s">
        <v>517</v>
      </c>
      <c r="E25" s="828">
        <v>42872</v>
      </c>
      <c r="F25" s="826" t="s">
        <v>521</v>
      </c>
      <c r="G25" s="846">
        <v>1</v>
      </c>
      <c r="H25" s="829" t="s">
        <v>487</v>
      </c>
      <c r="I25" s="829" t="s">
        <v>167</v>
      </c>
      <c r="J25" s="859" t="s">
        <v>522</v>
      </c>
    </row>
    <row r="26" spans="1:10" ht="48.75" thickBot="1">
      <c r="A26" s="1081"/>
      <c r="B26" s="836" t="s">
        <v>523</v>
      </c>
      <c r="C26" s="811"/>
      <c r="D26" s="837" t="s">
        <v>524</v>
      </c>
      <c r="E26" s="838">
        <v>42894</v>
      </c>
      <c r="F26" s="836" t="s">
        <v>529</v>
      </c>
      <c r="G26" s="866">
        <v>1</v>
      </c>
      <c r="H26" s="839" t="s">
        <v>526</v>
      </c>
      <c r="I26" s="839" t="s">
        <v>167</v>
      </c>
      <c r="J26" s="867"/>
    </row>
    <row r="27" spans="1:10" ht="13.5" thickBot="1">
      <c r="A27" s="868"/>
      <c r="B27" s="869"/>
      <c r="C27" s="869"/>
      <c r="D27" s="870"/>
      <c r="E27" s="870"/>
      <c r="F27" s="869"/>
      <c r="G27" s="870"/>
      <c r="H27" s="869"/>
      <c r="I27" s="870"/>
      <c r="J27" s="871"/>
    </row>
    <row r="28" spans="1:10" ht="15.75" thickBot="1">
      <c r="A28" s="1063" t="s">
        <v>530</v>
      </c>
      <c r="B28" s="1064"/>
      <c r="C28" s="1064"/>
      <c r="D28" s="1065"/>
      <c r="E28" s="1066" t="s">
        <v>531</v>
      </c>
      <c r="F28" s="1067"/>
      <c r="G28" s="1068"/>
      <c r="H28" s="1069" t="s">
        <v>532</v>
      </c>
      <c r="I28" s="1070"/>
      <c r="J28" s="1071"/>
    </row>
    <row r="29" spans="1:10" ht="15.75" thickBot="1">
      <c r="A29" s="1063" t="s">
        <v>537</v>
      </c>
      <c r="B29" s="1064"/>
      <c r="C29" s="1064"/>
      <c r="D29" s="1065"/>
      <c r="E29" s="1066" t="s">
        <v>538</v>
      </c>
      <c r="F29" s="1067"/>
      <c r="G29" s="1068"/>
      <c r="H29" s="1069" t="s">
        <v>539</v>
      </c>
      <c r="I29" s="1070"/>
      <c r="J29" s="1071"/>
    </row>
  </sheetData>
  <mergeCells count="11">
    <mergeCell ref="A29:D29"/>
    <mergeCell ref="E29:G29"/>
    <mergeCell ref="H29:J29"/>
    <mergeCell ref="A28:D28"/>
    <mergeCell ref="E28:G28"/>
    <mergeCell ref="H28:J28"/>
    <mergeCell ref="A1:J1"/>
    <mergeCell ref="A3:A15"/>
    <mergeCell ref="A16:A20"/>
    <mergeCell ref="A21:A23"/>
    <mergeCell ref="A24:A26"/>
  </mergeCells>
  <dataValidations count="1">
    <dataValidation type="list" allowBlank="1" showInputMessage="1" showErrorMessage="1" sqref="C3:C26">
      <formula1>"HIGH, MEDIUM.LOW"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101"/>
  <sheetViews>
    <sheetView workbookViewId="0">
      <selection activeCell="A12" sqref="A12"/>
    </sheetView>
  </sheetViews>
  <sheetFormatPr defaultColWidth="11.42578125" defaultRowHeight="12.75" outlineLevelRow="1" outlineLevelCol="1"/>
  <cols>
    <col min="1" max="1" width="2" style="312" customWidth="1"/>
    <col min="2" max="2" width="9" style="313" customWidth="1"/>
    <col min="3" max="3" width="10" style="313" bestFit="1" customWidth="1"/>
    <col min="4" max="4" width="20.42578125" style="420" customWidth="1"/>
    <col min="5" max="5" width="16.140625" style="312" customWidth="1"/>
    <col min="6" max="6" width="43.5703125" style="429" customWidth="1"/>
    <col min="7" max="7" width="17.85546875" style="481" customWidth="1"/>
    <col min="8" max="8" width="21" style="481" customWidth="1"/>
    <col min="9" max="11" width="17.7109375" style="485" customWidth="1"/>
    <col min="12" max="12" width="16.28515625" style="312" customWidth="1"/>
    <col min="13" max="13" width="10.5703125" style="312" hidden="1" customWidth="1" outlineLevel="1"/>
    <col min="14" max="14" width="11.85546875" style="312" hidden="1" customWidth="1" outlineLevel="1"/>
    <col min="15" max="15" width="10.7109375" style="312" hidden="1" customWidth="1" outlineLevel="1"/>
    <col min="16" max="16" width="10.85546875" style="312" hidden="1" customWidth="1" outlineLevel="1"/>
    <col min="17" max="17" width="17.5703125" style="312" hidden="1" customWidth="1" outlineLevel="1"/>
    <col min="18" max="18" width="16.28515625" style="312" customWidth="1" collapsed="1"/>
    <col min="19" max="19" width="10.85546875" style="312" hidden="1" customWidth="1" outlineLevel="1"/>
    <col min="20" max="20" width="6" style="312" hidden="1" customWidth="1" outlineLevel="1"/>
    <col min="21" max="21" width="9.28515625" style="312" hidden="1" customWidth="1" outlineLevel="1"/>
    <col min="22" max="22" width="10.85546875" style="312" hidden="1" customWidth="1" outlineLevel="1"/>
    <col min="23" max="23" width="9.28515625" style="312" hidden="1" customWidth="1" outlineLevel="1"/>
    <col min="24" max="24" width="50.7109375" style="430" customWidth="1" collapsed="1"/>
    <col min="25" max="256" width="11.42578125" style="312"/>
    <col min="257" max="257" width="2" style="312" customWidth="1"/>
    <col min="258" max="258" width="9" style="312" customWidth="1"/>
    <col min="259" max="259" width="10" style="312" bestFit="1" customWidth="1"/>
    <col min="260" max="260" width="20.42578125" style="312" customWidth="1"/>
    <col min="261" max="261" width="16.140625" style="312" customWidth="1"/>
    <col min="262" max="262" width="43.5703125" style="312" customWidth="1"/>
    <col min="263" max="263" width="17.85546875" style="312" customWidth="1"/>
    <col min="264" max="264" width="21" style="312" customWidth="1"/>
    <col min="265" max="267" width="17.7109375" style="312" customWidth="1"/>
    <col min="268" max="268" width="16.28515625" style="312" customWidth="1"/>
    <col min="269" max="273" width="0" style="312" hidden="1" customWidth="1"/>
    <col min="274" max="274" width="16.28515625" style="312" customWidth="1"/>
    <col min="275" max="279" width="0" style="312" hidden="1" customWidth="1"/>
    <col min="280" max="280" width="50.7109375" style="312" customWidth="1"/>
    <col min="281" max="512" width="11.42578125" style="312"/>
    <col min="513" max="513" width="2" style="312" customWidth="1"/>
    <col min="514" max="514" width="9" style="312" customWidth="1"/>
    <col min="515" max="515" width="10" style="312" bestFit="1" customWidth="1"/>
    <col min="516" max="516" width="20.42578125" style="312" customWidth="1"/>
    <col min="517" max="517" width="16.140625" style="312" customWidth="1"/>
    <col min="518" max="518" width="43.5703125" style="312" customWidth="1"/>
    <col min="519" max="519" width="17.85546875" style="312" customWidth="1"/>
    <col min="520" max="520" width="21" style="312" customWidth="1"/>
    <col min="521" max="523" width="17.7109375" style="312" customWidth="1"/>
    <col min="524" max="524" width="16.28515625" style="312" customWidth="1"/>
    <col min="525" max="529" width="0" style="312" hidden="1" customWidth="1"/>
    <col min="530" max="530" width="16.28515625" style="312" customWidth="1"/>
    <col min="531" max="535" width="0" style="312" hidden="1" customWidth="1"/>
    <col min="536" max="536" width="50.7109375" style="312" customWidth="1"/>
    <col min="537" max="768" width="11.42578125" style="312"/>
    <col min="769" max="769" width="2" style="312" customWidth="1"/>
    <col min="770" max="770" width="9" style="312" customWidth="1"/>
    <col min="771" max="771" width="10" style="312" bestFit="1" customWidth="1"/>
    <col min="772" max="772" width="20.42578125" style="312" customWidth="1"/>
    <col min="773" max="773" width="16.140625" style="312" customWidth="1"/>
    <col min="774" max="774" width="43.5703125" style="312" customWidth="1"/>
    <col min="775" max="775" width="17.85546875" style="312" customWidth="1"/>
    <col min="776" max="776" width="21" style="312" customWidth="1"/>
    <col min="777" max="779" width="17.7109375" style="312" customWidth="1"/>
    <col min="780" max="780" width="16.28515625" style="312" customWidth="1"/>
    <col min="781" max="785" width="0" style="312" hidden="1" customWidth="1"/>
    <col min="786" max="786" width="16.28515625" style="312" customWidth="1"/>
    <col min="787" max="791" width="0" style="312" hidden="1" customWidth="1"/>
    <col min="792" max="792" width="50.7109375" style="312" customWidth="1"/>
    <col min="793" max="1024" width="11.42578125" style="312"/>
    <col min="1025" max="1025" width="2" style="312" customWidth="1"/>
    <col min="1026" max="1026" width="9" style="312" customWidth="1"/>
    <col min="1027" max="1027" width="10" style="312" bestFit="1" customWidth="1"/>
    <col min="1028" max="1028" width="20.42578125" style="312" customWidth="1"/>
    <col min="1029" max="1029" width="16.140625" style="312" customWidth="1"/>
    <col min="1030" max="1030" width="43.5703125" style="312" customWidth="1"/>
    <col min="1031" max="1031" width="17.85546875" style="312" customWidth="1"/>
    <col min="1032" max="1032" width="21" style="312" customWidth="1"/>
    <col min="1033" max="1035" width="17.7109375" style="312" customWidth="1"/>
    <col min="1036" max="1036" width="16.28515625" style="312" customWidth="1"/>
    <col min="1037" max="1041" width="0" style="312" hidden="1" customWidth="1"/>
    <col min="1042" max="1042" width="16.28515625" style="312" customWidth="1"/>
    <col min="1043" max="1047" width="0" style="312" hidden="1" customWidth="1"/>
    <col min="1048" max="1048" width="50.7109375" style="312" customWidth="1"/>
    <col min="1049" max="1280" width="11.42578125" style="312"/>
    <col min="1281" max="1281" width="2" style="312" customWidth="1"/>
    <col min="1282" max="1282" width="9" style="312" customWidth="1"/>
    <col min="1283" max="1283" width="10" style="312" bestFit="1" customWidth="1"/>
    <col min="1284" max="1284" width="20.42578125" style="312" customWidth="1"/>
    <col min="1285" max="1285" width="16.140625" style="312" customWidth="1"/>
    <col min="1286" max="1286" width="43.5703125" style="312" customWidth="1"/>
    <col min="1287" max="1287" width="17.85546875" style="312" customWidth="1"/>
    <col min="1288" max="1288" width="21" style="312" customWidth="1"/>
    <col min="1289" max="1291" width="17.7109375" style="312" customWidth="1"/>
    <col min="1292" max="1292" width="16.28515625" style="312" customWidth="1"/>
    <col min="1293" max="1297" width="0" style="312" hidden="1" customWidth="1"/>
    <col min="1298" max="1298" width="16.28515625" style="312" customWidth="1"/>
    <col min="1299" max="1303" width="0" style="312" hidden="1" customWidth="1"/>
    <col min="1304" max="1304" width="50.7109375" style="312" customWidth="1"/>
    <col min="1305" max="1536" width="11.42578125" style="312"/>
    <col min="1537" max="1537" width="2" style="312" customWidth="1"/>
    <col min="1538" max="1538" width="9" style="312" customWidth="1"/>
    <col min="1539" max="1539" width="10" style="312" bestFit="1" customWidth="1"/>
    <col min="1540" max="1540" width="20.42578125" style="312" customWidth="1"/>
    <col min="1541" max="1541" width="16.140625" style="312" customWidth="1"/>
    <col min="1542" max="1542" width="43.5703125" style="312" customWidth="1"/>
    <col min="1543" max="1543" width="17.85546875" style="312" customWidth="1"/>
    <col min="1544" max="1544" width="21" style="312" customWidth="1"/>
    <col min="1545" max="1547" width="17.7109375" style="312" customWidth="1"/>
    <col min="1548" max="1548" width="16.28515625" style="312" customWidth="1"/>
    <col min="1549" max="1553" width="0" style="312" hidden="1" customWidth="1"/>
    <col min="1554" max="1554" width="16.28515625" style="312" customWidth="1"/>
    <col min="1555" max="1559" width="0" style="312" hidden="1" customWidth="1"/>
    <col min="1560" max="1560" width="50.7109375" style="312" customWidth="1"/>
    <col min="1561" max="1792" width="11.42578125" style="312"/>
    <col min="1793" max="1793" width="2" style="312" customWidth="1"/>
    <col min="1794" max="1794" width="9" style="312" customWidth="1"/>
    <col min="1795" max="1795" width="10" style="312" bestFit="1" customWidth="1"/>
    <col min="1796" max="1796" width="20.42578125" style="312" customWidth="1"/>
    <col min="1797" max="1797" width="16.140625" style="312" customWidth="1"/>
    <col min="1798" max="1798" width="43.5703125" style="312" customWidth="1"/>
    <col min="1799" max="1799" width="17.85546875" style="312" customWidth="1"/>
    <col min="1800" max="1800" width="21" style="312" customWidth="1"/>
    <col min="1801" max="1803" width="17.7109375" style="312" customWidth="1"/>
    <col min="1804" max="1804" width="16.28515625" style="312" customWidth="1"/>
    <col min="1805" max="1809" width="0" style="312" hidden="1" customWidth="1"/>
    <col min="1810" max="1810" width="16.28515625" style="312" customWidth="1"/>
    <col min="1811" max="1815" width="0" style="312" hidden="1" customWidth="1"/>
    <col min="1816" max="1816" width="50.7109375" style="312" customWidth="1"/>
    <col min="1817" max="2048" width="11.42578125" style="312"/>
    <col min="2049" max="2049" width="2" style="312" customWidth="1"/>
    <col min="2050" max="2050" width="9" style="312" customWidth="1"/>
    <col min="2051" max="2051" width="10" style="312" bestFit="1" customWidth="1"/>
    <col min="2052" max="2052" width="20.42578125" style="312" customWidth="1"/>
    <col min="2053" max="2053" width="16.140625" style="312" customWidth="1"/>
    <col min="2054" max="2054" width="43.5703125" style="312" customWidth="1"/>
    <col min="2055" max="2055" width="17.85546875" style="312" customWidth="1"/>
    <col min="2056" max="2056" width="21" style="312" customWidth="1"/>
    <col min="2057" max="2059" width="17.7109375" style="312" customWidth="1"/>
    <col min="2060" max="2060" width="16.28515625" style="312" customWidth="1"/>
    <col min="2061" max="2065" width="0" style="312" hidden="1" customWidth="1"/>
    <col min="2066" max="2066" width="16.28515625" style="312" customWidth="1"/>
    <col min="2067" max="2071" width="0" style="312" hidden="1" customWidth="1"/>
    <col min="2072" max="2072" width="50.7109375" style="312" customWidth="1"/>
    <col min="2073" max="2304" width="11.42578125" style="312"/>
    <col min="2305" max="2305" width="2" style="312" customWidth="1"/>
    <col min="2306" max="2306" width="9" style="312" customWidth="1"/>
    <col min="2307" max="2307" width="10" style="312" bestFit="1" customWidth="1"/>
    <col min="2308" max="2308" width="20.42578125" style="312" customWidth="1"/>
    <col min="2309" max="2309" width="16.140625" style="312" customWidth="1"/>
    <col min="2310" max="2310" width="43.5703125" style="312" customWidth="1"/>
    <col min="2311" max="2311" width="17.85546875" style="312" customWidth="1"/>
    <col min="2312" max="2312" width="21" style="312" customWidth="1"/>
    <col min="2313" max="2315" width="17.7109375" style="312" customWidth="1"/>
    <col min="2316" max="2316" width="16.28515625" style="312" customWidth="1"/>
    <col min="2317" max="2321" width="0" style="312" hidden="1" customWidth="1"/>
    <col min="2322" max="2322" width="16.28515625" style="312" customWidth="1"/>
    <col min="2323" max="2327" width="0" style="312" hidden="1" customWidth="1"/>
    <col min="2328" max="2328" width="50.7109375" style="312" customWidth="1"/>
    <col min="2329" max="2560" width="11.42578125" style="312"/>
    <col min="2561" max="2561" width="2" style="312" customWidth="1"/>
    <col min="2562" max="2562" width="9" style="312" customWidth="1"/>
    <col min="2563" max="2563" width="10" style="312" bestFit="1" customWidth="1"/>
    <col min="2564" max="2564" width="20.42578125" style="312" customWidth="1"/>
    <col min="2565" max="2565" width="16.140625" style="312" customWidth="1"/>
    <col min="2566" max="2566" width="43.5703125" style="312" customWidth="1"/>
    <col min="2567" max="2567" width="17.85546875" style="312" customWidth="1"/>
    <col min="2568" max="2568" width="21" style="312" customWidth="1"/>
    <col min="2569" max="2571" width="17.7109375" style="312" customWidth="1"/>
    <col min="2572" max="2572" width="16.28515625" style="312" customWidth="1"/>
    <col min="2573" max="2577" width="0" style="312" hidden="1" customWidth="1"/>
    <col min="2578" max="2578" width="16.28515625" style="312" customWidth="1"/>
    <col min="2579" max="2583" width="0" style="312" hidden="1" customWidth="1"/>
    <col min="2584" max="2584" width="50.7109375" style="312" customWidth="1"/>
    <col min="2585" max="2816" width="11.42578125" style="312"/>
    <col min="2817" max="2817" width="2" style="312" customWidth="1"/>
    <col min="2818" max="2818" width="9" style="312" customWidth="1"/>
    <col min="2819" max="2819" width="10" style="312" bestFit="1" customWidth="1"/>
    <col min="2820" max="2820" width="20.42578125" style="312" customWidth="1"/>
    <col min="2821" max="2821" width="16.140625" style="312" customWidth="1"/>
    <col min="2822" max="2822" width="43.5703125" style="312" customWidth="1"/>
    <col min="2823" max="2823" width="17.85546875" style="312" customWidth="1"/>
    <col min="2824" max="2824" width="21" style="312" customWidth="1"/>
    <col min="2825" max="2827" width="17.7109375" style="312" customWidth="1"/>
    <col min="2828" max="2828" width="16.28515625" style="312" customWidth="1"/>
    <col min="2829" max="2833" width="0" style="312" hidden="1" customWidth="1"/>
    <col min="2834" max="2834" width="16.28515625" style="312" customWidth="1"/>
    <col min="2835" max="2839" width="0" style="312" hidden="1" customWidth="1"/>
    <col min="2840" max="2840" width="50.7109375" style="312" customWidth="1"/>
    <col min="2841" max="3072" width="11.42578125" style="312"/>
    <col min="3073" max="3073" width="2" style="312" customWidth="1"/>
    <col min="3074" max="3074" width="9" style="312" customWidth="1"/>
    <col min="3075" max="3075" width="10" style="312" bestFit="1" customWidth="1"/>
    <col min="3076" max="3076" width="20.42578125" style="312" customWidth="1"/>
    <col min="3077" max="3077" width="16.140625" style="312" customWidth="1"/>
    <col min="3078" max="3078" width="43.5703125" style="312" customWidth="1"/>
    <col min="3079" max="3079" width="17.85546875" style="312" customWidth="1"/>
    <col min="3080" max="3080" width="21" style="312" customWidth="1"/>
    <col min="3081" max="3083" width="17.7109375" style="312" customWidth="1"/>
    <col min="3084" max="3084" width="16.28515625" style="312" customWidth="1"/>
    <col min="3085" max="3089" width="0" style="312" hidden="1" customWidth="1"/>
    <col min="3090" max="3090" width="16.28515625" style="312" customWidth="1"/>
    <col min="3091" max="3095" width="0" style="312" hidden="1" customWidth="1"/>
    <col min="3096" max="3096" width="50.7109375" style="312" customWidth="1"/>
    <col min="3097" max="3328" width="11.42578125" style="312"/>
    <col min="3329" max="3329" width="2" style="312" customWidth="1"/>
    <col min="3330" max="3330" width="9" style="312" customWidth="1"/>
    <col min="3331" max="3331" width="10" style="312" bestFit="1" customWidth="1"/>
    <col min="3332" max="3332" width="20.42578125" style="312" customWidth="1"/>
    <col min="3333" max="3333" width="16.140625" style="312" customWidth="1"/>
    <col min="3334" max="3334" width="43.5703125" style="312" customWidth="1"/>
    <col min="3335" max="3335" width="17.85546875" style="312" customWidth="1"/>
    <col min="3336" max="3336" width="21" style="312" customWidth="1"/>
    <col min="3337" max="3339" width="17.7109375" style="312" customWidth="1"/>
    <col min="3340" max="3340" width="16.28515625" style="312" customWidth="1"/>
    <col min="3341" max="3345" width="0" style="312" hidden="1" customWidth="1"/>
    <col min="3346" max="3346" width="16.28515625" style="312" customWidth="1"/>
    <col min="3347" max="3351" width="0" style="312" hidden="1" customWidth="1"/>
    <col min="3352" max="3352" width="50.7109375" style="312" customWidth="1"/>
    <col min="3353" max="3584" width="11.42578125" style="312"/>
    <col min="3585" max="3585" width="2" style="312" customWidth="1"/>
    <col min="3586" max="3586" width="9" style="312" customWidth="1"/>
    <col min="3587" max="3587" width="10" style="312" bestFit="1" customWidth="1"/>
    <col min="3588" max="3588" width="20.42578125" style="312" customWidth="1"/>
    <col min="3589" max="3589" width="16.140625" style="312" customWidth="1"/>
    <col min="3590" max="3590" width="43.5703125" style="312" customWidth="1"/>
    <col min="3591" max="3591" width="17.85546875" style="312" customWidth="1"/>
    <col min="3592" max="3592" width="21" style="312" customWidth="1"/>
    <col min="3593" max="3595" width="17.7109375" style="312" customWidth="1"/>
    <col min="3596" max="3596" width="16.28515625" style="312" customWidth="1"/>
    <col min="3597" max="3601" width="0" style="312" hidden="1" customWidth="1"/>
    <col min="3602" max="3602" width="16.28515625" style="312" customWidth="1"/>
    <col min="3603" max="3607" width="0" style="312" hidden="1" customWidth="1"/>
    <col min="3608" max="3608" width="50.7109375" style="312" customWidth="1"/>
    <col min="3609" max="3840" width="11.42578125" style="312"/>
    <col min="3841" max="3841" width="2" style="312" customWidth="1"/>
    <col min="3842" max="3842" width="9" style="312" customWidth="1"/>
    <col min="3843" max="3843" width="10" style="312" bestFit="1" customWidth="1"/>
    <col min="3844" max="3844" width="20.42578125" style="312" customWidth="1"/>
    <col min="3845" max="3845" width="16.140625" style="312" customWidth="1"/>
    <col min="3846" max="3846" width="43.5703125" style="312" customWidth="1"/>
    <col min="3847" max="3847" width="17.85546875" style="312" customWidth="1"/>
    <col min="3848" max="3848" width="21" style="312" customWidth="1"/>
    <col min="3849" max="3851" width="17.7109375" style="312" customWidth="1"/>
    <col min="3852" max="3852" width="16.28515625" style="312" customWidth="1"/>
    <col min="3853" max="3857" width="0" style="312" hidden="1" customWidth="1"/>
    <col min="3858" max="3858" width="16.28515625" style="312" customWidth="1"/>
    <col min="3859" max="3863" width="0" style="312" hidden="1" customWidth="1"/>
    <col min="3864" max="3864" width="50.7109375" style="312" customWidth="1"/>
    <col min="3865" max="4096" width="11.42578125" style="312"/>
    <col min="4097" max="4097" width="2" style="312" customWidth="1"/>
    <col min="4098" max="4098" width="9" style="312" customWidth="1"/>
    <col min="4099" max="4099" width="10" style="312" bestFit="1" customWidth="1"/>
    <col min="4100" max="4100" width="20.42578125" style="312" customWidth="1"/>
    <col min="4101" max="4101" width="16.140625" style="312" customWidth="1"/>
    <col min="4102" max="4102" width="43.5703125" style="312" customWidth="1"/>
    <col min="4103" max="4103" width="17.85546875" style="312" customWidth="1"/>
    <col min="4104" max="4104" width="21" style="312" customWidth="1"/>
    <col min="4105" max="4107" width="17.7109375" style="312" customWidth="1"/>
    <col min="4108" max="4108" width="16.28515625" style="312" customWidth="1"/>
    <col min="4109" max="4113" width="0" style="312" hidden="1" customWidth="1"/>
    <col min="4114" max="4114" width="16.28515625" style="312" customWidth="1"/>
    <col min="4115" max="4119" width="0" style="312" hidden="1" customWidth="1"/>
    <col min="4120" max="4120" width="50.7109375" style="312" customWidth="1"/>
    <col min="4121" max="4352" width="11.42578125" style="312"/>
    <col min="4353" max="4353" width="2" style="312" customWidth="1"/>
    <col min="4354" max="4354" width="9" style="312" customWidth="1"/>
    <col min="4355" max="4355" width="10" style="312" bestFit="1" customWidth="1"/>
    <col min="4356" max="4356" width="20.42578125" style="312" customWidth="1"/>
    <col min="4357" max="4357" width="16.140625" style="312" customWidth="1"/>
    <col min="4358" max="4358" width="43.5703125" style="312" customWidth="1"/>
    <col min="4359" max="4359" width="17.85546875" style="312" customWidth="1"/>
    <col min="4360" max="4360" width="21" style="312" customWidth="1"/>
    <col min="4361" max="4363" width="17.7109375" style="312" customWidth="1"/>
    <col min="4364" max="4364" width="16.28515625" style="312" customWidth="1"/>
    <col min="4365" max="4369" width="0" style="312" hidden="1" customWidth="1"/>
    <col min="4370" max="4370" width="16.28515625" style="312" customWidth="1"/>
    <col min="4371" max="4375" width="0" style="312" hidden="1" customWidth="1"/>
    <col min="4376" max="4376" width="50.7109375" style="312" customWidth="1"/>
    <col min="4377" max="4608" width="11.42578125" style="312"/>
    <col min="4609" max="4609" width="2" style="312" customWidth="1"/>
    <col min="4610" max="4610" width="9" style="312" customWidth="1"/>
    <col min="4611" max="4611" width="10" style="312" bestFit="1" customWidth="1"/>
    <col min="4612" max="4612" width="20.42578125" style="312" customWidth="1"/>
    <col min="4613" max="4613" width="16.140625" style="312" customWidth="1"/>
    <col min="4614" max="4614" width="43.5703125" style="312" customWidth="1"/>
    <col min="4615" max="4615" width="17.85546875" style="312" customWidth="1"/>
    <col min="4616" max="4616" width="21" style="312" customWidth="1"/>
    <col min="4617" max="4619" width="17.7109375" style="312" customWidth="1"/>
    <col min="4620" max="4620" width="16.28515625" style="312" customWidth="1"/>
    <col min="4621" max="4625" width="0" style="312" hidden="1" customWidth="1"/>
    <col min="4626" max="4626" width="16.28515625" style="312" customWidth="1"/>
    <col min="4627" max="4631" width="0" style="312" hidden="1" customWidth="1"/>
    <col min="4632" max="4632" width="50.7109375" style="312" customWidth="1"/>
    <col min="4633" max="4864" width="11.42578125" style="312"/>
    <col min="4865" max="4865" width="2" style="312" customWidth="1"/>
    <col min="4866" max="4866" width="9" style="312" customWidth="1"/>
    <col min="4867" max="4867" width="10" style="312" bestFit="1" customWidth="1"/>
    <col min="4868" max="4868" width="20.42578125" style="312" customWidth="1"/>
    <col min="4869" max="4869" width="16.140625" style="312" customWidth="1"/>
    <col min="4870" max="4870" width="43.5703125" style="312" customWidth="1"/>
    <col min="4871" max="4871" width="17.85546875" style="312" customWidth="1"/>
    <col min="4872" max="4872" width="21" style="312" customWidth="1"/>
    <col min="4873" max="4875" width="17.7109375" style="312" customWidth="1"/>
    <col min="4876" max="4876" width="16.28515625" style="312" customWidth="1"/>
    <col min="4877" max="4881" width="0" style="312" hidden="1" customWidth="1"/>
    <col min="4882" max="4882" width="16.28515625" style="312" customWidth="1"/>
    <col min="4883" max="4887" width="0" style="312" hidden="1" customWidth="1"/>
    <col min="4888" max="4888" width="50.7109375" style="312" customWidth="1"/>
    <col min="4889" max="5120" width="11.42578125" style="312"/>
    <col min="5121" max="5121" width="2" style="312" customWidth="1"/>
    <col min="5122" max="5122" width="9" style="312" customWidth="1"/>
    <col min="5123" max="5123" width="10" style="312" bestFit="1" customWidth="1"/>
    <col min="5124" max="5124" width="20.42578125" style="312" customWidth="1"/>
    <col min="5125" max="5125" width="16.140625" style="312" customWidth="1"/>
    <col min="5126" max="5126" width="43.5703125" style="312" customWidth="1"/>
    <col min="5127" max="5127" width="17.85546875" style="312" customWidth="1"/>
    <col min="5128" max="5128" width="21" style="312" customWidth="1"/>
    <col min="5129" max="5131" width="17.7109375" style="312" customWidth="1"/>
    <col min="5132" max="5132" width="16.28515625" style="312" customWidth="1"/>
    <col min="5133" max="5137" width="0" style="312" hidden="1" customWidth="1"/>
    <col min="5138" max="5138" width="16.28515625" style="312" customWidth="1"/>
    <col min="5139" max="5143" width="0" style="312" hidden="1" customWidth="1"/>
    <col min="5144" max="5144" width="50.7109375" style="312" customWidth="1"/>
    <col min="5145" max="5376" width="11.42578125" style="312"/>
    <col min="5377" max="5377" width="2" style="312" customWidth="1"/>
    <col min="5378" max="5378" width="9" style="312" customWidth="1"/>
    <col min="5379" max="5379" width="10" style="312" bestFit="1" customWidth="1"/>
    <col min="5380" max="5380" width="20.42578125" style="312" customWidth="1"/>
    <col min="5381" max="5381" width="16.140625" style="312" customWidth="1"/>
    <col min="5382" max="5382" width="43.5703125" style="312" customWidth="1"/>
    <col min="5383" max="5383" width="17.85546875" style="312" customWidth="1"/>
    <col min="5384" max="5384" width="21" style="312" customWidth="1"/>
    <col min="5385" max="5387" width="17.7109375" style="312" customWidth="1"/>
    <col min="5388" max="5388" width="16.28515625" style="312" customWidth="1"/>
    <col min="5389" max="5393" width="0" style="312" hidden="1" customWidth="1"/>
    <col min="5394" max="5394" width="16.28515625" style="312" customWidth="1"/>
    <col min="5395" max="5399" width="0" style="312" hidden="1" customWidth="1"/>
    <col min="5400" max="5400" width="50.7109375" style="312" customWidth="1"/>
    <col min="5401" max="5632" width="11.42578125" style="312"/>
    <col min="5633" max="5633" width="2" style="312" customWidth="1"/>
    <col min="5634" max="5634" width="9" style="312" customWidth="1"/>
    <col min="5635" max="5635" width="10" style="312" bestFit="1" customWidth="1"/>
    <col min="5636" max="5636" width="20.42578125" style="312" customWidth="1"/>
    <col min="5637" max="5637" width="16.140625" style="312" customWidth="1"/>
    <col min="5638" max="5638" width="43.5703125" style="312" customWidth="1"/>
    <col min="5639" max="5639" width="17.85546875" style="312" customWidth="1"/>
    <col min="5640" max="5640" width="21" style="312" customWidth="1"/>
    <col min="5641" max="5643" width="17.7109375" style="312" customWidth="1"/>
    <col min="5644" max="5644" width="16.28515625" style="312" customWidth="1"/>
    <col min="5645" max="5649" width="0" style="312" hidden="1" customWidth="1"/>
    <col min="5650" max="5650" width="16.28515625" style="312" customWidth="1"/>
    <col min="5651" max="5655" width="0" style="312" hidden="1" customWidth="1"/>
    <col min="5656" max="5656" width="50.7109375" style="312" customWidth="1"/>
    <col min="5657" max="5888" width="11.42578125" style="312"/>
    <col min="5889" max="5889" width="2" style="312" customWidth="1"/>
    <col min="5890" max="5890" width="9" style="312" customWidth="1"/>
    <col min="5891" max="5891" width="10" style="312" bestFit="1" customWidth="1"/>
    <col min="5892" max="5892" width="20.42578125" style="312" customWidth="1"/>
    <col min="5893" max="5893" width="16.140625" style="312" customWidth="1"/>
    <col min="5894" max="5894" width="43.5703125" style="312" customWidth="1"/>
    <col min="5895" max="5895" width="17.85546875" style="312" customWidth="1"/>
    <col min="5896" max="5896" width="21" style="312" customWidth="1"/>
    <col min="5897" max="5899" width="17.7109375" style="312" customWidth="1"/>
    <col min="5900" max="5900" width="16.28515625" style="312" customWidth="1"/>
    <col min="5901" max="5905" width="0" style="312" hidden="1" customWidth="1"/>
    <col min="5906" max="5906" width="16.28515625" style="312" customWidth="1"/>
    <col min="5907" max="5911" width="0" style="312" hidden="1" customWidth="1"/>
    <col min="5912" max="5912" width="50.7109375" style="312" customWidth="1"/>
    <col min="5913" max="6144" width="11.42578125" style="312"/>
    <col min="6145" max="6145" width="2" style="312" customWidth="1"/>
    <col min="6146" max="6146" width="9" style="312" customWidth="1"/>
    <col min="6147" max="6147" width="10" style="312" bestFit="1" customWidth="1"/>
    <col min="6148" max="6148" width="20.42578125" style="312" customWidth="1"/>
    <col min="6149" max="6149" width="16.140625" style="312" customWidth="1"/>
    <col min="6150" max="6150" width="43.5703125" style="312" customWidth="1"/>
    <col min="6151" max="6151" width="17.85546875" style="312" customWidth="1"/>
    <col min="6152" max="6152" width="21" style="312" customWidth="1"/>
    <col min="6153" max="6155" width="17.7109375" style="312" customWidth="1"/>
    <col min="6156" max="6156" width="16.28515625" style="312" customWidth="1"/>
    <col min="6157" max="6161" width="0" style="312" hidden="1" customWidth="1"/>
    <col min="6162" max="6162" width="16.28515625" style="312" customWidth="1"/>
    <col min="6163" max="6167" width="0" style="312" hidden="1" customWidth="1"/>
    <col min="6168" max="6168" width="50.7109375" style="312" customWidth="1"/>
    <col min="6169" max="6400" width="11.42578125" style="312"/>
    <col min="6401" max="6401" width="2" style="312" customWidth="1"/>
    <col min="6402" max="6402" width="9" style="312" customWidth="1"/>
    <col min="6403" max="6403" width="10" style="312" bestFit="1" customWidth="1"/>
    <col min="6404" max="6404" width="20.42578125" style="312" customWidth="1"/>
    <col min="6405" max="6405" width="16.140625" style="312" customWidth="1"/>
    <col min="6406" max="6406" width="43.5703125" style="312" customWidth="1"/>
    <col min="6407" max="6407" width="17.85546875" style="312" customWidth="1"/>
    <col min="6408" max="6408" width="21" style="312" customWidth="1"/>
    <col min="6409" max="6411" width="17.7109375" style="312" customWidth="1"/>
    <col min="6412" max="6412" width="16.28515625" style="312" customWidth="1"/>
    <col min="6413" max="6417" width="0" style="312" hidden="1" customWidth="1"/>
    <col min="6418" max="6418" width="16.28515625" style="312" customWidth="1"/>
    <col min="6419" max="6423" width="0" style="312" hidden="1" customWidth="1"/>
    <col min="6424" max="6424" width="50.7109375" style="312" customWidth="1"/>
    <col min="6425" max="6656" width="11.42578125" style="312"/>
    <col min="6657" max="6657" width="2" style="312" customWidth="1"/>
    <col min="6658" max="6658" width="9" style="312" customWidth="1"/>
    <col min="6659" max="6659" width="10" style="312" bestFit="1" customWidth="1"/>
    <col min="6660" max="6660" width="20.42578125" style="312" customWidth="1"/>
    <col min="6661" max="6661" width="16.140625" style="312" customWidth="1"/>
    <col min="6662" max="6662" width="43.5703125" style="312" customWidth="1"/>
    <col min="6663" max="6663" width="17.85546875" style="312" customWidth="1"/>
    <col min="6664" max="6664" width="21" style="312" customWidth="1"/>
    <col min="6665" max="6667" width="17.7109375" style="312" customWidth="1"/>
    <col min="6668" max="6668" width="16.28515625" style="312" customWidth="1"/>
    <col min="6669" max="6673" width="0" style="312" hidden="1" customWidth="1"/>
    <col min="6674" max="6674" width="16.28515625" style="312" customWidth="1"/>
    <col min="6675" max="6679" width="0" style="312" hidden="1" customWidth="1"/>
    <col min="6680" max="6680" width="50.7109375" style="312" customWidth="1"/>
    <col min="6681" max="6912" width="11.42578125" style="312"/>
    <col min="6913" max="6913" width="2" style="312" customWidth="1"/>
    <col min="6914" max="6914" width="9" style="312" customWidth="1"/>
    <col min="6915" max="6915" width="10" style="312" bestFit="1" customWidth="1"/>
    <col min="6916" max="6916" width="20.42578125" style="312" customWidth="1"/>
    <col min="6917" max="6917" width="16.140625" style="312" customWidth="1"/>
    <col min="6918" max="6918" width="43.5703125" style="312" customWidth="1"/>
    <col min="6919" max="6919" width="17.85546875" style="312" customWidth="1"/>
    <col min="6920" max="6920" width="21" style="312" customWidth="1"/>
    <col min="6921" max="6923" width="17.7109375" style="312" customWidth="1"/>
    <col min="6924" max="6924" width="16.28515625" style="312" customWidth="1"/>
    <col min="6925" max="6929" width="0" style="312" hidden="1" customWidth="1"/>
    <col min="6930" max="6930" width="16.28515625" style="312" customWidth="1"/>
    <col min="6931" max="6935" width="0" style="312" hidden="1" customWidth="1"/>
    <col min="6936" max="6936" width="50.7109375" style="312" customWidth="1"/>
    <col min="6937" max="7168" width="11.42578125" style="312"/>
    <col min="7169" max="7169" width="2" style="312" customWidth="1"/>
    <col min="7170" max="7170" width="9" style="312" customWidth="1"/>
    <col min="7171" max="7171" width="10" style="312" bestFit="1" customWidth="1"/>
    <col min="7172" max="7172" width="20.42578125" style="312" customWidth="1"/>
    <col min="7173" max="7173" width="16.140625" style="312" customWidth="1"/>
    <col min="7174" max="7174" width="43.5703125" style="312" customWidth="1"/>
    <col min="7175" max="7175" width="17.85546875" style="312" customWidth="1"/>
    <col min="7176" max="7176" width="21" style="312" customWidth="1"/>
    <col min="7177" max="7179" width="17.7109375" style="312" customWidth="1"/>
    <col min="7180" max="7180" width="16.28515625" style="312" customWidth="1"/>
    <col min="7181" max="7185" width="0" style="312" hidden="1" customWidth="1"/>
    <col min="7186" max="7186" width="16.28515625" style="312" customWidth="1"/>
    <col min="7187" max="7191" width="0" style="312" hidden="1" customWidth="1"/>
    <col min="7192" max="7192" width="50.7109375" style="312" customWidth="1"/>
    <col min="7193" max="7424" width="11.42578125" style="312"/>
    <col min="7425" max="7425" width="2" style="312" customWidth="1"/>
    <col min="7426" max="7426" width="9" style="312" customWidth="1"/>
    <col min="7427" max="7427" width="10" style="312" bestFit="1" customWidth="1"/>
    <col min="7428" max="7428" width="20.42578125" style="312" customWidth="1"/>
    <col min="7429" max="7429" width="16.140625" style="312" customWidth="1"/>
    <col min="7430" max="7430" width="43.5703125" style="312" customWidth="1"/>
    <col min="7431" max="7431" width="17.85546875" style="312" customWidth="1"/>
    <col min="7432" max="7432" width="21" style="312" customWidth="1"/>
    <col min="7433" max="7435" width="17.7109375" style="312" customWidth="1"/>
    <col min="7436" max="7436" width="16.28515625" style="312" customWidth="1"/>
    <col min="7437" max="7441" width="0" style="312" hidden="1" customWidth="1"/>
    <col min="7442" max="7442" width="16.28515625" style="312" customWidth="1"/>
    <col min="7443" max="7447" width="0" style="312" hidden="1" customWidth="1"/>
    <col min="7448" max="7448" width="50.7109375" style="312" customWidth="1"/>
    <col min="7449" max="7680" width="11.42578125" style="312"/>
    <col min="7681" max="7681" width="2" style="312" customWidth="1"/>
    <col min="7682" max="7682" width="9" style="312" customWidth="1"/>
    <col min="7683" max="7683" width="10" style="312" bestFit="1" customWidth="1"/>
    <col min="7684" max="7684" width="20.42578125" style="312" customWidth="1"/>
    <col min="7685" max="7685" width="16.140625" style="312" customWidth="1"/>
    <col min="7686" max="7686" width="43.5703125" style="312" customWidth="1"/>
    <col min="7687" max="7687" width="17.85546875" style="312" customWidth="1"/>
    <col min="7688" max="7688" width="21" style="312" customWidth="1"/>
    <col min="7689" max="7691" width="17.7109375" style="312" customWidth="1"/>
    <col min="7692" max="7692" width="16.28515625" style="312" customWidth="1"/>
    <col min="7693" max="7697" width="0" style="312" hidden="1" customWidth="1"/>
    <col min="7698" max="7698" width="16.28515625" style="312" customWidth="1"/>
    <col min="7699" max="7703" width="0" style="312" hidden="1" customWidth="1"/>
    <col min="7704" max="7704" width="50.7109375" style="312" customWidth="1"/>
    <col min="7705" max="7936" width="11.42578125" style="312"/>
    <col min="7937" max="7937" width="2" style="312" customWidth="1"/>
    <col min="7938" max="7938" width="9" style="312" customWidth="1"/>
    <col min="7939" max="7939" width="10" style="312" bestFit="1" customWidth="1"/>
    <col min="7940" max="7940" width="20.42578125" style="312" customWidth="1"/>
    <col min="7941" max="7941" width="16.140625" style="312" customWidth="1"/>
    <col min="7942" max="7942" width="43.5703125" style="312" customWidth="1"/>
    <col min="7943" max="7943" width="17.85546875" style="312" customWidth="1"/>
    <col min="7944" max="7944" width="21" style="312" customWidth="1"/>
    <col min="7945" max="7947" width="17.7109375" style="312" customWidth="1"/>
    <col min="7948" max="7948" width="16.28515625" style="312" customWidth="1"/>
    <col min="7949" max="7953" width="0" style="312" hidden="1" customWidth="1"/>
    <col min="7954" max="7954" width="16.28515625" style="312" customWidth="1"/>
    <col min="7955" max="7959" width="0" style="312" hidden="1" customWidth="1"/>
    <col min="7960" max="7960" width="50.7109375" style="312" customWidth="1"/>
    <col min="7961" max="8192" width="11.42578125" style="312"/>
    <col min="8193" max="8193" width="2" style="312" customWidth="1"/>
    <col min="8194" max="8194" width="9" style="312" customWidth="1"/>
    <col min="8195" max="8195" width="10" style="312" bestFit="1" customWidth="1"/>
    <col min="8196" max="8196" width="20.42578125" style="312" customWidth="1"/>
    <col min="8197" max="8197" width="16.140625" style="312" customWidth="1"/>
    <col min="8198" max="8198" width="43.5703125" style="312" customWidth="1"/>
    <col min="8199" max="8199" width="17.85546875" style="312" customWidth="1"/>
    <col min="8200" max="8200" width="21" style="312" customWidth="1"/>
    <col min="8201" max="8203" width="17.7109375" style="312" customWidth="1"/>
    <col min="8204" max="8204" width="16.28515625" style="312" customWidth="1"/>
    <col min="8205" max="8209" width="0" style="312" hidden="1" customWidth="1"/>
    <col min="8210" max="8210" width="16.28515625" style="312" customWidth="1"/>
    <col min="8211" max="8215" width="0" style="312" hidden="1" customWidth="1"/>
    <col min="8216" max="8216" width="50.7109375" style="312" customWidth="1"/>
    <col min="8217" max="8448" width="11.42578125" style="312"/>
    <col min="8449" max="8449" width="2" style="312" customWidth="1"/>
    <col min="8450" max="8450" width="9" style="312" customWidth="1"/>
    <col min="8451" max="8451" width="10" style="312" bestFit="1" customWidth="1"/>
    <col min="8452" max="8452" width="20.42578125" style="312" customWidth="1"/>
    <col min="8453" max="8453" width="16.140625" style="312" customWidth="1"/>
    <col min="8454" max="8454" width="43.5703125" style="312" customWidth="1"/>
    <col min="8455" max="8455" width="17.85546875" style="312" customWidth="1"/>
    <col min="8456" max="8456" width="21" style="312" customWidth="1"/>
    <col min="8457" max="8459" width="17.7109375" style="312" customWidth="1"/>
    <col min="8460" max="8460" width="16.28515625" style="312" customWidth="1"/>
    <col min="8461" max="8465" width="0" style="312" hidden="1" customWidth="1"/>
    <col min="8466" max="8466" width="16.28515625" style="312" customWidth="1"/>
    <col min="8467" max="8471" width="0" style="312" hidden="1" customWidth="1"/>
    <col min="8472" max="8472" width="50.7109375" style="312" customWidth="1"/>
    <col min="8473" max="8704" width="11.42578125" style="312"/>
    <col min="8705" max="8705" width="2" style="312" customWidth="1"/>
    <col min="8706" max="8706" width="9" style="312" customWidth="1"/>
    <col min="8707" max="8707" width="10" style="312" bestFit="1" customWidth="1"/>
    <col min="8708" max="8708" width="20.42578125" style="312" customWidth="1"/>
    <col min="8709" max="8709" width="16.140625" style="312" customWidth="1"/>
    <col min="8710" max="8710" width="43.5703125" style="312" customWidth="1"/>
    <col min="8711" max="8711" width="17.85546875" style="312" customWidth="1"/>
    <col min="8712" max="8712" width="21" style="312" customWidth="1"/>
    <col min="8713" max="8715" width="17.7109375" style="312" customWidth="1"/>
    <col min="8716" max="8716" width="16.28515625" style="312" customWidth="1"/>
    <col min="8717" max="8721" width="0" style="312" hidden="1" customWidth="1"/>
    <col min="8722" max="8722" width="16.28515625" style="312" customWidth="1"/>
    <col min="8723" max="8727" width="0" style="312" hidden="1" customWidth="1"/>
    <col min="8728" max="8728" width="50.7109375" style="312" customWidth="1"/>
    <col min="8729" max="8960" width="11.42578125" style="312"/>
    <col min="8961" max="8961" width="2" style="312" customWidth="1"/>
    <col min="8962" max="8962" width="9" style="312" customWidth="1"/>
    <col min="8963" max="8963" width="10" style="312" bestFit="1" customWidth="1"/>
    <col min="8964" max="8964" width="20.42578125" style="312" customWidth="1"/>
    <col min="8965" max="8965" width="16.140625" style="312" customWidth="1"/>
    <col min="8966" max="8966" width="43.5703125" style="312" customWidth="1"/>
    <col min="8967" max="8967" width="17.85546875" style="312" customWidth="1"/>
    <col min="8968" max="8968" width="21" style="312" customWidth="1"/>
    <col min="8969" max="8971" width="17.7109375" style="312" customWidth="1"/>
    <col min="8972" max="8972" width="16.28515625" style="312" customWidth="1"/>
    <col min="8973" max="8977" width="0" style="312" hidden="1" customWidth="1"/>
    <col min="8978" max="8978" width="16.28515625" style="312" customWidth="1"/>
    <col min="8979" max="8983" width="0" style="312" hidden="1" customWidth="1"/>
    <col min="8984" max="8984" width="50.7109375" style="312" customWidth="1"/>
    <col min="8985" max="9216" width="11.42578125" style="312"/>
    <col min="9217" max="9217" width="2" style="312" customWidth="1"/>
    <col min="9218" max="9218" width="9" style="312" customWidth="1"/>
    <col min="9219" max="9219" width="10" style="312" bestFit="1" customWidth="1"/>
    <col min="9220" max="9220" width="20.42578125" style="312" customWidth="1"/>
    <col min="9221" max="9221" width="16.140625" style="312" customWidth="1"/>
    <col min="9222" max="9222" width="43.5703125" style="312" customWidth="1"/>
    <col min="9223" max="9223" width="17.85546875" style="312" customWidth="1"/>
    <col min="9224" max="9224" width="21" style="312" customWidth="1"/>
    <col min="9225" max="9227" width="17.7109375" style="312" customWidth="1"/>
    <col min="9228" max="9228" width="16.28515625" style="312" customWidth="1"/>
    <col min="9229" max="9233" width="0" style="312" hidden="1" customWidth="1"/>
    <col min="9234" max="9234" width="16.28515625" style="312" customWidth="1"/>
    <col min="9235" max="9239" width="0" style="312" hidden="1" customWidth="1"/>
    <col min="9240" max="9240" width="50.7109375" style="312" customWidth="1"/>
    <col min="9241" max="9472" width="11.42578125" style="312"/>
    <col min="9473" max="9473" width="2" style="312" customWidth="1"/>
    <col min="9474" max="9474" width="9" style="312" customWidth="1"/>
    <col min="9475" max="9475" width="10" style="312" bestFit="1" customWidth="1"/>
    <col min="9476" max="9476" width="20.42578125" style="312" customWidth="1"/>
    <col min="9477" max="9477" width="16.140625" style="312" customWidth="1"/>
    <col min="9478" max="9478" width="43.5703125" style="312" customWidth="1"/>
    <col min="9479" max="9479" width="17.85546875" style="312" customWidth="1"/>
    <col min="9480" max="9480" width="21" style="312" customWidth="1"/>
    <col min="9481" max="9483" width="17.7109375" style="312" customWidth="1"/>
    <col min="9484" max="9484" width="16.28515625" style="312" customWidth="1"/>
    <col min="9485" max="9489" width="0" style="312" hidden="1" customWidth="1"/>
    <col min="9490" max="9490" width="16.28515625" style="312" customWidth="1"/>
    <col min="9491" max="9495" width="0" style="312" hidden="1" customWidth="1"/>
    <col min="9496" max="9496" width="50.7109375" style="312" customWidth="1"/>
    <col min="9497" max="9728" width="11.42578125" style="312"/>
    <col min="9729" max="9729" width="2" style="312" customWidth="1"/>
    <col min="9730" max="9730" width="9" style="312" customWidth="1"/>
    <col min="9731" max="9731" width="10" style="312" bestFit="1" customWidth="1"/>
    <col min="9732" max="9732" width="20.42578125" style="312" customWidth="1"/>
    <col min="9733" max="9733" width="16.140625" style="312" customWidth="1"/>
    <col min="9734" max="9734" width="43.5703125" style="312" customWidth="1"/>
    <col min="9735" max="9735" width="17.85546875" style="312" customWidth="1"/>
    <col min="9736" max="9736" width="21" style="312" customWidth="1"/>
    <col min="9737" max="9739" width="17.7109375" style="312" customWidth="1"/>
    <col min="9740" max="9740" width="16.28515625" style="312" customWidth="1"/>
    <col min="9741" max="9745" width="0" style="312" hidden="1" customWidth="1"/>
    <col min="9746" max="9746" width="16.28515625" style="312" customWidth="1"/>
    <col min="9747" max="9751" width="0" style="312" hidden="1" customWidth="1"/>
    <col min="9752" max="9752" width="50.7109375" style="312" customWidth="1"/>
    <col min="9753" max="9984" width="11.42578125" style="312"/>
    <col min="9985" max="9985" width="2" style="312" customWidth="1"/>
    <col min="9986" max="9986" width="9" style="312" customWidth="1"/>
    <col min="9987" max="9987" width="10" style="312" bestFit="1" customWidth="1"/>
    <col min="9988" max="9988" width="20.42578125" style="312" customWidth="1"/>
    <col min="9989" max="9989" width="16.140625" style="312" customWidth="1"/>
    <col min="9990" max="9990" width="43.5703125" style="312" customWidth="1"/>
    <col min="9991" max="9991" width="17.85546875" style="312" customWidth="1"/>
    <col min="9992" max="9992" width="21" style="312" customWidth="1"/>
    <col min="9993" max="9995" width="17.7109375" style="312" customWidth="1"/>
    <col min="9996" max="9996" width="16.28515625" style="312" customWidth="1"/>
    <col min="9997" max="10001" width="0" style="312" hidden="1" customWidth="1"/>
    <col min="10002" max="10002" width="16.28515625" style="312" customWidth="1"/>
    <col min="10003" max="10007" width="0" style="312" hidden="1" customWidth="1"/>
    <col min="10008" max="10008" width="50.7109375" style="312" customWidth="1"/>
    <col min="10009" max="10240" width="11.42578125" style="312"/>
    <col min="10241" max="10241" width="2" style="312" customWidth="1"/>
    <col min="10242" max="10242" width="9" style="312" customWidth="1"/>
    <col min="10243" max="10243" width="10" style="312" bestFit="1" customWidth="1"/>
    <col min="10244" max="10244" width="20.42578125" style="312" customWidth="1"/>
    <col min="10245" max="10245" width="16.140625" style="312" customWidth="1"/>
    <col min="10246" max="10246" width="43.5703125" style="312" customWidth="1"/>
    <col min="10247" max="10247" width="17.85546875" style="312" customWidth="1"/>
    <col min="10248" max="10248" width="21" style="312" customWidth="1"/>
    <col min="10249" max="10251" width="17.7109375" style="312" customWidth="1"/>
    <col min="10252" max="10252" width="16.28515625" style="312" customWidth="1"/>
    <col min="10253" max="10257" width="0" style="312" hidden="1" customWidth="1"/>
    <col min="10258" max="10258" width="16.28515625" style="312" customWidth="1"/>
    <col min="10259" max="10263" width="0" style="312" hidden="1" customWidth="1"/>
    <col min="10264" max="10264" width="50.7109375" style="312" customWidth="1"/>
    <col min="10265" max="10496" width="11.42578125" style="312"/>
    <col min="10497" max="10497" width="2" style="312" customWidth="1"/>
    <col min="10498" max="10498" width="9" style="312" customWidth="1"/>
    <col min="10499" max="10499" width="10" style="312" bestFit="1" customWidth="1"/>
    <col min="10500" max="10500" width="20.42578125" style="312" customWidth="1"/>
    <col min="10501" max="10501" width="16.140625" style="312" customWidth="1"/>
    <col min="10502" max="10502" width="43.5703125" style="312" customWidth="1"/>
    <col min="10503" max="10503" width="17.85546875" style="312" customWidth="1"/>
    <col min="10504" max="10504" width="21" style="312" customWidth="1"/>
    <col min="10505" max="10507" width="17.7109375" style="312" customWidth="1"/>
    <col min="10508" max="10508" width="16.28515625" style="312" customWidth="1"/>
    <col min="10509" max="10513" width="0" style="312" hidden="1" customWidth="1"/>
    <col min="10514" max="10514" width="16.28515625" style="312" customWidth="1"/>
    <col min="10515" max="10519" width="0" style="312" hidden="1" customWidth="1"/>
    <col min="10520" max="10520" width="50.7109375" style="312" customWidth="1"/>
    <col min="10521" max="10752" width="11.42578125" style="312"/>
    <col min="10753" max="10753" width="2" style="312" customWidth="1"/>
    <col min="10754" max="10754" width="9" style="312" customWidth="1"/>
    <col min="10755" max="10755" width="10" style="312" bestFit="1" customWidth="1"/>
    <col min="10756" max="10756" width="20.42578125" style="312" customWidth="1"/>
    <col min="10757" max="10757" width="16.140625" style="312" customWidth="1"/>
    <col min="10758" max="10758" width="43.5703125" style="312" customWidth="1"/>
    <col min="10759" max="10759" width="17.85546875" style="312" customWidth="1"/>
    <col min="10760" max="10760" width="21" style="312" customWidth="1"/>
    <col min="10761" max="10763" width="17.7109375" style="312" customWidth="1"/>
    <col min="10764" max="10764" width="16.28515625" style="312" customWidth="1"/>
    <col min="10765" max="10769" width="0" style="312" hidden="1" customWidth="1"/>
    <col min="10770" max="10770" width="16.28515625" style="312" customWidth="1"/>
    <col min="10771" max="10775" width="0" style="312" hidden="1" customWidth="1"/>
    <col min="10776" max="10776" width="50.7109375" style="312" customWidth="1"/>
    <col min="10777" max="11008" width="11.42578125" style="312"/>
    <col min="11009" max="11009" width="2" style="312" customWidth="1"/>
    <col min="11010" max="11010" width="9" style="312" customWidth="1"/>
    <col min="11011" max="11011" width="10" style="312" bestFit="1" customWidth="1"/>
    <col min="11012" max="11012" width="20.42578125" style="312" customWidth="1"/>
    <col min="11013" max="11013" width="16.140625" style="312" customWidth="1"/>
    <col min="11014" max="11014" width="43.5703125" style="312" customWidth="1"/>
    <col min="11015" max="11015" width="17.85546875" style="312" customWidth="1"/>
    <col min="11016" max="11016" width="21" style="312" customWidth="1"/>
    <col min="11017" max="11019" width="17.7109375" style="312" customWidth="1"/>
    <col min="11020" max="11020" width="16.28515625" style="312" customWidth="1"/>
    <col min="11021" max="11025" width="0" style="312" hidden="1" customWidth="1"/>
    <col min="11026" max="11026" width="16.28515625" style="312" customWidth="1"/>
    <col min="11027" max="11031" width="0" style="312" hidden="1" customWidth="1"/>
    <col min="11032" max="11032" width="50.7109375" style="312" customWidth="1"/>
    <col min="11033" max="11264" width="11.42578125" style="312"/>
    <col min="11265" max="11265" width="2" style="312" customWidth="1"/>
    <col min="11266" max="11266" width="9" style="312" customWidth="1"/>
    <col min="11267" max="11267" width="10" style="312" bestFit="1" customWidth="1"/>
    <col min="11268" max="11268" width="20.42578125" style="312" customWidth="1"/>
    <col min="11269" max="11269" width="16.140625" style="312" customWidth="1"/>
    <col min="11270" max="11270" width="43.5703125" style="312" customWidth="1"/>
    <col min="11271" max="11271" width="17.85546875" style="312" customWidth="1"/>
    <col min="11272" max="11272" width="21" style="312" customWidth="1"/>
    <col min="11273" max="11275" width="17.7109375" style="312" customWidth="1"/>
    <col min="11276" max="11276" width="16.28515625" style="312" customWidth="1"/>
    <col min="11277" max="11281" width="0" style="312" hidden="1" customWidth="1"/>
    <col min="11282" max="11282" width="16.28515625" style="312" customWidth="1"/>
    <col min="11283" max="11287" width="0" style="312" hidden="1" customWidth="1"/>
    <col min="11288" max="11288" width="50.7109375" style="312" customWidth="1"/>
    <col min="11289" max="11520" width="11.42578125" style="312"/>
    <col min="11521" max="11521" width="2" style="312" customWidth="1"/>
    <col min="11522" max="11522" width="9" style="312" customWidth="1"/>
    <col min="11523" max="11523" width="10" style="312" bestFit="1" customWidth="1"/>
    <col min="11524" max="11524" width="20.42578125" style="312" customWidth="1"/>
    <col min="11525" max="11525" width="16.140625" style="312" customWidth="1"/>
    <col min="11526" max="11526" width="43.5703125" style="312" customWidth="1"/>
    <col min="11527" max="11527" width="17.85546875" style="312" customWidth="1"/>
    <col min="11528" max="11528" width="21" style="312" customWidth="1"/>
    <col min="11529" max="11531" width="17.7109375" style="312" customWidth="1"/>
    <col min="11532" max="11532" width="16.28515625" style="312" customWidth="1"/>
    <col min="11533" max="11537" width="0" style="312" hidden="1" customWidth="1"/>
    <col min="11538" max="11538" width="16.28515625" style="312" customWidth="1"/>
    <col min="11539" max="11543" width="0" style="312" hidden="1" customWidth="1"/>
    <col min="11544" max="11544" width="50.7109375" style="312" customWidth="1"/>
    <col min="11545" max="11776" width="11.42578125" style="312"/>
    <col min="11777" max="11777" width="2" style="312" customWidth="1"/>
    <col min="11778" max="11778" width="9" style="312" customWidth="1"/>
    <col min="11779" max="11779" width="10" style="312" bestFit="1" customWidth="1"/>
    <col min="11780" max="11780" width="20.42578125" style="312" customWidth="1"/>
    <col min="11781" max="11781" width="16.140625" style="312" customWidth="1"/>
    <col min="11782" max="11782" width="43.5703125" style="312" customWidth="1"/>
    <col min="11783" max="11783" width="17.85546875" style="312" customWidth="1"/>
    <col min="11784" max="11784" width="21" style="312" customWidth="1"/>
    <col min="11785" max="11787" width="17.7109375" style="312" customWidth="1"/>
    <col min="11788" max="11788" width="16.28515625" style="312" customWidth="1"/>
    <col min="11789" max="11793" width="0" style="312" hidden="1" customWidth="1"/>
    <col min="11794" max="11794" width="16.28515625" style="312" customWidth="1"/>
    <col min="11795" max="11799" width="0" style="312" hidden="1" customWidth="1"/>
    <col min="11800" max="11800" width="50.7109375" style="312" customWidth="1"/>
    <col min="11801" max="12032" width="11.42578125" style="312"/>
    <col min="12033" max="12033" width="2" style="312" customWidth="1"/>
    <col min="12034" max="12034" width="9" style="312" customWidth="1"/>
    <col min="12035" max="12035" width="10" style="312" bestFit="1" customWidth="1"/>
    <col min="12036" max="12036" width="20.42578125" style="312" customWidth="1"/>
    <col min="12037" max="12037" width="16.140625" style="312" customWidth="1"/>
    <col min="12038" max="12038" width="43.5703125" style="312" customWidth="1"/>
    <col min="12039" max="12039" width="17.85546875" style="312" customWidth="1"/>
    <col min="12040" max="12040" width="21" style="312" customWidth="1"/>
    <col min="12041" max="12043" width="17.7109375" style="312" customWidth="1"/>
    <col min="12044" max="12044" width="16.28515625" style="312" customWidth="1"/>
    <col min="12045" max="12049" width="0" style="312" hidden="1" customWidth="1"/>
    <col min="12050" max="12050" width="16.28515625" style="312" customWidth="1"/>
    <col min="12051" max="12055" width="0" style="312" hidden="1" customWidth="1"/>
    <col min="12056" max="12056" width="50.7109375" style="312" customWidth="1"/>
    <col min="12057" max="12288" width="11.42578125" style="312"/>
    <col min="12289" max="12289" width="2" style="312" customWidth="1"/>
    <col min="12290" max="12290" width="9" style="312" customWidth="1"/>
    <col min="12291" max="12291" width="10" style="312" bestFit="1" customWidth="1"/>
    <col min="12292" max="12292" width="20.42578125" style="312" customWidth="1"/>
    <col min="12293" max="12293" width="16.140625" style="312" customWidth="1"/>
    <col min="12294" max="12294" width="43.5703125" style="312" customWidth="1"/>
    <col min="12295" max="12295" width="17.85546875" style="312" customWidth="1"/>
    <col min="12296" max="12296" width="21" style="312" customWidth="1"/>
    <col min="12297" max="12299" width="17.7109375" style="312" customWidth="1"/>
    <col min="12300" max="12300" width="16.28515625" style="312" customWidth="1"/>
    <col min="12301" max="12305" width="0" style="312" hidden="1" customWidth="1"/>
    <col min="12306" max="12306" width="16.28515625" style="312" customWidth="1"/>
    <col min="12307" max="12311" width="0" style="312" hidden="1" customWidth="1"/>
    <col min="12312" max="12312" width="50.7109375" style="312" customWidth="1"/>
    <col min="12313" max="12544" width="11.42578125" style="312"/>
    <col min="12545" max="12545" width="2" style="312" customWidth="1"/>
    <col min="12546" max="12546" width="9" style="312" customWidth="1"/>
    <col min="12547" max="12547" width="10" style="312" bestFit="1" customWidth="1"/>
    <col min="12548" max="12548" width="20.42578125" style="312" customWidth="1"/>
    <col min="12549" max="12549" width="16.140625" style="312" customWidth="1"/>
    <col min="12550" max="12550" width="43.5703125" style="312" customWidth="1"/>
    <col min="12551" max="12551" width="17.85546875" style="312" customWidth="1"/>
    <col min="12552" max="12552" width="21" style="312" customWidth="1"/>
    <col min="12553" max="12555" width="17.7109375" style="312" customWidth="1"/>
    <col min="12556" max="12556" width="16.28515625" style="312" customWidth="1"/>
    <col min="12557" max="12561" width="0" style="312" hidden="1" customWidth="1"/>
    <col min="12562" max="12562" width="16.28515625" style="312" customWidth="1"/>
    <col min="12563" max="12567" width="0" style="312" hidden="1" customWidth="1"/>
    <col min="12568" max="12568" width="50.7109375" style="312" customWidth="1"/>
    <col min="12569" max="12800" width="11.42578125" style="312"/>
    <col min="12801" max="12801" width="2" style="312" customWidth="1"/>
    <col min="12802" max="12802" width="9" style="312" customWidth="1"/>
    <col min="12803" max="12803" width="10" style="312" bestFit="1" customWidth="1"/>
    <col min="12804" max="12804" width="20.42578125" style="312" customWidth="1"/>
    <col min="12805" max="12805" width="16.140625" style="312" customWidth="1"/>
    <col min="12806" max="12806" width="43.5703125" style="312" customWidth="1"/>
    <col min="12807" max="12807" width="17.85546875" style="312" customWidth="1"/>
    <col min="12808" max="12808" width="21" style="312" customWidth="1"/>
    <col min="12809" max="12811" width="17.7109375" style="312" customWidth="1"/>
    <col min="12812" max="12812" width="16.28515625" style="312" customWidth="1"/>
    <col min="12813" max="12817" width="0" style="312" hidden="1" customWidth="1"/>
    <col min="12818" max="12818" width="16.28515625" style="312" customWidth="1"/>
    <col min="12819" max="12823" width="0" style="312" hidden="1" customWidth="1"/>
    <col min="12824" max="12824" width="50.7109375" style="312" customWidth="1"/>
    <col min="12825" max="13056" width="11.42578125" style="312"/>
    <col min="13057" max="13057" width="2" style="312" customWidth="1"/>
    <col min="13058" max="13058" width="9" style="312" customWidth="1"/>
    <col min="13059" max="13059" width="10" style="312" bestFit="1" customWidth="1"/>
    <col min="13060" max="13060" width="20.42578125" style="312" customWidth="1"/>
    <col min="13061" max="13061" width="16.140625" style="312" customWidth="1"/>
    <col min="13062" max="13062" width="43.5703125" style="312" customWidth="1"/>
    <col min="13063" max="13063" width="17.85546875" style="312" customWidth="1"/>
    <col min="13064" max="13064" width="21" style="312" customWidth="1"/>
    <col min="13065" max="13067" width="17.7109375" style="312" customWidth="1"/>
    <col min="13068" max="13068" width="16.28515625" style="312" customWidth="1"/>
    <col min="13069" max="13073" width="0" style="312" hidden="1" customWidth="1"/>
    <col min="13074" max="13074" width="16.28515625" style="312" customWidth="1"/>
    <col min="13075" max="13079" width="0" style="312" hidden="1" customWidth="1"/>
    <col min="13080" max="13080" width="50.7109375" style="312" customWidth="1"/>
    <col min="13081" max="13312" width="11.42578125" style="312"/>
    <col min="13313" max="13313" width="2" style="312" customWidth="1"/>
    <col min="13314" max="13314" width="9" style="312" customWidth="1"/>
    <col min="13315" max="13315" width="10" style="312" bestFit="1" customWidth="1"/>
    <col min="13316" max="13316" width="20.42578125" style="312" customWidth="1"/>
    <col min="13317" max="13317" width="16.140625" style="312" customWidth="1"/>
    <col min="13318" max="13318" width="43.5703125" style="312" customWidth="1"/>
    <col min="13319" max="13319" width="17.85546875" style="312" customWidth="1"/>
    <col min="13320" max="13320" width="21" style="312" customWidth="1"/>
    <col min="13321" max="13323" width="17.7109375" style="312" customWidth="1"/>
    <col min="13324" max="13324" width="16.28515625" style="312" customWidth="1"/>
    <col min="13325" max="13329" width="0" style="312" hidden="1" customWidth="1"/>
    <col min="13330" max="13330" width="16.28515625" style="312" customWidth="1"/>
    <col min="13331" max="13335" width="0" style="312" hidden="1" customWidth="1"/>
    <col min="13336" max="13336" width="50.7109375" style="312" customWidth="1"/>
    <col min="13337" max="13568" width="11.42578125" style="312"/>
    <col min="13569" max="13569" width="2" style="312" customWidth="1"/>
    <col min="13570" max="13570" width="9" style="312" customWidth="1"/>
    <col min="13571" max="13571" width="10" style="312" bestFit="1" customWidth="1"/>
    <col min="13572" max="13572" width="20.42578125" style="312" customWidth="1"/>
    <col min="13573" max="13573" width="16.140625" style="312" customWidth="1"/>
    <col min="13574" max="13574" width="43.5703125" style="312" customWidth="1"/>
    <col min="13575" max="13575" width="17.85546875" style="312" customWidth="1"/>
    <col min="13576" max="13576" width="21" style="312" customWidth="1"/>
    <col min="13577" max="13579" width="17.7109375" style="312" customWidth="1"/>
    <col min="13580" max="13580" width="16.28515625" style="312" customWidth="1"/>
    <col min="13581" max="13585" width="0" style="312" hidden="1" customWidth="1"/>
    <col min="13586" max="13586" width="16.28515625" style="312" customWidth="1"/>
    <col min="13587" max="13591" width="0" style="312" hidden="1" customWidth="1"/>
    <col min="13592" max="13592" width="50.7109375" style="312" customWidth="1"/>
    <col min="13593" max="13824" width="11.42578125" style="312"/>
    <col min="13825" max="13825" width="2" style="312" customWidth="1"/>
    <col min="13826" max="13826" width="9" style="312" customWidth="1"/>
    <col min="13827" max="13827" width="10" style="312" bestFit="1" customWidth="1"/>
    <col min="13828" max="13828" width="20.42578125" style="312" customWidth="1"/>
    <col min="13829" max="13829" width="16.140625" style="312" customWidth="1"/>
    <col min="13830" max="13830" width="43.5703125" style="312" customWidth="1"/>
    <col min="13831" max="13831" width="17.85546875" style="312" customWidth="1"/>
    <col min="13832" max="13832" width="21" style="312" customWidth="1"/>
    <col min="13833" max="13835" width="17.7109375" style="312" customWidth="1"/>
    <col min="13836" max="13836" width="16.28515625" style="312" customWidth="1"/>
    <col min="13837" max="13841" width="0" style="312" hidden="1" customWidth="1"/>
    <col min="13842" max="13842" width="16.28515625" style="312" customWidth="1"/>
    <col min="13843" max="13847" width="0" style="312" hidden="1" customWidth="1"/>
    <col min="13848" max="13848" width="50.7109375" style="312" customWidth="1"/>
    <col min="13849" max="14080" width="11.42578125" style="312"/>
    <col min="14081" max="14081" width="2" style="312" customWidth="1"/>
    <col min="14082" max="14082" width="9" style="312" customWidth="1"/>
    <col min="14083" max="14083" width="10" style="312" bestFit="1" customWidth="1"/>
    <col min="14084" max="14084" width="20.42578125" style="312" customWidth="1"/>
    <col min="14085" max="14085" width="16.140625" style="312" customWidth="1"/>
    <col min="14086" max="14086" width="43.5703125" style="312" customWidth="1"/>
    <col min="14087" max="14087" width="17.85546875" style="312" customWidth="1"/>
    <col min="14088" max="14088" width="21" style="312" customWidth="1"/>
    <col min="14089" max="14091" width="17.7109375" style="312" customWidth="1"/>
    <col min="14092" max="14092" width="16.28515625" style="312" customWidth="1"/>
    <col min="14093" max="14097" width="0" style="312" hidden="1" customWidth="1"/>
    <col min="14098" max="14098" width="16.28515625" style="312" customWidth="1"/>
    <col min="14099" max="14103" width="0" style="312" hidden="1" customWidth="1"/>
    <col min="14104" max="14104" width="50.7109375" style="312" customWidth="1"/>
    <col min="14105" max="14336" width="11.42578125" style="312"/>
    <col min="14337" max="14337" width="2" style="312" customWidth="1"/>
    <col min="14338" max="14338" width="9" style="312" customWidth="1"/>
    <col min="14339" max="14339" width="10" style="312" bestFit="1" customWidth="1"/>
    <col min="14340" max="14340" width="20.42578125" style="312" customWidth="1"/>
    <col min="14341" max="14341" width="16.140625" style="312" customWidth="1"/>
    <col min="14342" max="14342" width="43.5703125" style="312" customWidth="1"/>
    <col min="14343" max="14343" width="17.85546875" style="312" customWidth="1"/>
    <col min="14344" max="14344" width="21" style="312" customWidth="1"/>
    <col min="14345" max="14347" width="17.7109375" style="312" customWidth="1"/>
    <col min="14348" max="14348" width="16.28515625" style="312" customWidth="1"/>
    <col min="14349" max="14353" width="0" style="312" hidden="1" customWidth="1"/>
    <col min="14354" max="14354" width="16.28515625" style="312" customWidth="1"/>
    <col min="14355" max="14359" width="0" style="312" hidden="1" customWidth="1"/>
    <col min="14360" max="14360" width="50.7109375" style="312" customWidth="1"/>
    <col min="14361" max="14592" width="11.42578125" style="312"/>
    <col min="14593" max="14593" width="2" style="312" customWidth="1"/>
    <col min="14594" max="14594" width="9" style="312" customWidth="1"/>
    <col min="14595" max="14595" width="10" style="312" bestFit="1" customWidth="1"/>
    <col min="14596" max="14596" width="20.42578125" style="312" customWidth="1"/>
    <col min="14597" max="14597" width="16.140625" style="312" customWidth="1"/>
    <col min="14598" max="14598" width="43.5703125" style="312" customWidth="1"/>
    <col min="14599" max="14599" width="17.85546875" style="312" customWidth="1"/>
    <col min="14600" max="14600" width="21" style="312" customWidth="1"/>
    <col min="14601" max="14603" width="17.7109375" style="312" customWidth="1"/>
    <col min="14604" max="14604" width="16.28515625" style="312" customWidth="1"/>
    <col min="14605" max="14609" width="0" style="312" hidden="1" customWidth="1"/>
    <col min="14610" max="14610" width="16.28515625" style="312" customWidth="1"/>
    <col min="14611" max="14615" width="0" style="312" hidden="1" customWidth="1"/>
    <col min="14616" max="14616" width="50.7109375" style="312" customWidth="1"/>
    <col min="14617" max="14848" width="11.42578125" style="312"/>
    <col min="14849" max="14849" width="2" style="312" customWidth="1"/>
    <col min="14850" max="14850" width="9" style="312" customWidth="1"/>
    <col min="14851" max="14851" width="10" style="312" bestFit="1" customWidth="1"/>
    <col min="14852" max="14852" width="20.42578125" style="312" customWidth="1"/>
    <col min="14853" max="14853" width="16.140625" style="312" customWidth="1"/>
    <col min="14854" max="14854" width="43.5703125" style="312" customWidth="1"/>
    <col min="14855" max="14855" width="17.85546875" style="312" customWidth="1"/>
    <col min="14856" max="14856" width="21" style="312" customWidth="1"/>
    <col min="14857" max="14859" width="17.7109375" style="312" customWidth="1"/>
    <col min="14860" max="14860" width="16.28515625" style="312" customWidth="1"/>
    <col min="14861" max="14865" width="0" style="312" hidden="1" customWidth="1"/>
    <col min="14866" max="14866" width="16.28515625" style="312" customWidth="1"/>
    <col min="14867" max="14871" width="0" style="312" hidden="1" customWidth="1"/>
    <col min="14872" max="14872" width="50.7109375" style="312" customWidth="1"/>
    <col min="14873" max="15104" width="11.42578125" style="312"/>
    <col min="15105" max="15105" width="2" style="312" customWidth="1"/>
    <col min="15106" max="15106" width="9" style="312" customWidth="1"/>
    <col min="15107" max="15107" width="10" style="312" bestFit="1" customWidth="1"/>
    <col min="15108" max="15108" width="20.42578125" style="312" customWidth="1"/>
    <col min="15109" max="15109" width="16.140625" style="312" customWidth="1"/>
    <col min="15110" max="15110" width="43.5703125" style="312" customWidth="1"/>
    <col min="15111" max="15111" width="17.85546875" style="312" customWidth="1"/>
    <col min="15112" max="15112" width="21" style="312" customWidth="1"/>
    <col min="15113" max="15115" width="17.7109375" style="312" customWidth="1"/>
    <col min="15116" max="15116" width="16.28515625" style="312" customWidth="1"/>
    <col min="15117" max="15121" width="0" style="312" hidden="1" customWidth="1"/>
    <col min="15122" max="15122" width="16.28515625" style="312" customWidth="1"/>
    <col min="15123" max="15127" width="0" style="312" hidden="1" customWidth="1"/>
    <col min="15128" max="15128" width="50.7109375" style="312" customWidth="1"/>
    <col min="15129" max="15360" width="11.42578125" style="312"/>
    <col min="15361" max="15361" width="2" style="312" customWidth="1"/>
    <col min="15362" max="15362" width="9" style="312" customWidth="1"/>
    <col min="15363" max="15363" width="10" style="312" bestFit="1" customWidth="1"/>
    <col min="15364" max="15364" width="20.42578125" style="312" customWidth="1"/>
    <col min="15365" max="15365" width="16.140625" style="312" customWidth="1"/>
    <col min="15366" max="15366" width="43.5703125" style="312" customWidth="1"/>
    <col min="15367" max="15367" width="17.85546875" style="312" customWidth="1"/>
    <col min="15368" max="15368" width="21" style="312" customWidth="1"/>
    <col min="15369" max="15371" width="17.7109375" style="312" customWidth="1"/>
    <col min="15372" max="15372" width="16.28515625" style="312" customWidth="1"/>
    <col min="15373" max="15377" width="0" style="312" hidden="1" customWidth="1"/>
    <col min="15378" max="15378" width="16.28515625" style="312" customWidth="1"/>
    <col min="15379" max="15383" width="0" style="312" hidden="1" customWidth="1"/>
    <col min="15384" max="15384" width="50.7109375" style="312" customWidth="1"/>
    <col min="15385" max="15616" width="11.42578125" style="312"/>
    <col min="15617" max="15617" width="2" style="312" customWidth="1"/>
    <col min="15618" max="15618" width="9" style="312" customWidth="1"/>
    <col min="15619" max="15619" width="10" style="312" bestFit="1" customWidth="1"/>
    <col min="15620" max="15620" width="20.42578125" style="312" customWidth="1"/>
    <col min="15621" max="15621" width="16.140625" style="312" customWidth="1"/>
    <col min="15622" max="15622" width="43.5703125" style="312" customWidth="1"/>
    <col min="15623" max="15623" width="17.85546875" style="312" customWidth="1"/>
    <col min="15624" max="15624" width="21" style="312" customWidth="1"/>
    <col min="15625" max="15627" width="17.7109375" style="312" customWidth="1"/>
    <col min="15628" max="15628" width="16.28515625" style="312" customWidth="1"/>
    <col min="15629" max="15633" width="0" style="312" hidden="1" customWidth="1"/>
    <col min="15634" max="15634" width="16.28515625" style="312" customWidth="1"/>
    <col min="15635" max="15639" width="0" style="312" hidden="1" customWidth="1"/>
    <col min="15640" max="15640" width="50.7109375" style="312" customWidth="1"/>
    <col min="15641" max="15872" width="11.42578125" style="312"/>
    <col min="15873" max="15873" width="2" style="312" customWidth="1"/>
    <col min="15874" max="15874" width="9" style="312" customWidth="1"/>
    <col min="15875" max="15875" width="10" style="312" bestFit="1" customWidth="1"/>
    <col min="15876" max="15876" width="20.42578125" style="312" customWidth="1"/>
    <col min="15877" max="15877" width="16.140625" style="312" customWidth="1"/>
    <col min="15878" max="15878" width="43.5703125" style="312" customWidth="1"/>
    <col min="15879" max="15879" width="17.85546875" style="312" customWidth="1"/>
    <col min="15880" max="15880" width="21" style="312" customWidth="1"/>
    <col min="15881" max="15883" width="17.7109375" style="312" customWidth="1"/>
    <col min="15884" max="15884" width="16.28515625" style="312" customWidth="1"/>
    <col min="15885" max="15889" width="0" style="312" hidden="1" customWidth="1"/>
    <col min="15890" max="15890" width="16.28515625" style="312" customWidth="1"/>
    <col min="15891" max="15895" width="0" style="312" hidden="1" customWidth="1"/>
    <col min="15896" max="15896" width="50.7109375" style="312" customWidth="1"/>
    <col min="15897" max="16128" width="11.42578125" style="312"/>
    <col min="16129" max="16129" width="2" style="312" customWidth="1"/>
    <col min="16130" max="16130" width="9" style="312" customWidth="1"/>
    <col min="16131" max="16131" width="10" style="312" bestFit="1" customWidth="1"/>
    <col min="16132" max="16132" width="20.42578125" style="312" customWidth="1"/>
    <col min="16133" max="16133" width="16.140625" style="312" customWidth="1"/>
    <col min="16134" max="16134" width="43.5703125" style="312" customWidth="1"/>
    <col min="16135" max="16135" width="17.85546875" style="312" customWidth="1"/>
    <col min="16136" max="16136" width="21" style="312" customWidth="1"/>
    <col min="16137" max="16139" width="17.7109375" style="312" customWidth="1"/>
    <col min="16140" max="16140" width="16.28515625" style="312" customWidth="1"/>
    <col min="16141" max="16145" width="0" style="312" hidden="1" customWidth="1"/>
    <col min="16146" max="16146" width="16.28515625" style="312" customWidth="1"/>
    <col min="16147" max="16151" width="0" style="312" hidden="1" customWidth="1"/>
    <col min="16152" max="16152" width="50.7109375" style="312" customWidth="1"/>
    <col min="16153" max="16384" width="11.42578125" style="312"/>
  </cols>
  <sheetData>
    <row r="1" spans="2:24" ht="18.75" customHeight="1">
      <c r="B1" s="1082" t="s">
        <v>300</v>
      </c>
      <c r="C1" s="1082"/>
      <c r="D1" s="1082"/>
      <c r="E1" s="1082"/>
      <c r="F1" s="1082"/>
      <c r="G1" s="448"/>
      <c r="H1" s="448"/>
      <c r="I1" s="449"/>
      <c r="J1" s="449"/>
      <c r="K1" s="449"/>
      <c r="M1" s="385">
        <v>42768</v>
      </c>
      <c r="N1" s="385">
        <v>42775</v>
      </c>
      <c r="O1" s="385">
        <v>42782</v>
      </c>
      <c r="P1" s="385">
        <v>42789</v>
      </c>
      <c r="Q1" s="385">
        <v>42794</v>
      </c>
      <c r="S1" s="385">
        <v>42796</v>
      </c>
      <c r="T1" s="385">
        <v>42803</v>
      </c>
      <c r="U1" s="385">
        <v>42810</v>
      </c>
      <c r="V1" s="385">
        <v>42817</v>
      </c>
      <c r="W1" s="385">
        <v>42824</v>
      </c>
    </row>
    <row r="2" spans="2:24" s="450" customFormat="1" ht="32.25" customHeight="1">
      <c r="B2" s="451" t="s">
        <v>191</v>
      </c>
      <c r="C2" s="451" t="s">
        <v>301</v>
      </c>
      <c r="D2" s="386" t="s">
        <v>118</v>
      </c>
      <c r="E2" s="387" t="s">
        <v>280</v>
      </c>
      <c r="F2" s="388" t="s">
        <v>302</v>
      </c>
      <c r="G2" s="432" t="s">
        <v>378</v>
      </c>
      <c r="H2" s="432" t="s">
        <v>379</v>
      </c>
      <c r="I2" s="390" t="s">
        <v>380</v>
      </c>
      <c r="J2" s="390" t="s">
        <v>168</v>
      </c>
      <c r="K2" s="390" t="s">
        <v>381</v>
      </c>
      <c r="L2" s="390" t="s">
        <v>309</v>
      </c>
      <c r="M2" s="390" t="s">
        <v>304</v>
      </c>
      <c r="N2" s="390" t="s">
        <v>305</v>
      </c>
      <c r="O2" s="390" t="s">
        <v>306</v>
      </c>
      <c r="P2" s="390" t="s">
        <v>307</v>
      </c>
      <c r="Q2" s="390" t="s">
        <v>308</v>
      </c>
      <c r="R2" s="390" t="s">
        <v>310</v>
      </c>
      <c r="S2" s="390" t="s">
        <v>304</v>
      </c>
      <c r="T2" s="390" t="s">
        <v>305</v>
      </c>
      <c r="U2" s="390" t="s">
        <v>306</v>
      </c>
      <c r="V2" s="390" t="s">
        <v>307</v>
      </c>
      <c r="W2" s="390" t="s">
        <v>308</v>
      </c>
      <c r="X2" s="390" t="s">
        <v>311</v>
      </c>
    </row>
    <row r="3" spans="2:24" ht="22.5" customHeight="1">
      <c r="B3" s="407" t="s">
        <v>312</v>
      </c>
      <c r="C3" s="407" t="s">
        <v>313</v>
      </c>
      <c r="D3" s="452" t="s">
        <v>314</v>
      </c>
      <c r="E3" s="391" t="s">
        <v>315</v>
      </c>
      <c r="F3" s="452" t="s">
        <v>316</v>
      </c>
      <c r="G3" s="401">
        <v>9465600</v>
      </c>
      <c r="H3" s="401">
        <f>7337880+911880</f>
        <v>8249760</v>
      </c>
      <c r="I3" s="398">
        <f>+G3-H3</f>
        <v>1215840</v>
      </c>
      <c r="J3" s="393"/>
      <c r="K3" s="393"/>
      <c r="L3" s="393">
        <f t="shared" ref="L3:L11" si="0">SUM(M3:Q3)</f>
        <v>0</v>
      </c>
      <c r="M3" s="394"/>
      <c r="N3" s="394"/>
      <c r="O3" s="394"/>
      <c r="P3" s="394"/>
      <c r="Q3" s="394"/>
      <c r="R3" s="393">
        <f t="shared" ref="R3:R35" si="1">SUM(S3:W3)</f>
        <v>1215840</v>
      </c>
      <c r="S3" s="394"/>
      <c r="T3" s="394"/>
      <c r="U3" s="394"/>
      <c r="V3" s="394">
        <f>+I3</f>
        <v>1215840</v>
      </c>
      <c r="W3" s="394"/>
      <c r="X3" s="436"/>
    </row>
    <row r="4" spans="2:24" ht="28.5" customHeight="1">
      <c r="B4" s="407" t="s">
        <v>312</v>
      </c>
      <c r="C4" s="407" t="s">
        <v>313</v>
      </c>
      <c r="D4" s="435" t="s">
        <v>317</v>
      </c>
      <c r="E4" s="391" t="s">
        <v>318</v>
      </c>
      <c r="F4" s="396" t="s">
        <v>319</v>
      </c>
      <c r="G4" s="453">
        <v>1496000</v>
      </c>
      <c r="H4" s="453">
        <v>1196800</v>
      </c>
      <c r="I4" s="398">
        <f>+G4-H4</f>
        <v>299200</v>
      </c>
      <c r="J4" s="393"/>
      <c r="K4" s="393"/>
      <c r="L4" s="393">
        <f>I4</f>
        <v>299200</v>
      </c>
      <c r="M4" s="394"/>
      <c r="N4" s="394"/>
      <c r="O4" s="394"/>
      <c r="P4" s="394">
        <f>L4</f>
        <v>299200</v>
      </c>
      <c r="Q4" s="394"/>
      <c r="R4" s="393">
        <f t="shared" si="1"/>
        <v>0</v>
      </c>
      <c r="S4" s="394"/>
      <c r="T4" s="394"/>
      <c r="U4" s="394"/>
      <c r="V4" s="394"/>
      <c r="W4" s="394"/>
      <c r="X4" s="395" t="s">
        <v>320</v>
      </c>
    </row>
    <row r="5" spans="2:24" ht="29.25" customHeight="1">
      <c r="B5" s="407" t="s">
        <v>312</v>
      </c>
      <c r="C5" s="407" t="s">
        <v>313</v>
      </c>
      <c r="D5" s="1083" t="s">
        <v>321</v>
      </c>
      <c r="E5" s="396" t="s">
        <v>322</v>
      </c>
      <c r="F5" s="396" t="s">
        <v>323</v>
      </c>
      <c r="G5" s="1084">
        <v>3372030</v>
      </c>
      <c r="H5" s="1084">
        <v>1686015</v>
      </c>
      <c r="I5" s="398">
        <f>G5*20%</f>
        <v>674406</v>
      </c>
      <c r="J5" s="393">
        <f>I5</f>
        <v>674406</v>
      </c>
      <c r="K5" s="393"/>
      <c r="L5" s="393">
        <f t="shared" si="0"/>
        <v>0</v>
      </c>
      <c r="M5" s="394"/>
      <c r="N5" s="394"/>
      <c r="O5" s="394"/>
      <c r="P5" s="394"/>
      <c r="Q5" s="394"/>
      <c r="R5" s="393">
        <f t="shared" si="1"/>
        <v>0</v>
      </c>
      <c r="S5" s="394"/>
      <c r="T5" s="394"/>
      <c r="U5" s="394"/>
      <c r="V5" s="394"/>
      <c r="W5" s="394"/>
      <c r="X5" s="1086" t="s">
        <v>324</v>
      </c>
    </row>
    <row r="6" spans="2:24" ht="29.25" customHeight="1">
      <c r="B6" s="407" t="s">
        <v>312</v>
      </c>
      <c r="C6" s="407" t="s">
        <v>313</v>
      </c>
      <c r="D6" s="1083"/>
      <c r="E6" s="396" t="s">
        <v>322</v>
      </c>
      <c r="F6" s="396" t="s">
        <v>325</v>
      </c>
      <c r="G6" s="1084"/>
      <c r="H6" s="1084"/>
      <c r="I6" s="398">
        <f>G5*20%</f>
        <v>674406</v>
      </c>
      <c r="J6" s="393">
        <f>I6</f>
        <v>674406</v>
      </c>
      <c r="K6" s="393"/>
      <c r="L6" s="393">
        <f t="shared" si="0"/>
        <v>0</v>
      </c>
      <c r="M6" s="394"/>
      <c r="N6" s="394"/>
      <c r="O6" s="394"/>
      <c r="P6" s="394"/>
      <c r="Q6" s="394"/>
      <c r="R6" s="393">
        <f t="shared" si="1"/>
        <v>0</v>
      </c>
      <c r="S6" s="394"/>
      <c r="T6" s="394"/>
      <c r="U6" s="394"/>
      <c r="V6" s="394"/>
      <c r="W6" s="394"/>
      <c r="X6" s="1086"/>
    </row>
    <row r="7" spans="2:24" ht="22.5" customHeight="1">
      <c r="B7" s="407" t="s">
        <v>312</v>
      </c>
      <c r="C7" s="407" t="s">
        <v>313</v>
      </c>
      <c r="D7" s="1083"/>
      <c r="E7" s="396" t="s">
        <v>322</v>
      </c>
      <c r="F7" s="396" t="s">
        <v>326</v>
      </c>
      <c r="G7" s="1084"/>
      <c r="H7" s="1084"/>
      <c r="I7" s="398">
        <f>G5*10%</f>
        <v>337203</v>
      </c>
      <c r="J7" s="393">
        <f>I7</f>
        <v>337203</v>
      </c>
      <c r="K7" s="393"/>
      <c r="L7" s="393">
        <f t="shared" si="0"/>
        <v>0</v>
      </c>
      <c r="M7" s="394"/>
      <c r="N7" s="394"/>
      <c r="O7" s="394"/>
      <c r="P7" s="394"/>
      <c r="Q7" s="394"/>
      <c r="R7" s="393">
        <f t="shared" si="1"/>
        <v>0</v>
      </c>
      <c r="S7" s="394"/>
      <c r="T7" s="394"/>
      <c r="U7" s="394"/>
      <c r="V7" s="394"/>
      <c r="W7" s="394"/>
      <c r="X7" s="1086"/>
    </row>
    <row r="8" spans="2:24" ht="22.5" customHeight="1">
      <c r="B8" s="407" t="s">
        <v>312</v>
      </c>
      <c r="C8" s="407" t="s">
        <v>313</v>
      </c>
      <c r="D8" s="397" t="s">
        <v>327</v>
      </c>
      <c r="E8" s="397" t="s">
        <v>328</v>
      </c>
      <c r="F8" s="397" t="s">
        <v>330</v>
      </c>
      <c r="G8" s="454">
        <v>2976735</v>
      </c>
      <c r="H8" s="454">
        <f>893021+1190694</f>
        <v>2083715</v>
      </c>
      <c r="I8" s="398">
        <f>+G8-H8</f>
        <v>893020</v>
      </c>
      <c r="J8" s="393"/>
      <c r="K8" s="393"/>
      <c r="L8" s="393">
        <f>I8</f>
        <v>893020</v>
      </c>
      <c r="M8" s="394"/>
      <c r="N8" s="394"/>
      <c r="O8" s="394"/>
      <c r="P8" s="394"/>
      <c r="Q8" s="394">
        <f>L8</f>
        <v>893020</v>
      </c>
      <c r="R8" s="393">
        <f t="shared" si="1"/>
        <v>0</v>
      </c>
      <c r="S8" s="394"/>
      <c r="T8" s="394"/>
      <c r="U8" s="394"/>
      <c r="V8" s="394"/>
      <c r="W8" s="394"/>
      <c r="X8" s="436" t="s">
        <v>331</v>
      </c>
    </row>
    <row r="9" spans="2:24" ht="22.5" customHeight="1">
      <c r="B9" s="407" t="s">
        <v>312</v>
      </c>
      <c r="C9" s="407" t="s">
        <v>313</v>
      </c>
      <c r="D9" s="396" t="s">
        <v>332</v>
      </c>
      <c r="E9" s="397" t="s">
        <v>333</v>
      </c>
      <c r="F9" s="397" t="s">
        <v>330</v>
      </c>
      <c r="G9" s="454">
        <v>1895055</v>
      </c>
      <c r="H9" s="454">
        <f>568517+758022</f>
        <v>1326539</v>
      </c>
      <c r="I9" s="398">
        <f>+G9-H9</f>
        <v>568516</v>
      </c>
      <c r="J9" s="393"/>
      <c r="K9" s="393"/>
      <c r="L9" s="393">
        <f>I9</f>
        <v>568516</v>
      </c>
      <c r="M9" s="394"/>
      <c r="N9" s="394"/>
      <c r="O9" s="394"/>
      <c r="P9" s="394"/>
      <c r="Q9" s="394"/>
      <c r="R9" s="393">
        <f t="shared" si="1"/>
        <v>0</v>
      </c>
      <c r="S9" s="394"/>
      <c r="T9" s="394"/>
      <c r="U9" s="394"/>
      <c r="V9" s="394"/>
      <c r="W9" s="394"/>
      <c r="X9" s="436" t="s">
        <v>334</v>
      </c>
    </row>
    <row r="10" spans="2:24" ht="22.5" customHeight="1">
      <c r="B10" s="407" t="s">
        <v>312</v>
      </c>
      <c r="C10" s="407" t="s">
        <v>313</v>
      </c>
      <c r="D10" s="1083" t="s">
        <v>335</v>
      </c>
      <c r="E10" s="397" t="s">
        <v>336</v>
      </c>
      <c r="F10" s="455" t="s">
        <v>329</v>
      </c>
      <c r="G10" s="1087">
        <v>3880556</v>
      </c>
      <c r="H10" s="1087">
        <v>1164167</v>
      </c>
      <c r="I10" s="398">
        <f>G10*40%</f>
        <v>1552222.4000000001</v>
      </c>
      <c r="J10" s="393">
        <f>I10</f>
        <v>1552222.4000000001</v>
      </c>
      <c r="K10" s="393"/>
      <c r="L10" s="393">
        <f t="shared" si="0"/>
        <v>0</v>
      </c>
      <c r="M10" s="394"/>
      <c r="N10" s="394"/>
      <c r="O10" s="394"/>
      <c r="P10" s="394"/>
      <c r="Q10" s="394"/>
      <c r="R10" s="393">
        <f t="shared" si="1"/>
        <v>0</v>
      </c>
      <c r="S10" s="394"/>
      <c r="T10" s="394"/>
      <c r="U10" s="394"/>
      <c r="V10" s="394"/>
      <c r="W10" s="394"/>
      <c r="X10" s="1086" t="s">
        <v>337</v>
      </c>
    </row>
    <row r="11" spans="2:24" ht="22.5" customHeight="1">
      <c r="B11" s="407" t="s">
        <v>312</v>
      </c>
      <c r="C11" s="407" t="s">
        <v>313</v>
      </c>
      <c r="D11" s="1083"/>
      <c r="E11" s="397" t="s">
        <v>336</v>
      </c>
      <c r="F11" s="397" t="s">
        <v>338</v>
      </c>
      <c r="G11" s="1087"/>
      <c r="H11" s="1087"/>
      <c r="I11" s="398">
        <f>G10*30%</f>
        <v>1164166.8</v>
      </c>
      <c r="J11" s="393">
        <f>I11</f>
        <v>1164166.8</v>
      </c>
      <c r="K11" s="393"/>
      <c r="L11" s="393">
        <f t="shared" si="0"/>
        <v>0</v>
      </c>
      <c r="M11" s="394"/>
      <c r="N11" s="394"/>
      <c r="O11" s="394"/>
      <c r="P11" s="394"/>
      <c r="Q11" s="394"/>
      <c r="R11" s="393">
        <f t="shared" si="1"/>
        <v>0</v>
      </c>
      <c r="S11" s="394"/>
      <c r="T11" s="394"/>
      <c r="U11" s="394"/>
      <c r="V11" s="394"/>
      <c r="W11" s="394"/>
      <c r="X11" s="1086"/>
    </row>
    <row r="12" spans="2:24" ht="22.5" customHeight="1">
      <c r="B12" s="407" t="s">
        <v>312</v>
      </c>
      <c r="C12" s="407" t="s">
        <v>313</v>
      </c>
      <c r="D12" s="435" t="s">
        <v>339</v>
      </c>
      <c r="E12" s="391" t="s">
        <v>340</v>
      </c>
      <c r="F12" s="396" t="s">
        <v>341</v>
      </c>
      <c r="G12" s="456">
        <v>1836000</v>
      </c>
      <c r="H12" s="453">
        <v>550800</v>
      </c>
      <c r="I12" s="398">
        <f>G12-H12</f>
        <v>1285200</v>
      </c>
      <c r="J12" s="393"/>
      <c r="K12" s="393"/>
      <c r="L12" s="393">
        <f>SUM(M12:Q12)</f>
        <v>1285200</v>
      </c>
      <c r="M12" s="394">
        <f>+I12</f>
        <v>1285200</v>
      </c>
      <c r="N12" s="394"/>
      <c r="O12" s="394"/>
      <c r="P12" s="394"/>
      <c r="Q12" s="394"/>
      <c r="R12" s="393">
        <f t="shared" si="1"/>
        <v>0</v>
      </c>
      <c r="S12" s="394"/>
      <c r="T12" s="394"/>
      <c r="U12" s="394"/>
      <c r="V12" s="394"/>
      <c r="W12" s="394"/>
      <c r="X12" s="395" t="s">
        <v>382</v>
      </c>
    </row>
    <row r="13" spans="2:24" ht="33" customHeight="1">
      <c r="B13" s="407" t="s">
        <v>312</v>
      </c>
      <c r="C13" s="407" t="s">
        <v>313</v>
      </c>
      <c r="D13" s="437" t="s">
        <v>342</v>
      </c>
      <c r="E13" s="396" t="s">
        <v>343</v>
      </c>
      <c r="F13" s="397" t="s">
        <v>344</v>
      </c>
      <c r="G13" s="457">
        <v>4447200</v>
      </c>
      <c r="H13" s="457">
        <v>3113040</v>
      </c>
      <c r="I13" s="399">
        <f>4447200*30%</f>
        <v>1334160</v>
      </c>
      <c r="J13" s="393">
        <f>I13</f>
        <v>1334160</v>
      </c>
      <c r="K13" s="393"/>
      <c r="L13" s="393">
        <f>SUM(M13:Q13)</f>
        <v>0</v>
      </c>
      <c r="M13" s="394"/>
      <c r="N13" s="394"/>
      <c r="O13" s="394"/>
      <c r="P13" s="394"/>
      <c r="Q13" s="394"/>
      <c r="R13" s="393">
        <f t="shared" si="1"/>
        <v>0</v>
      </c>
      <c r="S13" s="394"/>
      <c r="T13" s="394"/>
      <c r="U13" s="394"/>
      <c r="V13" s="394"/>
      <c r="W13" s="394"/>
      <c r="X13" s="436"/>
    </row>
    <row r="14" spans="2:24" ht="32.25" customHeight="1">
      <c r="B14" s="407" t="s">
        <v>312</v>
      </c>
      <c r="C14" s="407" t="s">
        <v>313</v>
      </c>
      <c r="D14" s="1083" t="s">
        <v>345</v>
      </c>
      <c r="E14" s="396" t="s">
        <v>346</v>
      </c>
      <c r="F14" s="397" t="s">
        <v>347</v>
      </c>
      <c r="G14" s="1085">
        <v>3570000</v>
      </c>
      <c r="H14" s="1085">
        <v>1071000</v>
      </c>
      <c r="I14" s="399">
        <f>3570000*40%</f>
        <v>1428000</v>
      </c>
      <c r="J14" s="393"/>
      <c r="K14" s="393">
        <f>I14</f>
        <v>1428000</v>
      </c>
      <c r="L14" s="393">
        <f>SUM(M14:Q14)</f>
        <v>0</v>
      </c>
      <c r="M14" s="394"/>
      <c r="N14" s="394"/>
      <c r="O14" s="394"/>
      <c r="P14" s="394"/>
      <c r="Q14" s="394"/>
      <c r="R14" s="393">
        <f t="shared" si="1"/>
        <v>0</v>
      </c>
      <c r="S14" s="394"/>
      <c r="T14" s="394"/>
      <c r="U14" s="394"/>
      <c r="V14" s="394"/>
      <c r="W14" s="394"/>
      <c r="X14" s="1086" t="s">
        <v>348</v>
      </c>
    </row>
    <row r="15" spans="2:24" ht="33.75" customHeight="1">
      <c r="B15" s="407" t="s">
        <v>312</v>
      </c>
      <c r="C15" s="407" t="s">
        <v>313</v>
      </c>
      <c r="D15" s="1083"/>
      <c r="E15" s="396" t="s">
        <v>346</v>
      </c>
      <c r="F15" s="397" t="s">
        <v>349</v>
      </c>
      <c r="G15" s="1085"/>
      <c r="H15" s="1085"/>
      <c r="I15" s="399">
        <f>3570000*30%</f>
        <v>1071000</v>
      </c>
      <c r="J15" s="393"/>
      <c r="K15" s="393">
        <f>I15</f>
        <v>1071000</v>
      </c>
      <c r="L15" s="393">
        <f>SUM(M15:Q15)</f>
        <v>0</v>
      </c>
      <c r="M15" s="394"/>
      <c r="N15" s="394"/>
      <c r="O15" s="394"/>
      <c r="P15" s="394"/>
      <c r="Q15" s="394"/>
      <c r="R15" s="393">
        <f t="shared" si="1"/>
        <v>0</v>
      </c>
      <c r="S15" s="394"/>
      <c r="T15" s="394"/>
      <c r="U15" s="394"/>
      <c r="V15" s="394"/>
      <c r="W15" s="394"/>
      <c r="X15" s="1086"/>
    </row>
    <row r="16" spans="2:24" ht="22.5" customHeight="1">
      <c r="B16" s="407" t="s">
        <v>312</v>
      </c>
      <c r="C16" s="407" t="s">
        <v>313</v>
      </c>
      <c r="D16" s="435" t="s">
        <v>261</v>
      </c>
      <c r="E16" s="391" t="s">
        <v>383</v>
      </c>
      <c r="F16" s="396" t="s">
        <v>384</v>
      </c>
      <c r="G16" s="456">
        <f>858000*2</f>
        <v>1716000</v>
      </c>
      <c r="H16" s="453">
        <v>858000</v>
      </c>
      <c r="I16" s="398">
        <f>G16-H16</f>
        <v>858000</v>
      </c>
      <c r="J16" s="393"/>
      <c r="K16" s="393">
        <f>I16</f>
        <v>858000</v>
      </c>
      <c r="L16" s="393"/>
      <c r="M16" s="394"/>
      <c r="N16" s="394"/>
      <c r="O16" s="394"/>
      <c r="P16" s="394"/>
      <c r="Q16" s="394"/>
      <c r="R16" s="393">
        <f>SUM(S16:W16)</f>
        <v>0</v>
      </c>
      <c r="S16" s="394"/>
      <c r="T16" s="394"/>
      <c r="U16" s="394"/>
      <c r="V16" s="394"/>
      <c r="W16" s="394"/>
      <c r="X16" s="395" t="s">
        <v>382</v>
      </c>
    </row>
    <row r="17" spans="2:24" ht="51">
      <c r="B17" s="407" t="s">
        <v>299</v>
      </c>
      <c r="C17" s="407" t="s">
        <v>313</v>
      </c>
      <c r="D17" s="435" t="s">
        <v>115</v>
      </c>
      <c r="E17" s="395" t="s">
        <v>350</v>
      </c>
      <c r="F17" s="458" t="s">
        <v>351</v>
      </c>
      <c r="G17" s="459">
        <v>2400000</v>
      </c>
      <c r="H17" s="459">
        <v>1900000</v>
      </c>
      <c r="I17" s="398">
        <f>G17-H17</f>
        <v>500000</v>
      </c>
      <c r="J17" s="393"/>
      <c r="K17" s="393">
        <v>100000</v>
      </c>
      <c r="L17" s="393">
        <f t="shared" ref="L17:L35" si="2">SUM(M17:Q17)</f>
        <v>0</v>
      </c>
      <c r="M17" s="401"/>
      <c r="N17" s="400"/>
      <c r="O17" s="400"/>
      <c r="P17" s="400"/>
      <c r="Q17" s="400"/>
      <c r="R17" s="393">
        <f t="shared" si="1"/>
        <v>400000</v>
      </c>
      <c r="S17" s="401">
        <v>200000</v>
      </c>
      <c r="T17" s="400"/>
      <c r="U17" s="400"/>
      <c r="V17" s="400"/>
      <c r="W17" s="400">
        <v>200000</v>
      </c>
      <c r="X17" s="402" t="s">
        <v>352</v>
      </c>
    </row>
    <row r="18" spans="2:24" ht="22.5" customHeight="1">
      <c r="B18" s="407"/>
      <c r="C18" s="407" t="s">
        <v>313</v>
      </c>
      <c r="D18" s="1088" t="s">
        <v>353</v>
      </c>
      <c r="E18" s="403" t="s">
        <v>123</v>
      </c>
      <c r="F18" s="396" t="s">
        <v>354</v>
      </c>
      <c r="G18" s="1089">
        <v>3650000</v>
      </c>
      <c r="H18" s="1089">
        <v>2737500</v>
      </c>
      <c r="I18" s="460">
        <f>3650000*5%</f>
        <v>182500</v>
      </c>
      <c r="J18" s="393">
        <f>I18</f>
        <v>182500</v>
      </c>
      <c r="K18" s="393"/>
      <c r="L18" s="393">
        <f t="shared" si="2"/>
        <v>182500</v>
      </c>
      <c r="M18" s="393"/>
      <c r="N18" s="393"/>
      <c r="O18" s="393"/>
      <c r="P18" s="393">
        <v>182500</v>
      </c>
      <c r="Q18" s="393"/>
      <c r="R18" s="393"/>
      <c r="S18" s="394"/>
      <c r="T18" s="394"/>
      <c r="U18" s="394"/>
      <c r="X18" s="1092" t="s">
        <v>385</v>
      </c>
    </row>
    <row r="19" spans="2:24" ht="22.5" customHeight="1">
      <c r="B19" s="407"/>
      <c r="C19" s="407" t="s">
        <v>313</v>
      </c>
      <c r="D19" s="1088"/>
      <c r="E19" s="403" t="s">
        <v>123</v>
      </c>
      <c r="F19" s="396" t="s">
        <v>355</v>
      </c>
      <c r="G19" s="1090"/>
      <c r="H19" s="1090"/>
      <c r="I19" s="460">
        <f>3650000*5%</f>
        <v>182500</v>
      </c>
      <c r="J19" s="393">
        <f>I19</f>
        <v>182500</v>
      </c>
      <c r="K19" s="393"/>
      <c r="L19" s="393">
        <f t="shared" si="2"/>
        <v>182500</v>
      </c>
      <c r="M19" s="393"/>
      <c r="N19" s="393"/>
      <c r="O19" s="393"/>
      <c r="P19" s="393">
        <v>182500</v>
      </c>
      <c r="Q19" s="393"/>
      <c r="R19" s="393"/>
      <c r="S19" s="394"/>
      <c r="T19" s="394"/>
      <c r="U19" s="394"/>
      <c r="X19" s="1092"/>
    </row>
    <row r="20" spans="2:24" ht="22.5" customHeight="1">
      <c r="B20" s="407"/>
      <c r="C20" s="407" t="s">
        <v>313</v>
      </c>
      <c r="D20" s="1088"/>
      <c r="E20" s="403" t="s">
        <v>123</v>
      </c>
      <c r="F20" s="396" t="s">
        <v>356</v>
      </c>
      <c r="G20" s="1090"/>
      <c r="H20" s="1090"/>
      <c r="I20" s="460">
        <f>3650000*10%</f>
        <v>365000</v>
      </c>
      <c r="J20" s="393">
        <f>I20</f>
        <v>365000</v>
      </c>
      <c r="K20" s="393"/>
      <c r="L20" s="393">
        <f t="shared" si="2"/>
        <v>365000</v>
      </c>
      <c r="M20" s="393"/>
      <c r="N20" s="393"/>
      <c r="O20" s="393"/>
      <c r="P20" s="393">
        <v>365000</v>
      </c>
      <c r="Q20" s="393"/>
      <c r="R20" s="393"/>
      <c r="S20" s="394"/>
      <c r="T20" s="394"/>
      <c r="U20" s="394"/>
      <c r="X20" s="1092"/>
    </row>
    <row r="21" spans="2:24" ht="22.5" customHeight="1">
      <c r="B21" s="407"/>
      <c r="C21" s="407" t="s">
        <v>313</v>
      </c>
      <c r="D21" s="1088"/>
      <c r="E21" s="403" t="s">
        <v>123</v>
      </c>
      <c r="F21" s="396" t="s">
        <v>357</v>
      </c>
      <c r="G21" s="1091"/>
      <c r="H21" s="1091"/>
      <c r="I21" s="460">
        <f>3650000*5%</f>
        <v>182500</v>
      </c>
      <c r="J21" s="393">
        <f>I21</f>
        <v>182500</v>
      </c>
      <c r="K21" s="393"/>
      <c r="L21" s="393">
        <f t="shared" si="2"/>
        <v>182500</v>
      </c>
      <c r="M21" s="393"/>
      <c r="N21" s="393"/>
      <c r="O21" s="393"/>
      <c r="P21" s="393">
        <v>182500</v>
      </c>
      <c r="Q21" s="393"/>
      <c r="R21" s="393"/>
      <c r="S21" s="394"/>
      <c r="T21" s="394"/>
      <c r="U21" s="394"/>
      <c r="X21" s="1092"/>
    </row>
    <row r="22" spans="2:24" s="461" customFormat="1" ht="22.5" customHeight="1">
      <c r="B22" s="462"/>
      <c r="C22" s="462" t="s">
        <v>313</v>
      </c>
      <c r="D22" s="463" t="s">
        <v>136</v>
      </c>
      <c r="E22" s="464" t="s">
        <v>137</v>
      </c>
      <c r="F22" s="465" t="s">
        <v>358</v>
      </c>
      <c r="G22" s="453">
        <v>1916325</v>
      </c>
      <c r="H22" s="453">
        <v>1578150</v>
      </c>
      <c r="I22" s="460">
        <f>2254500*15%</f>
        <v>338175</v>
      </c>
      <c r="J22" s="393">
        <f>I22</f>
        <v>338175</v>
      </c>
      <c r="K22" s="393"/>
      <c r="L22" s="393">
        <f t="shared" si="2"/>
        <v>338175</v>
      </c>
      <c r="M22" s="393"/>
      <c r="N22" s="393"/>
      <c r="O22" s="393"/>
      <c r="P22" s="393">
        <v>338175</v>
      </c>
      <c r="Q22" s="393"/>
      <c r="R22" s="393"/>
      <c r="S22" s="466"/>
      <c r="T22" s="466"/>
      <c r="U22" s="466"/>
      <c r="X22" s="467"/>
    </row>
    <row r="23" spans="2:24" s="468" customFormat="1" ht="22.5" customHeight="1">
      <c r="B23" s="469" t="s">
        <v>299</v>
      </c>
      <c r="C23" s="469" t="s">
        <v>313</v>
      </c>
      <c r="D23" s="470" t="s">
        <v>359</v>
      </c>
      <c r="E23" s="471" t="s">
        <v>360</v>
      </c>
      <c r="F23" s="472" t="s">
        <v>361</v>
      </c>
      <c r="G23" s="473">
        <v>1104000</v>
      </c>
      <c r="H23" s="473">
        <v>772800</v>
      </c>
      <c r="I23" s="474">
        <f>1104000*30%</f>
        <v>331200</v>
      </c>
      <c r="J23" s="475"/>
      <c r="K23" s="475"/>
      <c r="L23" s="475">
        <f t="shared" si="2"/>
        <v>0</v>
      </c>
      <c r="M23" s="476"/>
      <c r="N23" s="476"/>
      <c r="O23" s="476"/>
      <c r="P23" s="476"/>
      <c r="Q23" s="476"/>
      <c r="R23" s="475">
        <f t="shared" si="1"/>
        <v>0</v>
      </c>
      <c r="S23" s="476"/>
      <c r="T23" s="476"/>
      <c r="U23" s="476"/>
      <c r="V23" s="476"/>
      <c r="W23" s="476"/>
      <c r="X23" s="470"/>
    </row>
    <row r="24" spans="2:24" s="468" customFormat="1" ht="22.5" customHeight="1">
      <c r="B24" s="469" t="s">
        <v>299</v>
      </c>
      <c r="C24" s="469" t="s">
        <v>313</v>
      </c>
      <c r="D24" s="470" t="s">
        <v>362</v>
      </c>
      <c r="E24" s="471" t="s">
        <v>363</v>
      </c>
      <c r="F24" s="472" t="s">
        <v>361</v>
      </c>
      <c r="G24" s="473">
        <v>812475</v>
      </c>
      <c r="H24" s="473">
        <v>568733</v>
      </c>
      <c r="I24" s="474">
        <f>812475*30%</f>
        <v>243742.5</v>
      </c>
      <c r="J24" s="475"/>
      <c r="K24" s="475"/>
      <c r="L24" s="475">
        <f t="shared" si="2"/>
        <v>0</v>
      </c>
      <c r="M24" s="476"/>
      <c r="N24" s="476"/>
      <c r="O24" s="476"/>
      <c r="P24" s="476"/>
      <c r="Q24" s="476"/>
      <c r="R24" s="475">
        <f t="shared" si="1"/>
        <v>0</v>
      </c>
      <c r="S24" s="476"/>
      <c r="T24" s="476"/>
      <c r="U24" s="476"/>
      <c r="V24" s="476"/>
      <c r="W24" s="476"/>
      <c r="X24" s="470"/>
    </row>
    <row r="25" spans="2:24" ht="22.5" customHeight="1">
      <c r="B25" s="407" t="s">
        <v>386</v>
      </c>
      <c r="C25" s="407" t="s">
        <v>313</v>
      </c>
      <c r="D25" s="435" t="s">
        <v>120</v>
      </c>
      <c r="E25" s="405" t="s">
        <v>261</v>
      </c>
      <c r="F25" s="458"/>
      <c r="G25" s="459">
        <v>54000000</v>
      </c>
      <c r="H25" s="459">
        <f>36000000+3800000+4300000</f>
        <v>44100000</v>
      </c>
      <c r="I25" s="398">
        <f>G25-H25</f>
        <v>9900000</v>
      </c>
      <c r="J25" s="393"/>
      <c r="K25" s="393">
        <f>(I25-(L25+R25))</f>
        <v>5400000</v>
      </c>
      <c r="L25" s="393">
        <f t="shared" si="2"/>
        <v>0</v>
      </c>
      <c r="M25" s="394"/>
      <c r="N25" s="394"/>
      <c r="O25" s="394"/>
      <c r="P25" s="394"/>
      <c r="Q25" s="394"/>
      <c r="R25" s="393">
        <f t="shared" si="1"/>
        <v>4500000</v>
      </c>
      <c r="S25" s="406">
        <v>4500000</v>
      </c>
      <c r="T25" s="394"/>
      <c r="U25" s="394"/>
      <c r="V25" s="394"/>
      <c r="W25" s="394"/>
      <c r="X25" s="438"/>
    </row>
    <row r="26" spans="2:24" ht="22.5" customHeight="1">
      <c r="B26" s="407" t="s">
        <v>299</v>
      </c>
      <c r="C26" s="407" t="s">
        <v>313</v>
      </c>
      <c r="D26" s="1093" t="s">
        <v>364</v>
      </c>
      <c r="E26" s="405" t="s">
        <v>365</v>
      </c>
      <c r="F26" s="458" t="s">
        <v>366</v>
      </c>
      <c r="G26" s="1094">
        <v>780000</v>
      </c>
      <c r="H26" s="1094">
        <v>312000</v>
      </c>
      <c r="I26" s="398">
        <f>G26*30%</f>
        <v>234000</v>
      </c>
      <c r="J26" s="393"/>
      <c r="K26" s="393"/>
      <c r="L26" s="393">
        <f t="shared" si="2"/>
        <v>0</v>
      </c>
      <c r="M26" s="394"/>
      <c r="N26" s="394"/>
      <c r="O26" s="394"/>
      <c r="P26" s="394"/>
      <c r="Q26" s="394"/>
      <c r="R26" s="393">
        <f t="shared" si="1"/>
        <v>234000</v>
      </c>
      <c r="S26" s="394"/>
      <c r="T26" s="394"/>
      <c r="U26" s="394">
        <f>I26</f>
        <v>234000</v>
      </c>
      <c r="V26" s="394"/>
      <c r="W26" s="394"/>
      <c r="X26" s="1095"/>
    </row>
    <row r="27" spans="2:24" ht="22.5" customHeight="1">
      <c r="B27" s="407" t="s">
        <v>299</v>
      </c>
      <c r="C27" s="407" t="s">
        <v>313</v>
      </c>
      <c r="D27" s="1093"/>
      <c r="E27" s="405" t="s">
        <v>365</v>
      </c>
      <c r="F27" s="458" t="s">
        <v>361</v>
      </c>
      <c r="G27" s="1094"/>
      <c r="H27" s="1094"/>
      <c r="I27" s="398">
        <f>G26*30%</f>
        <v>234000</v>
      </c>
      <c r="J27" s="393"/>
      <c r="K27" s="393">
        <f>I27</f>
        <v>234000</v>
      </c>
      <c r="L27" s="393">
        <f t="shared" si="2"/>
        <v>0</v>
      </c>
      <c r="M27" s="394"/>
      <c r="N27" s="394"/>
      <c r="O27" s="394"/>
      <c r="P27" s="394"/>
      <c r="Q27" s="394"/>
      <c r="R27" s="393">
        <f t="shared" si="1"/>
        <v>234000</v>
      </c>
      <c r="S27" s="394">
        <f>+I27</f>
        <v>234000</v>
      </c>
      <c r="T27" s="394"/>
      <c r="U27" s="394"/>
      <c r="V27" s="394"/>
      <c r="W27" s="394"/>
      <c r="X27" s="1095"/>
    </row>
    <row r="28" spans="2:24" ht="22.5" customHeight="1">
      <c r="B28" s="407" t="s">
        <v>299</v>
      </c>
      <c r="C28" s="407" t="s">
        <v>313</v>
      </c>
      <c r="D28" s="1093" t="s">
        <v>367</v>
      </c>
      <c r="E28" s="405" t="s">
        <v>281</v>
      </c>
      <c r="F28" s="458" t="s">
        <v>366</v>
      </c>
      <c r="G28" s="1094">
        <v>1040000</v>
      </c>
      <c r="H28" s="1094">
        <v>416000</v>
      </c>
      <c r="I28" s="398">
        <f>G28*30%</f>
        <v>312000</v>
      </c>
      <c r="J28" s="393"/>
      <c r="K28" s="393"/>
      <c r="L28" s="393">
        <f t="shared" si="2"/>
        <v>0</v>
      </c>
      <c r="M28" s="394"/>
      <c r="N28" s="394"/>
      <c r="O28" s="394"/>
      <c r="P28" s="394"/>
      <c r="Q28" s="394"/>
      <c r="R28" s="393">
        <f t="shared" si="1"/>
        <v>312000</v>
      </c>
      <c r="S28" s="394"/>
      <c r="T28" s="394"/>
      <c r="U28" s="394"/>
      <c r="V28" s="394">
        <f>I28</f>
        <v>312000</v>
      </c>
      <c r="W28" s="394"/>
      <c r="X28" s="1095"/>
    </row>
    <row r="29" spans="2:24" ht="22.5" customHeight="1">
      <c r="B29" s="407" t="s">
        <v>299</v>
      </c>
      <c r="C29" s="407" t="s">
        <v>313</v>
      </c>
      <c r="D29" s="1093"/>
      <c r="E29" s="405" t="s">
        <v>281</v>
      </c>
      <c r="F29" s="458" t="s">
        <v>361</v>
      </c>
      <c r="G29" s="1094"/>
      <c r="H29" s="1094"/>
      <c r="I29" s="398">
        <f>G28*30%</f>
        <v>312000</v>
      </c>
      <c r="J29" s="393"/>
      <c r="K29" s="393">
        <f>I29</f>
        <v>312000</v>
      </c>
      <c r="L29" s="393">
        <f t="shared" si="2"/>
        <v>0</v>
      </c>
      <c r="M29" s="394"/>
      <c r="N29" s="394"/>
      <c r="O29" s="394"/>
      <c r="P29" s="394"/>
      <c r="Q29" s="394"/>
      <c r="R29" s="393">
        <f t="shared" si="1"/>
        <v>312000</v>
      </c>
      <c r="S29" s="394">
        <f>+I29</f>
        <v>312000</v>
      </c>
      <c r="T29" s="394"/>
      <c r="U29" s="394"/>
      <c r="V29" s="394"/>
      <c r="W29" s="394"/>
      <c r="X29" s="1095"/>
    </row>
    <row r="30" spans="2:24" ht="46.5" customHeight="1">
      <c r="B30" s="407" t="s">
        <v>387</v>
      </c>
      <c r="C30" s="407" t="s">
        <v>313</v>
      </c>
      <c r="D30" s="435" t="s">
        <v>249</v>
      </c>
      <c r="E30" s="405" t="s">
        <v>261</v>
      </c>
      <c r="F30" s="458" t="s">
        <v>368</v>
      </c>
      <c r="G30" s="459">
        <f>+(62*13000)</f>
        <v>806000</v>
      </c>
      <c r="H30" s="459">
        <f>+(28+27)*13000</f>
        <v>715000</v>
      </c>
      <c r="I30" s="398">
        <f>G30-H30</f>
        <v>91000</v>
      </c>
      <c r="J30" s="393"/>
      <c r="K30" s="393"/>
      <c r="L30" s="393">
        <f t="shared" si="2"/>
        <v>91000</v>
      </c>
      <c r="M30" s="394"/>
      <c r="N30" s="394"/>
      <c r="O30" s="394">
        <v>91000</v>
      </c>
      <c r="P30" s="394"/>
      <c r="Q30" s="394"/>
      <c r="R30" s="393">
        <f t="shared" si="1"/>
        <v>0</v>
      </c>
      <c r="S30" s="394"/>
      <c r="T30" s="394"/>
      <c r="U30" s="394"/>
      <c r="V30" s="394"/>
      <c r="W30" s="394"/>
      <c r="X30" s="438"/>
    </row>
    <row r="31" spans="2:24" ht="46.5" customHeight="1">
      <c r="B31" s="407" t="s">
        <v>386</v>
      </c>
      <c r="C31" s="407" t="s">
        <v>313</v>
      </c>
      <c r="D31" s="435" t="s">
        <v>388</v>
      </c>
      <c r="E31" s="405" t="s">
        <v>261</v>
      </c>
      <c r="F31" s="458" t="s">
        <v>389</v>
      </c>
      <c r="G31" s="459">
        <f>(280*22*6)*60</f>
        <v>2217600</v>
      </c>
      <c r="H31" s="459">
        <v>0</v>
      </c>
      <c r="I31" s="398">
        <f>G31-H31</f>
        <v>2217600</v>
      </c>
      <c r="J31" s="393"/>
      <c r="K31" s="393">
        <f>(280*22*4)*60</f>
        <v>1478400</v>
      </c>
      <c r="L31" s="393">
        <f t="shared" si="2"/>
        <v>369600</v>
      </c>
      <c r="M31" s="394"/>
      <c r="N31" s="394"/>
      <c r="O31" s="394"/>
      <c r="P31" s="394"/>
      <c r="Q31" s="394">
        <f>280*22*60</f>
        <v>369600</v>
      </c>
      <c r="R31" s="393">
        <f t="shared" si="1"/>
        <v>369600</v>
      </c>
      <c r="S31" s="394"/>
      <c r="T31" s="394"/>
      <c r="U31" s="394"/>
      <c r="V31" s="394"/>
      <c r="W31" s="394">
        <f>280*22*60</f>
        <v>369600</v>
      </c>
      <c r="X31" s="438"/>
    </row>
    <row r="32" spans="2:24" ht="22.5" customHeight="1">
      <c r="B32" s="407" t="s">
        <v>299</v>
      </c>
      <c r="C32" s="407" t="s">
        <v>370</v>
      </c>
      <c r="D32" s="1088" t="s">
        <v>160</v>
      </c>
      <c r="E32" s="402" t="s">
        <v>160</v>
      </c>
      <c r="F32" s="458" t="s">
        <v>371</v>
      </c>
      <c r="G32" s="1094">
        <v>4560000</v>
      </c>
      <c r="H32" s="1094">
        <v>1824000</v>
      </c>
      <c r="I32" s="398">
        <f>G32*20%</f>
        <v>912000</v>
      </c>
      <c r="J32" s="393"/>
      <c r="K32" s="393"/>
      <c r="L32" s="393">
        <f t="shared" si="2"/>
        <v>912000</v>
      </c>
      <c r="M32" s="394"/>
      <c r="N32" s="394"/>
      <c r="O32" s="394">
        <v>912000</v>
      </c>
      <c r="P32" s="394"/>
      <c r="Q32" s="394"/>
      <c r="R32" s="393">
        <f t="shared" si="1"/>
        <v>0</v>
      </c>
      <c r="S32" s="394"/>
      <c r="T32" s="394"/>
      <c r="U32" s="394"/>
      <c r="V32" s="394"/>
      <c r="W32" s="394"/>
      <c r="X32" s="438"/>
    </row>
    <row r="33" spans="2:24" ht="22.5" customHeight="1">
      <c r="B33" s="407" t="s">
        <v>299</v>
      </c>
      <c r="C33" s="407" t="s">
        <v>370</v>
      </c>
      <c r="D33" s="1088"/>
      <c r="E33" s="402" t="s">
        <v>160</v>
      </c>
      <c r="F33" s="458" t="s">
        <v>372</v>
      </c>
      <c r="G33" s="1094"/>
      <c r="H33" s="1094"/>
      <c r="I33" s="398">
        <f>G32*30%</f>
        <v>1368000</v>
      </c>
      <c r="J33" s="393"/>
      <c r="K33" s="393"/>
      <c r="L33" s="393">
        <f t="shared" si="2"/>
        <v>1368000</v>
      </c>
      <c r="M33" s="394"/>
      <c r="N33" s="394"/>
      <c r="O33" s="394"/>
      <c r="P33" s="394">
        <v>1368000</v>
      </c>
      <c r="Q33" s="394"/>
      <c r="R33" s="393">
        <f t="shared" si="1"/>
        <v>0</v>
      </c>
      <c r="S33" s="394"/>
      <c r="T33" s="394"/>
      <c r="U33" s="394"/>
      <c r="V33" s="394"/>
      <c r="W33" s="394"/>
      <c r="X33" s="438"/>
    </row>
    <row r="34" spans="2:24" ht="22.5" customHeight="1">
      <c r="B34" s="407" t="s">
        <v>299</v>
      </c>
      <c r="C34" s="407" t="s">
        <v>370</v>
      </c>
      <c r="D34" s="1088"/>
      <c r="E34" s="402" t="s">
        <v>160</v>
      </c>
      <c r="F34" s="458" t="s">
        <v>373</v>
      </c>
      <c r="G34" s="1094"/>
      <c r="H34" s="1094"/>
      <c r="I34" s="398">
        <f>G32*10%</f>
        <v>456000</v>
      </c>
      <c r="J34" s="393"/>
      <c r="K34" s="393"/>
      <c r="L34" s="393">
        <f t="shared" si="2"/>
        <v>456000</v>
      </c>
      <c r="M34" s="394"/>
      <c r="N34" s="394"/>
      <c r="O34" s="394"/>
      <c r="P34" s="394">
        <v>456000</v>
      </c>
      <c r="Q34" s="394"/>
      <c r="R34" s="393">
        <f t="shared" si="1"/>
        <v>0</v>
      </c>
      <c r="S34" s="394"/>
      <c r="T34" s="394"/>
      <c r="U34" s="394"/>
      <c r="V34" s="394"/>
      <c r="W34" s="394"/>
      <c r="X34" s="438"/>
    </row>
    <row r="35" spans="2:24" ht="22.5" customHeight="1">
      <c r="B35" s="407" t="s">
        <v>386</v>
      </c>
      <c r="C35" s="407" t="s">
        <v>370</v>
      </c>
      <c r="D35" s="1098" t="s">
        <v>250</v>
      </c>
      <c r="E35" s="402" t="s">
        <v>250</v>
      </c>
      <c r="F35" s="458" t="s">
        <v>390</v>
      </c>
      <c r="G35" s="459">
        <f>11600*3*60</f>
        <v>2088000</v>
      </c>
      <c r="H35" s="459">
        <f>11600*1*60</f>
        <v>696000</v>
      </c>
      <c r="I35" s="398">
        <f>G35-H35</f>
        <v>1392000</v>
      </c>
      <c r="J35" s="393"/>
      <c r="K35" s="393"/>
      <c r="L35" s="393">
        <f t="shared" si="2"/>
        <v>696000</v>
      </c>
      <c r="M35" s="394"/>
      <c r="N35" s="394"/>
      <c r="O35" s="394"/>
      <c r="P35" s="394">
        <f>11600*60</f>
        <v>696000</v>
      </c>
      <c r="Q35" s="394"/>
      <c r="R35" s="393">
        <f t="shared" si="1"/>
        <v>696000</v>
      </c>
      <c r="S35" s="394"/>
      <c r="T35" s="394"/>
      <c r="U35" s="394"/>
      <c r="V35" s="394">
        <f>11600*60</f>
        <v>696000</v>
      </c>
      <c r="W35" s="394"/>
      <c r="X35" s="438"/>
    </row>
    <row r="36" spans="2:24" ht="22.5" customHeight="1">
      <c r="B36" s="407" t="s">
        <v>386</v>
      </c>
      <c r="C36" s="407" t="s">
        <v>370</v>
      </c>
      <c r="D36" s="1099"/>
      <c r="E36" s="402" t="s">
        <v>250</v>
      </c>
      <c r="F36" s="458" t="s">
        <v>391</v>
      </c>
      <c r="G36" s="459">
        <f>9500*60</f>
        <v>570000</v>
      </c>
      <c r="H36" s="459">
        <v>0</v>
      </c>
      <c r="I36" s="398">
        <f>G36-H36</f>
        <v>570000</v>
      </c>
      <c r="J36" s="393"/>
      <c r="K36" s="393">
        <f>G36</f>
        <v>570000</v>
      </c>
      <c r="L36" s="393"/>
      <c r="M36" s="394"/>
      <c r="N36" s="394"/>
      <c r="O36" s="394"/>
      <c r="P36" s="394"/>
      <c r="Q36" s="394"/>
      <c r="R36" s="393"/>
      <c r="S36" s="394"/>
      <c r="T36" s="394"/>
      <c r="U36" s="394"/>
      <c r="V36" s="394"/>
      <c r="W36" s="394"/>
      <c r="X36" s="438"/>
    </row>
    <row r="37" spans="2:24" ht="22.5" customHeight="1">
      <c r="B37" s="407" t="s">
        <v>392</v>
      </c>
      <c r="C37" s="407" t="s">
        <v>369</v>
      </c>
      <c r="D37" s="434" t="s">
        <v>283</v>
      </c>
      <c r="E37" s="402" t="s">
        <v>393</v>
      </c>
      <c r="F37" s="458" t="s">
        <v>394</v>
      </c>
      <c r="G37" s="459">
        <f>41500*60</f>
        <v>2490000</v>
      </c>
      <c r="H37" s="459">
        <v>0</v>
      </c>
      <c r="I37" s="398">
        <f>G37-H37</f>
        <v>2490000</v>
      </c>
      <c r="J37" s="393"/>
      <c r="K37" s="393">
        <f>G37</f>
        <v>2490000</v>
      </c>
      <c r="L37" s="393"/>
      <c r="M37" s="394"/>
      <c r="N37" s="394"/>
      <c r="O37" s="394"/>
      <c r="P37" s="394"/>
      <c r="Q37" s="394"/>
      <c r="R37" s="393"/>
      <c r="S37" s="394"/>
      <c r="T37" s="394"/>
      <c r="U37" s="394"/>
      <c r="V37" s="394"/>
      <c r="W37" s="394"/>
      <c r="X37" s="438"/>
    </row>
    <row r="38" spans="2:24" ht="22.5" customHeight="1">
      <c r="B38" s="407"/>
      <c r="C38" s="407"/>
      <c r="D38" s="434"/>
      <c r="E38" s="404"/>
      <c r="F38" s="455"/>
      <c r="G38" s="477"/>
      <c r="H38" s="477"/>
      <c r="I38" s="392"/>
      <c r="J38" s="393"/>
      <c r="K38" s="393"/>
      <c r="L38" s="393"/>
      <c r="M38" s="394"/>
      <c r="N38" s="394"/>
      <c r="O38" s="394"/>
      <c r="P38" s="394"/>
      <c r="Q38" s="394"/>
      <c r="R38" s="393"/>
      <c r="S38" s="394"/>
      <c r="T38" s="394"/>
      <c r="U38" s="394"/>
      <c r="V38" s="394"/>
      <c r="W38" s="394"/>
      <c r="X38" s="436"/>
    </row>
    <row r="39" spans="2:24" ht="22.5" customHeight="1">
      <c r="B39" s="408"/>
      <c r="C39" s="409"/>
      <c r="D39" s="410"/>
      <c r="E39" s="411" t="s">
        <v>374</v>
      </c>
      <c r="F39" s="412"/>
      <c r="G39" s="413">
        <f t="shared" ref="G39:W39" si="3">SUM(G3:G38)</f>
        <v>113089576</v>
      </c>
      <c r="H39" s="413">
        <f t="shared" si="3"/>
        <v>76920019</v>
      </c>
      <c r="I39" s="413">
        <f t="shared" si="3"/>
        <v>36169557.700000003</v>
      </c>
      <c r="J39" s="414">
        <f t="shared" si="3"/>
        <v>6987239.2000000002</v>
      </c>
      <c r="K39" s="414">
        <f t="shared" si="3"/>
        <v>13941400</v>
      </c>
      <c r="L39" s="414">
        <f t="shared" si="3"/>
        <v>8189211</v>
      </c>
      <c r="M39" s="414">
        <f t="shared" si="3"/>
        <v>1285200</v>
      </c>
      <c r="N39" s="414">
        <f t="shared" si="3"/>
        <v>0</v>
      </c>
      <c r="O39" s="414">
        <f t="shared" si="3"/>
        <v>1003000</v>
      </c>
      <c r="P39" s="414">
        <f t="shared" si="3"/>
        <v>4069875</v>
      </c>
      <c r="Q39" s="414">
        <f t="shared" si="3"/>
        <v>1262620</v>
      </c>
      <c r="R39" s="414">
        <f t="shared" si="3"/>
        <v>8273440</v>
      </c>
      <c r="S39" s="414">
        <f t="shared" si="3"/>
        <v>5246000</v>
      </c>
      <c r="T39" s="414">
        <f t="shared" si="3"/>
        <v>0</v>
      </c>
      <c r="U39" s="414">
        <f t="shared" si="3"/>
        <v>234000</v>
      </c>
      <c r="V39" s="414">
        <f t="shared" si="3"/>
        <v>2223840</v>
      </c>
      <c r="W39" s="414">
        <f t="shared" si="3"/>
        <v>569600</v>
      </c>
      <c r="X39" s="415"/>
    </row>
    <row r="40" spans="2:24" ht="22.5" customHeight="1">
      <c r="B40" s="408"/>
      <c r="C40" s="409"/>
      <c r="D40" s="410"/>
      <c r="E40" s="411"/>
      <c r="F40" s="412"/>
      <c r="G40" s="478"/>
      <c r="H40" s="478"/>
      <c r="I40" s="479">
        <f>L40+R40</f>
        <v>274377.51666666666</v>
      </c>
      <c r="J40" s="479"/>
      <c r="K40" s="479"/>
      <c r="L40" s="480">
        <f>+L39/60</f>
        <v>136486.85</v>
      </c>
      <c r="M40" s="414"/>
      <c r="N40" s="414"/>
      <c r="O40" s="414"/>
      <c r="P40" s="414"/>
      <c r="Q40" s="414"/>
      <c r="R40" s="480">
        <f>+R39/60</f>
        <v>137890.66666666666</v>
      </c>
      <c r="S40" s="414"/>
      <c r="T40" s="414"/>
      <c r="U40" s="414"/>
      <c r="V40" s="414"/>
      <c r="W40" s="414"/>
      <c r="X40" s="415"/>
    </row>
    <row r="41" spans="2:24" ht="22.5" customHeight="1">
      <c r="B41" s="408"/>
      <c r="C41" s="409"/>
      <c r="D41" s="410"/>
      <c r="E41" s="411"/>
      <c r="F41" s="412"/>
      <c r="G41" s="478"/>
      <c r="H41" s="478"/>
      <c r="I41" s="412"/>
      <c r="J41" s="412"/>
      <c r="K41" s="412"/>
      <c r="L41" s="480"/>
      <c r="M41" s="414"/>
      <c r="N41" s="414"/>
      <c r="O41" s="414"/>
      <c r="P41" s="414"/>
      <c r="Q41" s="414"/>
      <c r="R41" s="480"/>
      <c r="S41" s="414"/>
      <c r="T41" s="414"/>
      <c r="U41" s="414"/>
      <c r="V41" s="414"/>
      <c r="W41" s="414"/>
      <c r="X41" s="415"/>
    </row>
    <row r="42" spans="2:24" ht="22.5" customHeight="1">
      <c r="B42" s="408"/>
      <c r="C42" s="409"/>
      <c r="D42" s="410"/>
      <c r="E42" s="411"/>
      <c r="F42" s="412"/>
      <c r="G42" s="478"/>
      <c r="H42" s="478"/>
      <c r="I42" s="413">
        <f>+I40*60</f>
        <v>16462651</v>
      </c>
      <c r="J42" s="413"/>
      <c r="K42" s="413"/>
      <c r="L42" s="414"/>
      <c r="M42" s="414"/>
      <c r="N42" s="414"/>
      <c r="O42" s="414"/>
      <c r="P42" s="414"/>
      <c r="Q42" s="414"/>
      <c r="R42" s="414"/>
      <c r="S42" s="414"/>
      <c r="T42" s="414"/>
      <c r="U42" s="414"/>
      <c r="V42" s="414"/>
      <c r="W42" s="414"/>
      <c r="X42" s="415"/>
    </row>
    <row r="43" spans="2:24" ht="22.5" customHeight="1">
      <c r="B43" s="408"/>
      <c r="C43" s="409"/>
      <c r="D43" s="410"/>
      <c r="E43" s="411"/>
      <c r="F43" s="412"/>
      <c r="G43" s="478"/>
      <c r="H43" s="478"/>
      <c r="I43" s="413">
        <f>+I39+I42</f>
        <v>52632208.700000003</v>
      </c>
      <c r="J43" s="413"/>
      <c r="K43" s="413"/>
      <c r="L43" s="414"/>
      <c r="M43" s="414"/>
      <c r="N43" s="414"/>
      <c r="O43" s="414"/>
      <c r="P43" s="414"/>
      <c r="Q43" s="414"/>
      <c r="R43" s="414"/>
      <c r="S43" s="414"/>
      <c r="T43" s="414"/>
      <c r="U43" s="414"/>
      <c r="V43" s="414"/>
      <c r="W43" s="414"/>
      <c r="X43" s="415"/>
    </row>
    <row r="44" spans="2:24" ht="22.5" customHeight="1">
      <c r="B44" s="408"/>
      <c r="C44" s="409"/>
      <c r="D44" s="410"/>
      <c r="E44" s="411"/>
      <c r="F44" s="412"/>
      <c r="G44" s="478"/>
      <c r="H44" s="478"/>
      <c r="I44" s="413"/>
      <c r="J44" s="413"/>
      <c r="K44" s="413"/>
      <c r="L44" s="414"/>
      <c r="M44" s="414"/>
      <c r="N44" s="414"/>
      <c r="O44" s="414"/>
      <c r="P44" s="414"/>
      <c r="Q44" s="414"/>
      <c r="R44" s="414"/>
      <c r="S44" s="414"/>
      <c r="T44" s="414"/>
      <c r="U44" s="414"/>
      <c r="V44" s="414"/>
      <c r="W44" s="414"/>
      <c r="X44" s="415"/>
    </row>
    <row r="45" spans="2:24">
      <c r="I45" s="482"/>
      <c r="J45" s="482"/>
      <c r="K45" s="482"/>
      <c r="L45" s="483"/>
      <c r="M45" s="458"/>
      <c r="N45" s="458"/>
      <c r="O45" s="458"/>
      <c r="P45" s="458"/>
      <c r="Q45" s="458"/>
      <c r="R45" s="483"/>
      <c r="S45" s="458"/>
      <c r="T45" s="458"/>
      <c r="U45" s="458"/>
      <c r="V45" s="458"/>
      <c r="W45" s="458"/>
      <c r="X45" s="415"/>
    </row>
    <row r="46" spans="2:24">
      <c r="I46" s="482"/>
      <c r="J46" s="482"/>
      <c r="K46" s="482"/>
      <c r="L46" s="483"/>
      <c r="M46" s="458"/>
      <c r="N46" s="458"/>
      <c r="O46" s="458"/>
      <c r="P46" s="458"/>
      <c r="Q46" s="458"/>
      <c r="R46" s="483"/>
      <c r="S46" s="458"/>
      <c r="T46" s="458"/>
      <c r="U46" s="458"/>
      <c r="V46" s="458"/>
      <c r="W46" s="458"/>
      <c r="X46" s="415"/>
    </row>
    <row r="47" spans="2:24">
      <c r="I47" s="484"/>
      <c r="J47" s="484"/>
      <c r="K47" s="484"/>
      <c r="L47" s="483"/>
      <c r="M47" s="458"/>
      <c r="N47" s="458"/>
      <c r="O47" s="458"/>
      <c r="P47" s="458"/>
      <c r="Q47" s="458"/>
      <c r="R47" s="483"/>
      <c r="S47" s="458"/>
      <c r="T47" s="458"/>
      <c r="U47" s="458"/>
      <c r="V47" s="458"/>
      <c r="W47" s="458"/>
      <c r="X47" s="415"/>
    </row>
    <row r="48" spans="2:24">
      <c r="M48" s="458"/>
      <c r="N48" s="458"/>
      <c r="O48" s="458"/>
      <c r="P48" s="458"/>
      <c r="Q48" s="458"/>
      <c r="S48" s="458"/>
      <c r="T48" s="458"/>
      <c r="U48" s="458"/>
      <c r="V48" s="458"/>
      <c r="W48" s="458"/>
      <c r="X48" s="415"/>
    </row>
    <row r="49" spans="2:24" hidden="1">
      <c r="B49" s="416"/>
      <c r="D49" s="417"/>
      <c r="E49" s="418"/>
      <c r="F49" s="486"/>
      <c r="G49" s="473"/>
      <c r="H49" s="473"/>
      <c r="I49" s="487"/>
      <c r="J49" s="487"/>
      <c r="K49" s="487"/>
      <c r="L49" s="419">
        <f>SUM(M49:Q49)</f>
        <v>0</v>
      </c>
      <c r="M49" s="394"/>
      <c r="N49" s="394"/>
      <c r="O49" s="394"/>
      <c r="P49" s="394"/>
      <c r="Q49" s="394"/>
      <c r="R49" s="419">
        <f>SUM(S49:W49)</f>
        <v>0</v>
      </c>
      <c r="S49" s="394"/>
      <c r="T49" s="394"/>
      <c r="U49" s="394"/>
      <c r="V49" s="394"/>
      <c r="W49" s="394"/>
      <c r="X49" s="415" t="s">
        <v>375</v>
      </c>
    </row>
    <row r="50" spans="2:24" hidden="1">
      <c r="B50" s="438"/>
      <c r="C50" s="420"/>
      <c r="D50" s="417"/>
      <c r="E50" s="418"/>
      <c r="F50" s="486"/>
      <c r="G50" s="473"/>
      <c r="H50" s="473"/>
      <c r="I50" s="487"/>
      <c r="J50" s="487"/>
      <c r="K50" s="487"/>
      <c r="L50" s="419">
        <f>SUM(M50:Q50)</f>
        <v>0</v>
      </c>
      <c r="M50" s="394"/>
      <c r="N50" s="394"/>
      <c r="O50" s="394"/>
      <c r="P50" s="394"/>
      <c r="Q50" s="394"/>
      <c r="R50" s="419">
        <f>SUM(S50:W50)</f>
        <v>0</v>
      </c>
      <c r="S50" s="394"/>
      <c r="T50" s="394"/>
      <c r="U50" s="394"/>
      <c r="V50" s="394"/>
      <c r="W50" s="394"/>
      <c r="X50" s="415" t="s">
        <v>376</v>
      </c>
    </row>
    <row r="51" spans="2:24" hidden="1">
      <c r="B51" s="438"/>
      <c r="C51" s="420"/>
      <c r="D51" s="417"/>
      <c r="E51" s="418"/>
      <c r="F51" s="486"/>
      <c r="G51" s="473"/>
      <c r="H51" s="473"/>
      <c r="I51" s="487"/>
      <c r="J51" s="487"/>
      <c r="K51" s="487"/>
      <c r="L51" s="419">
        <f>SUM(M51:Q51)</f>
        <v>0</v>
      </c>
      <c r="M51" s="394"/>
      <c r="N51" s="394"/>
      <c r="O51" s="394"/>
      <c r="P51" s="394"/>
      <c r="Q51" s="394"/>
      <c r="R51" s="419">
        <f>SUM(S51:W51)</f>
        <v>0</v>
      </c>
      <c r="S51" s="394"/>
      <c r="T51" s="394"/>
      <c r="U51" s="394"/>
      <c r="V51" s="394"/>
      <c r="W51" s="394"/>
      <c r="X51" s="415" t="s">
        <v>376</v>
      </c>
    </row>
    <row r="52" spans="2:24" ht="15" hidden="1">
      <c r="B52" s="1100"/>
      <c r="C52" s="1100"/>
      <c r="D52" s="1100"/>
      <c r="E52" s="1100"/>
      <c r="F52" s="1100"/>
      <c r="G52" s="488"/>
      <c r="H52" s="488"/>
    </row>
    <row r="53" spans="2:24" s="450" customFormat="1" ht="32.25" hidden="1" customHeight="1">
      <c r="B53" s="386"/>
      <c r="C53" s="386"/>
      <c r="D53" s="386"/>
      <c r="E53" s="387"/>
      <c r="F53" s="388"/>
      <c r="G53" s="489"/>
      <c r="H53" s="489"/>
      <c r="I53" s="389" t="s">
        <v>303</v>
      </c>
      <c r="J53" s="389"/>
      <c r="K53" s="389"/>
      <c r="L53" s="390" t="s">
        <v>377</v>
      </c>
      <c r="M53" s="390" t="s">
        <v>304</v>
      </c>
      <c r="N53" s="390" t="s">
        <v>305</v>
      </c>
      <c r="O53" s="390" t="s">
        <v>306</v>
      </c>
      <c r="P53" s="390" t="s">
        <v>307</v>
      </c>
      <c r="Q53" s="390" t="s">
        <v>308</v>
      </c>
      <c r="R53" s="390" t="s">
        <v>377</v>
      </c>
      <c r="S53" s="390" t="s">
        <v>304</v>
      </c>
      <c r="T53" s="390" t="s">
        <v>305</v>
      </c>
      <c r="U53" s="390" t="s">
        <v>306</v>
      </c>
      <c r="V53" s="390" t="s">
        <v>307</v>
      </c>
      <c r="W53" s="390" t="s">
        <v>308</v>
      </c>
      <c r="X53" s="390" t="s">
        <v>311</v>
      </c>
    </row>
    <row r="54" spans="2:24" ht="22.5" hidden="1" customHeight="1" outlineLevel="1">
      <c r="B54" s="407"/>
      <c r="C54" s="407"/>
      <c r="D54" s="421"/>
      <c r="E54" s="422"/>
      <c r="F54" s="458"/>
      <c r="G54" s="459"/>
      <c r="H54" s="459"/>
      <c r="I54" s="398">
        <f>60000*$I$1</f>
        <v>0</v>
      </c>
      <c r="J54" s="398"/>
      <c r="K54" s="398"/>
      <c r="L54" s="393">
        <f t="shared" ref="L54:L62" si="4">SUM(M54:Q54)</f>
        <v>0</v>
      </c>
      <c r="M54" s="400"/>
      <c r="N54" s="400"/>
      <c r="O54" s="400"/>
      <c r="P54" s="400"/>
      <c r="Q54" s="400"/>
      <c r="R54" s="393">
        <f t="shared" ref="R54:R62" si="5">SUM(S54:W54)</f>
        <v>0</v>
      </c>
      <c r="S54" s="400"/>
      <c r="T54" s="400"/>
      <c r="U54" s="400"/>
      <c r="V54" s="400"/>
      <c r="W54" s="400"/>
      <c r="X54" s="400"/>
    </row>
    <row r="55" spans="2:24" ht="22.5" hidden="1" customHeight="1" outlineLevel="1">
      <c r="B55" s="407"/>
      <c r="C55" s="407"/>
      <c r="D55" s="421"/>
      <c r="E55" s="422"/>
      <c r="F55" s="458"/>
      <c r="G55" s="459"/>
      <c r="H55" s="459"/>
      <c r="I55" s="398">
        <f>60000*$I$1</f>
        <v>0</v>
      </c>
      <c r="J55" s="398"/>
      <c r="K55" s="398"/>
      <c r="L55" s="393">
        <f t="shared" si="4"/>
        <v>0</v>
      </c>
      <c r="M55" s="400"/>
      <c r="N55" s="400"/>
      <c r="O55" s="400"/>
      <c r="P55" s="400"/>
      <c r="Q55" s="400"/>
      <c r="R55" s="393">
        <f t="shared" si="5"/>
        <v>0</v>
      </c>
      <c r="S55" s="400"/>
      <c r="T55" s="400"/>
      <c r="U55" s="400"/>
      <c r="V55" s="400"/>
      <c r="W55" s="400"/>
      <c r="X55" s="400"/>
    </row>
    <row r="56" spans="2:24" ht="22.5" hidden="1" customHeight="1" outlineLevel="1">
      <c r="B56" s="407"/>
      <c r="C56" s="407"/>
      <c r="D56" s="421"/>
      <c r="E56" s="423"/>
      <c r="F56" s="458"/>
      <c r="G56" s="459"/>
      <c r="H56" s="459"/>
      <c r="I56" s="398">
        <f>(220*300)*$I$1</f>
        <v>0</v>
      </c>
      <c r="J56" s="398"/>
      <c r="K56" s="398"/>
      <c r="L56" s="393">
        <f t="shared" si="4"/>
        <v>0</v>
      </c>
      <c r="M56" s="400"/>
      <c r="N56" s="400"/>
      <c r="O56" s="400"/>
      <c r="P56" s="400"/>
      <c r="Q56" s="400"/>
      <c r="R56" s="393">
        <f t="shared" si="5"/>
        <v>0</v>
      </c>
      <c r="S56" s="400"/>
      <c r="T56" s="400"/>
      <c r="U56" s="400"/>
      <c r="V56" s="400"/>
      <c r="W56" s="400"/>
      <c r="X56" s="400"/>
    </row>
    <row r="57" spans="2:24" ht="22.5" hidden="1" customHeight="1" outlineLevel="1">
      <c r="B57" s="407"/>
      <c r="C57" s="407"/>
      <c r="D57" s="421"/>
      <c r="E57" s="423"/>
      <c r="F57" s="458"/>
      <c r="G57" s="459"/>
      <c r="H57" s="459"/>
      <c r="I57" s="398">
        <f>(225*300)*$I$1</f>
        <v>0</v>
      </c>
      <c r="J57" s="398"/>
      <c r="K57" s="398"/>
      <c r="L57" s="393">
        <f t="shared" si="4"/>
        <v>0</v>
      </c>
      <c r="M57" s="400"/>
      <c r="N57" s="400"/>
      <c r="O57" s="400"/>
      <c r="P57" s="400"/>
      <c r="Q57" s="400"/>
      <c r="R57" s="393">
        <f t="shared" si="5"/>
        <v>0</v>
      </c>
      <c r="S57" s="400"/>
      <c r="T57" s="400"/>
      <c r="U57" s="400"/>
      <c r="V57" s="400"/>
      <c r="W57" s="400"/>
      <c r="X57" s="400"/>
    </row>
    <row r="58" spans="2:24" ht="22.5" hidden="1" customHeight="1" outlineLevel="1">
      <c r="B58" s="407"/>
      <c r="C58" s="407"/>
      <c r="D58" s="421"/>
      <c r="E58" s="423"/>
      <c r="F58" s="458"/>
      <c r="G58" s="459"/>
      <c r="H58" s="459"/>
      <c r="I58" s="398">
        <f>15000*$I$1</f>
        <v>0</v>
      </c>
      <c r="J58" s="398"/>
      <c r="K58" s="398"/>
      <c r="L58" s="393">
        <f t="shared" si="4"/>
        <v>0</v>
      </c>
      <c r="M58" s="400"/>
      <c r="N58" s="400"/>
      <c r="O58" s="400"/>
      <c r="P58" s="400"/>
      <c r="Q58" s="400"/>
      <c r="R58" s="393">
        <f t="shared" si="5"/>
        <v>0</v>
      </c>
      <c r="S58" s="400"/>
      <c r="T58" s="400"/>
      <c r="U58" s="400"/>
      <c r="V58" s="400"/>
      <c r="W58" s="400"/>
      <c r="X58" s="400"/>
    </row>
    <row r="59" spans="2:24" ht="22.5" hidden="1" customHeight="1" outlineLevel="1">
      <c r="B59" s="407"/>
      <c r="C59" s="407"/>
      <c r="D59" s="421"/>
      <c r="E59" s="422"/>
      <c r="F59" s="490"/>
      <c r="G59" s="456"/>
      <c r="H59" s="456"/>
      <c r="I59" s="398">
        <f>(15000*5)*$I$1</f>
        <v>0</v>
      </c>
      <c r="J59" s="398"/>
      <c r="K59" s="398"/>
      <c r="L59" s="393">
        <f t="shared" si="4"/>
        <v>0</v>
      </c>
      <c r="M59" s="400"/>
      <c r="N59" s="400"/>
      <c r="O59" s="400"/>
      <c r="P59" s="400"/>
      <c r="Q59" s="400"/>
      <c r="R59" s="393">
        <f t="shared" si="5"/>
        <v>0</v>
      </c>
      <c r="S59" s="400"/>
      <c r="T59" s="400"/>
      <c r="U59" s="400"/>
      <c r="V59" s="400"/>
      <c r="W59" s="400"/>
      <c r="X59" s="400"/>
    </row>
    <row r="60" spans="2:24" ht="22.5" hidden="1" customHeight="1" outlineLevel="1">
      <c r="B60" s="407"/>
      <c r="C60" s="407"/>
      <c r="D60" s="421"/>
      <c r="E60" s="422"/>
      <c r="F60" s="490"/>
      <c r="G60" s="456"/>
      <c r="H60" s="456"/>
      <c r="I60" s="398">
        <f>275000*$I$1</f>
        <v>0</v>
      </c>
      <c r="J60" s="398"/>
      <c r="K60" s="398"/>
      <c r="L60" s="393">
        <f t="shared" si="4"/>
        <v>0</v>
      </c>
      <c r="M60" s="400"/>
      <c r="N60" s="400"/>
      <c r="O60" s="400"/>
      <c r="P60" s="400"/>
      <c r="Q60" s="400"/>
      <c r="R60" s="393">
        <f t="shared" si="5"/>
        <v>0</v>
      </c>
      <c r="S60" s="400"/>
      <c r="T60" s="400"/>
      <c r="U60" s="400"/>
      <c r="V60" s="400"/>
      <c r="W60" s="400"/>
      <c r="X60" s="400"/>
    </row>
    <row r="61" spans="2:24" ht="22.5" hidden="1" customHeight="1" outlineLevel="1">
      <c r="B61" s="407"/>
      <c r="C61" s="407"/>
      <c r="D61" s="421"/>
      <c r="E61" s="422"/>
      <c r="F61" s="490"/>
      <c r="G61" s="456"/>
      <c r="H61" s="456"/>
      <c r="I61" s="398">
        <v>0</v>
      </c>
      <c r="J61" s="398"/>
      <c r="K61" s="398"/>
      <c r="L61" s="393">
        <f t="shared" si="4"/>
        <v>0</v>
      </c>
      <c r="M61" s="400"/>
      <c r="N61" s="400"/>
      <c r="O61" s="400"/>
      <c r="P61" s="400"/>
      <c r="Q61" s="400"/>
      <c r="R61" s="393">
        <f t="shared" si="5"/>
        <v>0</v>
      </c>
      <c r="S61" s="400"/>
      <c r="T61" s="400"/>
      <c r="U61" s="400"/>
      <c r="V61" s="400"/>
      <c r="W61" s="400"/>
      <c r="X61" s="400"/>
    </row>
    <row r="62" spans="2:24" ht="22.5" hidden="1" customHeight="1" outlineLevel="1">
      <c r="B62" s="407"/>
      <c r="C62" s="407"/>
      <c r="D62" s="421"/>
      <c r="E62" s="422"/>
      <c r="F62" s="490"/>
      <c r="G62" s="456"/>
      <c r="H62" s="456"/>
      <c r="I62" s="398">
        <f>145000*$I$1</f>
        <v>0</v>
      </c>
      <c r="J62" s="398"/>
      <c r="K62" s="398"/>
      <c r="L62" s="393">
        <f t="shared" si="4"/>
        <v>0</v>
      </c>
      <c r="M62" s="400"/>
      <c r="N62" s="400"/>
      <c r="O62" s="400"/>
      <c r="P62" s="400"/>
      <c r="Q62" s="400"/>
      <c r="R62" s="393">
        <f t="shared" si="5"/>
        <v>0</v>
      </c>
      <c r="S62" s="400"/>
      <c r="T62" s="400"/>
      <c r="U62" s="400"/>
      <c r="V62" s="400"/>
      <c r="W62" s="400"/>
      <c r="X62" s="400"/>
    </row>
    <row r="63" spans="2:24" ht="22.5" hidden="1" customHeight="1" outlineLevel="1">
      <c r="B63" s="407"/>
      <c r="C63" s="407"/>
      <c r="D63" s="424"/>
      <c r="E63" s="422"/>
      <c r="F63" s="490"/>
      <c r="G63" s="456"/>
      <c r="H63" s="456"/>
      <c r="I63" s="398">
        <f>150000*$I$1</f>
        <v>0</v>
      </c>
      <c r="J63" s="398"/>
      <c r="K63" s="398"/>
      <c r="L63" s="393">
        <f>SUM(M63:Q63)</f>
        <v>0</v>
      </c>
      <c r="M63" s="400"/>
      <c r="N63" s="400"/>
      <c r="O63" s="400"/>
      <c r="P63" s="400"/>
      <c r="Q63" s="400"/>
      <c r="R63" s="393">
        <f>SUM(S63:W63)</f>
        <v>0</v>
      </c>
      <c r="S63" s="400"/>
      <c r="T63" s="400"/>
      <c r="U63" s="400"/>
      <c r="V63" s="400"/>
      <c r="W63" s="400"/>
      <c r="X63" s="400"/>
    </row>
    <row r="64" spans="2:24" ht="22.5" hidden="1" customHeight="1" outlineLevel="1">
      <c r="B64" s="407"/>
      <c r="C64" s="407"/>
      <c r="D64" s="424"/>
      <c r="E64" s="422"/>
      <c r="F64" s="490"/>
      <c r="G64" s="456"/>
      <c r="H64" s="456"/>
      <c r="I64" s="398">
        <f>(((15*15*8)+(5*20*8)*20)*6)*$I$1</f>
        <v>0</v>
      </c>
      <c r="J64" s="398"/>
      <c r="K64" s="398"/>
      <c r="L64" s="393">
        <f t="shared" ref="L64:L79" si="6">SUM(M64:Q64)</f>
        <v>1068000</v>
      </c>
      <c r="M64" s="400">
        <f>((15*15*8)+(5*20*8)*20)*60</f>
        <v>1068000</v>
      </c>
      <c r="N64" s="400"/>
      <c r="O64" s="400"/>
      <c r="P64" s="400"/>
      <c r="Q64" s="400"/>
      <c r="R64" s="393">
        <f t="shared" ref="R64:R79" si="7">SUM(S64:W64)</f>
        <v>1068000</v>
      </c>
      <c r="S64" s="400">
        <f>((15*15*8)+(5*20*8)*20)*60</f>
        <v>1068000</v>
      </c>
      <c r="T64" s="400"/>
      <c r="U64" s="400"/>
      <c r="V64" s="400"/>
      <c r="W64" s="400"/>
      <c r="X64" s="400"/>
    </row>
    <row r="65" spans="2:24" ht="22.5" hidden="1" customHeight="1" outlineLevel="1">
      <c r="B65" s="407"/>
      <c r="C65" s="407"/>
      <c r="D65" s="424"/>
      <c r="E65" s="422"/>
      <c r="F65" s="490"/>
      <c r="G65" s="456"/>
      <c r="H65" s="456"/>
      <c r="I65" s="398">
        <f>500000*$I$1</f>
        <v>0</v>
      </c>
      <c r="J65" s="398"/>
      <c r="K65" s="398"/>
      <c r="L65" s="393">
        <f t="shared" si="6"/>
        <v>0</v>
      </c>
      <c r="M65" s="400"/>
      <c r="N65" s="400"/>
      <c r="O65" s="400"/>
      <c r="P65" s="400"/>
      <c r="Q65" s="400"/>
      <c r="R65" s="393">
        <f t="shared" si="7"/>
        <v>0</v>
      </c>
      <c r="S65" s="400"/>
      <c r="T65" s="400"/>
      <c r="U65" s="400"/>
      <c r="V65" s="400"/>
      <c r="W65" s="400"/>
      <c r="X65" s="400"/>
    </row>
    <row r="66" spans="2:24" ht="22.5" hidden="1" customHeight="1" outlineLevel="1">
      <c r="B66" s="407"/>
      <c r="C66" s="407"/>
      <c r="D66" s="424"/>
      <c r="E66" s="422"/>
      <c r="F66" s="490"/>
      <c r="G66" s="456"/>
      <c r="H66" s="456"/>
      <c r="I66" s="398">
        <f>208333*$I$1</f>
        <v>0</v>
      </c>
      <c r="J66" s="398"/>
      <c r="K66" s="398"/>
      <c r="L66" s="393">
        <f t="shared" si="6"/>
        <v>0</v>
      </c>
      <c r="M66" s="400"/>
      <c r="N66" s="400"/>
      <c r="O66" s="400"/>
      <c r="P66" s="400"/>
      <c r="Q66" s="400"/>
      <c r="R66" s="393">
        <f t="shared" si="7"/>
        <v>0</v>
      </c>
      <c r="S66" s="400"/>
      <c r="T66" s="400"/>
      <c r="U66" s="400"/>
      <c r="V66" s="400"/>
      <c r="W66" s="400"/>
      <c r="X66" s="400"/>
    </row>
    <row r="67" spans="2:24" ht="22.5" hidden="1" customHeight="1" outlineLevel="1">
      <c r="B67" s="407"/>
      <c r="C67" s="407"/>
      <c r="D67" s="424"/>
      <c r="E67" s="422"/>
      <c r="F67" s="490"/>
      <c r="G67" s="456"/>
      <c r="H67" s="456"/>
      <c r="I67" s="398">
        <f>35000*$I$1</f>
        <v>0</v>
      </c>
      <c r="J67" s="398"/>
      <c r="K67" s="398"/>
      <c r="L67" s="393">
        <f t="shared" si="6"/>
        <v>0</v>
      </c>
      <c r="M67" s="400"/>
      <c r="N67" s="400"/>
      <c r="O67" s="400"/>
      <c r="P67" s="400"/>
      <c r="Q67" s="400"/>
      <c r="R67" s="393">
        <f t="shared" si="7"/>
        <v>0</v>
      </c>
      <c r="S67" s="400"/>
      <c r="T67" s="400"/>
      <c r="U67" s="400"/>
      <c r="V67" s="400"/>
      <c r="W67" s="400"/>
      <c r="X67" s="400"/>
    </row>
    <row r="68" spans="2:24" ht="22.5" hidden="1" customHeight="1" outlineLevel="1">
      <c r="B68" s="407"/>
      <c r="C68" s="407"/>
      <c r="D68" s="424"/>
      <c r="E68" s="422"/>
      <c r="F68" s="490"/>
      <c r="G68" s="456"/>
      <c r="H68" s="456"/>
      <c r="I68" s="398">
        <f>66666.7*$I$1</f>
        <v>0</v>
      </c>
      <c r="J68" s="398"/>
      <c r="K68" s="398"/>
      <c r="L68" s="393">
        <f t="shared" si="6"/>
        <v>0</v>
      </c>
      <c r="M68" s="400"/>
      <c r="N68" s="400"/>
      <c r="O68" s="400"/>
      <c r="P68" s="400"/>
      <c r="Q68" s="400"/>
      <c r="R68" s="393">
        <f t="shared" si="7"/>
        <v>0</v>
      </c>
      <c r="S68" s="400"/>
      <c r="T68" s="400"/>
      <c r="U68" s="400"/>
      <c r="V68" s="400"/>
      <c r="W68" s="400"/>
      <c r="X68" s="400"/>
    </row>
    <row r="69" spans="2:24" ht="22.5" hidden="1" customHeight="1" outlineLevel="1">
      <c r="B69" s="407"/>
      <c r="C69" s="407"/>
      <c r="D69" s="424"/>
      <c r="E69" s="422"/>
      <c r="F69" s="490"/>
      <c r="G69" s="456"/>
      <c r="H69" s="456"/>
      <c r="I69" s="398">
        <f>(250000*3*6)</f>
        <v>4500000</v>
      </c>
      <c r="J69" s="398"/>
      <c r="K69" s="398"/>
      <c r="L69" s="393">
        <f t="shared" si="6"/>
        <v>0</v>
      </c>
      <c r="M69" s="400"/>
      <c r="N69" s="400"/>
      <c r="O69" s="400"/>
      <c r="P69" s="400"/>
      <c r="Q69" s="400"/>
      <c r="R69" s="393">
        <f t="shared" si="7"/>
        <v>0</v>
      </c>
      <c r="S69" s="400"/>
      <c r="T69" s="400"/>
      <c r="U69" s="400"/>
      <c r="V69" s="400"/>
      <c r="W69" s="400"/>
      <c r="X69" s="400"/>
    </row>
    <row r="70" spans="2:24" ht="22.5" hidden="1" customHeight="1" outlineLevel="1">
      <c r="B70" s="407"/>
      <c r="C70" s="407"/>
      <c r="D70" s="424"/>
      <c r="E70" s="422"/>
      <c r="F70" s="490"/>
      <c r="G70" s="456"/>
      <c r="H70" s="456"/>
      <c r="I70" s="398">
        <f>1000000</f>
        <v>1000000</v>
      </c>
      <c r="J70" s="398"/>
      <c r="K70" s="398"/>
      <c r="L70" s="393">
        <f t="shared" si="6"/>
        <v>0</v>
      </c>
      <c r="M70" s="400"/>
      <c r="N70" s="400"/>
      <c r="O70" s="400"/>
      <c r="P70" s="400"/>
      <c r="Q70" s="400"/>
      <c r="R70" s="393">
        <f t="shared" si="7"/>
        <v>0</v>
      </c>
      <c r="S70" s="400"/>
      <c r="T70" s="400"/>
      <c r="U70" s="400"/>
      <c r="V70" s="400"/>
      <c r="W70" s="400"/>
      <c r="X70" s="400"/>
    </row>
    <row r="71" spans="2:24" ht="22.5" hidden="1" customHeight="1" outlineLevel="1">
      <c r="B71" s="407"/>
      <c r="C71" s="407"/>
      <c r="D71" s="424"/>
      <c r="E71" s="422"/>
      <c r="F71" s="490"/>
      <c r="G71" s="456"/>
      <c r="H71" s="456"/>
      <c r="I71" s="398">
        <f>225000*$I$1</f>
        <v>0</v>
      </c>
      <c r="J71" s="398"/>
      <c r="K71" s="398"/>
      <c r="L71" s="393">
        <f t="shared" si="6"/>
        <v>0</v>
      </c>
      <c r="M71" s="400"/>
      <c r="N71" s="400"/>
      <c r="O71" s="400"/>
      <c r="P71" s="400"/>
      <c r="Q71" s="400"/>
      <c r="R71" s="393">
        <f t="shared" si="7"/>
        <v>0</v>
      </c>
      <c r="S71" s="400"/>
      <c r="T71" s="400"/>
      <c r="U71" s="400"/>
      <c r="V71" s="400"/>
      <c r="W71" s="400"/>
      <c r="X71" s="400"/>
    </row>
    <row r="72" spans="2:24" ht="22.5" hidden="1" customHeight="1" outlineLevel="1">
      <c r="B72" s="407"/>
      <c r="C72" s="407"/>
      <c r="D72" s="424"/>
      <c r="E72" s="422"/>
      <c r="F72" s="490"/>
      <c r="G72" s="456"/>
      <c r="H72" s="456"/>
      <c r="I72" s="398">
        <f>39000*$I$1</f>
        <v>0</v>
      </c>
      <c r="J72" s="398"/>
      <c r="K72" s="398"/>
      <c r="L72" s="393">
        <f t="shared" si="6"/>
        <v>0</v>
      </c>
      <c r="M72" s="400"/>
      <c r="N72" s="400"/>
      <c r="O72" s="400"/>
      <c r="P72" s="400"/>
      <c r="Q72" s="400"/>
      <c r="R72" s="393">
        <f t="shared" si="7"/>
        <v>0</v>
      </c>
      <c r="S72" s="400"/>
      <c r="T72" s="400"/>
      <c r="U72" s="400"/>
      <c r="V72" s="400"/>
      <c r="W72" s="400"/>
      <c r="X72" s="400"/>
    </row>
    <row r="73" spans="2:24" ht="22.5" hidden="1" customHeight="1" outlineLevel="1">
      <c r="B73" s="407"/>
      <c r="C73" s="407"/>
      <c r="D73" s="424"/>
      <c r="E73" s="422"/>
      <c r="F73" s="490"/>
      <c r="G73" s="456"/>
      <c r="H73" s="456"/>
      <c r="I73" s="398">
        <f>48500*$I$1</f>
        <v>0</v>
      </c>
      <c r="J73" s="398"/>
      <c r="K73" s="398"/>
      <c r="L73" s="393">
        <f t="shared" si="6"/>
        <v>0</v>
      </c>
      <c r="M73" s="400"/>
      <c r="N73" s="400"/>
      <c r="O73" s="400"/>
      <c r="P73" s="400"/>
      <c r="Q73" s="400"/>
      <c r="R73" s="393">
        <f t="shared" si="7"/>
        <v>0</v>
      </c>
      <c r="S73" s="400"/>
      <c r="T73" s="400"/>
      <c r="U73" s="400"/>
      <c r="V73" s="400"/>
      <c r="W73" s="400"/>
      <c r="X73" s="400"/>
    </row>
    <row r="74" spans="2:24" ht="22.5" hidden="1" customHeight="1" outlineLevel="1">
      <c r="B74" s="407"/>
      <c r="C74" s="407"/>
      <c r="D74" s="424"/>
      <c r="E74" s="422"/>
      <c r="F74" s="490"/>
      <c r="G74" s="456"/>
      <c r="H74" s="456"/>
      <c r="I74" s="398">
        <f>(((10*355)*20*12)-2000)*$I$1</f>
        <v>0</v>
      </c>
      <c r="J74" s="398"/>
      <c r="K74" s="398"/>
      <c r="L74" s="393">
        <f t="shared" si="6"/>
        <v>0</v>
      </c>
      <c r="M74" s="400"/>
      <c r="N74" s="400"/>
      <c r="O74" s="400"/>
      <c r="P74" s="400"/>
      <c r="Q74" s="400"/>
      <c r="R74" s="393">
        <f t="shared" si="7"/>
        <v>0</v>
      </c>
      <c r="S74" s="400"/>
      <c r="T74" s="400"/>
      <c r="U74" s="400"/>
      <c r="V74" s="400"/>
      <c r="W74" s="400"/>
      <c r="X74" s="400"/>
    </row>
    <row r="75" spans="2:24" ht="22.5" hidden="1" customHeight="1" outlineLevel="1">
      <c r="B75" s="407"/>
      <c r="C75" s="407"/>
      <c r="D75" s="424"/>
      <c r="E75" s="422"/>
      <c r="F75" s="490"/>
      <c r="G75" s="456"/>
      <c r="H75" s="456"/>
      <c r="I75" s="398">
        <f>357000*$I$1</f>
        <v>0</v>
      </c>
      <c r="J75" s="398"/>
      <c r="K75" s="398"/>
      <c r="L75" s="393">
        <f t="shared" si="6"/>
        <v>0</v>
      </c>
      <c r="M75" s="400"/>
      <c r="N75" s="400"/>
      <c r="O75" s="400"/>
      <c r="P75" s="400"/>
      <c r="Q75" s="400"/>
      <c r="R75" s="393">
        <f t="shared" si="7"/>
        <v>0</v>
      </c>
      <c r="S75" s="400"/>
      <c r="T75" s="400"/>
      <c r="U75" s="400"/>
      <c r="V75" s="400"/>
      <c r="W75" s="400"/>
      <c r="X75" s="400"/>
    </row>
    <row r="76" spans="2:24" ht="22.5" hidden="1" customHeight="1" outlineLevel="1">
      <c r="B76" s="407"/>
      <c r="C76" s="407"/>
      <c r="D76" s="424"/>
      <c r="E76" s="422"/>
      <c r="F76" s="490"/>
      <c r="G76" s="456"/>
      <c r="H76" s="456"/>
      <c r="I76" s="398">
        <f>25000*$I$1</f>
        <v>0</v>
      </c>
      <c r="J76" s="398"/>
      <c r="K76" s="398"/>
      <c r="L76" s="393">
        <f t="shared" si="6"/>
        <v>0</v>
      </c>
      <c r="M76" s="400"/>
      <c r="N76" s="400"/>
      <c r="O76" s="400"/>
      <c r="P76" s="400"/>
      <c r="Q76" s="400"/>
      <c r="R76" s="393">
        <f t="shared" si="7"/>
        <v>0</v>
      </c>
      <c r="S76" s="400"/>
      <c r="T76" s="400"/>
      <c r="U76" s="400"/>
      <c r="V76" s="400"/>
      <c r="W76" s="400"/>
      <c r="X76" s="400"/>
    </row>
    <row r="77" spans="2:24" ht="22.5" hidden="1" customHeight="1" outlineLevel="1">
      <c r="B77" s="407"/>
      <c r="C77" s="407"/>
      <c r="D77" s="424"/>
      <c r="E77" s="422"/>
      <c r="F77" s="490"/>
      <c r="G77" s="456"/>
      <c r="H77" s="456"/>
      <c r="I77" s="398">
        <f>170000*$I$1</f>
        <v>0</v>
      </c>
      <c r="J77" s="398"/>
      <c r="K77" s="398"/>
      <c r="L77" s="393">
        <f t="shared" si="6"/>
        <v>0</v>
      </c>
      <c r="M77" s="400"/>
      <c r="N77" s="400"/>
      <c r="O77" s="400"/>
      <c r="P77" s="400"/>
      <c r="Q77" s="400"/>
      <c r="R77" s="393">
        <f t="shared" si="7"/>
        <v>0</v>
      </c>
      <c r="S77" s="400"/>
      <c r="T77" s="400"/>
      <c r="U77" s="400"/>
      <c r="V77" s="400"/>
      <c r="W77" s="400"/>
      <c r="X77" s="400"/>
    </row>
    <row r="78" spans="2:24" ht="22.5" hidden="1" customHeight="1" outlineLevel="1">
      <c r="B78" s="407"/>
      <c r="C78" s="407"/>
      <c r="D78" s="424"/>
      <c r="E78" s="422"/>
      <c r="F78" s="490"/>
      <c r="G78" s="456"/>
      <c r="H78" s="456"/>
      <c r="I78" s="398">
        <f>200000*$I$1</f>
        <v>0</v>
      </c>
      <c r="J78" s="398"/>
      <c r="K78" s="398"/>
      <c r="L78" s="393">
        <f t="shared" si="6"/>
        <v>0</v>
      </c>
      <c r="M78" s="400"/>
      <c r="N78" s="400"/>
      <c r="O78" s="400"/>
      <c r="P78" s="400"/>
      <c r="Q78" s="400"/>
      <c r="R78" s="393">
        <f t="shared" si="7"/>
        <v>0</v>
      </c>
      <c r="S78" s="400"/>
      <c r="T78" s="400"/>
      <c r="U78" s="400"/>
      <c r="V78" s="400"/>
      <c r="W78" s="400"/>
      <c r="X78" s="400"/>
    </row>
    <row r="79" spans="2:24" ht="22.5" hidden="1" customHeight="1" outlineLevel="1">
      <c r="B79" s="491"/>
      <c r="C79" s="491"/>
      <c r="D79" s="425"/>
      <c r="E79" s="426"/>
      <c r="F79" s="492"/>
      <c r="G79" s="493"/>
      <c r="H79" s="493"/>
      <c r="I79" s="427">
        <f>150000*$I$1</f>
        <v>0</v>
      </c>
      <c r="J79" s="427"/>
      <c r="K79" s="427"/>
      <c r="L79" s="393">
        <f t="shared" si="6"/>
        <v>0</v>
      </c>
      <c r="M79" s="400"/>
      <c r="N79" s="400"/>
      <c r="O79" s="400"/>
      <c r="P79" s="400"/>
      <c r="Q79" s="400"/>
      <c r="R79" s="393">
        <f t="shared" si="7"/>
        <v>0</v>
      </c>
      <c r="S79" s="400"/>
      <c r="T79" s="400"/>
      <c r="U79" s="400"/>
      <c r="V79" s="400"/>
      <c r="W79" s="400"/>
      <c r="X79" s="400"/>
    </row>
    <row r="80" spans="2:24" ht="22.5" hidden="1" customHeight="1" outlineLevel="1">
      <c r="B80" s="407"/>
      <c r="C80" s="407"/>
      <c r="D80" s="421"/>
      <c r="E80" s="422"/>
      <c r="F80" s="490"/>
      <c r="G80" s="456"/>
      <c r="H80" s="456"/>
      <c r="I80" s="398"/>
      <c r="J80" s="398"/>
      <c r="K80" s="398"/>
      <c r="L80" s="393"/>
      <c r="M80" s="400"/>
      <c r="N80" s="400"/>
      <c r="O80" s="400"/>
      <c r="P80" s="400"/>
      <c r="Q80" s="400"/>
      <c r="R80" s="393"/>
      <c r="S80" s="400"/>
      <c r="T80" s="400"/>
      <c r="U80" s="400"/>
      <c r="V80" s="400"/>
      <c r="W80" s="400"/>
      <c r="X80" s="400"/>
    </row>
    <row r="81" spans="2:24" ht="22.5" hidden="1" customHeight="1">
      <c r="B81" s="408"/>
      <c r="C81" s="409"/>
      <c r="D81" s="410"/>
      <c r="E81" s="411"/>
      <c r="F81" s="412"/>
      <c r="G81" s="478"/>
      <c r="H81" s="478"/>
      <c r="I81" s="413">
        <f>SUM(I54:I80)</f>
        <v>5500000</v>
      </c>
      <c r="J81" s="413"/>
      <c r="K81" s="413"/>
      <c r="L81" s="414">
        <f t="shared" ref="L81:W81" si="8">SUM(L54:L80)</f>
        <v>1068000</v>
      </c>
      <c r="M81" s="414">
        <f t="shared" si="8"/>
        <v>1068000</v>
      </c>
      <c r="N81" s="414">
        <f t="shared" si="8"/>
        <v>0</v>
      </c>
      <c r="O81" s="414">
        <f t="shared" si="8"/>
        <v>0</v>
      </c>
      <c r="P81" s="414">
        <f t="shared" si="8"/>
        <v>0</v>
      </c>
      <c r="Q81" s="414">
        <f t="shared" si="8"/>
        <v>0</v>
      </c>
      <c r="R81" s="414">
        <f t="shared" si="8"/>
        <v>1068000</v>
      </c>
      <c r="S81" s="414">
        <f t="shared" si="8"/>
        <v>1068000</v>
      </c>
      <c r="T81" s="414">
        <f t="shared" si="8"/>
        <v>0</v>
      </c>
      <c r="U81" s="414">
        <f t="shared" si="8"/>
        <v>0</v>
      </c>
      <c r="V81" s="414">
        <f t="shared" si="8"/>
        <v>0</v>
      </c>
      <c r="W81" s="414">
        <f t="shared" si="8"/>
        <v>0</v>
      </c>
      <c r="X81" s="415"/>
    </row>
    <row r="82" spans="2:24" s="494" customFormat="1" hidden="1">
      <c r="B82" s="495"/>
      <c r="C82" s="495"/>
      <c r="D82" s="496"/>
      <c r="F82" s="497"/>
      <c r="G82" s="498"/>
      <c r="H82" s="498"/>
      <c r="I82" s="499">
        <f>+I81/60</f>
        <v>91666.666666666672</v>
      </c>
      <c r="J82" s="499"/>
      <c r="K82" s="499"/>
      <c r="L82" s="499">
        <f t="shared" ref="L82:W82" si="9">+L81/60</f>
        <v>17800</v>
      </c>
      <c r="M82" s="499">
        <f t="shared" si="9"/>
        <v>17800</v>
      </c>
      <c r="N82" s="499">
        <f t="shared" si="9"/>
        <v>0</v>
      </c>
      <c r="O82" s="499">
        <f t="shared" si="9"/>
        <v>0</v>
      </c>
      <c r="P82" s="499">
        <f t="shared" si="9"/>
        <v>0</v>
      </c>
      <c r="Q82" s="499">
        <f t="shared" si="9"/>
        <v>0</v>
      </c>
      <c r="R82" s="499">
        <f t="shared" si="9"/>
        <v>17800</v>
      </c>
      <c r="S82" s="499">
        <f t="shared" si="9"/>
        <v>17800</v>
      </c>
      <c r="T82" s="499">
        <f t="shared" si="9"/>
        <v>0</v>
      </c>
      <c r="U82" s="499">
        <f t="shared" si="9"/>
        <v>0</v>
      </c>
      <c r="V82" s="499">
        <f t="shared" si="9"/>
        <v>0</v>
      </c>
      <c r="W82" s="499">
        <f t="shared" si="9"/>
        <v>0</v>
      </c>
      <c r="X82" s="500"/>
    </row>
    <row r="83" spans="2:24" hidden="1"/>
    <row r="84" spans="2:24" s="501" customFormat="1" ht="22.5" hidden="1" customHeight="1">
      <c r="B84" s="502"/>
      <c r="C84" s="502"/>
      <c r="D84" s="503"/>
      <c r="E84" s="504"/>
      <c r="F84" s="505"/>
      <c r="G84" s="506"/>
      <c r="H84" s="506"/>
      <c r="I84" s="507">
        <f>+I39+I81</f>
        <v>41669557.700000003</v>
      </c>
      <c r="J84" s="507"/>
      <c r="K84" s="507"/>
      <c r="L84" s="507">
        <f t="shared" ref="L84:W84" si="10">+L39+L81</f>
        <v>9257211</v>
      </c>
      <c r="M84" s="507">
        <f t="shared" si="10"/>
        <v>2353200</v>
      </c>
      <c r="N84" s="507">
        <f t="shared" si="10"/>
        <v>0</v>
      </c>
      <c r="O84" s="507">
        <f t="shared" si="10"/>
        <v>1003000</v>
      </c>
      <c r="P84" s="507">
        <f t="shared" si="10"/>
        <v>4069875</v>
      </c>
      <c r="Q84" s="507">
        <f t="shared" si="10"/>
        <v>1262620</v>
      </c>
      <c r="R84" s="507">
        <f t="shared" si="10"/>
        <v>9341440</v>
      </c>
      <c r="S84" s="507">
        <f t="shared" si="10"/>
        <v>6314000</v>
      </c>
      <c r="T84" s="507">
        <f t="shared" si="10"/>
        <v>0</v>
      </c>
      <c r="U84" s="507">
        <f t="shared" si="10"/>
        <v>234000</v>
      </c>
      <c r="V84" s="507">
        <f t="shared" si="10"/>
        <v>2223840</v>
      </c>
      <c r="W84" s="507">
        <f t="shared" si="10"/>
        <v>569600</v>
      </c>
      <c r="X84" s="508"/>
    </row>
    <row r="85" spans="2:24" hidden="1"/>
    <row r="86" spans="2:24" hidden="1"/>
    <row r="87" spans="2:24" hidden="1"/>
    <row r="88" spans="2:24" hidden="1"/>
    <row r="89" spans="2:24" hidden="1"/>
    <row r="90" spans="2:24" ht="15" hidden="1">
      <c r="B90" s="1096"/>
      <c r="C90" s="1096"/>
      <c r="D90" s="1096"/>
      <c r="E90" s="1096"/>
      <c r="F90" s="1096"/>
      <c r="G90" s="509"/>
      <c r="H90" s="509"/>
      <c r="M90" s="385">
        <v>43070</v>
      </c>
      <c r="N90" s="385">
        <v>43077</v>
      </c>
      <c r="O90" s="385">
        <v>43084</v>
      </c>
      <c r="P90" s="385">
        <v>43091</v>
      </c>
      <c r="Q90" s="385">
        <v>43098</v>
      </c>
      <c r="S90" s="385">
        <v>43070</v>
      </c>
      <c r="T90" s="385">
        <v>43077</v>
      </c>
      <c r="U90" s="385">
        <v>43084</v>
      </c>
      <c r="V90" s="385">
        <v>43091</v>
      </c>
      <c r="W90" s="385">
        <v>43098</v>
      </c>
    </row>
    <row r="91" spans="2:24" ht="37.5" hidden="1" customHeight="1">
      <c r="B91" s="386"/>
      <c r="C91" s="386"/>
      <c r="D91" s="386"/>
      <c r="E91" s="387"/>
      <c r="F91" s="388"/>
      <c r="G91" s="489"/>
      <c r="H91" s="489"/>
      <c r="I91" s="389" t="s">
        <v>303</v>
      </c>
      <c r="J91" s="389"/>
      <c r="K91" s="389"/>
      <c r="L91" s="390" t="s">
        <v>377</v>
      </c>
      <c r="M91" s="390" t="s">
        <v>304</v>
      </c>
      <c r="N91" s="390" t="s">
        <v>305</v>
      </c>
      <c r="O91" s="390" t="s">
        <v>306</v>
      </c>
      <c r="P91" s="390" t="s">
        <v>307</v>
      </c>
      <c r="Q91" s="390" t="s">
        <v>308</v>
      </c>
      <c r="R91" s="390" t="s">
        <v>377</v>
      </c>
      <c r="S91" s="390" t="s">
        <v>304</v>
      </c>
      <c r="T91" s="390" t="s">
        <v>305</v>
      </c>
      <c r="U91" s="390" t="s">
        <v>306</v>
      </c>
      <c r="V91" s="390" t="s">
        <v>307</v>
      </c>
      <c r="W91" s="390" t="s">
        <v>308</v>
      </c>
      <c r="X91" s="390" t="s">
        <v>311</v>
      </c>
    </row>
    <row r="92" spans="2:24" ht="22.5" hidden="1" customHeight="1" outlineLevel="1">
      <c r="B92" s="428"/>
      <c r="C92" s="428"/>
      <c r="D92" s="428"/>
      <c r="E92" s="428"/>
      <c r="I92" s="1097">
        <f>1150000*$I$1</f>
        <v>0</v>
      </c>
      <c r="J92" s="510"/>
      <c r="K92" s="510"/>
      <c r="L92" s="393">
        <f t="shared" ref="L92:L99" si="11">SUM(M92:Q92)</f>
        <v>0</v>
      </c>
      <c r="M92" s="400"/>
      <c r="N92" s="400"/>
      <c r="O92" s="400"/>
      <c r="P92" s="400"/>
      <c r="Q92" s="400"/>
      <c r="R92" s="393">
        <f t="shared" ref="R92:R99" si="12">SUM(S92:W92)</f>
        <v>0</v>
      </c>
      <c r="S92" s="400"/>
      <c r="T92" s="400"/>
      <c r="U92" s="400"/>
      <c r="V92" s="400"/>
      <c r="W92" s="400"/>
    </row>
    <row r="93" spans="2:24" ht="22.5" hidden="1" customHeight="1" outlineLevel="1">
      <c r="B93" s="428"/>
      <c r="C93" s="428"/>
      <c r="D93" s="428"/>
      <c r="E93" s="428"/>
      <c r="I93" s="1097"/>
      <c r="J93" s="510"/>
      <c r="K93" s="510"/>
      <c r="L93" s="393">
        <f t="shared" si="11"/>
        <v>0</v>
      </c>
      <c r="M93" s="400"/>
      <c r="N93" s="400"/>
      <c r="O93" s="400"/>
      <c r="P93" s="400"/>
      <c r="Q93" s="400"/>
      <c r="R93" s="393">
        <f t="shared" si="12"/>
        <v>0</v>
      </c>
      <c r="S93" s="400"/>
      <c r="T93" s="400"/>
      <c r="U93" s="400"/>
      <c r="V93" s="400"/>
      <c r="W93" s="400"/>
    </row>
    <row r="94" spans="2:24" ht="22.5" hidden="1" customHeight="1" outlineLevel="1">
      <c r="B94" s="428"/>
      <c r="C94" s="428"/>
      <c r="D94" s="428"/>
      <c r="E94" s="428"/>
      <c r="I94" s="1097"/>
      <c r="J94" s="510"/>
      <c r="K94" s="510"/>
      <c r="L94" s="393">
        <f t="shared" si="11"/>
        <v>0</v>
      </c>
      <c r="M94" s="400"/>
      <c r="N94" s="400"/>
      <c r="O94" s="400"/>
      <c r="P94" s="400"/>
      <c r="Q94" s="400"/>
      <c r="R94" s="393">
        <f t="shared" si="12"/>
        <v>0</v>
      </c>
      <c r="S94" s="400"/>
      <c r="T94" s="400"/>
      <c r="U94" s="400"/>
      <c r="V94" s="400"/>
      <c r="W94" s="400"/>
    </row>
    <row r="95" spans="2:24" ht="22.5" hidden="1" customHeight="1" outlineLevel="1">
      <c r="B95" s="428"/>
      <c r="C95" s="428"/>
      <c r="D95" s="428"/>
      <c r="E95" s="428"/>
      <c r="I95" s="431"/>
      <c r="J95" s="431"/>
      <c r="K95" s="431"/>
      <c r="L95" s="393">
        <f t="shared" si="11"/>
        <v>0</v>
      </c>
      <c r="M95" s="400"/>
      <c r="N95" s="400"/>
      <c r="O95" s="400"/>
      <c r="P95" s="400"/>
      <c r="Q95" s="400"/>
      <c r="R95" s="393">
        <f t="shared" si="12"/>
        <v>0</v>
      </c>
      <c r="S95" s="400"/>
      <c r="T95" s="400"/>
      <c r="U95" s="400"/>
      <c r="V95" s="400"/>
      <c r="W95" s="400"/>
    </row>
    <row r="96" spans="2:24" ht="22.5" hidden="1" customHeight="1" outlineLevel="1">
      <c r="B96" s="428"/>
      <c r="C96" s="428"/>
      <c r="D96" s="428"/>
      <c r="E96" s="428"/>
      <c r="I96" s="431">
        <f>600000*$I$1</f>
        <v>0</v>
      </c>
      <c r="J96" s="431"/>
      <c r="K96" s="431"/>
      <c r="L96" s="393">
        <f t="shared" si="11"/>
        <v>0</v>
      </c>
      <c r="M96" s="400"/>
      <c r="N96" s="400"/>
      <c r="O96" s="400"/>
      <c r="P96" s="400"/>
      <c r="Q96" s="400"/>
      <c r="R96" s="393">
        <f t="shared" si="12"/>
        <v>0</v>
      </c>
      <c r="S96" s="400"/>
      <c r="T96" s="400"/>
      <c r="U96" s="400"/>
      <c r="V96" s="400"/>
      <c r="W96" s="400"/>
    </row>
    <row r="97" spans="2:24" ht="22.5" hidden="1" customHeight="1" outlineLevel="1">
      <c r="B97" s="428"/>
      <c r="C97" s="428"/>
      <c r="D97" s="428"/>
      <c r="E97" s="428"/>
      <c r="I97" s="431">
        <f>50000*$I$1</f>
        <v>0</v>
      </c>
      <c r="J97" s="431"/>
      <c r="K97" s="431"/>
      <c r="L97" s="393">
        <f t="shared" si="11"/>
        <v>0</v>
      </c>
      <c r="M97" s="400"/>
      <c r="N97" s="400"/>
      <c r="O97" s="400"/>
      <c r="P97" s="400"/>
      <c r="Q97" s="400"/>
      <c r="R97" s="393">
        <f t="shared" si="12"/>
        <v>0</v>
      </c>
      <c r="S97" s="400"/>
      <c r="T97" s="400"/>
      <c r="U97" s="400"/>
      <c r="V97" s="400"/>
      <c r="W97" s="400"/>
    </row>
    <row r="98" spans="2:24" ht="22.5" hidden="1" customHeight="1" outlineLevel="1">
      <c r="B98" s="428"/>
      <c r="C98" s="428"/>
      <c r="D98" s="428"/>
      <c r="E98" s="428"/>
      <c r="I98" s="431">
        <f>10000*$I$1</f>
        <v>0</v>
      </c>
      <c r="J98" s="431"/>
      <c r="K98" s="431"/>
      <c r="L98" s="393">
        <f t="shared" si="11"/>
        <v>0</v>
      </c>
      <c r="M98" s="400"/>
      <c r="N98" s="400"/>
      <c r="O98" s="400"/>
      <c r="P98" s="400"/>
      <c r="Q98" s="400"/>
      <c r="R98" s="393">
        <f t="shared" si="12"/>
        <v>0</v>
      </c>
      <c r="S98" s="400"/>
      <c r="T98" s="400"/>
      <c r="U98" s="400"/>
      <c r="V98" s="400"/>
      <c r="W98" s="400"/>
    </row>
    <row r="99" spans="2:24" ht="22.5" hidden="1" customHeight="1" outlineLevel="1">
      <c r="B99" s="428"/>
      <c r="C99" s="428"/>
      <c r="D99" s="428"/>
      <c r="E99" s="428"/>
      <c r="I99" s="431">
        <f>90000*$I$1</f>
        <v>0</v>
      </c>
      <c r="J99" s="431"/>
      <c r="K99" s="431"/>
      <c r="L99" s="393">
        <f t="shared" si="11"/>
        <v>0</v>
      </c>
      <c r="M99" s="400"/>
      <c r="N99" s="400"/>
      <c r="O99" s="400"/>
      <c r="P99" s="400"/>
      <c r="Q99" s="400"/>
      <c r="R99" s="393">
        <f t="shared" si="12"/>
        <v>0</v>
      </c>
      <c r="S99" s="400"/>
      <c r="T99" s="400"/>
      <c r="U99" s="400"/>
      <c r="V99" s="400"/>
      <c r="W99" s="400"/>
    </row>
    <row r="100" spans="2:24" ht="22.5" hidden="1" customHeight="1" outlineLevel="1">
      <c r="B100" s="407"/>
      <c r="C100" s="407"/>
      <c r="D100" s="421"/>
      <c r="E100" s="422"/>
      <c r="F100" s="312"/>
      <c r="G100" s="511"/>
      <c r="H100" s="511"/>
      <c r="I100" s="431"/>
      <c r="J100" s="431"/>
      <c r="K100" s="431"/>
      <c r="L100" s="512"/>
      <c r="M100" s="400"/>
      <c r="N100" s="400"/>
      <c r="O100" s="400"/>
      <c r="P100" s="400"/>
      <c r="Q100" s="400"/>
      <c r="R100" s="512"/>
      <c r="S100" s="400"/>
      <c r="T100" s="400"/>
      <c r="U100" s="400"/>
      <c r="V100" s="400"/>
      <c r="W100" s="400"/>
      <c r="X100" s="400"/>
    </row>
    <row r="101" spans="2:24" ht="22.5" hidden="1" customHeight="1">
      <c r="B101" s="408"/>
      <c r="C101" s="409"/>
      <c r="D101" s="410"/>
      <c r="E101" s="411"/>
      <c r="F101" s="412"/>
      <c r="G101" s="478"/>
      <c r="H101" s="478"/>
      <c r="I101" s="413">
        <f>SUM(I92:I100)</f>
        <v>0</v>
      </c>
      <c r="J101" s="413"/>
      <c r="K101" s="413"/>
      <c r="L101" s="414">
        <f t="shared" ref="L101:W101" si="13">SUM(L92:L100)</f>
        <v>0</v>
      </c>
      <c r="M101" s="414">
        <f t="shared" si="13"/>
        <v>0</v>
      </c>
      <c r="N101" s="414">
        <f t="shared" si="13"/>
        <v>0</v>
      </c>
      <c r="O101" s="414">
        <f t="shared" si="13"/>
        <v>0</v>
      </c>
      <c r="P101" s="414">
        <f t="shared" si="13"/>
        <v>0</v>
      </c>
      <c r="Q101" s="414">
        <f t="shared" si="13"/>
        <v>0</v>
      </c>
      <c r="R101" s="414">
        <f t="shared" si="13"/>
        <v>0</v>
      </c>
      <c r="S101" s="414">
        <f t="shared" si="13"/>
        <v>0</v>
      </c>
      <c r="T101" s="414">
        <f t="shared" si="13"/>
        <v>0</v>
      </c>
      <c r="U101" s="414">
        <f t="shared" si="13"/>
        <v>0</v>
      </c>
      <c r="V101" s="414">
        <f t="shared" si="13"/>
        <v>0</v>
      </c>
      <c r="W101" s="414">
        <f t="shared" si="13"/>
        <v>0</v>
      </c>
      <c r="X101" s="415"/>
    </row>
  </sheetData>
  <mergeCells count="32">
    <mergeCell ref="B90:F90"/>
    <mergeCell ref="I92:I94"/>
    <mergeCell ref="D32:D34"/>
    <mergeCell ref="G32:G34"/>
    <mergeCell ref="H32:H34"/>
    <mergeCell ref="D35:D36"/>
    <mergeCell ref="B52:F52"/>
    <mergeCell ref="D26:D27"/>
    <mergeCell ref="G26:G27"/>
    <mergeCell ref="H26:H27"/>
    <mergeCell ref="X26:X27"/>
    <mergeCell ref="D28:D29"/>
    <mergeCell ref="G28:G29"/>
    <mergeCell ref="H28:H29"/>
    <mergeCell ref="X28:X29"/>
    <mergeCell ref="X14:X15"/>
    <mergeCell ref="D18:D21"/>
    <mergeCell ref="G18:G21"/>
    <mergeCell ref="H18:H21"/>
    <mergeCell ref="X18:X21"/>
    <mergeCell ref="X5:X7"/>
    <mergeCell ref="D10:D11"/>
    <mergeCell ref="G10:G11"/>
    <mergeCell ref="H10:H11"/>
    <mergeCell ref="X10:X11"/>
    <mergeCell ref="B1:F1"/>
    <mergeCell ref="D5:D7"/>
    <mergeCell ref="D14:D15"/>
    <mergeCell ref="G5:G7"/>
    <mergeCell ref="H5:H7"/>
    <mergeCell ref="G14:G15"/>
    <mergeCell ref="H14:H1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abSelected="1" workbookViewId="0">
      <selection activeCell="B4" sqref="B4:D4"/>
    </sheetView>
  </sheetViews>
  <sheetFormatPr defaultRowHeight="12.75"/>
  <cols>
    <col min="1" max="1" width="5.5703125" bestFit="1" customWidth="1"/>
    <col min="2" max="2" width="14.7109375" customWidth="1"/>
    <col min="3" max="3" width="27.140625" customWidth="1"/>
    <col min="4" max="4" width="14.85546875" customWidth="1"/>
    <col min="5" max="5" width="17.85546875" customWidth="1"/>
    <col min="7" max="7" width="13.5703125" customWidth="1"/>
    <col min="8" max="8" width="23.42578125" customWidth="1"/>
    <col min="12" max="12" width="34.5703125" customWidth="1"/>
  </cols>
  <sheetData>
    <row r="1" spans="1:8">
      <c r="A1" s="1107" t="s">
        <v>559</v>
      </c>
      <c r="B1" s="1108"/>
      <c r="C1" s="1108"/>
      <c r="D1" s="1109"/>
    </row>
    <row r="2" spans="1:8">
      <c r="A2" s="1110" t="s">
        <v>553</v>
      </c>
      <c r="B2" s="1111" t="s">
        <v>556</v>
      </c>
      <c r="C2" s="1112"/>
      <c r="D2" s="1113"/>
    </row>
    <row r="3" spans="1:8">
      <c r="A3" s="1110" t="s">
        <v>550</v>
      </c>
      <c r="B3" s="1111" t="s">
        <v>557</v>
      </c>
      <c r="C3" s="1112"/>
      <c r="D3" s="1113"/>
    </row>
    <row r="4" spans="1:8" ht="13.5" thickBot="1">
      <c r="A4" s="1114" t="s">
        <v>555</v>
      </c>
      <c r="B4" s="1115" t="s">
        <v>558</v>
      </c>
      <c r="C4" s="1116"/>
      <c r="D4" s="1117"/>
    </row>
    <row r="5" spans="1:8" ht="23.25">
      <c r="A5" s="1106" t="s">
        <v>541</v>
      </c>
      <c r="B5" s="1106"/>
      <c r="C5" s="1106"/>
      <c r="D5" s="1106"/>
      <c r="E5" s="1101"/>
      <c r="F5" s="1101"/>
      <c r="G5" s="1101"/>
      <c r="H5" s="1101"/>
    </row>
    <row r="6" spans="1:8" ht="31.5">
      <c r="A6" s="1102" t="s">
        <v>542</v>
      </c>
      <c r="B6" s="1102" t="s">
        <v>543</v>
      </c>
      <c r="C6" s="1102" t="s">
        <v>544</v>
      </c>
      <c r="D6" s="1102" t="s">
        <v>545</v>
      </c>
      <c r="E6" s="1102" t="s">
        <v>546</v>
      </c>
      <c r="F6" s="1102" t="s">
        <v>205</v>
      </c>
      <c r="G6" s="1102" t="s">
        <v>547</v>
      </c>
      <c r="H6" s="1102" t="s">
        <v>548</v>
      </c>
    </row>
    <row r="7" spans="1:8">
      <c r="A7" s="1104">
        <v>1</v>
      </c>
      <c r="B7" s="1104" t="s">
        <v>413</v>
      </c>
      <c r="C7" s="1104" t="s">
        <v>549</v>
      </c>
      <c r="D7" s="1104" t="s">
        <v>550</v>
      </c>
      <c r="E7" s="1105">
        <v>43157</v>
      </c>
      <c r="F7" s="1104" t="s">
        <v>551</v>
      </c>
      <c r="G7" s="1104"/>
      <c r="H7" s="1104" t="s">
        <v>450</v>
      </c>
    </row>
    <row r="8" spans="1:8">
      <c r="A8" s="1104">
        <v>2</v>
      </c>
      <c r="B8" s="1104" t="s">
        <v>414</v>
      </c>
      <c r="C8" s="1104" t="s">
        <v>552</v>
      </c>
      <c r="D8" s="1104" t="s">
        <v>553</v>
      </c>
      <c r="E8" s="1105">
        <v>43153</v>
      </c>
      <c r="F8" s="1104" t="s">
        <v>450</v>
      </c>
      <c r="G8" s="1104"/>
      <c r="H8" s="1104" t="s">
        <v>554</v>
      </c>
    </row>
    <row r="9" spans="1:8">
      <c r="A9" s="1103"/>
      <c r="B9" s="1103"/>
      <c r="C9" s="1103"/>
      <c r="D9" s="1103"/>
      <c r="E9" s="1103"/>
      <c r="F9" s="1103"/>
      <c r="G9" s="1103"/>
      <c r="H9" s="1103"/>
    </row>
    <row r="10" spans="1:8">
      <c r="A10" s="1103"/>
      <c r="B10" s="1103"/>
      <c r="C10" s="1103"/>
      <c r="D10" s="1103"/>
      <c r="E10" s="1103"/>
      <c r="F10" s="1103"/>
      <c r="G10" s="1103"/>
      <c r="H10" s="1103"/>
    </row>
    <row r="11" spans="1:8">
      <c r="A11" s="1103"/>
      <c r="B11" s="1103"/>
      <c r="C11" s="1103"/>
      <c r="D11" s="1103"/>
      <c r="E11" s="1103"/>
      <c r="F11" s="1103"/>
      <c r="G11" s="1103"/>
      <c r="H11" s="1103"/>
    </row>
    <row r="12" spans="1:8">
      <c r="A12" s="1103"/>
      <c r="B12" s="1103"/>
      <c r="C12" s="1103"/>
      <c r="D12" s="1103"/>
      <c r="E12" s="1103"/>
      <c r="F12" s="1103"/>
      <c r="G12" s="1103"/>
      <c r="H12" s="1103"/>
    </row>
    <row r="13" spans="1:8">
      <c r="A13" s="1103"/>
      <c r="B13" s="1103"/>
      <c r="C13" s="1103"/>
      <c r="D13" s="1103"/>
      <c r="E13" s="1103"/>
      <c r="F13" s="1103"/>
      <c r="G13" s="1103"/>
      <c r="H13" s="1103"/>
    </row>
    <row r="14" spans="1:8">
      <c r="A14" s="1103"/>
      <c r="B14" s="1103"/>
      <c r="C14" s="1103"/>
      <c r="D14" s="1103"/>
      <c r="E14" s="1103"/>
      <c r="F14" s="1103"/>
      <c r="G14" s="1103"/>
      <c r="H14" s="1103"/>
    </row>
    <row r="15" spans="1:8">
      <c r="A15" s="1103"/>
      <c r="B15" s="1103"/>
      <c r="C15" s="1103"/>
      <c r="D15" s="1103"/>
      <c r="E15" s="1103"/>
      <c r="F15" s="1103"/>
      <c r="G15" s="1103"/>
      <c r="H15" s="1103"/>
    </row>
    <row r="16" spans="1:8">
      <c r="A16" s="1103"/>
      <c r="B16" s="1103"/>
      <c r="C16" s="1103"/>
      <c r="D16" s="1103"/>
      <c r="E16" s="1103"/>
      <c r="F16" s="1103"/>
      <c r="G16" s="1103"/>
      <c r="H16" s="1103"/>
    </row>
    <row r="17" spans="1:8">
      <c r="A17" s="1103"/>
      <c r="B17" s="1103"/>
      <c r="C17" s="1103"/>
      <c r="D17" s="1103"/>
      <c r="E17" s="1103"/>
      <c r="F17" s="1103"/>
      <c r="G17" s="1103"/>
      <c r="H17" s="1103"/>
    </row>
    <row r="18" spans="1:8">
      <c r="A18" s="1103"/>
      <c r="B18" s="1103"/>
      <c r="C18" s="1103"/>
      <c r="D18" s="1103"/>
      <c r="E18" s="1103"/>
      <c r="F18" s="1103"/>
      <c r="G18" s="1103"/>
      <c r="H18" s="1103"/>
    </row>
    <row r="19" spans="1:8">
      <c r="A19" s="1103"/>
      <c r="B19" s="1103"/>
      <c r="C19" s="1103"/>
      <c r="D19" s="1103"/>
      <c r="E19" s="1103"/>
      <c r="F19" s="1103"/>
      <c r="G19" s="1103"/>
      <c r="H19" s="1103"/>
    </row>
    <row r="20" spans="1:8">
      <c r="A20" s="1103"/>
      <c r="B20" s="1103"/>
      <c r="C20" s="1103"/>
      <c r="D20" s="1103"/>
      <c r="E20" s="1103"/>
      <c r="F20" s="1103"/>
      <c r="G20" s="1103"/>
      <c r="H20" s="1103"/>
    </row>
    <row r="21" spans="1:8">
      <c r="A21" s="1103"/>
      <c r="B21" s="1103"/>
      <c r="C21" s="1103"/>
      <c r="D21" s="1103"/>
      <c r="E21" s="1103"/>
      <c r="F21" s="1103"/>
      <c r="G21" s="1103"/>
      <c r="H21" s="1103"/>
    </row>
    <row r="22" spans="1:8">
      <c r="A22" s="1103"/>
      <c r="B22" s="1103"/>
      <c r="C22" s="1103"/>
      <c r="D22" s="1103"/>
      <c r="E22" s="1103"/>
      <c r="F22" s="1103"/>
      <c r="G22" s="1103"/>
      <c r="H22" s="1103"/>
    </row>
    <row r="23" spans="1:8">
      <c r="A23" s="1103"/>
      <c r="B23" s="1103"/>
      <c r="C23" s="1103"/>
      <c r="D23" s="1103"/>
      <c r="E23" s="1103"/>
      <c r="F23" s="1103"/>
      <c r="G23" s="1103"/>
      <c r="H23" s="1103"/>
    </row>
    <row r="24" spans="1:8">
      <c r="A24" s="1103"/>
      <c r="B24" s="1103"/>
      <c r="C24" s="1103"/>
      <c r="D24" s="1103"/>
      <c r="E24" s="1103"/>
      <c r="F24" s="1103"/>
      <c r="G24" s="1103"/>
      <c r="H24" s="1103"/>
    </row>
    <row r="25" spans="1:8">
      <c r="A25" s="1103"/>
      <c r="B25" s="1103"/>
      <c r="C25" s="1103"/>
      <c r="D25" s="1103"/>
      <c r="E25" s="1103"/>
      <c r="F25" s="1103"/>
      <c r="G25" s="1103"/>
      <c r="H25" s="1103"/>
    </row>
    <row r="26" spans="1:8">
      <c r="A26" s="1103"/>
      <c r="B26" s="1103"/>
      <c r="C26" s="1103"/>
      <c r="D26" s="1103"/>
      <c r="E26" s="1103"/>
      <c r="F26" s="1103"/>
      <c r="G26" s="1103"/>
      <c r="H26" s="1103"/>
    </row>
    <row r="27" spans="1:8">
      <c r="A27" s="1103"/>
      <c r="B27" s="1103"/>
      <c r="C27" s="1103"/>
      <c r="D27" s="1103"/>
      <c r="E27" s="1103"/>
      <c r="F27" s="1103"/>
      <c r="G27" s="1103"/>
      <c r="H27" s="1103"/>
    </row>
    <row r="28" spans="1:8">
      <c r="A28" s="1103"/>
      <c r="B28" s="1103"/>
      <c r="C28" s="1103"/>
      <c r="D28" s="1103"/>
      <c r="E28" s="1103"/>
      <c r="F28" s="1103"/>
      <c r="G28" s="1103"/>
      <c r="H28" s="1103"/>
    </row>
    <row r="29" spans="1:8">
      <c r="A29" s="1103"/>
      <c r="B29" s="1103"/>
      <c r="C29" s="1103"/>
      <c r="D29" s="1103"/>
      <c r="E29" s="1103"/>
      <c r="F29" s="1103"/>
      <c r="G29" s="1103"/>
      <c r="H29" s="1103"/>
    </row>
    <row r="30" spans="1:8">
      <c r="A30" s="1103"/>
      <c r="B30" s="1103"/>
      <c r="C30" s="1103"/>
      <c r="D30" s="1103"/>
      <c r="E30" s="1103"/>
      <c r="F30" s="1103"/>
      <c r="G30" s="1103"/>
      <c r="H30" s="1103"/>
    </row>
    <row r="31" spans="1:8">
      <c r="A31" s="1103"/>
      <c r="B31" s="1103"/>
      <c r="C31" s="1103"/>
      <c r="D31" s="1103"/>
      <c r="E31" s="1103"/>
      <c r="F31" s="1103"/>
      <c r="G31" s="1103"/>
      <c r="H31" s="1103"/>
    </row>
    <row r="32" spans="1:8">
      <c r="A32" s="1103"/>
      <c r="B32" s="1103"/>
      <c r="C32" s="1103"/>
      <c r="D32" s="1103"/>
      <c r="E32" s="1103"/>
      <c r="F32" s="1103"/>
      <c r="G32" s="1103"/>
      <c r="H32" s="1103"/>
    </row>
    <row r="33" spans="1:8">
      <c r="A33" s="1103"/>
      <c r="B33" s="1103"/>
      <c r="C33" s="1103"/>
      <c r="D33" s="1103"/>
      <c r="E33" s="1103"/>
      <c r="F33" s="1103"/>
      <c r="G33" s="1103"/>
      <c r="H33" s="1103"/>
    </row>
    <row r="34" spans="1:8">
      <c r="A34" s="1103"/>
      <c r="B34" s="1103"/>
      <c r="C34" s="1103"/>
      <c r="D34" s="1103"/>
      <c r="E34" s="1103"/>
      <c r="F34" s="1103"/>
      <c r="G34" s="1103"/>
      <c r="H34" s="1103"/>
    </row>
    <row r="35" spans="1:8">
      <c r="A35" s="1103"/>
      <c r="B35" s="1103"/>
      <c r="C35" s="1103"/>
      <c r="D35" s="1103"/>
      <c r="E35" s="1103"/>
      <c r="F35" s="1103"/>
      <c r="G35" s="1103"/>
      <c r="H35" s="1103"/>
    </row>
    <row r="36" spans="1:8">
      <c r="A36" s="1103"/>
      <c r="B36" s="1103"/>
      <c r="C36" s="1103"/>
      <c r="D36" s="1103"/>
      <c r="E36" s="1103"/>
      <c r="F36" s="1103"/>
      <c r="G36" s="1103"/>
      <c r="H36" s="1103"/>
    </row>
    <row r="37" spans="1:8">
      <c r="A37" s="1103"/>
      <c r="B37" s="1103"/>
      <c r="C37" s="1103"/>
      <c r="D37" s="1103"/>
      <c r="E37" s="1103"/>
      <c r="F37" s="1103"/>
      <c r="G37" s="1103"/>
      <c r="H37" s="1103"/>
    </row>
    <row r="38" spans="1:8">
      <c r="A38" s="1103"/>
      <c r="B38" s="1103"/>
      <c r="C38" s="1103"/>
      <c r="D38" s="1103"/>
      <c r="E38" s="1103"/>
      <c r="F38" s="1103"/>
      <c r="G38" s="1103"/>
      <c r="H38" s="1103"/>
    </row>
    <row r="39" spans="1:8">
      <c r="A39" s="1103"/>
      <c r="B39" s="1103"/>
      <c r="C39" s="1103"/>
      <c r="D39" s="1103"/>
      <c r="E39" s="1103"/>
      <c r="F39" s="1103"/>
      <c r="G39" s="1103"/>
      <c r="H39" s="1103"/>
    </row>
    <row r="40" spans="1:8">
      <c r="A40" s="1103"/>
      <c r="B40" s="1103"/>
      <c r="C40" s="1103"/>
      <c r="D40" s="1103"/>
      <c r="E40" s="1103"/>
      <c r="F40" s="1103"/>
      <c r="G40" s="1103"/>
      <c r="H40" s="1103"/>
    </row>
    <row r="41" spans="1:8">
      <c r="A41" s="1103"/>
      <c r="B41" s="1103"/>
      <c r="C41" s="1103"/>
      <c r="D41" s="1103"/>
      <c r="E41" s="1103"/>
      <c r="F41" s="1103"/>
      <c r="G41" s="1103"/>
      <c r="H41" s="1103"/>
    </row>
    <row r="42" spans="1:8">
      <c r="A42" s="1103"/>
      <c r="B42" s="1103"/>
      <c r="C42" s="1103"/>
      <c r="D42" s="1103"/>
      <c r="E42" s="1103"/>
      <c r="F42" s="1103"/>
      <c r="G42" s="1103"/>
      <c r="H42" s="1103"/>
    </row>
    <row r="43" spans="1:8">
      <c r="A43" s="1103"/>
      <c r="B43" s="1103"/>
      <c r="C43" s="1103"/>
      <c r="D43" s="1103"/>
      <c r="E43" s="1103"/>
      <c r="F43" s="1103"/>
      <c r="G43" s="1103"/>
      <c r="H43" s="1103"/>
    </row>
    <row r="44" spans="1:8">
      <c r="A44" s="1103"/>
      <c r="B44" s="1103"/>
      <c r="C44" s="1103"/>
      <c r="D44" s="1103"/>
      <c r="E44" s="1103"/>
      <c r="F44" s="1103"/>
      <c r="G44" s="1103"/>
      <c r="H44" s="1103"/>
    </row>
    <row r="45" spans="1:8">
      <c r="A45" s="1103"/>
      <c r="B45" s="1103"/>
      <c r="C45" s="1103"/>
      <c r="D45" s="1103"/>
      <c r="E45" s="1103"/>
      <c r="F45" s="1103"/>
      <c r="G45" s="1103"/>
      <c r="H45" s="1103"/>
    </row>
    <row r="46" spans="1:8">
      <c r="A46" s="1103"/>
      <c r="B46" s="1103"/>
      <c r="C46" s="1103"/>
      <c r="D46" s="1103"/>
      <c r="E46" s="1103"/>
      <c r="F46" s="1103"/>
      <c r="G46" s="1103"/>
      <c r="H46" s="1103"/>
    </row>
    <row r="47" spans="1:8">
      <c r="A47" s="1103"/>
      <c r="B47" s="1103"/>
      <c r="C47" s="1103"/>
      <c r="D47" s="1103"/>
      <c r="E47" s="1103"/>
      <c r="F47" s="1103"/>
      <c r="G47" s="1103"/>
      <c r="H47" s="1103"/>
    </row>
    <row r="48" spans="1:8">
      <c r="A48" s="1103"/>
      <c r="B48" s="1103"/>
      <c r="C48" s="1103"/>
      <c r="D48" s="1103"/>
      <c r="E48" s="1103"/>
      <c r="F48" s="1103"/>
      <c r="G48" s="1103"/>
      <c r="H48" s="1103"/>
    </row>
    <row r="49" spans="1:8">
      <c r="A49" s="1103"/>
      <c r="B49" s="1103"/>
      <c r="C49" s="1103"/>
      <c r="D49" s="1103"/>
      <c r="E49" s="1103"/>
      <c r="F49" s="1103"/>
      <c r="G49" s="1103"/>
      <c r="H49" s="1103"/>
    </row>
    <row r="50" spans="1:8">
      <c r="A50" s="1103"/>
      <c r="B50" s="1103"/>
      <c r="C50" s="1103"/>
      <c r="D50" s="1103"/>
      <c r="E50" s="1103"/>
      <c r="F50" s="1103"/>
      <c r="G50" s="1103"/>
      <c r="H50" s="1103"/>
    </row>
  </sheetData>
  <mergeCells count="5">
    <mergeCell ref="A5:H5"/>
    <mergeCell ref="A1:D1"/>
    <mergeCell ref="B4:D4"/>
    <mergeCell ref="B2:D2"/>
    <mergeCell ref="B3:D3"/>
  </mergeCells>
  <dataValidations count="3">
    <dataValidation type="list" allowBlank="1" showInputMessage="1" showErrorMessage="1" sqref="F7:F8">
      <formula1>"Open, WIP, Closed, R&amp;D"</formula1>
    </dataValidation>
    <dataValidation type="list" allowBlank="1" showInputMessage="1" showErrorMessage="1" sqref="B7:B8">
      <formula1>"Development, UAT"</formula1>
    </dataValidation>
    <dataValidation type="list" allowBlank="1" showInputMessage="1" showErrorMessage="1" sqref="D7:D50">
      <formula1>"S1, S2, S3"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Current POC's n Projects</vt:lpstr>
      <vt:lpstr>Sheet2</vt:lpstr>
      <vt:lpstr>Consolidated Sheet</vt:lpstr>
      <vt:lpstr>Sheet3</vt:lpstr>
      <vt:lpstr>Project percentage</vt:lpstr>
      <vt:lpstr>Weekly Status Report</vt:lpstr>
      <vt:lpstr>Change Request Logs</vt:lpstr>
      <vt:lpstr>Projection List</vt:lpstr>
      <vt:lpstr>Defect Logs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dc:creator>
  <cp:lastModifiedBy>Ish Tripathi</cp:lastModifiedBy>
  <cp:lastPrinted>2017-12-13T10:00:21Z</cp:lastPrinted>
  <dcterms:created xsi:type="dcterms:W3CDTF">2016-11-08T07:50:40Z</dcterms:created>
  <dcterms:modified xsi:type="dcterms:W3CDTF">2018-02-26T06:15:31Z</dcterms:modified>
</cp:coreProperties>
</file>