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ng626/Dropbox/PNNL/SysSynBio/CancerBio/sheddingModel/"/>
    </mc:Choice>
  </mc:AlternateContent>
  <xr:revisionPtr revIDLastSave="0" documentId="13_ncr:1_{1FF06A7B-E6C6-7A44-A0D9-1162E333C6FD}" xr6:coauthVersionLast="45" xr6:coauthVersionMax="45" xr10:uidLastSave="{00000000-0000-0000-0000-000000000000}"/>
  <bookViews>
    <workbookView xWindow="3860" yWindow="1860" windowWidth="44180" windowHeight="26800" tabRatio="500" xr2:uid="{00000000-000D-0000-FFFF-FFFF00000000}"/>
  </bookViews>
  <sheets>
    <sheet name="Params" sheetId="1" r:id="rId1"/>
    <sheet name="K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9" i="1"/>
  <c r="D46" i="1"/>
  <c r="H36" i="1"/>
  <c r="H35" i="1"/>
  <c r="H30" i="1"/>
  <c r="H38" i="1"/>
  <c r="H8" i="1"/>
  <c r="J88" i="1"/>
  <c r="J56" i="1"/>
  <c r="J48" i="1"/>
  <c r="J47" i="1"/>
  <c r="J46" i="1"/>
  <c r="J45" i="1"/>
  <c r="M44" i="1"/>
  <c r="H87" i="1"/>
  <c r="J60" i="1"/>
  <c r="J59" i="1"/>
  <c r="J61" i="1"/>
  <c r="J83" i="1"/>
  <c r="J82" i="1"/>
  <c r="J81" i="1"/>
  <c r="J80" i="1"/>
  <c r="J77" i="1"/>
  <c r="J76" i="1"/>
  <c r="J53" i="1" l="1"/>
  <c r="H32" i="1"/>
  <c r="H11" i="1"/>
  <c r="H13" i="1"/>
  <c r="H17" i="1"/>
  <c r="H21" i="1"/>
  <c r="H22" i="1"/>
  <c r="J58" i="1"/>
  <c r="J55" i="1"/>
  <c r="J50" i="1"/>
  <c r="J49" i="1"/>
  <c r="J68" i="1"/>
  <c r="J67" i="1"/>
  <c r="J66" i="1"/>
  <c r="J65" i="1"/>
  <c r="J71" i="1"/>
  <c r="J70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I68" i="1" l="1"/>
</calcChain>
</file>

<file path=xl/sharedStrings.xml><?xml version="1.0" encoding="utf-8"?>
<sst xmlns="http://schemas.openxmlformats.org/spreadsheetml/2006/main" count="268" uniqueCount="196">
  <si>
    <t>/s</t>
  </si>
  <si>
    <t>nM/s</t>
  </si>
  <si>
    <t>nM</t>
  </si>
  <si>
    <t>Value</t>
  </si>
  <si>
    <t>Units</t>
  </si>
  <si>
    <t>Desc</t>
  </si>
  <si>
    <t>Different?</t>
  </si>
  <si>
    <t>n</t>
  </si>
  <si>
    <t>Fold Change</t>
  </si>
  <si>
    <t>Experimental values</t>
  </si>
  <si>
    <t>Reference</t>
  </si>
  <si>
    <t>Species</t>
  </si>
  <si>
    <t>HS578T</t>
  </si>
  <si>
    <t>MCF10A</t>
  </si>
  <si>
    <t>ADAM17</t>
  </si>
  <si>
    <t>ARAF</t>
  </si>
  <si>
    <t>CBL</t>
  </si>
  <si>
    <t>DUSP4</t>
  </si>
  <si>
    <t>DUSP6</t>
  </si>
  <si>
    <t>EGFR</t>
  </si>
  <si>
    <t>ERRFI1</t>
  </si>
  <si>
    <t>GAB1</t>
  </si>
  <si>
    <t>GRB2</t>
  </si>
  <si>
    <t>HRAS</t>
  </si>
  <si>
    <t>KRAS</t>
  </si>
  <si>
    <t>MAP2K1</t>
  </si>
  <si>
    <t>MAP2K2</t>
  </si>
  <si>
    <t>MAPK1</t>
  </si>
  <si>
    <t>MAPK3</t>
  </si>
  <si>
    <t>NRAS</t>
  </si>
  <si>
    <t>PTPN11</t>
  </si>
  <si>
    <t>PTPRE</t>
  </si>
  <si>
    <t>RAF1</t>
  </si>
  <si>
    <t>RASA1</t>
  </si>
  <si>
    <t>SHC1</t>
  </si>
  <si>
    <t>SOS1</t>
  </si>
  <si>
    <t>SOS2</t>
  </si>
  <si>
    <t>SPRED1</t>
  </si>
  <si>
    <t>SPRY4</t>
  </si>
  <si>
    <t>Copies per cell</t>
  </si>
  <si>
    <t>Shedding Module</t>
  </si>
  <si>
    <t>Ligand Expression Module</t>
  </si>
  <si>
    <t>Fitted in previous models</t>
  </si>
  <si>
    <t>Originally used values</t>
  </si>
  <si>
    <t>kf_Erk_iRhom</t>
  </si>
  <si>
    <t>kb_Erk_iRhom</t>
  </si>
  <si>
    <t>kp_Erk_iRhom</t>
  </si>
  <si>
    <t>kf_iRhomp_Pro1433</t>
  </si>
  <si>
    <t>kb_iRhomp_Pro1433</t>
  </si>
  <si>
    <t>kb_Tace_iRhomp</t>
  </si>
  <si>
    <t>ks_Tace</t>
  </si>
  <si>
    <t>ke_iRhom_Tace</t>
  </si>
  <si>
    <t>ke_Pro1433</t>
  </si>
  <si>
    <t>kd_Pro1433</t>
  </si>
  <si>
    <t>ki_iRhomp_Pro1433</t>
  </si>
  <si>
    <t>ki_Tace</t>
  </si>
  <si>
    <t>ki_iRhom_Tace</t>
  </si>
  <si>
    <t>ki_iRhomp_Tace</t>
  </si>
  <si>
    <t>kp_Lpa_iRhom</t>
  </si>
  <si>
    <t>/nM/s</t>
  </si>
  <si>
    <t>forward binding rate constant of phosphorylated ERK and iRhom</t>
  </si>
  <si>
    <t>dissociation rate constant of ERK and iRhom complex</t>
  </si>
  <si>
    <t>phosphorylation rate constant of iRhom by phosphorylated ERK</t>
  </si>
  <si>
    <t>forward binding rate constant of phosphorylated iRhom and 14-3-3</t>
  </si>
  <si>
    <t>dissociation rate constant of phosphorylated iRhom and 14-3-3 complex</t>
  </si>
  <si>
    <t>dissociation rate constant of TACE from phosphorylated iRhom</t>
  </si>
  <si>
    <t>rate constant of proteolysis by TACE</t>
  </si>
  <si>
    <t>expression rate of iRhom and TACE complex</t>
  </si>
  <si>
    <t>expression rate constant of protein 14-3-3</t>
  </si>
  <si>
    <t>degradation rate constant of protein 14-3-3</t>
  </si>
  <si>
    <t>Internalization rate constant of phosphorylated iRhom and 14-3-3 complex</t>
  </si>
  <si>
    <t>internalization rate constant of TACE</t>
  </si>
  <si>
    <t>internalization rate constant of iRhom and TACE complex</t>
  </si>
  <si>
    <t>internalization rate constant of phosphorylated iRhom and TACE complex</t>
  </si>
  <si>
    <t>rate constant of LPA activating iRhom</t>
  </si>
  <si>
    <t>Vtr0</t>
  </si>
  <si>
    <t>basal activation of the Hill equation describing ERK activating TGFalpha expression</t>
  </si>
  <si>
    <t>Vtr_max</t>
  </si>
  <si>
    <t>Km</t>
  </si>
  <si>
    <t>kd_Rna</t>
  </si>
  <si>
    <t>ktl_Tgfa</t>
  </si>
  <si>
    <t>ki_mTgfa</t>
  </si>
  <si>
    <t>kd_mTgfai</t>
  </si>
  <si>
    <t>max rate of phosphorylated ERK on TGFapha mRNA expression</t>
  </si>
  <si>
    <t>threshold parameter in Hill equation</t>
  </si>
  <si>
    <t>exponent parameter in Hill equation</t>
  </si>
  <si>
    <t>TGFalpha mRNA degradation</t>
  </si>
  <si>
    <t>TGFalpha translation rate constant</t>
  </si>
  <si>
    <t>internalization rate constant of TGFalpha precursor</t>
  </si>
  <si>
    <t>degradation rate constant of TGFalpha precursor</t>
  </si>
  <si>
    <t>dimensionless</t>
  </si>
  <si>
    <t>6000 #/cell/min</t>
  </si>
  <si>
    <t>200 #/cell/min</t>
  </si>
  <si>
    <t>fully induced TGFa production rate</t>
  </si>
  <si>
    <t>uninduced TGFa production rate</t>
  </si>
  <si>
    <t>Oehrtman_1998</t>
  </si>
  <si>
    <t>Lauffenburger_1998</t>
  </si>
  <si>
    <t>30-6200 #/cell/min</t>
  </si>
  <si>
    <t>ligand synthesis rate</t>
  </si>
  <si>
    <t>endocytosis rate</t>
  </si>
  <si>
    <t>0.1/60 /s</t>
  </si>
  <si>
    <t>basal internalization</t>
  </si>
  <si>
    <t>0.01/60 /s</t>
  </si>
  <si>
    <t>Shvartsman_2001</t>
  </si>
  <si>
    <t>V_LT / V_R</t>
  </si>
  <si>
    <t>Comments</t>
  </si>
  <si>
    <t>dewitt2001quantitative</t>
  </si>
  <si>
    <t>Need original data to estimate parameters about ligrand captured and lost</t>
  </si>
  <si>
    <t xml:space="preserve">Association rate constant for R/L </t>
  </si>
  <si>
    <t>6.3 *10^7 M−1 min−1</t>
  </si>
  <si>
    <t xml:space="preserve">Dissociation rate constant for R/L </t>
  </si>
  <si>
    <t>Internalization rate constant</t>
  </si>
  <si>
    <t xml:space="preserve">Constitutive internalization rate constant </t>
  </si>
  <si>
    <t>0.03 min−1</t>
  </si>
  <si>
    <t xml:space="preserve">300 molecules cell−1 min−1 </t>
  </si>
  <si>
    <t>Synthesis rate of receptor</t>
  </si>
  <si>
    <t xml:space="preserve">Fraction of internal receptors degraded </t>
  </si>
  <si>
    <t xml:space="preserve">Degradation rate constant </t>
  </si>
  <si>
    <t xml:space="preserve">Recycling rate constant </t>
  </si>
  <si>
    <t>0.16 min−1</t>
  </si>
  <si>
    <t>f (Cs)</t>
  </si>
  <si>
    <t xml:space="preserve">0.022 min−1 </t>
  </si>
  <si>
    <t xml:space="preserve">0.058 min−1 </t>
  </si>
  <si>
    <t xml:space="preserve">internalization rate constant of occupied receptor </t>
  </si>
  <si>
    <t xml:space="preserve">internalization rate constant of unoccupied receptor </t>
  </si>
  <si>
    <t xml:space="preserve">0.03 min-1 </t>
  </si>
  <si>
    <t xml:space="preserve">0.3 to 0.1 min-1 </t>
  </si>
  <si>
    <t>DeWitt_2002</t>
  </si>
  <si>
    <t xml:space="preserve">10-14–10-10 m2 s-1 </t>
  </si>
  <si>
    <t>Maly_2004</t>
  </si>
  <si>
    <t xml:space="preserve">Diffusion constant of ligand </t>
  </si>
  <si>
    <t>Monine_2005</t>
  </si>
  <si>
    <t>Ligand diffusivity</t>
  </si>
  <si>
    <t>10-6 cm2 s-1</t>
  </si>
  <si>
    <t>Shedding rate of BCT at 15 min</t>
  </si>
  <si>
    <t>0.0075 min-1</t>
  </si>
  <si>
    <t>Shedding rate of TCT at 15 min</t>
  </si>
  <si>
    <t>Shedding rate of BCT at 30 min</t>
  </si>
  <si>
    <t>0.0090 min-1</t>
  </si>
  <si>
    <t>Shedding rate of TCT at 30 min</t>
  </si>
  <si>
    <t>0.0127 min-1</t>
  </si>
  <si>
    <t>0.0057 min-1</t>
  </si>
  <si>
    <t>Internalization rate of BCT</t>
  </si>
  <si>
    <t>Internalization rate of TCT</t>
  </si>
  <si>
    <t>0.058 min-1</t>
  </si>
  <si>
    <t>0.041 min-1</t>
  </si>
  <si>
    <t>TCT secretion rate</t>
  </si>
  <si>
    <t>?</t>
  </si>
  <si>
    <t>0.00129 nM/s</t>
  </si>
  <si>
    <t>ktl_Tgfa * Vtr0 / kd_Rna</t>
  </si>
  <si>
    <t>kd_iRhomp_Pro1433</t>
  </si>
  <si>
    <t>degradation rate constant of phosphorylated iRhom and 14-3-3 complex</t>
  </si>
  <si>
    <t>kd_Tace</t>
  </si>
  <si>
    <t>degradation rate constant of TACE</t>
  </si>
  <si>
    <t>kd_iRhom_Tace</t>
  </si>
  <si>
    <t>degradation rate constant of iRhom and TACE complex</t>
  </si>
  <si>
    <t>kd_iRhomp_Tace</t>
  </si>
  <si>
    <t>degradation rate constant of phosphorylated iRhom and TACE complex</t>
  </si>
  <si>
    <t>kt_mTgfai</t>
  </si>
  <si>
    <t>transportation rate constant of TGFalpha precursor</t>
  </si>
  <si>
    <t>1#/cell</t>
  </si>
  <si>
    <t>cell</t>
  </si>
  <si>
    <t>pl</t>
  </si>
  <si>
    <t>extra</t>
  </si>
  <si>
    <t>intra</t>
  </si>
  <si>
    <t>pool</t>
  </si>
  <si>
    <t>kt_iRhom_Tace</t>
  </si>
  <si>
    <t>transportation rate constant of iRhom and TACE complex</t>
  </si>
  <si>
    <t>Km should be close to middle level of max ppERK</t>
  </si>
  <si>
    <t xml:space="preserve">normaly larger than 1 </t>
  </si>
  <si>
    <t>Protein degradation rate</t>
  </si>
  <si>
    <t>mRNA degradation rate</t>
  </si>
  <si>
    <t>PubMed ID18954100</t>
  </si>
  <si>
    <t>half-lives</t>
  </si>
  <si>
    <t>~10 hrs</t>
  </si>
  <si>
    <t>PubMed ID19001483</t>
  </si>
  <si>
    <t>PubMed ID12902380</t>
  </si>
  <si>
    <t>mean</t>
  </si>
  <si>
    <t>median</t>
  </si>
  <si>
    <t>0.081h^-1</t>
  </si>
  <si>
    <t>0.034h^-1</t>
  </si>
  <si>
    <t>7.1 hrs</t>
  </si>
  <si>
    <t>2 hrs</t>
  </si>
  <si>
    <t>50 min</t>
  </si>
  <si>
    <t>PubMed ID25497548</t>
  </si>
  <si>
    <t>mRNA synthesis rate</t>
  </si>
  <si>
    <t>TGFalpha length</t>
  </si>
  <si>
    <t>bp</t>
  </si>
  <si>
    <t>2.4 kbp/min</t>
  </si>
  <si>
    <t>TGFalpha synthesis rate</t>
  </si>
  <si>
    <t>Vtr0 / kd_Rna * ktl_Tgfa   = 0.00083</t>
  </si>
  <si>
    <t>with cell 2 pl</t>
  </si>
  <si>
    <t>0.00083 nM</t>
  </si>
  <si>
    <t>(Vtr0 + Vtr_max ) / kd_Rna * ktl_Tgfa = 0.1715</t>
  </si>
  <si>
    <t>k_Dif_Tgfa</t>
  </si>
  <si>
    <t>diffusion of soluable TGFalpha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</si>
</sst>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575757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Border="1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0" fontId="6" fillId="0" borderId="0" xfId="0" applyFont="1" applyFill="1"/>
    <xf numFmtId="11" fontId="0" fillId="0" borderId="0" xfId="0" applyNumberFormat="1" applyFill="1"/>
    <xf numFmtId="0" fontId="1" fillId="0" borderId="0" xfId="7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/>
    <xf numFmtId="0" fontId="0" fillId="0" borderId="0" xfId="0" quotePrefix="1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0" xfId="0" applyFont="1"/>
    <xf numFmtId="11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/>
    </xf>
    <xf numFmtId="165" fontId="0" fillId="0" borderId="0" xfId="46" applyNumberFormat="1" applyFont="1"/>
    <xf numFmtId="0" fontId="2" fillId="0" borderId="1" xfId="0" applyFont="1" applyBorder="1" applyAlignment="1">
      <alignment horizontal="center"/>
    </xf>
    <xf numFmtId="166" fontId="0" fillId="0" borderId="0" xfId="0" applyNumberFormat="1"/>
    <xf numFmtId="43" fontId="0" fillId="0" borderId="0" xfId="0" applyNumberFormat="1"/>
    <xf numFmtId="166" fontId="0" fillId="3" borderId="0" xfId="0" applyNumberFormat="1" applyFill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 applyFill="1"/>
    <xf numFmtId="0" fontId="0" fillId="0" borderId="0" xfId="7" applyFont="1" applyFill="1" applyBorder="1"/>
    <xf numFmtId="0" fontId="0" fillId="0" borderId="0" xfId="0" applyFont="1" applyAlignment="1">
      <alignment wrapText="1"/>
    </xf>
    <xf numFmtId="164" fontId="0" fillId="0" borderId="0" xfId="0" applyNumberFormat="1" applyFont="1"/>
    <xf numFmtId="0" fontId="3" fillId="0" borderId="0" xfId="47"/>
    <xf numFmtId="11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  <xf numFmtId="0" fontId="2" fillId="0" borderId="1" xfId="0" applyFont="1" applyBorder="1" applyAlignment="1">
      <alignment horizontal="center"/>
    </xf>
    <xf numFmtId="0" fontId="0" fillId="0" borderId="0" xfId="0" applyNumberFormat="1" applyFill="1" applyAlignment="1">
      <alignment horizontal="right"/>
    </xf>
  </cellXfs>
  <cellStyles count="48">
    <cellStyle name="20% - Accent3" xfId="7" builtinId="38"/>
    <cellStyle name="Comma" xfId="46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onumbers.hms.harvard.edu/redirect.aspx?pbmid=19001483&amp;hlid=" TargetMode="External"/><Relationship Id="rId2" Type="http://schemas.openxmlformats.org/officeDocument/2006/relationships/hyperlink" Target="https://bionumbers.hms.harvard.edu/redirect.aspx?pbmid=18954100&amp;hlid=" TargetMode="External"/><Relationship Id="rId1" Type="http://schemas.openxmlformats.org/officeDocument/2006/relationships/hyperlink" Target="https://bionumbers.hms.harvard.edu/redirect.aspx?pbmid=18954100&amp;hlid=" TargetMode="External"/><Relationship Id="rId6" Type="http://schemas.openxmlformats.org/officeDocument/2006/relationships/hyperlink" Target="https://bionumbers.hms.harvard.edu/redirect.aspx?pbmid=25497548&amp;hlid=" TargetMode="External"/><Relationship Id="rId5" Type="http://schemas.openxmlformats.org/officeDocument/2006/relationships/hyperlink" Target="https://bionumbers.hms.harvard.edu/redirect.aspx?pbmid=12902380&amp;hlid=" TargetMode="External"/><Relationship Id="rId4" Type="http://schemas.openxmlformats.org/officeDocument/2006/relationships/hyperlink" Target="https://bionumbers.hms.harvard.edu/redirect.aspx?pbmid=12902380&amp;hl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abSelected="1" zoomScale="125" workbookViewId="0">
      <selection activeCell="B22" sqref="B22"/>
    </sheetView>
  </sheetViews>
  <sheetFormatPr baseColWidth="10" defaultRowHeight="16" x14ac:dyDescent="0.2"/>
  <cols>
    <col min="1" max="1" width="22.83203125" bestFit="1" customWidth="1"/>
    <col min="2" max="2" width="14.5" customWidth="1"/>
    <col min="3" max="3" width="12.83203125" bestFit="1" customWidth="1"/>
    <col min="4" max="4" width="70.5" bestFit="1" customWidth="1"/>
    <col min="5" max="5" width="57" style="35" customWidth="1"/>
    <col min="6" max="6" width="29.83203125" bestFit="1" customWidth="1"/>
    <col min="7" max="7" width="17.1640625" bestFit="1" customWidth="1"/>
    <col min="8" max="8" width="30.83203125" bestFit="1" customWidth="1"/>
    <col min="9" max="9" width="8.6640625" style="3" hidden="1" customWidth="1"/>
    <col min="10" max="10" width="12.6640625" bestFit="1" customWidth="1"/>
    <col min="11" max="11" width="18.83203125" customWidth="1"/>
    <col min="12" max="12" width="13.83203125" customWidth="1"/>
  </cols>
  <sheetData>
    <row r="1" spans="1:20" s="14" customFormat="1" ht="37" customHeight="1" x14ac:dyDescent="0.2">
      <c r="A1" s="12" t="s">
        <v>40</v>
      </c>
      <c r="B1" s="12" t="s">
        <v>3</v>
      </c>
      <c r="C1" s="12" t="s">
        <v>4</v>
      </c>
      <c r="D1" s="12" t="s">
        <v>5</v>
      </c>
      <c r="E1" s="12" t="s">
        <v>105</v>
      </c>
      <c r="F1" s="12" t="s">
        <v>6</v>
      </c>
      <c r="G1" s="12" t="s">
        <v>42</v>
      </c>
      <c r="H1" s="12" t="s">
        <v>43</v>
      </c>
      <c r="I1" s="13" t="s">
        <v>8</v>
      </c>
      <c r="J1" s="14" t="s">
        <v>9</v>
      </c>
      <c r="K1" s="14" t="s">
        <v>10</v>
      </c>
      <c r="P1" s="22" t="s">
        <v>11</v>
      </c>
      <c r="Q1" s="22" t="s">
        <v>13</v>
      </c>
      <c r="R1" s="22" t="s">
        <v>12</v>
      </c>
      <c r="S1" s="22" t="s">
        <v>13</v>
      </c>
      <c r="T1" s="22" t="s">
        <v>12</v>
      </c>
    </row>
    <row r="2" spans="1:20" ht="17" thickBot="1" x14ac:dyDescent="0.25">
      <c r="A2" t="s">
        <v>44</v>
      </c>
      <c r="C2" t="s">
        <v>59</v>
      </c>
      <c r="D2" t="s">
        <v>60</v>
      </c>
      <c r="E2" s="31"/>
      <c r="F2" s="4"/>
      <c r="G2" s="4"/>
      <c r="H2" s="4">
        <v>0.01</v>
      </c>
      <c r="I2" s="6"/>
      <c r="K2" s="19"/>
      <c r="P2" s="24"/>
      <c r="Q2" s="44" t="s">
        <v>39</v>
      </c>
      <c r="R2" s="44"/>
      <c r="S2" s="44" t="s">
        <v>2</v>
      </c>
      <c r="T2" s="44"/>
    </row>
    <row r="3" spans="1:20" x14ac:dyDescent="0.2">
      <c r="A3" t="s">
        <v>45</v>
      </c>
      <c r="C3" t="s">
        <v>0</v>
      </c>
      <c r="D3" t="s">
        <v>61</v>
      </c>
      <c r="E3" s="31"/>
      <c r="F3" s="4"/>
      <c r="G3" s="4"/>
      <c r="H3" s="4">
        <v>0.1</v>
      </c>
      <c r="I3" s="6"/>
      <c r="P3" t="s">
        <v>14</v>
      </c>
      <c r="Q3" s="23">
        <v>16572.436134374999</v>
      </c>
      <c r="R3" s="23">
        <v>15551.898797391637</v>
      </c>
      <c r="S3" s="25">
        <f>Q3*0.00083</f>
        <v>13.755121991531249</v>
      </c>
      <c r="T3" s="25">
        <f>R3*0.00083</f>
        <v>12.90807600183506</v>
      </c>
    </row>
    <row r="4" spans="1:20" x14ac:dyDescent="0.2">
      <c r="A4" t="s">
        <v>46</v>
      </c>
      <c r="C4" t="s">
        <v>0</v>
      </c>
      <c r="D4" t="s">
        <v>62</v>
      </c>
      <c r="E4" s="31"/>
      <c r="F4" s="4"/>
      <c r="G4" s="4"/>
      <c r="H4" s="17">
        <v>0.2</v>
      </c>
      <c r="I4" s="6"/>
      <c r="P4" t="s">
        <v>15</v>
      </c>
      <c r="Q4" s="23">
        <v>20479.758474999999</v>
      </c>
      <c r="R4" s="23">
        <v>11449.56982720397</v>
      </c>
      <c r="S4" s="25">
        <f t="shared" ref="S4:T27" si="0">Q4*0.00083</f>
        <v>16.998199534249999</v>
      </c>
      <c r="T4" s="25">
        <f t="shared" si="0"/>
        <v>9.5031429565792944</v>
      </c>
    </row>
    <row r="5" spans="1:20" x14ac:dyDescent="0.2">
      <c r="A5" t="s">
        <v>47</v>
      </c>
      <c r="C5" t="s">
        <v>59</v>
      </c>
      <c r="D5" t="s">
        <v>63</v>
      </c>
      <c r="E5" s="31"/>
      <c r="F5" s="4"/>
      <c r="G5" s="4"/>
      <c r="H5" s="17">
        <v>1E-3</v>
      </c>
      <c r="I5" s="6"/>
      <c r="P5" t="s">
        <v>16</v>
      </c>
      <c r="Q5" s="23">
        <v>12121.753657083334</v>
      </c>
      <c r="R5" s="23">
        <v>13593.495931388448</v>
      </c>
      <c r="S5" s="25">
        <f t="shared" si="0"/>
        <v>10.061055535379168</v>
      </c>
      <c r="T5" s="25">
        <f t="shared" si="0"/>
        <v>11.282601623052413</v>
      </c>
    </row>
    <row r="6" spans="1:20" x14ac:dyDescent="0.2">
      <c r="A6" t="s">
        <v>48</v>
      </c>
      <c r="C6" t="s">
        <v>0</v>
      </c>
      <c r="D6" t="s">
        <v>64</v>
      </c>
      <c r="E6" s="31"/>
      <c r="F6" s="4"/>
      <c r="G6" s="4"/>
      <c r="H6" s="17">
        <v>0.01</v>
      </c>
      <c r="I6" s="6"/>
      <c r="P6" t="s">
        <v>17</v>
      </c>
      <c r="Q6" s="23">
        <v>1618.5522599999999</v>
      </c>
      <c r="R6" s="23">
        <v>135.34532303477812</v>
      </c>
      <c r="S6" s="25">
        <f t="shared" si="0"/>
        <v>1.3433983757999999</v>
      </c>
      <c r="T6" s="25">
        <f t="shared" si="0"/>
        <v>0.11233661811886583</v>
      </c>
    </row>
    <row r="7" spans="1:20" x14ac:dyDescent="0.2">
      <c r="A7" t="s">
        <v>49</v>
      </c>
      <c r="C7" t="s">
        <v>0</v>
      </c>
      <c r="D7" t="s">
        <v>65</v>
      </c>
      <c r="E7" s="31"/>
      <c r="F7" s="4"/>
      <c r="G7" s="4"/>
      <c r="H7" s="17">
        <v>0.1</v>
      </c>
      <c r="I7" s="6"/>
      <c r="P7" t="s">
        <v>18</v>
      </c>
      <c r="Q7" s="23">
        <v>1104.3967700000001</v>
      </c>
      <c r="R7" s="23">
        <v>379.95844532547233</v>
      </c>
      <c r="S7" s="25">
        <f t="shared" si="0"/>
        <v>0.91664931910000003</v>
      </c>
      <c r="T7" s="25">
        <f t="shared" si="0"/>
        <v>0.31536550962014204</v>
      </c>
    </row>
    <row r="8" spans="1:20" x14ac:dyDescent="0.2">
      <c r="A8" t="s">
        <v>50</v>
      </c>
      <c r="B8">
        <v>6.0169999999999998E-3</v>
      </c>
      <c r="C8" t="s">
        <v>59</v>
      </c>
      <c r="D8" t="s">
        <v>66</v>
      </c>
      <c r="E8" s="31"/>
      <c r="F8" s="4"/>
      <c r="G8" s="4"/>
      <c r="H8" s="17">
        <f>J45/13.8</f>
        <v>6.0165865257341446E-3</v>
      </c>
      <c r="I8" s="6"/>
      <c r="P8" t="s">
        <v>19</v>
      </c>
      <c r="Q8" s="23">
        <v>229463.67561599999</v>
      </c>
      <c r="R8" s="23">
        <v>286231.06546826742</v>
      </c>
      <c r="S8" s="25">
        <f t="shared" si="0"/>
        <v>190.45485076128</v>
      </c>
      <c r="T8" s="25">
        <f t="shared" si="0"/>
        <v>237.57178433866196</v>
      </c>
    </row>
    <row r="9" spans="1:20" x14ac:dyDescent="0.2">
      <c r="A9" t="s">
        <v>51</v>
      </c>
      <c r="B9">
        <v>5.0439999999999999E-3</v>
      </c>
      <c r="C9" t="s">
        <v>1</v>
      </c>
      <c r="D9" t="s">
        <v>67</v>
      </c>
      <c r="E9" s="31"/>
      <c r="F9" s="4"/>
      <c r="G9" s="4"/>
      <c r="H9" s="45">
        <f xml:space="preserve"> B21 * S3</f>
        <v>5.0440032342945092E-3</v>
      </c>
      <c r="I9" s="6"/>
      <c r="P9" t="s">
        <v>20</v>
      </c>
      <c r="Q9" s="23">
        <v>1985.14743</v>
      </c>
      <c r="R9" s="23">
        <v>4880.4135329181654</v>
      </c>
      <c r="S9" s="25">
        <f t="shared" si="0"/>
        <v>1.6476723669</v>
      </c>
      <c r="T9" s="25">
        <f t="shared" si="0"/>
        <v>4.0507432323220769</v>
      </c>
    </row>
    <row r="10" spans="1:20" x14ac:dyDescent="0.2">
      <c r="A10" t="s">
        <v>52</v>
      </c>
      <c r="C10" t="s">
        <v>1</v>
      </c>
      <c r="D10" t="s">
        <v>68</v>
      </c>
      <c r="E10" s="31"/>
      <c r="F10" s="4"/>
      <c r="G10" s="4"/>
      <c r="H10" s="17">
        <v>0.01</v>
      </c>
      <c r="I10" s="6"/>
      <c r="P10" t="s">
        <v>21</v>
      </c>
      <c r="Q10" s="23">
        <v>2759.8391099999999</v>
      </c>
      <c r="R10" s="23">
        <v>3692.4980438206139</v>
      </c>
      <c r="S10" s="25">
        <f t="shared" si="0"/>
        <v>2.2906664612999998</v>
      </c>
      <c r="T10" s="25">
        <f t="shared" si="0"/>
        <v>3.0647733763711096</v>
      </c>
    </row>
    <row r="11" spans="1:20" x14ac:dyDescent="0.2">
      <c r="A11" t="s">
        <v>53</v>
      </c>
      <c r="B11">
        <v>3.6670000000000002E-4</v>
      </c>
      <c r="C11" t="s">
        <v>0</v>
      </c>
      <c r="D11" t="s">
        <v>69</v>
      </c>
      <c r="E11" s="31"/>
      <c r="F11" s="4"/>
      <c r="G11" s="4"/>
      <c r="H11">
        <f>0.022/60</f>
        <v>3.6666666666666667E-4</v>
      </c>
      <c r="I11" s="6"/>
      <c r="J11" s="16"/>
      <c r="K11" s="15"/>
      <c r="P11" t="s">
        <v>22</v>
      </c>
      <c r="Q11" s="23">
        <v>49513.12325134375</v>
      </c>
      <c r="R11" s="23">
        <v>47974.521050642368</v>
      </c>
      <c r="S11" s="25">
        <f t="shared" si="0"/>
        <v>41.095892298615311</v>
      </c>
      <c r="T11" s="25">
        <f t="shared" si="0"/>
        <v>39.818852472033164</v>
      </c>
    </row>
    <row r="12" spans="1:20" x14ac:dyDescent="0.2">
      <c r="A12" t="s">
        <v>54</v>
      </c>
      <c r="B12">
        <v>1.6670000000000001E-3</v>
      </c>
      <c r="C12" t="s">
        <v>0</v>
      </c>
      <c r="D12" t="s">
        <v>70</v>
      </c>
      <c r="E12" s="31"/>
      <c r="F12" s="4"/>
      <c r="G12" s="4"/>
      <c r="H12" s="18">
        <v>0.05</v>
      </c>
      <c r="I12" s="6"/>
      <c r="K12" s="15"/>
      <c r="P12" t="s">
        <v>23</v>
      </c>
      <c r="Q12" s="23">
        <v>58397.24641658333</v>
      </c>
      <c r="R12" s="23">
        <v>13535.028073891861</v>
      </c>
      <c r="S12" s="27">
        <f t="shared" si="0"/>
        <v>48.469714525764161</v>
      </c>
      <c r="T12" s="25">
        <f t="shared" si="0"/>
        <v>11.234073301330245</v>
      </c>
    </row>
    <row r="13" spans="1:20" x14ac:dyDescent="0.2">
      <c r="A13" t="s">
        <v>150</v>
      </c>
      <c r="B13">
        <v>3.6670000000000002E-4</v>
      </c>
      <c r="C13" t="s">
        <v>0</v>
      </c>
      <c r="D13" t="s">
        <v>151</v>
      </c>
      <c r="E13" s="31"/>
      <c r="F13" s="4"/>
      <c r="G13" s="4"/>
      <c r="H13">
        <f>0.022/60</f>
        <v>3.6666666666666667E-4</v>
      </c>
      <c r="I13" s="6"/>
      <c r="K13" s="19"/>
      <c r="P13" t="s">
        <v>24</v>
      </c>
      <c r="Q13" s="23">
        <v>64654.884748645825</v>
      </c>
      <c r="R13" s="23">
        <v>31650.139896198958</v>
      </c>
      <c r="S13" s="27">
        <f t="shared" si="0"/>
        <v>53.663554341376035</v>
      </c>
      <c r="T13" s="25">
        <f t="shared" si="0"/>
        <v>26.269616113845135</v>
      </c>
    </row>
    <row r="14" spans="1:20" x14ac:dyDescent="0.2">
      <c r="A14" t="s">
        <v>194</v>
      </c>
      <c r="C14" t="s">
        <v>0</v>
      </c>
      <c r="D14" t="s">
        <v>195</v>
      </c>
      <c r="E14" s="31"/>
      <c r="F14" s="4"/>
      <c r="G14" s="4"/>
      <c r="H14" s="7">
        <v>0.01</v>
      </c>
      <c r="I14" s="6"/>
      <c r="K14" s="19"/>
      <c r="P14" t="s">
        <v>25</v>
      </c>
      <c r="Q14" s="23">
        <v>83729.102355270836</v>
      </c>
      <c r="R14" s="23">
        <v>37667.636586121633</v>
      </c>
      <c r="S14" s="25">
        <f t="shared" si="0"/>
        <v>69.495154954874792</v>
      </c>
      <c r="T14" s="25">
        <f t="shared" si="0"/>
        <v>31.264138366480957</v>
      </c>
    </row>
    <row r="15" spans="1:20" x14ac:dyDescent="0.2">
      <c r="E15" s="31"/>
      <c r="F15" s="4"/>
      <c r="G15" s="4"/>
      <c r="H15" s="36"/>
      <c r="I15" s="6"/>
      <c r="P15" t="s">
        <v>26</v>
      </c>
      <c r="Q15" s="23">
        <v>70798.692206249994</v>
      </c>
      <c r="R15" s="23">
        <v>44718.6632140988</v>
      </c>
      <c r="S15" s="25">
        <f t="shared" si="0"/>
        <v>58.762914531187498</v>
      </c>
      <c r="T15" s="25">
        <f t="shared" si="0"/>
        <v>37.116490467702008</v>
      </c>
    </row>
    <row r="16" spans="1:20" x14ac:dyDescent="0.2">
      <c r="A16" t="s">
        <v>55</v>
      </c>
      <c r="B16">
        <v>1.6670000000000001E-4</v>
      </c>
      <c r="C16" t="s">
        <v>0</v>
      </c>
      <c r="D16" t="s">
        <v>71</v>
      </c>
      <c r="E16" s="31"/>
      <c r="F16" s="4"/>
      <c r="G16" s="4"/>
      <c r="H16" s="36">
        <v>5.0000000000000001E-3</v>
      </c>
      <c r="I16" s="6"/>
      <c r="P16" t="s">
        <v>27</v>
      </c>
      <c r="Q16" s="23">
        <v>139644.84243341663</v>
      </c>
      <c r="R16" s="23">
        <v>205804.90373049935</v>
      </c>
      <c r="S16" s="25">
        <f t="shared" si="0"/>
        <v>115.90521921973581</v>
      </c>
      <c r="T16" s="25">
        <f t="shared" si="0"/>
        <v>170.81807009631447</v>
      </c>
    </row>
    <row r="17" spans="1:20" x14ac:dyDescent="0.2">
      <c r="A17" t="s">
        <v>152</v>
      </c>
      <c r="B17">
        <v>3.6670000000000002E-4</v>
      </c>
      <c r="C17" t="s">
        <v>0</v>
      </c>
      <c r="D17" t="s">
        <v>153</v>
      </c>
      <c r="E17" s="31"/>
      <c r="F17" s="4"/>
      <c r="G17" s="4"/>
      <c r="H17">
        <f>0.022/60</f>
        <v>3.6666666666666667E-4</v>
      </c>
      <c r="I17" s="6"/>
      <c r="P17" t="s">
        <v>28</v>
      </c>
      <c r="Q17" s="23">
        <v>40732.172225208327</v>
      </c>
      <c r="R17" s="23">
        <v>61487.40867887011</v>
      </c>
      <c r="S17" s="25">
        <f t="shared" si="0"/>
        <v>33.807702946922909</v>
      </c>
      <c r="T17" s="25">
        <f t="shared" si="0"/>
        <v>51.034549203462191</v>
      </c>
    </row>
    <row r="18" spans="1:20" x14ac:dyDescent="0.2">
      <c r="A18" t="s">
        <v>56</v>
      </c>
      <c r="B18">
        <v>1.6670000000000001E-4</v>
      </c>
      <c r="C18" t="s">
        <v>0</v>
      </c>
      <c r="D18" t="s">
        <v>72</v>
      </c>
      <c r="E18" s="31"/>
      <c r="F18" s="4"/>
      <c r="G18" s="4"/>
      <c r="H18" s="36">
        <v>0.01</v>
      </c>
      <c r="I18" s="6"/>
      <c r="P18" t="s">
        <v>29</v>
      </c>
      <c r="Q18" s="23">
        <v>47614.787594239584</v>
      </c>
      <c r="R18" s="23">
        <v>16903.676323739946</v>
      </c>
      <c r="S18" s="27">
        <f t="shared" si="0"/>
        <v>39.520273703218855</v>
      </c>
      <c r="T18" s="25">
        <f t="shared" si="0"/>
        <v>14.030051348704156</v>
      </c>
    </row>
    <row r="19" spans="1:20" x14ac:dyDescent="0.2">
      <c r="A19" t="s">
        <v>57</v>
      </c>
      <c r="B19">
        <v>1.6670000000000001E-4</v>
      </c>
      <c r="C19" t="s">
        <v>0</v>
      </c>
      <c r="D19" t="s">
        <v>73</v>
      </c>
      <c r="E19" s="31"/>
      <c r="F19" s="4"/>
      <c r="G19" s="4"/>
      <c r="H19" s="7">
        <v>1E-3</v>
      </c>
      <c r="I19" s="6"/>
      <c r="P19" t="s">
        <v>30</v>
      </c>
      <c r="Q19" s="23">
        <v>79845.321457624988</v>
      </c>
      <c r="R19" s="23">
        <v>61737.411817102322</v>
      </c>
      <c r="S19" s="25">
        <f t="shared" si="0"/>
        <v>66.271616809828743</v>
      </c>
      <c r="T19" s="25">
        <f t="shared" si="0"/>
        <v>51.24205180819493</v>
      </c>
    </row>
    <row r="20" spans="1:20" x14ac:dyDescent="0.2">
      <c r="A20" t="s">
        <v>166</v>
      </c>
      <c r="B20">
        <v>1E-3</v>
      </c>
      <c r="C20" t="s">
        <v>0</v>
      </c>
      <c r="D20" t="s">
        <v>167</v>
      </c>
      <c r="H20" s="36">
        <v>0.01</v>
      </c>
      <c r="I20" s="6"/>
      <c r="P20" t="s">
        <v>31</v>
      </c>
      <c r="Q20" s="23">
        <v>29938.60555</v>
      </c>
      <c r="R20" s="23">
        <v>408.92796318627404</v>
      </c>
      <c r="S20" s="25">
        <f t="shared" si="0"/>
        <v>24.849042606499999</v>
      </c>
      <c r="T20" s="25">
        <f t="shared" si="0"/>
        <v>0.33941020944460748</v>
      </c>
    </row>
    <row r="21" spans="1:20" x14ac:dyDescent="0.2">
      <c r="A21" t="s">
        <v>154</v>
      </c>
      <c r="B21">
        <v>3.6670000000000002E-4</v>
      </c>
      <c r="C21" t="s">
        <v>0</v>
      </c>
      <c r="D21" t="s">
        <v>155</v>
      </c>
      <c r="E21" s="31"/>
      <c r="F21" s="4"/>
      <c r="G21" s="4"/>
      <c r="H21">
        <f>0.022/60</f>
        <v>3.6666666666666667E-4</v>
      </c>
      <c r="I21" s="6"/>
      <c r="P21" t="s">
        <v>32</v>
      </c>
      <c r="Q21" s="23">
        <v>15044.005187000001</v>
      </c>
      <c r="R21" s="23">
        <v>9719.7442241923218</v>
      </c>
      <c r="S21" s="25">
        <f t="shared" si="0"/>
        <v>12.486524305210001</v>
      </c>
      <c r="T21" s="25">
        <f t="shared" si="0"/>
        <v>8.0673877060796269</v>
      </c>
    </row>
    <row r="22" spans="1:20" x14ac:dyDescent="0.2">
      <c r="A22" t="s">
        <v>156</v>
      </c>
      <c r="B22">
        <v>2.2000000000000001E-3</v>
      </c>
      <c r="C22" t="s">
        <v>0</v>
      </c>
      <c r="D22" t="s">
        <v>157</v>
      </c>
      <c r="E22" s="31"/>
      <c r="F22" s="4"/>
      <c r="G22" s="4"/>
      <c r="H22">
        <f>0.022/60</f>
        <v>3.6666666666666667E-4</v>
      </c>
      <c r="I22" s="6"/>
      <c r="P22" t="s">
        <v>33</v>
      </c>
      <c r="Q22" s="23">
        <v>30330.6923416875</v>
      </c>
      <c r="R22" s="23">
        <v>66720.964104904342</v>
      </c>
      <c r="S22" s="25">
        <f t="shared" si="0"/>
        <v>25.174474643600625</v>
      </c>
      <c r="T22" s="25">
        <f t="shared" si="0"/>
        <v>55.378400207070605</v>
      </c>
    </row>
    <row r="23" spans="1:20" x14ac:dyDescent="0.2">
      <c r="A23" t="s">
        <v>58</v>
      </c>
      <c r="C23" t="s">
        <v>59</v>
      </c>
      <c r="D23" t="s">
        <v>74</v>
      </c>
      <c r="E23" s="31"/>
      <c r="F23" s="4"/>
      <c r="G23" s="4"/>
      <c r="H23" s="7">
        <v>0.01</v>
      </c>
      <c r="I23" s="6"/>
      <c r="P23" t="s">
        <v>34</v>
      </c>
      <c r="Q23" s="23">
        <v>81118.701693041672</v>
      </c>
      <c r="R23" s="23">
        <v>30329.779671502401</v>
      </c>
      <c r="S23" s="25">
        <f t="shared" si="0"/>
        <v>67.328522405224589</v>
      </c>
      <c r="T23" s="25">
        <f t="shared" si="0"/>
        <v>25.173717127346993</v>
      </c>
    </row>
    <row r="24" spans="1:20" x14ac:dyDescent="0.2">
      <c r="E24" s="31"/>
      <c r="F24" s="4"/>
      <c r="G24" s="4"/>
      <c r="H24" s="7"/>
      <c r="I24" s="6"/>
      <c r="P24" t="s">
        <v>35</v>
      </c>
      <c r="Q24" s="23">
        <v>4878.1366725000007</v>
      </c>
      <c r="R24" s="23">
        <v>5354.5187798711268</v>
      </c>
      <c r="S24" s="25">
        <f t="shared" si="0"/>
        <v>4.0488534381750005</v>
      </c>
      <c r="T24" s="25">
        <f t="shared" si="0"/>
        <v>4.4442505872930349</v>
      </c>
    </row>
    <row r="25" spans="1:20" x14ac:dyDescent="0.2">
      <c r="E25" s="31"/>
      <c r="F25" s="4"/>
      <c r="G25" s="4"/>
      <c r="H25" s="7"/>
      <c r="I25" s="6"/>
      <c r="P25" t="s">
        <v>36</v>
      </c>
      <c r="Q25" s="23">
        <v>2022.6139174999998</v>
      </c>
      <c r="R25" s="23">
        <v>748.58027384974116</v>
      </c>
      <c r="S25" s="25">
        <f t="shared" si="0"/>
        <v>1.6787695515249998</v>
      </c>
      <c r="T25" s="25">
        <f t="shared" si="0"/>
        <v>0.62132162729528517</v>
      </c>
    </row>
    <row r="26" spans="1:20" x14ac:dyDescent="0.2">
      <c r="E26" s="31"/>
      <c r="F26" s="4"/>
      <c r="G26" s="4"/>
      <c r="H26" s="7"/>
      <c r="I26" s="6"/>
      <c r="P26" t="s">
        <v>37</v>
      </c>
      <c r="Q26" s="23">
        <v>558.71178974999998</v>
      </c>
      <c r="R26" s="23">
        <v>1174.6784190425028</v>
      </c>
      <c r="S26" s="25">
        <f t="shared" si="0"/>
        <v>0.46373078549249996</v>
      </c>
      <c r="T26" s="25">
        <f t="shared" si="0"/>
        <v>0.97498308780527732</v>
      </c>
    </row>
    <row r="27" spans="1:20" x14ac:dyDescent="0.2">
      <c r="E27" s="31"/>
      <c r="F27" s="4"/>
      <c r="G27" s="4"/>
      <c r="H27" s="7"/>
      <c r="I27" s="6"/>
      <c r="P27" t="s">
        <v>38</v>
      </c>
      <c r="Q27" s="23">
        <v>1663.5120449999997</v>
      </c>
      <c r="R27" s="23">
        <v>3735.9605834520503</v>
      </c>
      <c r="S27" s="25">
        <f t="shared" si="0"/>
        <v>1.3807149973499997</v>
      </c>
      <c r="T27" s="25">
        <f t="shared" si="0"/>
        <v>3.100847284265202</v>
      </c>
    </row>
    <row r="28" spans="1:20" x14ac:dyDescent="0.2">
      <c r="E28" s="31"/>
      <c r="F28" s="4"/>
      <c r="G28" s="4"/>
      <c r="H28" s="7"/>
      <c r="I28" s="6"/>
      <c r="K28" s="19"/>
    </row>
    <row r="29" spans="1:20" x14ac:dyDescent="0.2">
      <c r="A29" s="5" t="s">
        <v>41</v>
      </c>
      <c r="E29" s="31"/>
      <c r="F29" s="4"/>
      <c r="G29" s="4"/>
      <c r="H29" s="7"/>
      <c r="I29" s="6"/>
      <c r="J29" s="20"/>
      <c r="K29" s="19"/>
      <c r="N29" s="20"/>
    </row>
    <row r="30" spans="1:20" ht="21" customHeight="1" x14ac:dyDescent="0.2">
      <c r="A30" s="4" t="s">
        <v>75</v>
      </c>
      <c r="B30" s="8">
        <v>2.768E-6</v>
      </c>
      <c r="C30" s="4" t="s">
        <v>1</v>
      </c>
      <c r="D30" s="4" t="s">
        <v>76</v>
      </c>
      <c r="E30" s="31" t="s">
        <v>190</v>
      </c>
      <c r="F30" s="4"/>
      <c r="G30" s="4"/>
      <c r="H30" s="2">
        <f xml:space="preserve"> 0.2 * M44 / 60</f>
        <v>2.7676298018377067E-6</v>
      </c>
      <c r="I30" s="6"/>
      <c r="K30" s="21"/>
      <c r="Q30" s="26"/>
    </row>
    <row r="31" spans="1:20" ht="17" customHeight="1" x14ac:dyDescent="0.2">
      <c r="A31" s="4" t="s">
        <v>77</v>
      </c>
      <c r="B31" s="8">
        <v>8.3029999999999996E-5</v>
      </c>
      <c r="C31" s="4" t="s">
        <v>1</v>
      </c>
      <c r="D31" s="4" t="s">
        <v>83</v>
      </c>
      <c r="E31" s="31" t="s">
        <v>193</v>
      </c>
      <c r="F31" s="4"/>
      <c r="G31" s="4"/>
      <c r="H31" s="2">
        <f xml:space="preserve"> 6 * M44 / 60</f>
        <v>8.302889405513119E-5</v>
      </c>
      <c r="I31" s="6"/>
      <c r="Q31" s="26"/>
    </row>
    <row r="32" spans="1:20" s="4" customFormat="1" ht="17" x14ac:dyDescent="0.2">
      <c r="A32" t="s">
        <v>78</v>
      </c>
      <c r="B32">
        <v>150</v>
      </c>
      <c r="C32" t="s">
        <v>2</v>
      </c>
      <c r="D32" t="s">
        <v>84</v>
      </c>
      <c r="E32" s="31" t="s">
        <v>168</v>
      </c>
      <c r="H32" s="8">
        <f xml:space="preserve"> 115.9+33.8</f>
        <v>149.69999999999999</v>
      </c>
      <c r="I32" s="6"/>
      <c r="P32"/>
      <c r="Q32" s="26"/>
      <c r="R32"/>
    </row>
    <row r="33" spans="1:18" ht="17" x14ac:dyDescent="0.2">
      <c r="A33" t="s">
        <v>7</v>
      </c>
      <c r="C33" t="s">
        <v>90</v>
      </c>
      <c r="D33" t="s">
        <v>85</v>
      </c>
      <c r="E33" s="31" t="s">
        <v>169</v>
      </c>
      <c r="F33" s="4"/>
      <c r="G33" s="4"/>
      <c r="H33" s="4">
        <v>2</v>
      </c>
      <c r="I33" s="6"/>
      <c r="P33" s="4"/>
      <c r="Q33" s="4"/>
      <c r="R33" s="4"/>
    </row>
    <row r="34" spans="1:18" s="15" customFormat="1" x14ac:dyDescent="0.2">
      <c r="A34" s="15" t="s">
        <v>79</v>
      </c>
      <c r="B34" s="42">
        <v>0.01</v>
      </c>
      <c r="C34" s="28" t="s">
        <v>0</v>
      </c>
      <c r="D34" s="28" t="s">
        <v>86</v>
      </c>
      <c r="E34" s="32"/>
      <c r="F34" s="28"/>
      <c r="G34" s="28"/>
      <c r="H34" s="28">
        <v>0.01</v>
      </c>
      <c r="I34" s="29"/>
    </row>
    <row r="35" spans="1:18" x14ac:dyDescent="0.2">
      <c r="A35" s="4" t="s">
        <v>80</v>
      </c>
      <c r="B35" s="43">
        <v>0.16669999999999999</v>
      </c>
      <c r="C35" s="28" t="s">
        <v>0</v>
      </c>
      <c r="D35" s="4" t="s">
        <v>87</v>
      </c>
      <c r="E35" s="31"/>
      <c r="F35" s="4"/>
      <c r="G35" s="4"/>
      <c r="H35" s="41">
        <f>1/6</f>
        <v>0.16666666666666666</v>
      </c>
      <c r="I35" s="6"/>
      <c r="P35" s="1"/>
      <c r="Q35" s="1"/>
      <c r="R35" s="1"/>
    </row>
    <row r="36" spans="1:18" x14ac:dyDescent="0.2">
      <c r="A36" s="4" t="s">
        <v>81</v>
      </c>
      <c r="B36" s="4">
        <v>1.6670000000000001E-4</v>
      </c>
      <c r="C36" s="28" t="s">
        <v>0</v>
      </c>
      <c r="D36" s="4" t="s">
        <v>88</v>
      </c>
      <c r="E36" s="31"/>
      <c r="F36" s="4"/>
      <c r="G36" s="4"/>
      <c r="H36" s="28">
        <f xml:space="preserve"> 0.01 /60</f>
        <v>1.6666666666666666E-4</v>
      </c>
      <c r="I36" s="6"/>
    </row>
    <row r="37" spans="1:18" s="2" customFormat="1" x14ac:dyDescent="0.2">
      <c r="A37" s="37" t="s">
        <v>158</v>
      </c>
      <c r="B37" s="10">
        <v>1E-3</v>
      </c>
      <c r="C37" s="30" t="s">
        <v>0</v>
      </c>
      <c r="D37" s="10" t="s">
        <v>159</v>
      </c>
      <c r="E37" s="33"/>
      <c r="F37" s="10"/>
      <c r="G37" s="10"/>
      <c r="H37" s="28">
        <v>0.01</v>
      </c>
      <c r="I37" s="11"/>
      <c r="P37"/>
      <c r="Q37"/>
      <c r="R37"/>
    </row>
    <row r="38" spans="1:18" s="2" customFormat="1" x14ac:dyDescent="0.2">
      <c r="A38" s="9" t="s">
        <v>82</v>
      </c>
      <c r="B38" s="10">
        <v>2.5000000000000001E-3</v>
      </c>
      <c r="C38" s="30" t="s">
        <v>0</v>
      </c>
      <c r="D38" s="10" t="s">
        <v>89</v>
      </c>
      <c r="E38" s="33"/>
      <c r="F38" s="10"/>
      <c r="G38" s="10"/>
      <c r="H38" s="28">
        <f>30/6000</f>
        <v>5.0000000000000001E-3</v>
      </c>
      <c r="I38" s="11"/>
    </row>
    <row r="39" spans="1:18" s="2" customFormat="1" x14ac:dyDescent="0.2">
      <c r="A39" s="9"/>
      <c r="B39" s="10"/>
      <c r="C39" s="30"/>
      <c r="D39" s="10"/>
      <c r="E39" s="33"/>
      <c r="F39" s="10"/>
      <c r="G39" s="10"/>
      <c r="H39"/>
      <c r="I39" s="11"/>
    </row>
    <row r="40" spans="1:18" s="2" customFormat="1" x14ac:dyDescent="0.2">
      <c r="A40" s="37" t="s">
        <v>161</v>
      </c>
      <c r="B40" s="10">
        <v>2</v>
      </c>
      <c r="C40" s="30" t="s">
        <v>162</v>
      </c>
      <c r="D40" s="10"/>
      <c r="E40" s="33"/>
      <c r="F40" s="10"/>
      <c r="G40" s="10"/>
      <c r="H40" s="28"/>
      <c r="I40" s="11"/>
    </row>
    <row r="41" spans="1:18" s="2" customFormat="1" x14ac:dyDescent="0.2">
      <c r="A41" s="37" t="s">
        <v>163</v>
      </c>
      <c r="B41" s="10">
        <v>0.1</v>
      </c>
      <c r="C41" s="30" t="s">
        <v>162</v>
      </c>
      <c r="D41" s="10"/>
      <c r="E41" s="33"/>
      <c r="F41" s="10"/>
      <c r="G41" s="10"/>
      <c r="H41" s="4"/>
      <c r="I41" s="11"/>
    </row>
    <row r="42" spans="1:18" s="2" customFormat="1" x14ac:dyDescent="0.2">
      <c r="A42" s="37" t="s">
        <v>164</v>
      </c>
      <c r="B42" s="10">
        <v>0.1</v>
      </c>
      <c r="C42" s="30" t="s">
        <v>162</v>
      </c>
      <c r="D42" s="10"/>
      <c r="E42" s="33"/>
      <c r="F42" s="10"/>
      <c r="G42" s="10"/>
      <c r="H42" s="4"/>
      <c r="I42" s="11"/>
    </row>
    <row r="43" spans="1:18" s="2" customFormat="1" x14ac:dyDescent="0.2">
      <c r="A43" s="37" t="s">
        <v>165</v>
      </c>
      <c r="B43" s="10">
        <v>100</v>
      </c>
      <c r="C43" s="30" t="s">
        <v>162</v>
      </c>
      <c r="D43" s="10"/>
      <c r="E43" s="33"/>
      <c r="F43" s="10"/>
      <c r="G43" s="10"/>
      <c r="H43" s="4"/>
      <c r="I43" s="11"/>
    </row>
    <row r="44" spans="1:18" s="2" customFormat="1" x14ac:dyDescent="0.2">
      <c r="A44" s="37"/>
      <c r="B44" s="10"/>
      <c r="C44" s="30"/>
      <c r="D44" s="10"/>
      <c r="E44" s="33"/>
      <c r="F44" s="10"/>
      <c r="G44" s="10"/>
      <c r="H44" s="2" t="s">
        <v>160</v>
      </c>
      <c r="I44" s="11"/>
      <c r="J44" s="10" t="s">
        <v>192</v>
      </c>
      <c r="L44" s="10" t="s">
        <v>191</v>
      </c>
      <c r="M44" s="2">
        <f>1/(2*10^-12)/(6.022*10^23)*10^9</f>
        <v>8.3028894055131195E-4</v>
      </c>
    </row>
    <row r="45" spans="1:18" s="2" customFormat="1" x14ac:dyDescent="0.2">
      <c r="D45" s="10"/>
      <c r="E45" s="33"/>
      <c r="F45" s="10" t="s">
        <v>93</v>
      </c>
      <c r="G45" s="10"/>
      <c r="H45" s="4" t="s">
        <v>91</v>
      </c>
      <c r="I45" s="11"/>
      <c r="J45" s="2">
        <f xml:space="preserve"> 6000 * M44 / 60</f>
        <v>8.3028894055131197E-2</v>
      </c>
      <c r="K45" s="2" t="s">
        <v>96</v>
      </c>
      <c r="M45" s="2" t="s">
        <v>1</v>
      </c>
    </row>
    <row r="46" spans="1:18" s="2" customFormat="1" x14ac:dyDescent="0.2">
      <c r="A46" s="9"/>
      <c r="B46" s="10"/>
      <c r="C46" s="10"/>
      <c r="D46" s="10">
        <f xml:space="preserve"> 0.0003667 * 13.8</f>
        <v>5.060460000000001E-3</v>
      </c>
      <c r="E46" s="33"/>
      <c r="F46" s="10" t="s">
        <v>94</v>
      </c>
      <c r="G46" s="10"/>
      <c r="H46" s="4" t="s">
        <v>92</v>
      </c>
      <c r="I46" s="11"/>
      <c r="J46" s="2">
        <f xml:space="preserve"> 200 * M44 / 60</f>
        <v>2.7676298018377067E-3</v>
      </c>
      <c r="K46" s="2" t="s">
        <v>96</v>
      </c>
      <c r="M46" s="2" t="s">
        <v>1</v>
      </c>
    </row>
    <row r="47" spans="1:18" s="2" customFormat="1" x14ac:dyDescent="0.2">
      <c r="A47" s="9"/>
      <c r="B47" s="10"/>
      <c r="C47" s="10"/>
      <c r="D47" s="10"/>
      <c r="E47" s="33"/>
      <c r="F47" s="10" t="s">
        <v>98</v>
      </c>
      <c r="G47" s="10"/>
      <c r="H47" s="2" t="s">
        <v>97</v>
      </c>
      <c r="I47" s="11"/>
      <c r="J47" s="2">
        <f xml:space="preserve"> 30 * M44 / 60</f>
        <v>4.1514447027565598E-4</v>
      </c>
      <c r="K47" s="2" t="s">
        <v>95</v>
      </c>
      <c r="M47" s="2" t="s">
        <v>1</v>
      </c>
    </row>
    <row r="48" spans="1:18" s="2" customFormat="1" x14ac:dyDescent="0.2">
      <c r="A48" s="9"/>
      <c r="B48" s="10"/>
      <c r="C48" s="10"/>
      <c r="D48" s="10"/>
      <c r="E48" s="33"/>
      <c r="F48" s="10" t="s">
        <v>98</v>
      </c>
      <c r="H48" s="2" t="s">
        <v>97</v>
      </c>
      <c r="I48" s="11"/>
      <c r="J48" s="2">
        <f xml:space="preserve"> 6200 * M44 / 60</f>
        <v>8.5796523856968898E-2</v>
      </c>
      <c r="K48" s="2" t="s">
        <v>95</v>
      </c>
      <c r="M48" s="2" t="s">
        <v>1</v>
      </c>
    </row>
    <row r="49" spans="1:18" s="2" customFormat="1" x14ac:dyDescent="0.2">
      <c r="A49" s="9"/>
      <c r="B49" s="10"/>
      <c r="C49" s="10"/>
      <c r="D49" s="10"/>
      <c r="E49" s="33"/>
      <c r="F49" s="10" t="s">
        <v>99</v>
      </c>
      <c r="H49" s="10" t="s">
        <v>100</v>
      </c>
      <c r="I49" s="11"/>
      <c r="J49" s="2">
        <f>0.1/60</f>
        <v>1.6666666666666668E-3</v>
      </c>
      <c r="K49" s="2" t="s">
        <v>103</v>
      </c>
      <c r="M49" s="10" t="s">
        <v>0</v>
      </c>
    </row>
    <row r="50" spans="1:18" x14ac:dyDescent="0.2">
      <c r="A50" s="4"/>
      <c r="B50" s="4"/>
      <c r="C50" s="4"/>
      <c r="D50" s="4"/>
      <c r="E50" s="31"/>
      <c r="F50" s="10" t="s">
        <v>101</v>
      </c>
      <c r="G50" s="4"/>
      <c r="H50" s="4" t="s">
        <v>102</v>
      </c>
      <c r="I50" s="6"/>
      <c r="J50">
        <f>0.01/60</f>
        <v>1.6666666666666666E-4</v>
      </c>
      <c r="K50" t="s">
        <v>103</v>
      </c>
      <c r="M50" s="10" t="s">
        <v>0</v>
      </c>
      <c r="P50" s="2"/>
      <c r="Q50" s="2"/>
      <c r="R50" s="2"/>
    </row>
    <row r="51" spans="1:18" ht="68" x14ac:dyDescent="0.2">
      <c r="A51" s="4"/>
      <c r="B51" s="8"/>
      <c r="C51" s="4"/>
      <c r="D51" s="4"/>
      <c r="E51" s="31" t="s">
        <v>107</v>
      </c>
      <c r="F51" s="10" t="s">
        <v>104</v>
      </c>
      <c r="G51" s="4"/>
      <c r="H51" s="4"/>
      <c r="I51" s="6"/>
      <c r="K51" t="s">
        <v>106</v>
      </c>
    </row>
    <row r="52" spans="1:18" x14ac:dyDescent="0.2">
      <c r="A52" s="4"/>
      <c r="B52" s="8"/>
      <c r="C52" s="4"/>
      <c r="D52" s="4"/>
      <c r="E52" s="31"/>
      <c r="F52" s="4" t="s">
        <v>108</v>
      </c>
      <c r="G52" s="4"/>
      <c r="H52" s="4" t="s">
        <v>109</v>
      </c>
      <c r="I52" s="6"/>
      <c r="K52" t="s">
        <v>106</v>
      </c>
    </row>
    <row r="53" spans="1:18" x14ac:dyDescent="0.2">
      <c r="A53" s="4"/>
      <c r="B53" s="4"/>
      <c r="C53" s="4"/>
      <c r="D53" s="4"/>
      <c r="E53" s="31"/>
      <c r="F53" s="4" t="s">
        <v>110</v>
      </c>
      <c r="G53" s="4"/>
      <c r="H53" s="4" t="s">
        <v>119</v>
      </c>
      <c r="I53" s="6"/>
      <c r="J53">
        <f>0.16/60</f>
        <v>2.6666666666666666E-3</v>
      </c>
      <c r="K53" t="s">
        <v>106</v>
      </c>
      <c r="M53" t="s">
        <v>0</v>
      </c>
    </row>
    <row r="54" spans="1:18" x14ac:dyDescent="0.2">
      <c r="A54" s="4"/>
      <c r="B54" s="4"/>
      <c r="C54" s="4"/>
      <c r="D54" s="4"/>
      <c r="E54" s="31"/>
      <c r="F54" s="4" t="s">
        <v>111</v>
      </c>
      <c r="G54" s="4"/>
      <c r="H54" s="4" t="s">
        <v>120</v>
      </c>
      <c r="I54" s="6"/>
      <c r="K54" t="s">
        <v>106</v>
      </c>
    </row>
    <row r="55" spans="1:18" x14ac:dyDescent="0.2">
      <c r="A55" s="4"/>
      <c r="B55" s="4"/>
      <c r="C55" s="4"/>
      <c r="D55" s="4"/>
      <c r="E55" s="31"/>
      <c r="F55" s="4" t="s">
        <v>112</v>
      </c>
      <c r="G55" s="4"/>
      <c r="H55" s="4" t="s">
        <v>113</v>
      </c>
      <c r="I55" s="6"/>
      <c r="J55">
        <f>0.03/60</f>
        <v>5.0000000000000001E-4</v>
      </c>
      <c r="K55" t="s">
        <v>106</v>
      </c>
      <c r="M55" t="s">
        <v>0</v>
      </c>
    </row>
    <row r="56" spans="1:18" x14ac:dyDescent="0.2">
      <c r="A56" s="4"/>
      <c r="B56" s="4"/>
      <c r="C56" s="4"/>
      <c r="D56" s="4"/>
      <c r="E56" s="31"/>
      <c r="F56" t="s">
        <v>115</v>
      </c>
      <c r="G56" s="4"/>
      <c r="H56" s="4" t="s">
        <v>114</v>
      </c>
      <c r="I56" s="6"/>
      <c r="J56">
        <f>300*M44/60</f>
        <v>4.1514447027565602E-3</v>
      </c>
      <c r="K56" t="s">
        <v>106</v>
      </c>
      <c r="M56" t="s">
        <v>1</v>
      </c>
    </row>
    <row r="57" spans="1:18" x14ac:dyDescent="0.2">
      <c r="A57" s="4"/>
      <c r="B57" s="4"/>
      <c r="C57" s="4"/>
      <c r="D57" s="4"/>
      <c r="E57" s="31"/>
      <c r="F57" s="4" t="s">
        <v>116</v>
      </c>
      <c r="G57" s="4"/>
      <c r="H57" s="4">
        <v>0.45</v>
      </c>
      <c r="I57" s="6"/>
      <c r="K57" t="s">
        <v>106</v>
      </c>
    </row>
    <row r="58" spans="1:18" x14ac:dyDescent="0.2">
      <c r="A58" s="4"/>
      <c r="B58" s="4"/>
      <c r="C58" s="4"/>
      <c r="D58" s="4"/>
      <c r="E58" s="31"/>
      <c r="F58" s="4" t="s">
        <v>117</v>
      </c>
      <c r="G58" s="4"/>
      <c r="H58" s="4" t="s">
        <v>121</v>
      </c>
      <c r="I58" s="6"/>
      <c r="J58">
        <f>0.022/60</f>
        <v>3.6666666666666667E-4</v>
      </c>
      <c r="K58" t="s">
        <v>106</v>
      </c>
      <c r="M58" t="s">
        <v>0</v>
      </c>
    </row>
    <row r="59" spans="1:18" x14ac:dyDescent="0.2">
      <c r="A59" s="4"/>
      <c r="B59" s="4"/>
      <c r="C59" s="4"/>
      <c r="D59" s="4"/>
      <c r="E59" s="31"/>
      <c r="F59" s="4" t="s">
        <v>118</v>
      </c>
      <c r="G59" s="4"/>
      <c r="H59" s="4" t="s">
        <v>122</v>
      </c>
      <c r="I59" s="6"/>
      <c r="J59">
        <f>0.058/60</f>
        <v>9.6666666666666667E-4</v>
      </c>
      <c r="K59" t="s">
        <v>106</v>
      </c>
      <c r="M59" t="s">
        <v>0</v>
      </c>
    </row>
    <row r="60" spans="1:18" x14ac:dyDescent="0.2">
      <c r="E60" s="31"/>
      <c r="F60" s="4" t="s">
        <v>123</v>
      </c>
      <c r="G60" s="4"/>
      <c r="H60" s="4" t="s">
        <v>126</v>
      </c>
      <c r="I60" s="6"/>
      <c r="J60">
        <f>0.3/60</f>
        <v>5.0000000000000001E-3</v>
      </c>
      <c r="K60" t="s">
        <v>127</v>
      </c>
      <c r="M60" t="s">
        <v>0</v>
      </c>
    </row>
    <row r="61" spans="1:18" x14ac:dyDescent="0.2">
      <c r="E61" s="31"/>
      <c r="F61" s="4" t="s">
        <v>124</v>
      </c>
      <c r="G61" s="4"/>
      <c r="H61" s="4" t="s">
        <v>125</v>
      </c>
      <c r="I61" s="6"/>
      <c r="J61">
        <f>0.03/60</f>
        <v>5.0000000000000001E-4</v>
      </c>
      <c r="K61" t="s">
        <v>127</v>
      </c>
      <c r="M61" t="s">
        <v>0</v>
      </c>
    </row>
    <row r="62" spans="1:18" x14ac:dyDescent="0.2">
      <c r="E62" s="31"/>
      <c r="F62" s="4" t="s">
        <v>130</v>
      </c>
      <c r="G62" s="4"/>
      <c r="H62" s="4" t="s">
        <v>128</v>
      </c>
      <c r="I62" s="6"/>
      <c r="K62" t="s">
        <v>129</v>
      </c>
    </row>
    <row r="63" spans="1:18" x14ac:dyDescent="0.2">
      <c r="E63" s="31"/>
      <c r="F63" s="4" t="s">
        <v>132</v>
      </c>
      <c r="G63" s="4"/>
      <c r="H63" s="4" t="s">
        <v>133</v>
      </c>
      <c r="I63" s="6"/>
      <c r="K63" t="s">
        <v>131</v>
      </c>
    </row>
    <row r="64" spans="1:18" x14ac:dyDescent="0.2">
      <c r="E64" s="31"/>
      <c r="F64" s="4"/>
      <c r="G64" s="4"/>
      <c r="H64" s="4"/>
      <c r="I64" s="6"/>
    </row>
    <row r="65" spans="1:18" x14ac:dyDescent="0.2">
      <c r="E65" s="31"/>
      <c r="F65" s="4" t="s">
        <v>134</v>
      </c>
      <c r="G65" s="4"/>
      <c r="H65" t="s">
        <v>135</v>
      </c>
      <c r="I65" s="6"/>
      <c r="J65">
        <f>0.0075/60</f>
        <v>1.25E-4</v>
      </c>
      <c r="K65" t="s">
        <v>147</v>
      </c>
    </row>
    <row r="66" spans="1:18" x14ac:dyDescent="0.2">
      <c r="E66" s="31"/>
      <c r="F66" s="4" t="s">
        <v>137</v>
      </c>
      <c r="G66" s="4"/>
      <c r="H66" t="s">
        <v>138</v>
      </c>
      <c r="I66" s="6"/>
      <c r="J66">
        <f>0.009/60</f>
        <v>1.4999999999999999E-4</v>
      </c>
      <c r="K66" t="s">
        <v>147</v>
      </c>
    </row>
    <row r="67" spans="1:18" x14ac:dyDescent="0.2">
      <c r="E67" s="31"/>
      <c r="F67" s="4" t="s">
        <v>136</v>
      </c>
      <c r="G67" s="4"/>
      <c r="H67" t="s">
        <v>140</v>
      </c>
      <c r="I67" s="6"/>
      <c r="J67">
        <f>0.0127/60</f>
        <v>2.1166666666666667E-4</v>
      </c>
      <c r="K67" t="s">
        <v>147</v>
      </c>
    </row>
    <row r="68" spans="1:18" s="4" customFormat="1" x14ac:dyDescent="0.2">
      <c r="A68"/>
      <c r="B68"/>
      <c r="C68"/>
      <c r="D68"/>
      <c r="E68" s="31"/>
      <c r="F68" s="4" t="s">
        <v>139</v>
      </c>
      <c r="H68" s="4" t="s">
        <v>141</v>
      </c>
      <c r="I68" s="6" t="e">
        <f>LOG(B68/#REF!,2)</f>
        <v>#REF!</v>
      </c>
      <c r="J68" s="4">
        <f>0.0057/60</f>
        <v>9.5000000000000005E-5</v>
      </c>
      <c r="K68" t="s">
        <v>147</v>
      </c>
      <c r="P68"/>
      <c r="Q68"/>
      <c r="R68"/>
    </row>
    <row r="69" spans="1:18" s="1" customFormat="1" x14ac:dyDescent="0.2">
      <c r="A69"/>
      <c r="B69"/>
      <c r="C69"/>
      <c r="D69"/>
      <c r="E69" s="34"/>
      <c r="F69" s="5"/>
      <c r="G69" s="5"/>
      <c r="I69" s="4"/>
      <c r="P69" s="4"/>
      <c r="Q69" s="4"/>
      <c r="R69" s="4"/>
    </row>
    <row r="70" spans="1:18" s="4" customFormat="1" x14ac:dyDescent="0.2">
      <c r="A70"/>
      <c r="B70"/>
      <c r="C70"/>
      <c r="D70"/>
      <c r="E70" s="31"/>
      <c r="F70" s="4" t="s">
        <v>142</v>
      </c>
      <c r="H70" s="4" t="s">
        <v>144</v>
      </c>
      <c r="I70" s="6"/>
      <c r="J70" s="4">
        <f xml:space="preserve"> 0.058 /60</f>
        <v>9.6666666666666667E-4</v>
      </c>
      <c r="P70" s="1"/>
      <c r="Q70" s="1"/>
      <c r="R70" s="1"/>
    </row>
    <row r="71" spans="1:18" s="4" customFormat="1" x14ac:dyDescent="0.2">
      <c r="A71"/>
      <c r="B71"/>
      <c r="C71"/>
      <c r="D71"/>
      <c r="E71" s="31"/>
      <c r="F71" s="4" t="s">
        <v>143</v>
      </c>
      <c r="H71" s="4" t="s">
        <v>145</v>
      </c>
      <c r="I71" s="6"/>
      <c r="J71" s="4">
        <f>0.041/60</f>
        <v>6.8333333333333332E-4</v>
      </c>
    </row>
    <row r="72" spans="1:18" s="5" customFormat="1" x14ac:dyDescent="0.2">
      <c r="A72"/>
      <c r="B72"/>
      <c r="C72"/>
      <c r="D72"/>
      <c r="E72" s="34"/>
      <c r="I72" s="4"/>
      <c r="P72" s="4"/>
      <c r="Q72" s="4"/>
      <c r="R72" s="4"/>
    </row>
    <row r="73" spans="1:18" s="4" customFormat="1" ht="17" x14ac:dyDescent="0.2">
      <c r="A73"/>
      <c r="B73"/>
      <c r="C73"/>
      <c r="D73"/>
      <c r="E73" s="31" t="s">
        <v>149</v>
      </c>
      <c r="F73" s="4" t="s">
        <v>146</v>
      </c>
      <c r="H73" t="s">
        <v>148</v>
      </c>
      <c r="I73" s="6"/>
      <c r="P73" s="5"/>
      <c r="Q73" s="5"/>
      <c r="R73" s="5"/>
    </row>
    <row r="74" spans="1:18" s="4" customFormat="1" x14ac:dyDescent="0.2">
      <c r="A74"/>
      <c r="B74"/>
      <c r="C74"/>
      <c r="D74"/>
      <c r="E74" s="31"/>
      <c r="I74" s="6"/>
    </row>
    <row r="75" spans="1:18" s="28" customFormat="1" x14ac:dyDescent="0.2">
      <c r="A75" s="15"/>
      <c r="B75" s="15"/>
      <c r="C75" s="15"/>
      <c r="D75" s="15"/>
      <c r="E75" s="32"/>
      <c r="I75" s="29"/>
    </row>
    <row r="76" spans="1:18" s="28" customFormat="1" x14ac:dyDescent="0.2">
      <c r="A76" s="15"/>
      <c r="B76" s="15"/>
      <c r="C76" s="15"/>
      <c r="D76" s="15"/>
      <c r="E76" s="32"/>
      <c r="F76" s="28" t="s">
        <v>170</v>
      </c>
      <c r="G76" s="28" t="s">
        <v>177</v>
      </c>
      <c r="H76" s="28" t="s">
        <v>179</v>
      </c>
      <c r="J76" s="28">
        <f>0.081/3600</f>
        <v>2.2500000000000001E-5</v>
      </c>
      <c r="K76" s="40" t="s">
        <v>172</v>
      </c>
      <c r="M76" s="28" t="s">
        <v>0</v>
      </c>
    </row>
    <row r="77" spans="1:18" s="28" customFormat="1" x14ac:dyDescent="0.2">
      <c r="A77" s="15"/>
      <c r="B77" s="15"/>
      <c r="C77" s="15"/>
      <c r="D77" s="15"/>
      <c r="E77" s="32"/>
      <c r="G77" s="28" t="s">
        <v>178</v>
      </c>
      <c r="H77" s="28" t="s">
        <v>180</v>
      </c>
      <c r="I77" s="29"/>
      <c r="J77" s="28">
        <f>0.034/3600</f>
        <v>9.4444444444444446E-6</v>
      </c>
      <c r="K77" s="40" t="s">
        <v>172</v>
      </c>
      <c r="M77" s="28" t="s">
        <v>0</v>
      </c>
    </row>
    <row r="78" spans="1:18" s="28" customFormat="1" x14ac:dyDescent="0.2">
      <c r="A78" s="15"/>
      <c r="B78" s="15"/>
      <c r="C78" s="15"/>
      <c r="D78" s="15"/>
      <c r="E78" s="32"/>
      <c r="I78" s="29"/>
    </row>
    <row r="79" spans="1:18" s="28" customFormat="1" x14ac:dyDescent="0.2">
      <c r="A79" s="15"/>
      <c r="B79" s="15"/>
      <c r="C79" s="15"/>
      <c r="D79" s="15"/>
      <c r="E79" s="32"/>
      <c r="F79" s="28" t="s">
        <v>171</v>
      </c>
    </row>
    <row r="80" spans="1:18" s="28" customFormat="1" x14ac:dyDescent="0.2">
      <c r="A80" s="15"/>
      <c r="B80" s="15"/>
      <c r="C80" s="15"/>
      <c r="D80" s="15"/>
      <c r="E80" s="32"/>
      <c r="F80" s="28" t="s">
        <v>173</v>
      </c>
      <c r="H80" s="28" t="s">
        <v>174</v>
      </c>
      <c r="I80" s="29"/>
      <c r="J80" s="28">
        <f>0.1/3600</f>
        <v>2.7777777777777779E-5</v>
      </c>
      <c r="K80" s="40" t="s">
        <v>176</v>
      </c>
      <c r="M80" s="28" t="s">
        <v>0</v>
      </c>
    </row>
    <row r="81" spans="1:18" s="28" customFormat="1" x14ac:dyDescent="0.2">
      <c r="A81" s="15"/>
      <c r="B81" s="15"/>
      <c r="C81" s="15"/>
      <c r="D81" s="15"/>
      <c r="E81" s="32"/>
      <c r="G81" s="28" t="s">
        <v>178</v>
      </c>
      <c r="H81" s="28" t="s">
        <v>181</v>
      </c>
      <c r="I81" s="29"/>
      <c r="J81" s="28">
        <f>1/7.1/3600</f>
        <v>3.9123630672926451E-5</v>
      </c>
      <c r="K81" s="40" t="s">
        <v>175</v>
      </c>
      <c r="M81" s="28" t="s">
        <v>0</v>
      </c>
    </row>
    <row r="82" spans="1:18" s="28" customFormat="1" x14ac:dyDescent="0.2">
      <c r="A82" s="15"/>
      <c r="B82" s="15"/>
      <c r="C82" s="15"/>
      <c r="D82" s="15"/>
      <c r="E82" s="32"/>
      <c r="H82" s="28" t="s">
        <v>182</v>
      </c>
      <c r="I82" s="29"/>
      <c r="J82" s="28">
        <f>0.5/3600</f>
        <v>1.3888888888888889E-4</v>
      </c>
      <c r="K82" s="40" t="s">
        <v>176</v>
      </c>
      <c r="M82" s="28" t="s">
        <v>0</v>
      </c>
    </row>
    <row r="83" spans="1:18" s="28" customFormat="1" x14ac:dyDescent="0.2">
      <c r="A83" s="15"/>
      <c r="B83" s="15"/>
      <c r="C83" s="15"/>
      <c r="D83" s="15"/>
      <c r="E83" s="32"/>
      <c r="G83" s="28" t="s">
        <v>178</v>
      </c>
      <c r="H83" s="28" t="s">
        <v>183</v>
      </c>
      <c r="J83" s="28">
        <f>1/50/60</f>
        <v>3.3333333333333332E-4</v>
      </c>
      <c r="K83" s="40" t="s">
        <v>184</v>
      </c>
      <c r="M83" s="28" t="s">
        <v>0</v>
      </c>
    </row>
    <row r="84" spans="1:18" s="28" customFormat="1" x14ac:dyDescent="0.2">
      <c r="A84" s="15"/>
      <c r="B84" s="15"/>
      <c r="C84" s="15"/>
      <c r="D84" s="15"/>
      <c r="E84" s="32"/>
      <c r="I84" s="29"/>
    </row>
    <row r="85" spans="1:18" s="28" customFormat="1" x14ac:dyDescent="0.2">
      <c r="A85" s="15"/>
      <c r="B85" s="15"/>
      <c r="C85" s="15"/>
      <c r="D85" s="15"/>
      <c r="E85" s="32"/>
      <c r="I85" s="29"/>
    </row>
    <row r="86" spans="1:18" s="28" customFormat="1" x14ac:dyDescent="0.2">
      <c r="A86" s="15"/>
      <c r="B86" s="15"/>
      <c r="C86" s="15"/>
      <c r="D86" s="15"/>
      <c r="E86" s="32"/>
      <c r="F86" s="28" t="s">
        <v>185</v>
      </c>
      <c r="H86" s="28" t="s">
        <v>188</v>
      </c>
      <c r="I86" s="29"/>
    </row>
    <row r="87" spans="1:18" s="15" customFormat="1" x14ac:dyDescent="0.2">
      <c r="E87" s="32"/>
      <c r="F87" s="28" t="s">
        <v>186</v>
      </c>
      <c r="G87" s="28" t="s">
        <v>187</v>
      </c>
      <c r="H87" s="28">
        <f>(4114 + 4117 + 4281 + 4287)/4</f>
        <v>4199.75</v>
      </c>
      <c r="I87" s="29"/>
      <c r="P87" s="28"/>
      <c r="Q87" s="28"/>
      <c r="R87" s="28"/>
    </row>
    <row r="88" spans="1:18" s="15" customFormat="1" x14ac:dyDescent="0.2">
      <c r="E88" s="38"/>
      <c r="F88" s="15" t="s">
        <v>189</v>
      </c>
      <c r="I88" s="39"/>
      <c r="J88" s="15">
        <f>2.4/4.2/60 * M44</f>
        <v>7.9075137195363036E-6</v>
      </c>
      <c r="M88" s="15" t="s">
        <v>1</v>
      </c>
    </row>
  </sheetData>
  <mergeCells count="2">
    <mergeCell ref="Q2:R2"/>
    <mergeCell ref="S2:T2"/>
  </mergeCells>
  <phoneticPr fontId="5" type="noConversion"/>
  <hyperlinks>
    <hyperlink ref="K76" r:id="rId1" display="https://bionumbers.hms.harvard.edu/redirect.aspx?pbmid=18954100&amp;hlid=" xr:uid="{4F4E21BB-7538-BB46-AA32-8BF4C62B0897}"/>
    <hyperlink ref="K77" r:id="rId2" display="https://bionumbers.hms.harvard.edu/redirect.aspx?pbmid=18954100&amp;hlid=" xr:uid="{E0121B04-1A4C-A942-8709-C1AFEC201135}"/>
    <hyperlink ref="K81" r:id="rId3" display="https://bionumbers.hms.harvard.edu/redirect.aspx?pbmid=19001483&amp;hlid=" xr:uid="{1D95989E-C539-5744-A1D5-2ACED831DC20}"/>
    <hyperlink ref="K80" r:id="rId4" display="https://bionumbers.hms.harvard.edu/redirect.aspx?pbmid=12902380&amp;hlid=" xr:uid="{C0072047-232A-4B42-89FA-ABB53077B4D9}"/>
    <hyperlink ref="K82" r:id="rId5" display="https://bionumbers.hms.harvard.edu/redirect.aspx?pbmid=12902380&amp;hlid=" xr:uid="{419A374D-A87D-3549-98AC-33F3A733F671}"/>
    <hyperlink ref="K83" r:id="rId6" display="https://bionumbers.hms.harvard.edu/redirect.aspx?pbmid=25497548&amp;hlid=" xr:uid="{78C677CD-8B22-074B-95D7-114534F671A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5" sqref="D35"/>
    </sheetView>
  </sheetViews>
  <sheetFormatPr baseColWidth="10" defaultRowHeight="16" x14ac:dyDescent="0.2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Kds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no</dc:creator>
  <cp:lastModifiedBy>Microsoft Office User</cp:lastModifiedBy>
  <dcterms:created xsi:type="dcterms:W3CDTF">2016-07-21T00:09:10Z</dcterms:created>
  <dcterms:modified xsi:type="dcterms:W3CDTF">2020-07-13T21:07:43Z</dcterms:modified>
</cp:coreProperties>
</file>