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mc:AlternateContent xmlns:mc="http://schemas.openxmlformats.org/markup-compatibility/2006">
    <mc:Choice Requires="x15">
      <x15ac:absPath xmlns:x15ac="http://schemas.microsoft.com/office/spreadsheetml/2010/11/ac" url="/Users/TaniyaRC/Google Drive/UMD_2018_new/Research_Plan/"/>
    </mc:Choice>
  </mc:AlternateContent>
  <xr:revisionPtr revIDLastSave="0" documentId="13_ncr:1_{2FB06F55-C213-1742-BE2A-297D3FD120B5}" xr6:coauthVersionLast="38" xr6:coauthVersionMax="38" xr10:uidLastSave="{00000000-0000-0000-0000-000000000000}"/>
  <bookViews>
    <workbookView xWindow="28800" yWindow="460" windowWidth="32000" windowHeight="17540" tabRatio="500" activeTab="2" xr2:uid="{00000000-000D-0000-FFFF-FFFF00000000}"/>
  </bookViews>
  <sheets>
    <sheet name="Definitions" sheetId="1" r:id="rId1"/>
    <sheet name="Calculations" sheetId="2" r:id="rId2"/>
    <sheet name="Henry's_Constant" sheetId="3" r:id="rId3"/>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8" i="3" l="1"/>
  <c r="H8" i="3"/>
  <c r="Y6" i="2"/>
  <c r="I6" i="2"/>
  <c r="V6" i="2"/>
  <c r="P6" i="2"/>
  <c r="Q6" i="2" s="1"/>
  <c r="O6" i="2"/>
  <c r="N6" i="2"/>
  <c r="U6" i="2" s="1"/>
  <c r="H6" i="2"/>
  <c r="E6" i="2"/>
  <c r="F6" i="2"/>
  <c r="I7" i="3"/>
  <c r="H7" i="3"/>
  <c r="Z5" i="2"/>
  <c r="Y5" i="2"/>
  <c r="W5" i="2"/>
  <c r="V5" i="2"/>
  <c r="J5" i="2"/>
  <c r="I5" i="2"/>
  <c r="H5" i="2"/>
  <c r="F5" i="2"/>
  <c r="I5" i="3"/>
  <c r="J6" i="2" l="1"/>
  <c r="W6" i="2"/>
  <c r="Z6" i="2" l="1"/>
  <c r="H5" i="3" l="1"/>
  <c r="E5" i="2"/>
  <c r="C3" i="2"/>
  <c r="O5" i="2"/>
  <c r="N5" i="2"/>
  <c r="P5" i="2" s="1"/>
  <c r="Q5" i="2" s="1"/>
  <c r="U5" i="2" l="1"/>
</calcChain>
</file>

<file path=xl/sharedStrings.xml><?xml version="1.0" encoding="utf-8"?>
<sst xmlns="http://schemas.openxmlformats.org/spreadsheetml/2006/main" count="132" uniqueCount="122">
  <si>
    <t>Units</t>
  </si>
  <si>
    <t>LL-1atm-1</t>
  </si>
  <si>
    <t>Is the solubility coefficient, caculated for the temperature at which the air-water equilibrium occurs. Is estimated from temperature in Kelvins using polynomial equations for zero salinity derived from literature.</t>
  </si>
  <si>
    <t>mol gas (L gas)-1 atm-1</t>
  </si>
  <si>
    <t>Definition</t>
  </si>
  <si>
    <r>
      <t>Estimated solubility coefficient (K</t>
    </r>
    <r>
      <rPr>
        <vertAlign val="subscript"/>
        <sz val="12"/>
        <color theme="1"/>
        <rFont val="Calibri (Body)"/>
      </rPr>
      <t>T</t>
    </r>
    <r>
      <rPr>
        <sz val="12"/>
        <color theme="1"/>
        <rFont val="Calibri"/>
        <family val="2"/>
        <scheme val="minor"/>
      </rPr>
      <t>)</t>
    </r>
  </si>
  <si>
    <r>
      <t>Bunsen solubility coefficient (β</t>
    </r>
    <r>
      <rPr>
        <vertAlign val="subscript"/>
        <sz val="12"/>
        <color theme="1"/>
        <rFont val="Calibri (Body)"/>
      </rPr>
      <t>T</t>
    </r>
    <r>
      <rPr>
        <sz val="12"/>
        <color theme="1"/>
        <rFont val="Calibri"/>
        <family val="2"/>
        <scheme val="minor"/>
      </rPr>
      <t>)</t>
    </r>
  </si>
  <si>
    <t>V is the volume of one mole of pure gas at STP(=RT using the Ideal gas Law, T = 273.15K), and the aqueous solution is assumed to approximate the density of freshwater</t>
  </si>
  <si>
    <t>Therefore, moles gas/L solution = (L gas/L solution)/RT = (L gas/L solution)/0.0821*273.15</t>
  </si>
  <si>
    <r>
      <t>K</t>
    </r>
    <r>
      <rPr>
        <vertAlign val="subscript"/>
        <sz val="12"/>
        <color theme="1"/>
        <rFont val="Calibri (Body)"/>
      </rPr>
      <t>T</t>
    </r>
    <r>
      <rPr>
        <sz val="12"/>
        <color theme="1"/>
        <rFont val="Calibri"/>
        <family val="2"/>
        <scheme val="minor"/>
      </rPr>
      <t>=β</t>
    </r>
    <r>
      <rPr>
        <vertAlign val="subscript"/>
        <sz val="12"/>
        <color theme="1"/>
        <rFont val="Calibri (Body)"/>
      </rPr>
      <t>T</t>
    </r>
    <r>
      <rPr>
        <sz val="12"/>
        <color theme="1"/>
        <rFont val="Calibri"/>
        <family val="2"/>
        <scheme val="minor"/>
      </rPr>
      <t>/V = β</t>
    </r>
    <r>
      <rPr>
        <vertAlign val="subscript"/>
        <sz val="12"/>
        <color theme="1"/>
        <rFont val="Calibri (Body)"/>
      </rPr>
      <t>T</t>
    </r>
    <r>
      <rPr>
        <sz val="12"/>
        <color theme="1"/>
        <rFont val="Calibri"/>
        <family val="2"/>
        <scheme val="minor"/>
      </rPr>
      <t>/RT</t>
    </r>
  </si>
  <si>
    <t>Mass balance for gas-liquid equilibrium</t>
  </si>
  <si>
    <r>
      <t xml:space="preserve"> C</t>
    </r>
    <r>
      <rPr>
        <vertAlign val="superscript"/>
        <sz val="12"/>
        <color theme="1"/>
        <rFont val="Calibri (Body)"/>
      </rPr>
      <t xml:space="preserve">0 </t>
    </r>
    <r>
      <rPr>
        <vertAlign val="subscript"/>
        <sz val="12"/>
        <color theme="1"/>
        <rFont val="Calibri (Body)"/>
      </rPr>
      <t xml:space="preserve">liq </t>
    </r>
    <r>
      <rPr>
        <sz val="12"/>
        <color theme="1"/>
        <rFont val="Calibri"/>
        <family val="2"/>
        <scheme val="minor"/>
      </rPr>
      <t>is the original gas concentration</t>
    </r>
  </si>
  <si>
    <r>
      <t>C</t>
    </r>
    <r>
      <rPr>
        <vertAlign val="subscript"/>
        <sz val="12"/>
        <color theme="1"/>
        <rFont val="Calibri (Body)"/>
      </rPr>
      <t>liq</t>
    </r>
    <r>
      <rPr>
        <sz val="12"/>
        <color theme="1"/>
        <rFont val="Calibri"/>
        <family val="2"/>
        <scheme val="minor"/>
      </rPr>
      <t xml:space="preserve"> and C</t>
    </r>
    <r>
      <rPr>
        <vertAlign val="subscript"/>
        <sz val="12"/>
        <color theme="1"/>
        <rFont val="Calibri (Body)"/>
      </rPr>
      <t>gas</t>
    </r>
    <r>
      <rPr>
        <sz val="12"/>
        <color theme="1"/>
        <rFont val="Calibri"/>
        <family val="2"/>
        <scheme val="minor"/>
      </rPr>
      <t xml:space="preserve"> are the concentrations in the liquid and gas phases after equilibration</t>
    </r>
  </si>
  <si>
    <r>
      <t>At equilibrium,  substitute C</t>
    </r>
    <r>
      <rPr>
        <vertAlign val="subscript"/>
        <sz val="12"/>
        <color theme="1"/>
        <rFont val="Calibri (Body)"/>
      </rPr>
      <t xml:space="preserve">liq  </t>
    </r>
    <r>
      <rPr>
        <sz val="12"/>
        <color theme="1"/>
        <rFont val="Calibri (Body)"/>
      </rPr>
      <t>=</t>
    </r>
    <r>
      <rPr>
        <vertAlign val="subscript"/>
        <sz val="12"/>
        <color theme="1"/>
        <rFont val="Calibri (Body)"/>
      </rPr>
      <t xml:space="preserve"> </t>
    </r>
    <r>
      <rPr>
        <sz val="12"/>
        <color theme="1"/>
        <rFont val="Calibri"/>
        <family val="2"/>
        <scheme val="minor"/>
      </rPr>
      <t>P</t>
    </r>
    <r>
      <rPr>
        <vertAlign val="subscript"/>
        <sz val="12"/>
        <color theme="1"/>
        <rFont val="Calibri (Body)"/>
      </rPr>
      <t>gas</t>
    </r>
    <r>
      <rPr>
        <sz val="12"/>
        <color theme="1"/>
        <rFont val="Calibri (Body)"/>
      </rPr>
      <t>*</t>
    </r>
    <r>
      <rPr>
        <sz val="12"/>
        <color theme="1"/>
        <rFont val="Calibri"/>
        <family val="2"/>
        <scheme val="minor"/>
      </rPr>
      <t xml:space="preserve"> β</t>
    </r>
    <r>
      <rPr>
        <vertAlign val="subscript"/>
        <sz val="12"/>
        <color theme="1"/>
        <rFont val="Calibri (Body)"/>
      </rPr>
      <t>T</t>
    </r>
    <r>
      <rPr>
        <sz val="12"/>
        <color theme="1"/>
        <rFont val="Calibri"/>
        <family val="2"/>
        <scheme val="minor"/>
      </rPr>
      <t xml:space="preserve"> * P</t>
    </r>
    <r>
      <rPr>
        <vertAlign val="subscript"/>
        <sz val="12"/>
        <color theme="1"/>
        <rFont val="Calibri (Body)"/>
      </rPr>
      <t>BAROMETRIC</t>
    </r>
  </si>
  <si>
    <t>Gas concentration</t>
  </si>
  <si>
    <t>R = 0.0821 L.atm.mole-1.K-1; T = 273.15K</t>
  </si>
  <si>
    <t>Total micromoles of gas in the headspace</t>
  </si>
  <si>
    <t>Cgas*Vgas, after correcting for any subsampling of the headspace</t>
  </si>
  <si>
    <t>Headspace gas concentration</t>
  </si>
  <si>
    <r>
      <t>(C</t>
    </r>
    <r>
      <rPr>
        <vertAlign val="subscript"/>
        <sz val="12"/>
        <color theme="1"/>
        <rFont val="Calibri (Body)"/>
      </rPr>
      <t>gas</t>
    </r>
    <r>
      <rPr>
        <sz val="12"/>
        <color theme="1"/>
        <rFont val="Calibri"/>
        <family val="2"/>
        <scheme val="minor"/>
      </rPr>
      <t>) = (C</t>
    </r>
    <r>
      <rPr>
        <vertAlign val="superscript"/>
        <sz val="12"/>
        <color theme="1"/>
        <rFont val="Calibri (Body)"/>
      </rPr>
      <t>0</t>
    </r>
    <r>
      <rPr>
        <sz val="12"/>
        <color theme="1"/>
        <rFont val="Calibri"/>
        <family val="2"/>
        <scheme val="minor"/>
      </rPr>
      <t xml:space="preserve"> </t>
    </r>
    <r>
      <rPr>
        <vertAlign val="subscript"/>
        <sz val="12"/>
        <color theme="1"/>
        <rFont val="Calibri (Body)"/>
      </rPr>
      <t>liq</t>
    </r>
    <r>
      <rPr>
        <sz val="12"/>
        <color theme="1"/>
        <rFont val="Calibri"/>
        <family val="2"/>
        <scheme val="minor"/>
      </rPr>
      <t>* V</t>
    </r>
    <r>
      <rPr>
        <vertAlign val="subscript"/>
        <sz val="12"/>
        <color theme="1"/>
        <rFont val="Calibri (Body)"/>
      </rPr>
      <t>liq</t>
    </r>
    <r>
      <rPr>
        <sz val="12"/>
        <color theme="1"/>
        <rFont val="Calibri"/>
        <family val="2"/>
        <scheme val="minor"/>
      </rPr>
      <t>)/[(β</t>
    </r>
    <r>
      <rPr>
        <vertAlign val="subscript"/>
        <sz val="12"/>
        <color theme="1"/>
        <rFont val="Calibri (Body)"/>
      </rPr>
      <t>T</t>
    </r>
    <r>
      <rPr>
        <sz val="12"/>
        <color theme="1"/>
        <rFont val="Calibri"/>
        <family val="2"/>
        <scheme val="minor"/>
      </rPr>
      <t xml:space="preserve"> *P</t>
    </r>
    <r>
      <rPr>
        <vertAlign val="subscript"/>
        <sz val="12"/>
        <color theme="1"/>
        <rFont val="Calibri (Body)"/>
      </rPr>
      <t xml:space="preserve">BAROMETRIC </t>
    </r>
    <r>
      <rPr>
        <sz val="12"/>
        <color theme="1"/>
        <rFont val="Calibri"/>
        <family val="2"/>
        <scheme val="minor"/>
      </rPr>
      <t>*V</t>
    </r>
    <r>
      <rPr>
        <vertAlign val="subscript"/>
        <sz val="12"/>
        <color theme="1"/>
        <rFont val="Calibri (Body)"/>
      </rPr>
      <t>liq</t>
    </r>
    <r>
      <rPr>
        <sz val="12"/>
        <color theme="1"/>
        <rFont val="Calibri"/>
        <family val="2"/>
        <scheme val="minor"/>
      </rPr>
      <t>) + V</t>
    </r>
    <r>
      <rPr>
        <vertAlign val="subscript"/>
        <sz val="12"/>
        <color theme="1"/>
        <rFont val="Calibri (Body)"/>
      </rPr>
      <t>gas</t>
    </r>
    <r>
      <rPr>
        <sz val="12"/>
        <color theme="1"/>
        <rFont val="Calibri"/>
        <family val="2"/>
        <scheme val="minor"/>
      </rPr>
      <t>]</t>
    </r>
  </si>
  <si>
    <t>Calculation of original dissolved gas concentration; based on static headspace equilibration in closed system and measuremet of gases in the headspace</t>
  </si>
  <si>
    <t>ppmv=(micromoles/L)(RT)</t>
  </si>
  <si>
    <t>Using the Ideal Gas Law</t>
  </si>
  <si>
    <r>
      <t>C</t>
    </r>
    <r>
      <rPr>
        <vertAlign val="subscript"/>
        <sz val="12"/>
        <color theme="1"/>
        <rFont val="Calibri (Body)"/>
      </rPr>
      <t>gas</t>
    </r>
    <r>
      <rPr>
        <sz val="12"/>
        <color theme="1"/>
        <rFont val="Calibri"/>
        <family val="2"/>
        <scheme val="minor"/>
      </rPr>
      <t xml:space="preserve"> = n/V = (P/RT)*(10</t>
    </r>
    <r>
      <rPr>
        <vertAlign val="superscript"/>
        <sz val="12"/>
        <color theme="1"/>
        <rFont val="Calibri (Body)"/>
      </rPr>
      <t>6</t>
    </r>
    <r>
      <rPr>
        <sz val="12"/>
        <color theme="1"/>
        <rFont val="Calibri"/>
        <family val="2"/>
        <scheme val="minor"/>
      </rPr>
      <t xml:space="preserve"> micromoles/mole)</t>
    </r>
  </si>
  <si>
    <t>V= 1L; P is measured partial pressure in atm</t>
  </si>
  <si>
    <t>Measured values are gas concentration in the headspace (Cgas); solubility coefficient and mass balance for gas-liquid system</t>
  </si>
  <si>
    <t>micromoles/L</t>
  </si>
  <si>
    <t>Concentration units are micromoles per L (uM) and volume units are L</t>
  </si>
  <si>
    <r>
      <t>(C</t>
    </r>
    <r>
      <rPr>
        <vertAlign val="superscript"/>
        <sz val="12"/>
        <color theme="1"/>
        <rFont val="Calibri (Body)"/>
      </rPr>
      <t>0</t>
    </r>
    <r>
      <rPr>
        <vertAlign val="subscript"/>
        <sz val="12"/>
        <color theme="1"/>
        <rFont val="Calibri (Body)"/>
      </rPr>
      <t>liq</t>
    </r>
    <r>
      <rPr>
        <sz val="12"/>
        <color theme="1"/>
        <rFont val="Calibri"/>
        <family val="2"/>
        <scheme val="minor"/>
      </rPr>
      <t>)(V</t>
    </r>
    <r>
      <rPr>
        <vertAlign val="subscript"/>
        <sz val="12"/>
        <color theme="1"/>
        <rFont val="Calibri (Body)"/>
      </rPr>
      <t>liq</t>
    </r>
    <r>
      <rPr>
        <sz val="12"/>
        <color theme="1"/>
        <rFont val="Calibri"/>
        <family val="2"/>
        <scheme val="minor"/>
      </rPr>
      <t>) = (C</t>
    </r>
    <r>
      <rPr>
        <vertAlign val="subscript"/>
        <sz val="12"/>
        <color theme="1"/>
        <rFont val="Calibri (Body)"/>
      </rPr>
      <t>liq</t>
    </r>
    <r>
      <rPr>
        <sz val="12"/>
        <color theme="1"/>
        <rFont val="Calibri"/>
        <family val="2"/>
        <scheme val="minor"/>
      </rPr>
      <t>)(V</t>
    </r>
    <r>
      <rPr>
        <vertAlign val="subscript"/>
        <sz val="12"/>
        <color theme="1"/>
        <rFont val="Calibri (Body)"/>
      </rPr>
      <t>liq</t>
    </r>
    <r>
      <rPr>
        <sz val="12"/>
        <color theme="1"/>
        <rFont val="Calibri"/>
        <family val="2"/>
        <scheme val="minor"/>
      </rPr>
      <t>) + (C</t>
    </r>
    <r>
      <rPr>
        <vertAlign val="subscript"/>
        <sz val="12"/>
        <color theme="1"/>
        <rFont val="Calibri (Body)"/>
      </rPr>
      <t>gas</t>
    </r>
    <r>
      <rPr>
        <sz val="12"/>
        <color theme="1"/>
        <rFont val="Calibri"/>
        <family val="2"/>
        <scheme val="minor"/>
      </rPr>
      <t>)(V</t>
    </r>
    <r>
      <rPr>
        <vertAlign val="subscript"/>
        <sz val="12"/>
        <color theme="1"/>
        <rFont val="Calibri (Body)"/>
      </rPr>
      <t>gas</t>
    </r>
    <r>
      <rPr>
        <sz val="12"/>
        <color theme="1"/>
        <rFont val="Calibri"/>
        <family val="2"/>
        <scheme val="minor"/>
      </rPr>
      <t>); LHS = Total micromoles of gas</t>
    </r>
  </si>
  <si>
    <t>Constants</t>
  </si>
  <si>
    <t>According to Henry’s law, the equilibrium value of the mole fraction of gas dissolved in a liquid is directly proportional to the partial pressure of the gas above the liquid surface. This implies that when a headspace is created above a water sample, gases which are in the water will equilibrate between the headspace and the aqueous phase. In this method the total gas concentration (TC) in the original water sample is calculated by first determining the gas concentration of the headspace, converting this to the partial pressure of the gas and then using this partial pressure to calculate the aqueous gas concentration which partitioned into the gas phase (CAH), and aqueous phase concentration which remained in the aqueous phase (CA). The total concentration (TC) in the aqueous phase is then:</t>
  </si>
  <si>
    <r>
      <t>C</t>
    </r>
    <r>
      <rPr>
        <vertAlign val="superscript"/>
        <sz val="12"/>
        <color theme="1"/>
        <rFont val="Calibri (Body)"/>
      </rPr>
      <t>0</t>
    </r>
    <r>
      <rPr>
        <sz val="12"/>
        <color theme="1"/>
        <rFont val="Calibri"/>
        <family val="2"/>
        <scheme val="minor"/>
      </rPr>
      <t xml:space="preserve"> </t>
    </r>
    <r>
      <rPr>
        <vertAlign val="subscript"/>
        <sz val="12"/>
        <color theme="1"/>
        <rFont val="Calibri (Body)"/>
      </rPr>
      <t>liq</t>
    </r>
    <r>
      <rPr>
        <sz val="12"/>
        <color theme="1"/>
        <rFont val="Calibri"/>
        <family val="2"/>
        <scheme val="minor"/>
      </rPr>
      <t>= C</t>
    </r>
    <r>
      <rPr>
        <vertAlign val="subscript"/>
        <sz val="12"/>
        <color theme="1"/>
        <rFont val="Calibri (Body)"/>
      </rPr>
      <t xml:space="preserve">liq </t>
    </r>
    <r>
      <rPr>
        <sz val="12"/>
        <color theme="1"/>
        <rFont val="Calibri"/>
        <family val="2"/>
        <scheme val="minor"/>
      </rPr>
      <t>+ C</t>
    </r>
    <r>
      <rPr>
        <vertAlign val="subscript"/>
        <sz val="12"/>
        <color theme="1"/>
        <rFont val="Calibri (Body)"/>
      </rPr>
      <t>gas</t>
    </r>
    <r>
      <rPr>
        <sz val="12"/>
        <color theme="1"/>
        <rFont val="Calibri"/>
        <family val="2"/>
        <scheme val="minor"/>
      </rPr>
      <t xml:space="preserve">, as defined above: concentration in the headspace is determined from calibration curves using standard gas samples (this is the direct values obtained from Picarro after correcting for units). Method for calculating dissolved gas concentration involves the following parameters: concentration in the gas phase (C gas), Henry's law constant (H) for the gas (from reference tables), temperature of the sample (in Kelvin), volume of the sampling unit (Vb); headspace volume (Vh), molecular weight of the gaseous analyte (MW) </t>
    </r>
  </si>
  <si>
    <t>Henry's Law Constants: relevant for "aqueous gasses"</t>
  </si>
  <si>
    <t>micromolesL-1</t>
  </si>
  <si>
    <t>Partial pressure of the gas at atmospheric pressure</t>
  </si>
  <si>
    <t>atm</t>
  </si>
  <si>
    <t>Xgas = Pgas/H</t>
  </si>
  <si>
    <t>where, ng = mole of gas analyte; nw= mole of water</t>
  </si>
  <si>
    <t>mg/L</t>
  </si>
  <si>
    <t>where, MW=molecular weight of analyte, g/mol</t>
  </si>
  <si>
    <t>ng/V = (55.5 mol/L)(Pgas/H)</t>
  </si>
  <si>
    <t>mole fraction of dissolved gas, by definition</t>
  </si>
  <si>
    <t>mole fraction of dissolved gas, at equilibirum by Henry's law; H= Henry's const (atm/mole fraction)</t>
  </si>
  <si>
    <t>Gas concentration in the aqueous phase</t>
  </si>
  <si>
    <t>Since molar concentration of water = 55.5 mol/L</t>
  </si>
  <si>
    <t>Headspace concentration (measured)</t>
  </si>
  <si>
    <t>Cliq = (ng/V)MW</t>
  </si>
  <si>
    <t>Cliq = gas concentration in water after equilibrium</t>
  </si>
  <si>
    <t>C</t>
  </si>
  <si>
    <t>Definitions</t>
  </si>
  <si>
    <t>C liq = (55.5 mol/L) * (C/H) * MW(g/mol) * 10^3 mg/g</t>
  </si>
  <si>
    <t>Vb</t>
  </si>
  <si>
    <t>L</t>
  </si>
  <si>
    <t>Vh</t>
  </si>
  <si>
    <t>Vol. gas equilibrated into headspace</t>
  </si>
  <si>
    <t>mL of gas/mL of water</t>
  </si>
  <si>
    <t>mg of gas/mL of water</t>
  </si>
  <si>
    <t>Total gas Concentration</t>
  </si>
  <si>
    <t>uL</t>
  </si>
  <si>
    <t>Injection_volume (measured)</t>
  </si>
  <si>
    <t>mL</t>
  </si>
  <si>
    <t>Volume_gas_phase (calculated)</t>
  </si>
  <si>
    <t>Headspace_height (measured)</t>
  </si>
  <si>
    <t>cm</t>
  </si>
  <si>
    <t>diameter of core = 5cm</t>
  </si>
  <si>
    <t>varies for each soil core</t>
  </si>
  <si>
    <t>Volume of aqueous phase (calculated)</t>
  </si>
  <si>
    <t>this is soil and water volume</t>
  </si>
  <si>
    <t>g</t>
  </si>
  <si>
    <t>Soil_dry_weight_equivalent (calculated)</t>
  </si>
  <si>
    <t>based on water content</t>
  </si>
  <si>
    <t>Temperature_of_measurement</t>
  </si>
  <si>
    <t>Celsius</t>
  </si>
  <si>
    <t>R=0.0821L.atm.mol-1.K-1</t>
  </si>
  <si>
    <t>L.atm.mol-1</t>
  </si>
  <si>
    <t>RT</t>
  </si>
  <si>
    <t>Volume_correction</t>
  </si>
  <si>
    <t>Gas_law_temp_correction</t>
  </si>
  <si>
    <t>Percent</t>
  </si>
  <si>
    <t>P=1atm</t>
  </si>
  <si>
    <t>Vgas</t>
  </si>
  <si>
    <t>Cgas*Vgas</t>
  </si>
  <si>
    <t>Headspace volumetric concentration (calculated), n=PV/RT</t>
  </si>
  <si>
    <t>V=1L</t>
  </si>
  <si>
    <t>Volume of sampling unit (estimated based on  height)</t>
  </si>
  <si>
    <t>Va= (Vb-Vh-Vs)</t>
  </si>
  <si>
    <t>Vs</t>
  </si>
  <si>
    <t>pH</t>
  </si>
  <si>
    <t>ppm</t>
  </si>
  <si>
    <t>T* = T/100 K</t>
  </si>
  <si>
    <t>T</t>
  </si>
  <si>
    <t>A</t>
  </si>
  <si>
    <t>B</t>
  </si>
  <si>
    <t>X1</t>
  </si>
  <si>
    <t xml:space="preserve">X1=mole fraction solubility </t>
  </si>
  <si>
    <t>D</t>
  </si>
  <si>
    <t>ln X1 = A +B/T* + C lnT*+DT*</t>
  </si>
  <si>
    <t>https://sites.chem.colostate.edu/diverdi/all_courses/CRC%20reference%20data/solubility%20of%20gases%20in%20water.pdf</t>
  </si>
  <si>
    <t>Wilhelm et al. (1977), Chem. Rev. 77; 219-262</t>
  </si>
  <si>
    <t>H</t>
  </si>
  <si>
    <t>Xgas = ng/(ng+nw)</t>
  </si>
  <si>
    <t>Saturation  concentration of the gas component in aqueous phase</t>
  </si>
  <si>
    <t>CAH=Ah/Va</t>
  </si>
  <si>
    <t>Concentration of gas partitioned from aqueous into gas phase</t>
  </si>
  <si>
    <t>Gravimteric_water_content</t>
  </si>
  <si>
    <t>Cliq+CAH</t>
  </si>
  <si>
    <t>Cg</t>
  </si>
  <si>
    <r>
      <t xml:space="preserve">Pgas = Cg * </t>
    </r>
    <r>
      <rPr>
        <i/>
        <sz val="12"/>
        <color theme="1"/>
        <rFont val="Calibri"/>
        <family val="2"/>
        <scheme val="minor"/>
      </rPr>
      <t>P</t>
    </r>
    <r>
      <rPr>
        <vertAlign val="subscript"/>
        <sz val="12"/>
        <color theme="1"/>
        <rFont val="Calibri (Body)"/>
      </rPr>
      <t>T</t>
    </r>
    <r>
      <rPr>
        <sz val="12"/>
        <color theme="1"/>
        <rFont val="Calibri"/>
        <family val="2"/>
        <scheme val="minor"/>
      </rPr>
      <t xml:space="preserve">; </t>
    </r>
    <r>
      <rPr>
        <i/>
        <sz val="12"/>
        <color theme="1"/>
        <rFont val="Calibri"/>
        <family val="2"/>
        <scheme val="minor"/>
      </rPr>
      <t>P</t>
    </r>
    <r>
      <rPr>
        <vertAlign val="subscript"/>
        <sz val="12"/>
        <color theme="1"/>
        <rFont val="Calibri (Body)"/>
      </rPr>
      <t>T</t>
    </r>
    <r>
      <rPr>
        <sz val="12"/>
        <color theme="1"/>
        <rFont val="Calibri"/>
        <family val="2"/>
        <scheme val="minor"/>
      </rPr>
      <t xml:space="preserve"> (total pressure) is assumed equal to 1 atm</t>
    </r>
  </si>
  <si>
    <t>Cg = gas concentration in headspace after equilibrium</t>
  </si>
  <si>
    <t>Ah = Vh*Cg</t>
  </si>
  <si>
    <t>CAH = [Vh/(Vb-Vh)]*Cg</t>
  </si>
  <si>
    <t>CAH = [(Vh/(Vb-Vh-Vs)] * Cg*(MW/22.4 L/mol)*[273K/(T+273K)]* 10^3 mg/g</t>
  </si>
  <si>
    <t>Multiplying by gas density expression: [MW/22.4 L/mol)]*[273K/(T+273K)]</t>
  </si>
  <si>
    <t>METHANE</t>
  </si>
  <si>
    <t>CARBON DIOXIDE</t>
  </si>
  <si>
    <t>SOURCES</t>
  </si>
  <si>
    <t>HYDROGEN</t>
  </si>
  <si>
    <t>MW</t>
  </si>
  <si>
    <t>Emprical source</t>
  </si>
  <si>
    <t>C. L. Young, Ed., IUPAC Solubility Data Series, Vol. 5/6, Hydrogen and Deuterium, Pergamon Press, Oxford, England, 1981.</t>
  </si>
  <si>
    <t>R. Crovetto, Evaluation of Solubility Data for the System CO2-H2O, J. Phys. Chem. Ref. Data, 20, 575, 1991.</t>
  </si>
  <si>
    <t>H. L. Clever and C. L. Young, Eds., IUPAC Solubility Data Series, Vol. 27/28, Methane, Pergamon Press, Oxford, England, 1987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</si>
</sst>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vertAlign val="subscript"/>
      <sz val="12"/>
      <color theme="1"/>
      <name val="Calibri (Body)"/>
    </font>
    <font>
      <vertAlign val="superscript"/>
      <sz val="12"/>
      <color theme="1"/>
      <name val="Calibri (Body)"/>
    </font>
    <font>
      <sz val="12"/>
      <color theme="1"/>
      <name val="Calibri (Body)"/>
    </font>
    <font>
      <i/>
      <sz val="12"/>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000"/>
        <bgColor indexed="64"/>
      </patternFill>
    </fill>
  </fills>
  <borders count="5">
    <border>
      <left/>
      <right/>
      <top/>
      <bottom/>
      <diagonal/>
    </border>
    <border>
      <left/>
      <right/>
      <top style="thin">
        <color auto="1"/>
      </top>
      <bottom/>
      <diagonal/>
    </border>
    <border>
      <left/>
      <right/>
      <top style="thin">
        <color auto="1"/>
      </top>
      <bottom style="medium">
        <color auto="1"/>
      </bottom>
      <diagonal/>
    </border>
    <border>
      <left/>
      <right/>
      <top/>
      <bottom style="thin">
        <color indexed="64"/>
      </bottom>
      <diagonal/>
    </border>
    <border>
      <left/>
      <right/>
      <top style="medium">
        <color auto="1"/>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1" xfId="0" applyBorder="1"/>
    <xf numFmtId="0" fontId="0" fillId="0" borderId="1" xfId="0" applyBorder="1" applyAlignment="1"/>
    <xf numFmtId="0" fontId="0" fillId="0" borderId="0" xfId="0" applyAlignment="1">
      <alignment vertical="top"/>
    </xf>
    <xf numFmtId="0" fontId="1" fillId="2" borderId="0" xfId="0" applyFont="1" applyFill="1"/>
    <xf numFmtId="0" fontId="1" fillId="2" borderId="1" xfId="0" applyFont="1" applyFill="1" applyBorder="1"/>
    <xf numFmtId="0" fontId="0" fillId="2" borderId="0" xfId="0" applyFill="1"/>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0" borderId="2" xfId="0" applyFont="1" applyBorder="1" applyAlignment="1">
      <alignment horizontal="left" vertical="top" wrapText="1"/>
    </xf>
    <xf numFmtId="0" fontId="0" fillId="0" borderId="0" xfId="0" applyAlignment="1">
      <alignment horizontal="left" vertical="top"/>
    </xf>
    <xf numFmtId="0" fontId="0" fillId="2" borderId="0" xfId="0" applyFill="1" applyAlignment="1">
      <alignment horizontal="left" vertical="top"/>
    </xf>
    <xf numFmtId="0" fontId="0" fillId="4" borderId="0" xfId="0" applyFill="1" applyAlignment="1">
      <alignment horizontal="left" vertical="top"/>
    </xf>
    <xf numFmtId="0" fontId="0" fillId="0" borderId="3" xfId="0" applyBorder="1" applyAlignment="1">
      <alignment horizontal="left" vertical="top"/>
    </xf>
    <xf numFmtId="0" fontId="0" fillId="0" borderId="3" xfId="0" applyBorder="1" applyAlignment="1">
      <alignment horizontal="left" vertical="top" wrapText="1"/>
    </xf>
    <xf numFmtId="0" fontId="0" fillId="2" borderId="3" xfId="0" applyFill="1" applyBorder="1" applyAlignment="1">
      <alignment horizontal="left" vertical="top" wrapText="1"/>
    </xf>
    <xf numFmtId="0" fontId="0" fillId="3" borderId="3" xfId="0" applyFill="1" applyBorder="1" applyAlignment="1">
      <alignment horizontal="left" vertical="top"/>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0" fillId="3" borderId="0" xfId="0" applyFill="1" applyAlignment="1">
      <alignment horizontal="left" vertical="top"/>
    </xf>
    <xf numFmtId="0" fontId="1" fillId="5" borderId="0" xfId="0" applyFont="1" applyFill="1" applyAlignment="1">
      <alignment horizontal="left" vertical="top" wrapText="1"/>
    </xf>
    <xf numFmtId="0" fontId="1" fillId="5" borderId="2" xfId="0" applyFont="1" applyFill="1" applyBorder="1" applyAlignment="1">
      <alignment horizontal="left" vertical="top"/>
    </xf>
    <xf numFmtId="0" fontId="0" fillId="5" borderId="0" xfId="0" applyFill="1" applyAlignment="1">
      <alignment horizontal="left" vertical="top"/>
    </xf>
    <xf numFmtId="0" fontId="0" fillId="5" borderId="3" xfId="0" applyFill="1"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2" borderId="4" xfId="0" applyFill="1" applyBorder="1" applyAlignment="1">
      <alignment horizontal="left" vertical="top"/>
    </xf>
    <xf numFmtId="0" fontId="0" fillId="3" borderId="4" xfId="0" applyFill="1" applyBorder="1" applyAlignment="1">
      <alignment horizontal="left" vertical="top" wrapText="1"/>
    </xf>
    <xf numFmtId="0" fontId="0" fillId="4" borderId="4" xfId="0" applyFill="1" applyBorder="1" applyAlignment="1">
      <alignment horizontal="left" vertical="top" wrapText="1"/>
    </xf>
    <xf numFmtId="0" fontId="0" fillId="4" borderId="4" xfId="0" applyFill="1" applyBorder="1" applyAlignment="1">
      <alignment horizontal="left" vertical="top"/>
    </xf>
    <xf numFmtId="0" fontId="0" fillId="5" borderId="4" xfId="0" applyFill="1" applyBorder="1" applyAlignment="1">
      <alignment horizontal="left" vertical="top"/>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zoomScale="132" zoomScaleNormal="132" zoomScalePageLayoutView="132" workbookViewId="0">
      <selection activeCell="B12" sqref="B12"/>
    </sheetView>
  </sheetViews>
  <sheetFormatPr baseColWidth="10" defaultRowHeight="16"/>
  <cols>
    <col min="1" max="1" width="45.1640625" customWidth="1"/>
    <col min="2" max="2" width="35.83203125" customWidth="1"/>
    <col min="3" max="3" width="84.33203125" customWidth="1"/>
  </cols>
  <sheetData>
    <row r="1" spans="1:3" s="5" customFormat="1">
      <c r="A1" s="5" t="s">
        <v>29</v>
      </c>
      <c r="B1" s="5" t="s">
        <v>0</v>
      </c>
      <c r="C1" s="5" t="s">
        <v>4</v>
      </c>
    </row>
    <row r="2" spans="1:3" ht="18">
      <c r="A2" t="s">
        <v>6</v>
      </c>
      <c r="B2" t="s">
        <v>1</v>
      </c>
      <c r="C2" t="s">
        <v>2</v>
      </c>
    </row>
    <row r="3" spans="1:3" s="2" customFormat="1" ht="18">
      <c r="A3" s="2" t="s">
        <v>5</v>
      </c>
      <c r="B3" s="2" t="s">
        <v>3</v>
      </c>
      <c r="C3" s="2" t="s">
        <v>9</v>
      </c>
    </row>
    <row r="4" spans="1:3">
      <c r="C4" t="s">
        <v>7</v>
      </c>
    </row>
    <row r="5" spans="1:3">
      <c r="C5" t="s">
        <v>8</v>
      </c>
    </row>
    <row r="6" spans="1:3" s="2" customFormat="1" ht="20">
      <c r="A6" s="2" t="s">
        <v>10</v>
      </c>
      <c r="B6" s="2" t="s">
        <v>27</v>
      </c>
      <c r="C6" s="2" t="s">
        <v>28</v>
      </c>
    </row>
    <row r="7" spans="1:3" ht="20">
      <c r="C7" s="1" t="s">
        <v>11</v>
      </c>
    </row>
    <row r="8" spans="1:3" ht="18">
      <c r="C8" t="s">
        <v>12</v>
      </c>
    </row>
    <row r="9" spans="1:3" ht="19">
      <c r="C9" s="1" t="s">
        <v>13</v>
      </c>
    </row>
    <row r="10" spans="1:3" ht="20">
      <c r="A10" t="s">
        <v>18</v>
      </c>
      <c r="B10" t="s">
        <v>26</v>
      </c>
      <c r="C10" t="s">
        <v>19</v>
      </c>
    </row>
    <row r="11" spans="1:3" s="2" customFormat="1">
      <c r="A11" s="2" t="s">
        <v>14</v>
      </c>
      <c r="B11" s="2" t="s">
        <v>21</v>
      </c>
      <c r="C11" s="2" t="s">
        <v>15</v>
      </c>
    </row>
    <row r="12" spans="1:3" s="2" customFormat="1">
      <c r="A12" s="2" t="s">
        <v>16</v>
      </c>
      <c r="C12" s="3" t="s">
        <v>17</v>
      </c>
    </row>
    <row r="15" spans="1:3" s="6" customFormat="1">
      <c r="A15" s="6" t="s">
        <v>20</v>
      </c>
    </row>
    <row r="16" spans="1:3" ht="64">
      <c r="A16" s="1" t="s">
        <v>25</v>
      </c>
      <c r="C16" s="4" t="s">
        <v>22</v>
      </c>
    </row>
    <row r="17" spans="1:3" ht="20">
      <c r="C17" t="s">
        <v>23</v>
      </c>
    </row>
    <row r="18" spans="1:3">
      <c r="C18" t="s">
        <v>24</v>
      </c>
    </row>
    <row r="21" spans="1:3" s="7" customFormat="1">
      <c r="A21" s="7" t="s">
        <v>32</v>
      </c>
    </row>
    <row r="22" spans="1:3" ht="272">
      <c r="A22" s="8" t="s">
        <v>30</v>
      </c>
      <c r="C22" s="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
  <sheetViews>
    <sheetView zoomScale="153" zoomScaleNormal="153" zoomScalePageLayoutView="153" workbookViewId="0">
      <selection activeCell="X8" sqref="X8"/>
    </sheetView>
  </sheetViews>
  <sheetFormatPr baseColWidth="10" defaultRowHeight="16"/>
  <cols>
    <col min="1" max="1" width="18.1640625" style="19" customWidth="1"/>
    <col min="2" max="2" width="14" style="19" customWidth="1"/>
    <col min="3" max="4" width="15.83203125" style="19" customWidth="1"/>
    <col min="5" max="5" width="17.5" style="19" customWidth="1"/>
    <col min="6" max="6" width="17.1640625" style="19" customWidth="1"/>
    <col min="7" max="7" width="14.83203125" style="19" customWidth="1"/>
    <col min="8" max="8" width="23.6640625" style="19" customWidth="1"/>
    <col min="9" max="9" width="16.1640625" style="20" customWidth="1"/>
    <col min="10" max="10" width="19.6640625" style="28" customWidth="1"/>
    <col min="11" max="11" width="14.5" style="21" customWidth="1"/>
    <col min="12" max="13" width="18.1640625" style="21" customWidth="1"/>
    <col min="14" max="16" width="19.33203125" style="21" customWidth="1"/>
    <col min="17" max="18" width="14.5" style="21" customWidth="1"/>
    <col min="19" max="20" width="10.83203125" style="21"/>
    <col min="21" max="21" width="14" style="21" customWidth="1"/>
    <col min="22" max="22" width="12.1640625" style="19" bestFit="1" customWidth="1"/>
    <col min="23" max="23" width="14.83203125" style="19" customWidth="1"/>
    <col min="24" max="24" width="23.33203125" style="19" customWidth="1"/>
    <col min="25" max="25" width="23.5" style="19" customWidth="1"/>
    <col min="26" max="26" width="22.5" style="31" customWidth="1"/>
    <col min="27" max="16384" width="10.83203125" style="19"/>
  </cols>
  <sheetData>
    <row r="1" spans="1:26" s="9" customFormat="1" ht="119">
      <c r="A1" s="9" t="s">
        <v>49</v>
      </c>
      <c r="B1" s="10" t="s">
        <v>45</v>
      </c>
      <c r="C1" s="10" t="s">
        <v>71</v>
      </c>
      <c r="D1" s="10" t="s">
        <v>87</v>
      </c>
      <c r="E1" s="10" t="s">
        <v>34</v>
      </c>
      <c r="F1" s="10" t="s">
        <v>42</v>
      </c>
      <c r="G1" s="10" t="s">
        <v>41</v>
      </c>
      <c r="H1" s="10" t="s">
        <v>44</v>
      </c>
      <c r="I1" s="11" t="s">
        <v>101</v>
      </c>
      <c r="J1" s="12" t="s">
        <v>43</v>
      </c>
      <c r="K1" s="13" t="s">
        <v>45</v>
      </c>
      <c r="L1" s="13" t="s">
        <v>59</v>
      </c>
      <c r="M1" s="13" t="s">
        <v>62</v>
      </c>
      <c r="N1" s="13" t="s">
        <v>61</v>
      </c>
      <c r="O1" s="13" t="s">
        <v>77</v>
      </c>
      <c r="P1" s="13" t="s">
        <v>76</v>
      </c>
      <c r="Q1" s="13" t="s">
        <v>82</v>
      </c>
      <c r="R1" s="13" t="s">
        <v>104</v>
      </c>
      <c r="S1" s="13" t="s">
        <v>84</v>
      </c>
      <c r="T1" s="13" t="s">
        <v>69</v>
      </c>
      <c r="U1" s="13" t="s">
        <v>66</v>
      </c>
      <c r="V1" s="10" t="s">
        <v>54</v>
      </c>
      <c r="W1" s="10" t="s">
        <v>103</v>
      </c>
      <c r="Y1" s="10" t="s">
        <v>112</v>
      </c>
      <c r="Z1" s="29" t="s">
        <v>57</v>
      </c>
    </row>
    <row r="2" spans="1:26" s="14" customFormat="1" ht="35" thickBot="1">
      <c r="B2" s="14" t="s">
        <v>88</v>
      </c>
      <c r="C2" s="14" t="s">
        <v>72</v>
      </c>
      <c r="E2" s="14" t="s">
        <v>35</v>
      </c>
      <c r="I2" s="15" t="s">
        <v>38</v>
      </c>
      <c r="J2" s="16" t="s">
        <v>38</v>
      </c>
      <c r="K2" s="17" t="s">
        <v>78</v>
      </c>
      <c r="L2" s="17" t="s">
        <v>58</v>
      </c>
      <c r="M2" s="17" t="s">
        <v>63</v>
      </c>
      <c r="N2" s="17" t="s">
        <v>60</v>
      </c>
      <c r="O2" s="17" t="s">
        <v>74</v>
      </c>
      <c r="P2" s="17" t="s">
        <v>52</v>
      </c>
      <c r="Q2" s="17" t="s">
        <v>33</v>
      </c>
      <c r="R2" s="17" t="s">
        <v>68</v>
      </c>
      <c r="S2" s="17" t="s">
        <v>60</v>
      </c>
      <c r="T2" s="17" t="s">
        <v>68</v>
      </c>
      <c r="U2" s="17" t="s">
        <v>60</v>
      </c>
      <c r="V2" s="14" t="s">
        <v>52</v>
      </c>
      <c r="W2" s="18" t="s">
        <v>55</v>
      </c>
      <c r="X2" s="18" t="s">
        <v>55</v>
      </c>
      <c r="Y2" s="14" t="s">
        <v>56</v>
      </c>
      <c r="Z2" s="30" t="s">
        <v>56</v>
      </c>
    </row>
    <row r="3" spans="1:26" s="34" customFormat="1" ht="70">
      <c r="A3" s="33" t="s">
        <v>47</v>
      </c>
      <c r="B3" s="34" t="s">
        <v>106</v>
      </c>
      <c r="C3" s="34" t="str">
        <f>Q2</f>
        <v>micromolesL-1</v>
      </c>
      <c r="E3" s="33" t="s">
        <v>107</v>
      </c>
      <c r="F3" s="34" t="s">
        <v>36</v>
      </c>
      <c r="G3" s="34" t="s">
        <v>100</v>
      </c>
      <c r="H3" s="34" t="s">
        <v>40</v>
      </c>
      <c r="I3" s="35" t="s">
        <v>46</v>
      </c>
      <c r="J3" s="36" t="s">
        <v>50</v>
      </c>
      <c r="K3" s="37" t="s">
        <v>108</v>
      </c>
      <c r="L3" s="37" t="s">
        <v>80</v>
      </c>
      <c r="M3" s="37"/>
      <c r="N3" s="38" t="s">
        <v>53</v>
      </c>
      <c r="O3" s="38" t="s">
        <v>75</v>
      </c>
      <c r="P3" s="38" t="s">
        <v>83</v>
      </c>
      <c r="Q3" s="38" t="s">
        <v>81</v>
      </c>
      <c r="R3" s="38"/>
      <c r="S3" s="38" t="s">
        <v>51</v>
      </c>
      <c r="T3" s="38" t="s">
        <v>86</v>
      </c>
      <c r="U3" s="38" t="s">
        <v>85</v>
      </c>
      <c r="V3" s="34" t="s">
        <v>109</v>
      </c>
      <c r="W3" s="34" t="s">
        <v>102</v>
      </c>
      <c r="X3" s="34" t="s">
        <v>110</v>
      </c>
      <c r="Y3" s="33" t="s">
        <v>111</v>
      </c>
      <c r="Z3" s="39" t="s">
        <v>105</v>
      </c>
    </row>
    <row r="4" spans="1:26" s="22" customFormat="1" ht="68">
      <c r="C4" s="23"/>
      <c r="D4" s="23"/>
      <c r="G4" s="23" t="s">
        <v>37</v>
      </c>
      <c r="H4" s="23"/>
      <c r="I4" s="24" t="s">
        <v>39</v>
      </c>
      <c r="J4" s="25"/>
      <c r="K4" s="26"/>
      <c r="L4" s="26"/>
      <c r="M4" s="26"/>
      <c r="N4" s="27" t="s">
        <v>64</v>
      </c>
      <c r="O4" s="27" t="s">
        <v>73</v>
      </c>
      <c r="P4" s="27"/>
      <c r="Q4" s="27" t="s">
        <v>79</v>
      </c>
      <c r="R4" s="27" t="s">
        <v>65</v>
      </c>
      <c r="S4" s="27" t="s">
        <v>67</v>
      </c>
      <c r="T4" s="27" t="s">
        <v>70</v>
      </c>
      <c r="U4" s="26"/>
      <c r="Z4" s="32"/>
    </row>
    <row r="5" spans="1:26">
      <c r="A5" s="19" t="s">
        <v>113</v>
      </c>
      <c r="B5" s="19">
        <v>10</v>
      </c>
      <c r="C5" s="19">
        <v>25</v>
      </c>
      <c r="D5" s="19">
        <v>5.5</v>
      </c>
      <c r="E5" s="19">
        <f>(B5/1000000)*1</f>
        <v>1.0000000000000001E-5</v>
      </c>
      <c r="F5" s="19">
        <f>1/39184</f>
        <v>2.5520620661494489E-5</v>
      </c>
      <c r="H5" s="19">
        <f>55.5*F5</f>
        <v>1.4163944467129441E-3</v>
      </c>
      <c r="I5" s="20">
        <f>H5*16.04</f>
        <v>2.271896692527562E-2</v>
      </c>
      <c r="J5" s="28">
        <f>I5*1000</f>
        <v>22.71896692527562</v>
      </c>
      <c r="K5" s="21">
        <v>1E-3</v>
      </c>
      <c r="L5" s="21">
        <v>500</v>
      </c>
      <c r="M5" s="21">
        <v>1</v>
      </c>
      <c r="N5" s="21">
        <f>(3.14*(5/2)^2)*1</f>
        <v>19.625</v>
      </c>
      <c r="O5" s="21">
        <f>(C5+273.15)*0.0821</f>
        <v>24.478114999999999</v>
      </c>
      <c r="P5" s="21">
        <f>(K5/100)*(N5/1000)</f>
        <v>1.9625000000000003E-7</v>
      </c>
      <c r="Q5" s="21">
        <f>(P5*1)*(1000000/O5)*(L5/1000000)</f>
        <v>4.0086828581367489E-6</v>
      </c>
      <c r="R5" s="21">
        <v>200</v>
      </c>
      <c r="S5" s="21">
        <v>600</v>
      </c>
      <c r="T5" s="21">
        <v>400</v>
      </c>
      <c r="U5" s="21">
        <f>S5-N5-T5</f>
        <v>180.375</v>
      </c>
      <c r="V5" s="19">
        <f>(B5/1000000)*N5</f>
        <v>1.9625000000000003E-4</v>
      </c>
      <c r="W5" s="19">
        <f>V5/U5</f>
        <v>1.0880110880110881E-6</v>
      </c>
      <c r="Y5" s="19">
        <f>(N5/U5)*(B5/1000000)*(16.04/22.4)*(273.15/(C5+273.15))</f>
        <v>7.1376633109401854E-7</v>
      </c>
      <c r="Z5" s="31">
        <f>Y5+J5</f>
        <v>22.718967639041949</v>
      </c>
    </row>
    <row r="6" spans="1:26">
      <c r="A6" s="19" t="s">
        <v>114</v>
      </c>
      <c r="B6" s="19">
        <v>10</v>
      </c>
      <c r="C6" s="19">
        <v>25</v>
      </c>
      <c r="D6" s="19">
        <v>5.5</v>
      </c>
      <c r="E6" s="19">
        <f>(B6/1000000)*1</f>
        <v>1.0000000000000001E-5</v>
      </c>
      <c r="F6" s="19">
        <f>6.15*10^-4</f>
        <v>6.150000000000001E-4</v>
      </c>
      <c r="H6" s="19">
        <f>55.5*F6</f>
        <v>3.4132500000000003E-2</v>
      </c>
      <c r="I6" s="20">
        <f>H6*1</f>
        <v>3.4132500000000003E-2</v>
      </c>
      <c r="J6" s="28">
        <f>I6*1000</f>
        <v>34.1325</v>
      </c>
      <c r="K6" s="21">
        <v>1E-3</v>
      </c>
      <c r="L6" s="21">
        <v>500</v>
      </c>
      <c r="M6" s="21">
        <v>1</v>
      </c>
      <c r="N6" s="21">
        <f>(3.14*(5/2)^2)*1</f>
        <v>19.625</v>
      </c>
      <c r="O6" s="21">
        <f>(C6+273.15)*0.0821</f>
        <v>24.478114999999999</v>
      </c>
      <c r="P6" s="21">
        <f>(K6/100)*(N6/1000)</f>
        <v>1.9625000000000003E-7</v>
      </c>
      <c r="Q6" s="21">
        <f>(P6*1)*(1000000/O6)*(L6/1000000)</f>
        <v>4.0086828581367489E-6</v>
      </c>
      <c r="R6" s="21">
        <v>200</v>
      </c>
      <c r="S6" s="21">
        <v>600</v>
      </c>
      <c r="T6" s="21">
        <v>400</v>
      </c>
      <c r="U6" s="21">
        <f>S6-N6-T6</f>
        <v>180.375</v>
      </c>
      <c r="V6" s="19">
        <f>(B6/1000000)*N6</f>
        <v>1.9625000000000003E-4</v>
      </c>
      <c r="W6" s="19">
        <f>V6/U6</f>
        <v>1.0880110880110881E-6</v>
      </c>
      <c r="Y6" s="19">
        <f>(N6/U6)*(B6/1000000)*(44.0098/22.4)*(273.15/(C6+273.15))</f>
        <v>1.9583985958966045E-6</v>
      </c>
      <c r="Z6" s="31">
        <f>Y6+J6</f>
        <v>34.132501958398599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353C-A1BF-2242-9FF7-4FD5714FD0F2}">
  <dimension ref="A1:K8"/>
  <sheetViews>
    <sheetView tabSelected="1" zoomScale="179" zoomScaleNormal="179" workbookViewId="0">
      <selection activeCell="J8" sqref="J8"/>
    </sheetView>
  </sheetViews>
  <sheetFormatPr baseColWidth="10" defaultRowHeight="16"/>
  <cols>
    <col min="1" max="1" width="32.5" customWidth="1"/>
    <col min="8" max="8" width="11.1640625" bestFit="1" customWidth="1"/>
    <col min="9" max="10" width="10.83203125" style="40"/>
  </cols>
  <sheetData>
    <row r="1" spans="1:11">
      <c r="A1" t="s">
        <v>96</v>
      </c>
      <c r="B1" t="s">
        <v>94</v>
      </c>
    </row>
    <row r="2" spans="1:11">
      <c r="B2" t="s">
        <v>89</v>
      </c>
    </row>
    <row r="4" spans="1:11">
      <c r="B4" t="s">
        <v>90</v>
      </c>
      <c r="C4" t="s">
        <v>117</v>
      </c>
      <c r="D4" t="s">
        <v>91</v>
      </c>
      <c r="E4" t="s">
        <v>92</v>
      </c>
      <c r="F4" t="s">
        <v>48</v>
      </c>
      <c r="G4" t="s">
        <v>95</v>
      </c>
      <c r="H4" t="s">
        <v>93</v>
      </c>
      <c r="I4" s="40" t="s">
        <v>99</v>
      </c>
      <c r="J4" s="40" t="s">
        <v>118</v>
      </c>
      <c r="K4" t="s">
        <v>115</v>
      </c>
    </row>
    <row r="5" spans="1:11">
      <c r="A5" t="s">
        <v>113</v>
      </c>
      <c r="B5">
        <v>298.14999999999998</v>
      </c>
      <c r="C5">
        <v>16.04</v>
      </c>
      <c r="D5">
        <v>-115.6477</v>
      </c>
      <c r="E5">
        <v>155.57560000000001</v>
      </c>
      <c r="F5">
        <v>65.255300000000005</v>
      </c>
      <c r="G5">
        <v>-6.1698000000000004</v>
      </c>
      <c r="H5">
        <f>2.552*(10^-5)</f>
        <v>2.5520000000000003E-5</v>
      </c>
      <c r="I5" s="40">
        <f>1/H5</f>
        <v>39184.952978056419</v>
      </c>
      <c r="J5" t="s">
        <v>121</v>
      </c>
      <c r="K5" t="s">
        <v>97</v>
      </c>
    </row>
    <row r="6" spans="1:11">
      <c r="K6" t="s">
        <v>98</v>
      </c>
    </row>
    <row r="7" spans="1:11">
      <c r="A7" t="s">
        <v>114</v>
      </c>
      <c r="B7">
        <v>298.14999999999998</v>
      </c>
      <c r="C7">
        <v>44.009799999999998</v>
      </c>
      <c r="H7">
        <f>6.15*10^-4</f>
        <v>6.150000000000001E-4</v>
      </c>
      <c r="I7" s="40">
        <f>1/H7</f>
        <v>1626.0162601626014</v>
      </c>
      <c r="J7" t="s">
        <v>120</v>
      </c>
    </row>
    <row r="8" spans="1:11">
      <c r="A8" t="s">
        <v>116</v>
      </c>
      <c r="B8">
        <v>298.14999999999998</v>
      </c>
      <c r="C8">
        <v>2.0158800000000001</v>
      </c>
      <c r="D8">
        <v>-48.161099999999998</v>
      </c>
      <c r="E8">
        <v>55.284500000000001</v>
      </c>
      <c r="F8">
        <v>16.889299999999999</v>
      </c>
      <c r="H8">
        <f>1.411*10^-5</f>
        <v>1.4110000000000002E-5</v>
      </c>
      <c r="I8" s="40">
        <f>1/H8</f>
        <v>70871.722182849029</v>
      </c>
      <c r="J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Definitions</vt:lpstr>
      <vt:lpstr>Calculations</vt:lpstr>
      <vt:lpstr>Henry's_Constant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Taniya RoyChowdhury</cp:lastModifiedBy>
  <dcterms:created xsi:type="dcterms:W3CDTF">2018-06-21T02:46:05Z</dcterms:created>
  <dcterms:modified xsi:type="dcterms:W3CDTF">2018-11-29T22:55:18Z</dcterms:modified>
</cp:coreProperties>
</file>