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/>
  <mc:AlternateContent xmlns:mc="http://schemas.openxmlformats.org/markup-compatibility/2006">
    <mc:Choice Requires="x15">
      <x15ac:absPath xmlns:x15ac="http://schemas.microsoft.com/office/spreadsheetml/2010/11/ac" url="https://tud365.sharepoint.com/sites/DSE-Navigatingthemoon/Gedeelde documenten/General/Week 6-8/"/>
    </mc:Choice>
  </mc:AlternateContent>
  <xr:revisionPtr revIDLastSave="3394" documentId="11_559E3FEE70BDDCD425F839B2E0FC852B09A50C71" xr6:coauthVersionLast="47" xr6:coauthVersionMax="47" xr10:uidLastSave="{014B775E-9F1C-4280-8190-32E232D589DF}"/>
  <bookViews>
    <workbookView xWindow="-108" yWindow="-108" windowWidth="23256" windowHeight="12576" firstSheet="4" activeTab="4" xr2:uid="{00000000-000D-0000-FFFF-FFFF00000000}"/>
  </bookViews>
  <sheets>
    <sheet name="Mass" sheetId="1" r:id="rId1"/>
    <sheet name="Power" sheetId="4" r:id="rId2"/>
    <sheet name="payload" sheetId="6" r:id="rId3"/>
    <sheet name="Thermal" sheetId="5" r:id="rId4"/>
    <sheet name="ADCS" sheetId="7" r:id="rId5"/>
    <sheet name="_56F9DC9755BA473782653E2940F9" sheetId="2" state="veryHidden" r:id="rId6"/>
    <sheet name="CDH" sheetId="8" r:id="rId7"/>
    <sheet name="TT&amp;C" sheetId="9" r:id="rId8"/>
  </sheets>
  <definedNames>
    <definedName name="_56F9DC9755BA473782653E2940F9FormId">"TVJuCSlpMECM04q0LeCIe988Qxzv53BNmWHGOJ36K2hURUtDWFA3Sjc5V0dLVFpTSzY2OVExUlkxUiQlQCN0PWcu"</definedName>
    <definedName name="_56F9DC9755BA473782653E2940F9ResponseSheet">"Form1"</definedName>
    <definedName name="_56F9DC9755BA473782653E2940F9SourceDocId">"{ee412b91-fc91-412c-b380-694496e96530}"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9" l="1"/>
  <c r="K84" i="9"/>
  <c r="K85" i="9" s="1"/>
  <c r="G84" i="9"/>
  <c r="G85" i="9" s="1"/>
  <c r="F84" i="9"/>
  <c r="F85" i="9" s="1"/>
  <c r="I84" i="9"/>
  <c r="I85" i="9" s="1"/>
  <c r="J84" i="9"/>
  <c r="J85" i="9" s="1"/>
  <c r="V84" i="9"/>
  <c r="V85" i="9" s="1"/>
  <c r="W84" i="9"/>
  <c r="W85" i="9" s="1"/>
  <c r="AA84" i="9"/>
  <c r="AA85" i="9" s="1"/>
  <c r="AB84" i="9"/>
  <c r="AB85" i="9" s="1"/>
  <c r="AC84" i="9"/>
  <c r="AC85" i="9" s="1"/>
  <c r="AO84" i="9"/>
  <c r="AO85" i="9" s="1"/>
  <c r="AP84" i="9"/>
  <c r="AP85" i="9" s="1"/>
  <c r="AR84" i="9"/>
  <c r="AR85" i="9" s="1"/>
  <c r="AS84" i="9"/>
  <c r="AS85" i="9" s="1"/>
  <c r="AT84" i="9"/>
  <c r="AT85" i="9" s="1"/>
  <c r="BF84" i="9"/>
  <c r="BF85" i="9" s="1"/>
  <c r="BG84" i="9"/>
  <c r="BG85" i="9" s="1"/>
  <c r="BK84" i="9"/>
  <c r="BK85" i="9" s="1"/>
  <c r="BL84" i="9"/>
  <c r="BL85" i="9" s="1"/>
  <c r="BM84" i="9"/>
  <c r="BM85" i="9" s="1"/>
  <c r="BY84" i="9"/>
  <c r="BY85" i="9" s="1"/>
  <c r="BZ84" i="9"/>
  <c r="BZ85" i="9" s="1"/>
  <c r="CB84" i="9"/>
  <c r="CB85" i="9" s="1"/>
  <c r="CC84" i="9"/>
  <c r="CC85" i="9" s="1"/>
  <c r="CD84" i="9"/>
  <c r="CD85" i="9" s="1"/>
  <c r="CI84" i="9"/>
  <c r="CI85" i="9" s="1"/>
  <c r="CP84" i="9"/>
  <c r="CP85" i="9" s="1"/>
  <c r="CQ84" i="9"/>
  <c r="CQ85" i="9" s="1"/>
  <c r="CU84" i="9"/>
  <c r="CU85" i="9" s="1"/>
  <c r="CV84" i="9"/>
  <c r="CV85" i="9" s="1"/>
  <c r="CW84" i="9"/>
  <c r="CW85" i="9" s="1"/>
  <c r="CZ84" i="9"/>
  <c r="CZ85" i="9" s="1"/>
  <c r="DI84" i="9"/>
  <c r="DI85" i="9" s="1"/>
  <c r="DJ84" i="9"/>
  <c r="DJ85" i="9" s="1"/>
  <c r="DL84" i="9"/>
  <c r="DL85" i="9" s="1"/>
  <c r="DM84" i="9"/>
  <c r="DM85" i="9" s="1"/>
  <c r="DN84" i="9"/>
  <c r="DN85" i="9" s="1"/>
  <c r="DQ84" i="9"/>
  <c r="DQ85" i="9" s="1"/>
  <c r="DY84" i="9"/>
  <c r="DY85" i="9" s="1"/>
  <c r="DZ84" i="9"/>
  <c r="DZ85" i="9" s="1"/>
  <c r="EA84" i="9"/>
  <c r="EA85" i="9" s="1"/>
  <c r="EC84" i="9"/>
  <c r="EC85" i="9" s="1"/>
  <c r="EE84" i="9"/>
  <c r="EE85" i="9" s="1"/>
  <c r="EG84" i="9"/>
  <c r="EG85" i="9" s="1"/>
  <c r="EO84" i="9"/>
  <c r="EO85" i="9" s="1"/>
  <c r="EQ84" i="9"/>
  <c r="EQ85" i="9" s="1"/>
  <c r="ER84" i="9"/>
  <c r="ER85" i="9" s="1"/>
  <c r="ES84" i="9"/>
  <c r="ES85" i="9" s="1"/>
  <c r="ET84" i="9"/>
  <c r="ET85" i="9" s="1"/>
  <c r="EW84" i="9"/>
  <c r="EW85" i="9" s="1"/>
  <c r="FE84" i="9"/>
  <c r="FE85" i="9" s="1"/>
  <c r="FF84" i="9"/>
  <c r="FF85" i="9" s="1"/>
  <c r="FH84" i="9"/>
  <c r="FH85" i="9" s="1"/>
  <c r="FI84" i="9"/>
  <c r="FI85" i="9" s="1"/>
  <c r="FJ84" i="9"/>
  <c r="FJ85" i="9" s="1"/>
  <c r="FM84" i="9"/>
  <c r="FM85" i="9" s="1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BK83" i="9"/>
  <c r="BL83" i="9"/>
  <c r="BM83" i="9"/>
  <c r="BN83" i="9"/>
  <c r="BO83" i="9"/>
  <c r="BP83" i="9"/>
  <c r="BQ83" i="9"/>
  <c r="BR83" i="9"/>
  <c r="BS83" i="9"/>
  <c r="BT83" i="9"/>
  <c r="BU83" i="9"/>
  <c r="BV83" i="9"/>
  <c r="BW83" i="9"/>
  <c r="BX83" i="9"/>
  <c r="BY83" i="9"/>
  <c r="BZ83" i="9"/>
  <c r="CA83" i="9"/>
  <c r="CB83" i="9"/>
  <c r="CC83" i="9"/>
  <c r="CD83" i="9"/>
  <c r="CE83" i="9"/>
  <c r="CF83" i="9"/>
  <c r="CG83" i="9"/>
  <c r="CH83" i="9"/>
  <c r="CI83" i="9"/>
  <c r="CJ83" i="9"/>
  <c r="CK83" i="9"/>
  <c r="CL83" i="9"/>
  <c r="CM83" i="9"/>
  <c r="CN83" i="9"/>
  <c r="CO83" i="9"/>
  <c r="CP83" i="9"/>
  <c r="CQ83" i="9"/>
  <c r="CR83" i="9"/>
  <c r="CS83" i="9"/>
  <c r="CT83" i="9"/>
  <c r="CU83" i="9"/>
  <c r="CV83" i="9"/>
  <c r="CW83" i="9"/>
  <c r="CX83" i="9"/>
  <c r="CY83" i="9"/>
  <c r="CZ83" i="9"/>
  <c r="DA83" i="9"/>
  <c r="DB83" i="9"/>
  <c r="DC83" i="9"/>
  <c r="DD83" i="9"/>
  <c r="DE83" i="9"/>
  <c r="DF83" i="9"/>
  <c r="DG83" i="9"/>
  <c r="DH83" i="9"/>
  <c r="DI83" i="9"/>
  <c r="DJ83" i="9"/>
  <c r="DK83" i="9"/>
  <c r="DL83" i="9"/>
  <c r="DM83" i="9"/>
  <c r="DN83" i="9"/>
  <c r="DO83" i="9"/>
  <c r="DP83" i="9"/>
  <c r="DQ83" i="9"/>
  <c r="DR83" i="9"/>
  <c r="DS83" i="9"/>
  <c r="DT83" i="9"/>
  <c r="DU83" i="9"/>
  <c r="DV83" i="9"/>
  <c r="DW83" i="9"/>
  <c r="DX83" i="9"/>
  <c r="DY83" i="9"/>
  <c r="DZ83" i="9"/>
  <c r="EA83" i="9"/>
  <c r="EB83" i="9"/>
  <c r="EC83" i="9"/>
  <c r="ED83" i="9"/>
  <c r="EE83" i="9"/>
  <c r="EF83" i="9"/>
  <c r="EG83" i="9"/>
  <c r="EH83" i="9"/>
  <c r="EI83" i="9"/>
  <c r="EJ83" i="9"/>
  <c r="EK83" i="9"/>
  <c r="EL83" i="9"/>
  <c r="EM83" i="9"/>
  <c r="EN83" i="9"/>
  <c r="EO83" i="9"/>
  <c r="EP83" i="9"/>
  <c r="EQ83" i="9"/>
  <c r="ER83" i="9"/>
  <c r="ES83" i="9"/>
  <c r="ET83" i="9"/>
  <c r="EU83" i="9"/>
  <c r="EV83" i="9"/>
  <c r="EW83" i="9"/>
  <c r="EX83" i="9"/>
  <c r="EY83" i="9"/>
  <c r="EZ83" i="9"/>
  <c r="FA83" i="9"/>
  <c r="FB83" i="9"/>
  <c r="FC83" i="9"/>
  <c r="FD83" i="9"/>
  <c r="FE83" i="9"/>
  <c r="FF83" i="9"/>
  <c r="FG83" i="9"/>
  <c r="FH83" i="9"/>
  <c r="FI83" i="9"/>
  <c r="FJ83" i="9"/>
  <c r="FK83" i="9"/>
  <c r="FL83" i="9"/>
  <c r="FM83" i="9"/>
  <c r="FN83" i="9"/>
  <c r="FO83" i="9"/>
  <c r="E83" i="9"/>
  <c r="D83" i="9"/>
  <c r="BY35" i="1"/>
  <c r="BY36" i="1"/>
  <c r="BY37" i="1"/>
  <c r="BX35" i="1"/>
  <c r="BX36" i="1"/>
  <c r="BX37" i="1"/>
  <c r="BY34" i="1"/>
  <c r="BX3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4" i="1"/>
  <c r="B26" i="9"/>
  <c r="B34" i="9"/>
  <c r="G33" i="9"/>
  <c r="J33" i="9"/>
  <c r="F33" i="9"/>
  <c r="BP6" i="1"/>
  <c r="CB18" i="1" s="1"/>
  <c r="BP3" i="1"/>
  <c r="CD30" i="1"/>
  <c r="B100" i="9"/>
  <c r="F26" i="9"/>
  <c r="J26" i="9"/>
  <c r="J35" i="9"/>
  <c r="J36" i="9" s="1"/>
  <c r="J37" i="9" s="1"/>
  <c r="J31" i="9"/>
  <c r="J30" i="9"/>
  <c r="J32" i="9" s="1"/>
  <c r="J29" i="9"/>
  <c r="C33" i="9"/>
  <c r="D26" i="9"/>
  <c r="D30" i="9"/>
  <c r="C32" i="9" s="1"/>
  <c r="B30" i="9"/>
  <c r="C30" i="9"/>
  <c r="BZ30" i="1"/>
  <c r="CA30" i="1"/>
  <c r="CB13" i="1"/>
  <c r="CB14" i="1"/>
  <c r="CB16" i="1"/>
  <c r="BP5" i="1"/>
  <c r="I33" i="9"/>
  <c r="I35" i="9"/>
  <c r="H33" i="9"/>
  <c r="I26" i="9"/>
  <c r="G26" i="9"/>
  <c r="D33" i="9"/>
  <c r="H26" i="9"/>
  <c r="C35" i="9"/>
  <c r="C36" i="9" s="1"/>
  <c r="C37" i="9" s="1"/>
  <c r="C29" i="9"/>
  <c r="C31" i="9" s="1"/>
  <c r="C26" i="9"/>
  <c r="BU31" i="1"/>
  <c r="BV31" i="1"/>
  <c r="BW31" i="1"/>
  <c r="BU32" i="1"/>
  <c r="BV32" i="1"/>
  <c r="BW32" i="1"/>
  <c r="BU33" i="1"/>
  <c r="BV33" i="1"/>
  <c r="BW33" i="1"/>
  <c r="BU34" i="1"/>
  <c r="BV34" i="1"/>
  <c r="BW34" i="1"/>
  <c r="BU35" i="1"/>
  <c r="BV35" i="1"/>
  <c r="BW35" i="1"/>
  <c r="BU36" i="1"/>
  <c r="BV36" i="1"/>
  <c r="BW36" i="1"/>
  <c r="BU37" i="1"/>
  <c r="BV37" i="1"/>
  <c r="BW37" i="1"/>
  <c r="BT24" i="1"/>
  <c r="BT25" i="1" s="1"/>
  <c r="BT23" i="1"/>
  <c r="BU14" i="1"/>
  <c r="BV14" i="1"/>
  <c r="BW14" i="1"/>
  <c r="BU15" i="1"/>
  <c r="BV15" i="1"/>
  <c r="BW15" i="1"/>
  <c r="BU16" i="1"/>
  <c r="BV16" i="1"/>
  <c r="BW16" i="1"/>
  <c r="BU17" i="1"/>
  <c r="BV17" i="1"/>
  <c r="BW17" i="1"/>
  <c r="BU18" i="1"/>
  <c r="BV18" i="1"/>
  <c r="BW18" i="1"/>
  <c r="BU19" i="1"/>
  <c r="BV19" i="1"/>
  <c r="BW19" i="1"/>
  <c r="BU20" i="1"/>
  <c r="BV20" i="1"/>
  <c r="BW20" i="1"/>
  <c r="BU21" i="1"/>
  <c r="BV21" i="1"/>
  <c r="BW21" i="1"/>
  <c r="BU22" i="1"/>
  <c r="BV22" i="1"/>
  <c r="BW22" i="1"/>
  <c r="BU23" i="1"/>
  <c r="BV23" i="1"/>
  <c r="BW23" i="1"/>
  <c r="BR14" i="1"/>
  <c r="BR15" i="1"/>
  <c r="BR16" i="1" s="1"/>
  <c r="BR17" i="1" s="1"/>
  <c r="BR18" i="1" s="1"/>
  <c r="BR19" i="1" s="1"/>
  <c r="BR20" i="1" s="1"/>
  <c r="BR21" i="1" s="1"/>
  <c r="BR13" i="1"/>
  <c r="BV13" i="1" s="1"/>
  <c r="BS6" i="1"/>
  <c r="BV6" i="1" s="1"/>
  <c r="BS5" i="1"/>
  <c r="BU5" i="1" s="1"/>
  <c r="BW5" i="1"/>
  <c r="BU13" i="1"/>
  <c r="BU4" i="1"/>
  <c r="BV4" i="1"/>
  <c r="BP7" i="1"/>
  <c r="BW4" i="1"/>
  <c r="G55" i="9"/>
  <c r="E56" i="9"/>
  <c r="D55" i="9"/>
  <c r="D58" i="9"/>
  <c r="D59" i="9"/>
  <c r="D60" i="9"/>
  <c r="D62" i="9"/>
  <c r="D63" i="9"/>
  <c r="D54" i="9"/>
  <c r="B33" i="9"/>
  <c r="F30" i="9"/>
  <c r="C70" i="9"/>
  <c r="B70" i="9"/>
  <c r="B73" i="9"/>
  <c r="FD84" i="9" l="1"/>
  <c r="FD85" i="9" s="1"/>
  <c r="EM84" i="9"/>
  <c r="EM85" i="9" s="1"/>
  <c r="DX84" i="9"/>
  <c r="DX85" i="9" s="1"/>
  <c r="DH84" i="9"/>
  <c r="DH85" i="9" s="1"/>
  <c r="CO84" i="9"/>
  <c r="CO85" i="9" s="1"/>
  <c r="BX84" i="9"/>
  <c r="BX85" i="9" s="1"/>
  <c r="BE84" i="9"/>
  <c r="BE85" i="9" s="1"/>
  <c r="AN84" i="9"/>
  <c r="AN85" i="9" s="1"/>
  <c r="U84" i="9"/>
  <c r="U85" i="9" s="1"/>
  <c r="D56" i="9"/>
  <c r="FC84" i="9"/>
  <c r="FC85" i="9" s="1"/>
  <c r="EL84" i="9"/>
  <c r="EL85" i="9" s="1"/>
  <c r="DV84" i="9"/>
  <c r="DV85" i="9" s="1"/>
  <c r="DG84" i="9"/>
  <c r="DG85" i="9" s="1"/>
  <c r="CN84" i="9"/>
  <c r="CN85" i="9" s="1"/>
  <c r="BW84" i="9"/>
  <c r="BW85" i="9" s="1"/>
  <c r="BD84" i="9"/>
  <c r="BD85" i="9" s="1"/>
  <c r="AM84" i="9"/>
  <c r="AM85" i="9" s="1"/>
  <c r="T84" i="9"/>
  <c r="T85" i="9" s="1"/>
  <c r="FA84" i="9"/>
  <c r="FA85" i="9" s="1"/>
  <c r="EK84" i="9"/>
  <c r="EK85" i="9" s="1"/>
  <c r="DU84" i="9"/>
  <c r="DU85" i="9" s="1"/>
  <c r="DC84" i="9"/>
  <c r="DC85" i="9" s="1"/>
  <c r="CL84" i="9"/>
  <c r="CL85" i="9" s="1"/>
  <c r="BS84" i="9"/>
  <c r="BS85" i="9" s="1"/>
  <c r="BB84" i="9"/>
  <c r="BB85" i="9" s="1"/>
  <c r="AI84" i="9"/>
  <c r="AI85" i="9" s="1"/>
  <c r="R84" i="9"/>
  <c r="R85" i="9" s="1"/>
  <c r="D84" i="9"/>
  <c r="D85" i="9" s="1"/>
  <c r="E84" i="9"/>
  <c r="E85" i="9" s="1"/>
  <c r="EY84" i="9"/>
  <c r="EY85" i="9" s="1"/>
  <c r="EJ84" i="9"/>
  <c r="EJ85" i="9" s="1"/>
  <c r="DT84" i="9"/>
  <c r="DT85" i="9" s="1"/>
  <c r="DB84" i="9"/>
  <c r="DB85" i="9" s="1"/>
  <c r="CK84" i="9"/>
  <c r="CK85" i="9" s="1"/>
  <c r="BR84" i="9"/>
  <c r="BR85" i="9" s="1"/>
  <c r="BA84" i="9"/>
  <c r="BA85" i="9" s="1"/>
  <c r="AH84" i="9"/>
  <c r="AH85" i="9" s="1"/>
  <c r="Q84" i="9"/>
  <c r="Q85" i="9" s="1"/>
  <c r="FO84" i="9"/>
  <c r="FO85" i="9" s="1"/>
  <c r="EX84" i="9"/>
  <c r="EX85" i="9" s="1"/>
  <c r="EH84" i="9"/>
  <c r="EH85" i="9" s="1"/>
  <c r="DS84" i="9"/>
  <c r="DS85" i="9" s="1"/>
  <c r="DA84" i="9"/>
  <c r="DA85" i="9" s="1"/>
  <c r="CJ84" i="9"/>
  <c r="CJ85" i="9" s="1"/>
  <c r="BQ84" i="9"/>
  <c r="BQ85" i="9" s="1"/>
  <c r="AZ84" i="9"/>
  <c r="AZ85" i="9" s="1"/>
  <c r="AG84" i="9"/>
  <c r="AG85" i="9" s="1"/>
  <c r="P84" i="9"/>
  <c r="P85" i="9" s="1"/>
  <c r="BP84" i="9"/>
  <c r="BP85" i="9" s="1"/>
  <c r="AY84" i="9"/>
  <c r="AY85" i="9" s="1"/>
  <c r="AF84" i="9"/>
  <c r="AF85" i="9" s="1"/>
  <c r="O84" i="9"/>
  <c r="O85" i="9" s="1"/>
  <c r="FK84" i="9"/>
  <c r="FK85" i="9" s="1"/>
  <c r="EV84" i="9"/>
  <c r="EV85" i="9" s="1"/>
  <c r="EF84" i="9"/>
  <c r="EF85" i="9" s="1"/>
  <c r="DO84" i="9"/>
  <c r="DO85" i="9" s="1"/>
  <c r="CX84" i="9"/>
  <c r="CX85" i="9" s="1"/>
  <c r="CE84" i="9"/>
  <c r="CE85" i="9" s="1"/>
  <c r="BN84" i="9"/>
  <c r="BN85" i="9" s="1"/>
  <c r="AU84" i="9"/>
  <c r="AU85" i="9" s="1"/>
  <c r="AD84" i="9"/>
  <c r="AD85" i="9" s="1"/>
  <c r="FN84" i="9"/>
  <c r="FN85" i="9" s="1"/>
  <c r="FB84" i="9"/>
  <c r="FB85" i="9" s="1"/>
  <c r="EP84" i="9"/>
  <c r="EP85" i="9" s="1"/>
  <c r="ED84" i="9"/>
  <c r="ED85" i="9" s="1"/>
  <c r="DR84" i="9"/>
  <c r="DR85" i="9" s="1"/>
  <c r="DF84" i="9"/>
  <c r="DF85" i="9" s="1"/>
  <c r="CT84" i="9"/>
  <c r="CT85" i="9" s="1"/>
  <c r="CH84" i="9"/>
  <c r="CH85" i="9" s="1"/>
  <c r="BV84" i="9"/>
  <c r="BV85" i="9" s="1"/>
  <c r="BJ84" i="9"/>
  <c r="BJ85" i="9" s="1"/>
  <c r="AX84" i="9"/>
  <c r="AX85" i="9" s="1"/>
  <c r="AL84" i="9"/>
  <c r="AL85" i="9" s="1"/>
  <c r="Z84" i="9"/>
  <c r="Z85" i="9" s="1"/>
  <c r="N84" i="9"/>
  <c r="N85" i="9" s="1"/>
  <c r="DE84" i="9"/>
  <c r="DE85" i="9" s="1"/>
  <c r="CS84" i="9"/>
  <c r="CS85" i="9" s="1"/>
  <c r="CG84" i="9"/>
  <c r="CG85" i="9" s="1"/>
  <c r="BU84" i="9"/>
  <c r="BU85" i="9" s="1"/>
  <c r="BI84" i="9"/>
  <c r="BI85" i="9" s="1"/>
  <c r="AW84" i="9"/>
  <c r="AW85" i="9" s="1"/>
  <c r="AK84" i="9"/>
  <c r="AK85" i="9" s="1"/>
  <c r="Y84" i="9"/>
  <c r="Y85" i="9" s="1"/>
  <c r="M84" i="9"/>
  <c r="M85" i="9" s="1"/>
  <c r="FL84" i="9"/>
  <c r="FL85" i="9" s="1"/>
  <c r="EZ84" i="9"/>
  <c r="EZ85" i="9" s="1"/>
  <c r="EN84" i="9"/>
  <c r="EN85" i="9" s="1"/>
  <c r="EB84" i="9"/>
  <c r="EB85" i="9" s="1"/>
  <c r="DP84" i="9"/>
  <c r="DP85" i="9" s="1"/>
  <c r="DD84" i="9"/>
  <c r="DD85" i="9" s="1"/>
  <c r="CR84" i="9"/>
  <c r="CR85" i="9" s="1"/>
  <c r="CF84" i="9"/>
  <c r="CF85" i="9" s="1"/>
  <c r="BT84" i="9"/>
  <c r="BT85" i="9" s="1"/>
  <c r="BH84" i="9"/>
  <c r="BH85" i="9" s="1"/>
  <c r="AV84" i="9"/>
  <c r="AV85" i="9" s="1"/>
  <c r="AJ84" i="9"/>
  <c r="AJ85" i="9" s="1"/>
  <c r="X84" i="9"/>
  <c r="X85" i="9" s="1"/>
  <c r="L84" i="9"/>
  <c r="L85" i="9" s="1"/>
  <c r="FG84" i="9"/>
  <c r="FG85" i="9" s="1"/>
  <c r="EU84" i="9"/>
  <c r="EU85" i="9" s="1"/>
  <c r="EI84" i="9"/>
  <c r="EI85" i="9" s="1"/>
  <c r="DW84" i="9"/>
  <c r="DW85" i="9" s="1"/>
  <c r="DK84" i="9"/>
  <c r="DK85" i="9" s="1"/>
  <c r="CY84" i="9"/>
  <c r="CY85" i="9" s="1"/>
  <c r="CM84" i="9"/>
  <c r="CM85" i="9" s="1"/>
  <c r="CA84" i="9"/>
  <c r="CA85" i="9" s="1"/>
  <c r="BO84" i="9"/>
  <c r="BO85" i="9" s="1"/>
  <c r="BC84" i="9"/>
  <c r="BC85" i="9" s="1"/>
  <c r="AQ84" i="9"/>
  <c r="AQ85" i="9" s="1"/>
  <c r="AE84" i="9"/>
  <c r="AE85" i="9" s="1"/>
  <c r="S84" i="9"/>
  <c r="S85" i="9" s="1"/>
  <c r="H84" i="9"/>
  <c r="H85" i="9" s="1"/>
  <c r="CB37" i="1"/>
  <c r="CB28" i="1"/>
  <c r="CB27" i="1"/>
  <c r="CB23" i="1"/>
  <c r="CB9" i="1"/>
  <c r="CB8" i="1"/>
  <c r="CB35" i="1"/>
  <c r="CB22" i="1"/>
  <c r="CB17" i="1"/>
  <c r="CB36" i="1"/>
  <c r="CC33" i="1"/>
  <c r="CB12" i="1"/>
  <c r="CB26" i="1"/>
  <c r="CB11" i="1"/>
  <c r="CB25" i="1"/>
  <c r="CB10" i="1"/>
  <c r="CB24" i="1"/>
  <c r="CB21" i="1"/>
  <c r="CB34" i="1"/>
  <c r="CB4" i="1"/>
  <c r="CB6" i="1"/>
  <c r="CB20" i="1"/>
  <c r="CB7" i="1"/>
  <c r="CB5" i="1"/>
  <c r="CB19" i="1"/>
  <c r="CB15" i="1"/>
  <c r="CB29" i="1"/>
  <c r="J34" i="9"/>
  <c r="J38" i="9" s="1"/>
  <c r="J39" i="9" s="1"/>
  <c r="CB33" i="1"/>
  <c r="CB32" i="1"/>
  <c r="CC37" i="1"/>
  <c r="CC36" i="1"/>
  <c r="CB31" i="1"/>
  <c r="CB30" i="1"/>
  <c r="BX16" i="1"/>
  <c r="BZ16" i="1" s="1"/>
  <c r="BX20" i="1"/>
  <c r="BZ20" i="1" s="1"/>
  <c r="BX15" i="1"/>
  <c r="BZ15" i="1" s="1"/>
  <c r="BX23" i="1"/>
  <c r="BZ23" i="1" s="1"/>
  <c r="BY33" i="1"/>
  <c r="CA33" i="1" s="1"/>
  <c r="BX33" i="1"/>
  <c r="BZ33" i="1" s="1"/>
  <c r="CD33" i="1" s="1"/>
  <c r="BX4" i="1"/>
  <c r="BZ4" i="1" s="1"/>
  <c r="BZ37" i="1"/>
  <c r="BX5" i="1"/>
  <c r="BZ5" i="1" s="1"/>
  <c r="BY32" i="1"/>
  <c r="CA32" i="1" s="1"/>
  <c r="BY4" i="1"/>
  <c r="CA4" i="1" s="1"/>
  <c r="BX13" i="1"/>
  <c r="BZ13" i="1" s="1"/>
  <c r="BX22" i="1"/>
  <c r="BZ22" i="1" s="1"/>
  <c r="BX19" i="1"/>
  <c r="BZ19" i="1" s="1"/>
  <c r="BZ36" i="1"/>
  <c r="BX32" i="1"/>
  <c r="BZ32" i="1" s="1"/>
  <c r="CD32" i="1" s="1"/>
  <c r="BZ34" i="1"/>
  <c r="BY22" i="1"/>
  <c r="CA22" i="1" s="1"/>
  <c r="BY13" i="1"/>
  <c r="CA13" i="1" s="1"/>
  <c r="BX21" i="1"/>
  <c r="BZ21" i="1" s="1"/>
  <c r="BX18" i="1"/>
  <c r="BZ18" i="1" s="1"/>
  <c r="CA35" i="1"/>
  <c r="BZ35" i="1"/>
  <c r="BX31" i="1"/>
  <c r="BZ31" i="1" s="1"/>
  <c r="BP4" i="1"/>
  <c r="CC32" i="1" s="1"/>
  <c r="BX17" i="1"/>
  <c r="BZ17" i="1" s="1"/>
  <c r="BX14" i="1"/>
  <c r="BZ14" i="1" s="1"/>
  <c r="BY23" i="1"/>
  <c r="CA23" i="1" s="1"/>
  <c r="CA34" i="1"/>
  <c r="C34" i="9"/>
  <c r="C38" i="9" s="1"/>
  <c r="BV25" i="1"/>
  <c r="BY25" i="1" s="1"/>
  <c r="CA25" i="1" s="1"/>
  <c r="BT26" i="1"/>
  <c r="BW25" i="1"/>
  <c r="BU25" i="1"/>
  <c r="BX25" i="1" s="1"/>
  <c r="BZ25" i="1" s="1"/>
  <c r="BW24" i="1"/>
  <c r="BV24" i="1"/>
  <c r="BU24" i="1"/>
  <c r="BX24" i="1" s="1"/>
  <c r="BZ24" i="1" s="1"/>
  <c r="BW13" i="1"/>
  <c r="BS7" i="1"/>
  <c r="BU6" i="1"/>
  <c r="BX6" i="1" s="1"/>
  <c r="BZ6" i="1" s="1"/>
  <c r="BW6" i="1"/>
  <c r="BV5" i="1"/>
  <c r="BY5" i="1" s="1"/>
  <c r="CA5" i="1" s="1"/>
  <c r="F44" i="9"/>
  <c r="D98" i="9"/>
  <c r="E95" i="9"/>
  <c r="G53" i="4"/>
  <c r="E53" i="4"/>
  <c r="B11" i="4"/>
  <c r="D96" i="9"/>
  <c r="D95" i="9"/>
  <c r="H35" i="9"/>
  <c r="H36" i="9" s="1"/>
  <c r="H37" i="9" s="1"/>
  <c r="H30" i="9"/>
  <c r="H32" i="9" s="1"/>
  <c r="H29" i="9"/>
  <c r="H31" i="9" s="1"/>
  <c r="F29" i="9"/>
  <c r="F31" i="9" s="1"/>
  <c r="C73" i="9"/>
  <c r="F32" i="9"/>
  <c r="B79" i="9"/>
  <c r="G30" i="9"/>
  <c r="G32" i="9" s="1"/>
  <c r="I30" i="9"/>
  <c r="I32" i="9" s="1"/>
  <c r="G35" i="9"/>
  <c r="G36" i="9" s="1"/>
  <c r="G37" i="9" s="1"/>
  <c r="G53" i="9"/>
  <c r="B61" i="9"/>
  <c r="B48" i="9"/>
  <c r="C53" i="9"/>
  <c r="I29" i="9"/>
  <c r="I36" i="9"/>
  <c r="I37" i="9" s="1"/>
  <c r="I40" i="9"/>
  <c r="E29" i="9"/>
  <c r="E31" i="9" s="1"/>
  <c r="G29" i="9"/>
  <c r="G31" i="9" s="1"/>
  <c r="E33" i="9"/>
  <c r="F35" i="9"/>
  <c r="F36" i="9" s="1"/>
  <c r="F37" i="9" s="1"/>
  <c r="E30" i="9"/>
  <c r="E35" i="9"/>
  <c r="E36" i="9" s="1"/>
  <c r="E37" i="9" s="1"/>
  <c r="B17" i="5"/>
  <c r="B15" i="5"/>
  <c r="D29" i="9"/>
  <c r="D31" i="9" s="1"/>
  <c r="G40" i="9"/>
  <c r="E26" i="9"/>
  <c r="C43" i="9"/>
  <c r="C42" i="9"/>
  <c r="C40" i="9"/>
  <c r="D35" i="9"/>
  <c r="D36" i="9" s="1"/>
  <c r="D37" i="9" s="1"/>
  <c r="B35" i="9"/>
  <c r="B36" i="9" s="1"/>
  <c r="B32" i="9"/>
  <c r="B29" i="9"/>
  <c r="B31" i="9" s="1"/>
  <c r="C31" i="7"/>
  <c r="D32" i="7"/>
  <c r="D33" i="7"/>
  <c r="C33" i="7"/>
  <c r="D31" i="7"/>
  <c r="D30" i="7"/>
  <c r="C32" i="7"/>
  <c r="C30" i="7"/>
  <c r="AB2" i="1"/>
  <c r="AH2" i="1"/>
  <c r="AJ2" i="1"/>
  <c r="AB3" i="1"/>
  <c r="AH3" i="1"/>
  <c r="AJ3" i="1"/>
  <c r="AB4" i="1"/>
  <c r="AH4" i="1"/>
  <c r="AJ4" i="1"/>
  <c r="AB5" i="1"/>
  <c r="AH5" i="1" s="1"/>
  <c r="AJ5" i="1"/>
  <c r="AB6" i="1"/>
  <c r="AH6" i="1"/>
  <c r="AJ6" i="1"/>
  <c r="AB7" i="1"/>
  <c r="AH7" i="1"/>
  <c r="AJ7" i="1"/>
  <c r="AB8" i="1"/>
  <c r="AC8" i="1"/>
  <c r="AD8" i="1"/>
  <c r="AE8" i="1"/>
  <c r="AH8" i="1"/>
  <c r="AJ8" i="1"/>
  <c r="AB9" i="1"/>
  <c r="AC9" i="1"/>
  <c r="AD9" i="1"/>
  <c r="AH9" i="1"/>
  <c r="AJ9" i="1"/>
  <c r="AB10" i="1"/>
  <c r="AH10" i="1"/>
  <c r="AJ10" i="1"/>
  <c r="M33" i="4"/>
  <c r="M32" i="4"/>
  <c r="D38" i="4"/>
  <c r="D39" i="4"/>
  <c r="D40" i="4"/>
  <c r="D41" i="4"/>
  <c r="D42" i="4"/>
  <c r="D43" i="4"/>
  <c r="D44" i="4"/>
  <c r="D45" i="4"/>
  <c r="D46" i="4"/>
  <c r="D47" i="4"/>
  <c r="D48" i="4"/>
  <c r="D49" i="4"/>
  <c r="D37" i="4"/>
  <c r="D22" i="9"/>
  <c r="C22" i="9"/>
  <c r="D18" i="9"/>
  <c r="C18" i="9"/>
  <c r="D11" i="9"/>
  <c r="F11" i="9" s="1"/>
  <c r="D12" i="9"/>
  <c r="F12" i="9" s="1"/>
  <c r="D10" i="9"/>
  <c r="F10" i="9" s="1"/>
  <c r="I16" i="8"/>
  <c r="I15" i="8"/>
  <c r="I14" i="8"/>
  <c r="G7" i="6"/>
  <c r="F7" i="6"/>
  <c r="C7" i="6"/>
  <c r="B7" i="6"/>
  <c r="E5" i="9"/>
  <c r="L9" i="8"/>
  <c r="L6" i="8"/>
  <c r="L3" i="8"/>
  <c r="H9" i="8"/>
  <c r="H6" i="8"/>
  <c r="B12" i="4"/>
  <c r="B24" i="1"/>
  <c r="F12" i="1"/>
  <c r="B12" i="1"/>
  <c r="E5" i="6"/>
  <c r="U3" i="7"/>
  <c r="U2" i="7"/>
  <c r="U4" i="7"/>
  <c r="U5" i="7"/>
  <c r="U6" i="7"/>
  <c r="T3" i="7"/>
  <c r="T4" i="7"/>
  <c r="T5" i="7"/>
  <c r="T6" i="7"/>
  <c r="T2" i="7"/>
  <c r="E4" i="6"/>
  <c r="E2" i="6"/>
  <c r="E3" i="6"/>
  <c r="B11" i="1"/>
  <c r="B10" i="1"/>
  <c r="G13" i="1"/>
  <c r="H13" i="1"/>
  <c r="I13" i="1"/>
  <c r="J13" i="1"/>
  <c r="K13" i="1"/>
  <c r="L13" i="1"/>
  <c r="F13" i="1"/>
  <c r="M9" i="4"/>
  <c r="M7" i="4"/>
  <c r="M5" i="4"/>
  <c r="G6" i="4" s="1"/>
  <c r="B21" i="4"/>
  <c r="C24" i="1"/>
  <c r="C23" i="1"/>
  <c r="B23" i="1"/>
  <c r="C22" i="1"/>
  <c r="B22" i="1"/>
  <c r="G11" i="1"/>
  <c r="H11" i="1"/>
  <c r="I11" i="1"/>
  <c r="J11" i="1"/>
  <c r="K11" i="1"/>
  <c r="L11" i="1"/>
  <c r="F11" i="1"/>
  <c r="G10" i="1"/>
  <c r="H10" i="1"/>
  <c r="I10" i="1"/>
  <c r="J10" i="1"/>
  <c r="K10" i="1"/>
  <c r="L10" i="1"/>
  <c r="F10" i="1"/>
  <c r="C17" i="4" l="1"/>
  <c r="C16" i="4"/>
  <c r="F8" i="4"/>
  <c r="G8" i="4"/>
  <c r="H8" i="4"/>
  <c r="I8" i="4"/>
  <c r="J8" i="4"/>
  <c r="K8" i="4"/>
  <c r="L8" i="4"/>
  <c r="M8" i="4"/>
  <c r="F10" i="4"/>
  <c r="G10" i="4"/>
  <c r="H10" i="4"/>
  <c r="I10" i="4"/>
  <c r="J10" i="4"/>
  <c r="K10" i="4"/>
  <c r="L10" i="4"/>
  <c r="M10" i="4"/>
  <c r="D56" i="4"/>
  <c r="M35" i="4"/>
  <c r="M34" i="4"/>
  <c r="CD5" i="1"/>
  <c r="CD34" i="1"/>
  <c r="CD4" i="1"/>
  <c r="CC31" i="1"/>
  <c r="CD23" i="1"/>
  <c r="CA37" i="1"/>
  <c r="CD37" i="1" s="1"/>
  <c r="CC7" i="1"/>
  <c r="CC19" i="1"/>
  <c r="CC8" i="1"/>
  <c r="CC20" i="1"/>
  <c r="CC9" i="1"/>
  <c r="CC21" i="1"/>
  <c r="CC4" i="1"/>
  <c r="CC23" i="1"/>
  <c r="CC24" i="1"/>
  <c r="CC10" i="1"/>
  <c r="CC22" i="1"/>
  <c r="CC11" i="1"/>
  <c r="CC12" i="1"/>
  <c r="CC13" i="1"/>
  <c r="CC25" i="1"/>
  <c r="CC14" i="1"/>
  <c r="CC26" i="1"/>
  <c r="CC15" i="1"/>
  <c r="CC27" i="1"/>
  <c r="CC6" i="1"/>
  <c r="CC18" i="1"/>
  <c r="CC16" i="1"/>
  <c r="CC28" i="1"/>
  <c r="CC5" i="1"/>
  <c r="CC17" i="1"/>
  <c r="CC29" i="1"/>
  <c r="CC30" i="1"/>
  <c r="CD22" i="1"/>
  <c r="CD13" i="1"/>
  <c r="CC34" i="1"/>
  <c r="BY24" i="1"/>
  <c r="CA24" i="1" s="1"/>
  <c r="CD24" i="1" s="1"/>
  <c r="CD35" i="1"/>
  <c r="BY16" i="1"/>
  <c r="CA16" i="1" s="1"/>
  <c r="CD16" i="1" s="1"/>
  <c r="CD25" i="1"/>
  <c r="CA36" i="1"/>
  <c r="CD36" i="1" s="1"/>
  <c r="CC35" i="1"/>
  <c r="C72" i="9"/>
  <c r="D61" i="9"/>
  <c r="BY17" i="1"/>
  <c r="CA17" i="1" s="1"/>
  <c r="CD17" i="1" s="1"/>
  <c r="BY31" i="1"/>
  <c r="CA31" i="1" s="1"/>
  <c r="CD31" i="1" s="1"/>
  <c r="BY20" i="1"/>
  <c r="CA20" i="1" s="1"/>
  <c r="CD20" i="1" s="1"/>
  <c r="BY21" i="1"/>
  <c r="CA21" i="1" s="1"/>
  <c r="CD21" i="1" s="1"/>
  <c r="BY15" i="1"/>
  <c r="CA15" i="1" s="1"/>
  <c r="CD15" i="1" s="1"/>
  <c r="BY18" i="1"/>
  <c r="CA18" i="1" s="1"/>
  <c r="CD18" i="1" s="1"/>
  <c r="BY19" i="1"/>
  <c r="CA19" i="1" s="1"/>
  <c r="CD19" i="1" s="1"/>
  <c r="BY14" i="1"/>
  <c r="CA14" i="1" s="1"/>
  <c r="CD14" i="1" s="1"/>
  <c r="BY6" i="1"/>
  <c r="CA6" i="1" s="1"/>
  <c r="CD6" i="1" s="1"/>
  <c r="BV26" i="1"/>
  <c r="BY26" i="1" s="1"/>
  <c r="CA26" i="1" s="1"/>
  <c r="BT27" i="1"/>
  <c r="BU26" i="1"/>
  <c r="BX26" i="1" s="1"/>
  <c r="BZ26" i="1" s="1"/>
  <c r="CD26" i="1" s="1"/>
  <c r="BW26" i="1"/>
  <c r="BU7" i="1"/>
  <c r="BX7" i="1" s="1"/>
  <c r="BZ7" i="1" s="1"/>
  <c r="BV7" i="1"/>
  <c r="BY7" i="1" s="1"/>
  <c r="CA7" i="1" s="1"/>
  <c r="BS8" i="1"/>
  <c r="BW7" i="1"/>
  <c r="H100" i="9"/>
  <c r="J100" i="9"/>
  <c r="F96" i="9"/>
  <c r="H96" i="9"/>
  <c r="M100" i="9" s="1"/>
  <c r="G96" i="9"/>
  <c r="L100" i="9" s="1"/>
  <c r="F41" i="9"/>
  <c r="I48" i="9" s="1"/>
  <c r="F45" i="9" s="1"/>
  <c r="F34" i="9"/>
  <c r="F38" i="9" s="1"/>
  <c r="F39" i="9" s="1"/>
  <c r="H34" i="9"/>
  <c r="H38" i="9" s="1"/>
  <c r="I100" i="9"/>
  <c r="B72" i="9"/>
  <c r="E4" i="9"/>
  <c r="D32" i="9"/>
  <c r="D34" i="9" s="1"/>
  <c r="D38" i="9" s="1"/>
  <c r="E32" i="9"/>
  <c r="E34" i="9" s="1"/>
  <c r="E38" i="9" s="1"/>
  <c r="E39" i="9" s="1"/>
  <c r="B50" i="9"/>
  <c r="B80" i="9"/>
  <c r="C79" i="9"/>
  <c r="A79" i="9" s="1"/>
  <c r="G34" i="9"/>
  <c r="G38" i="9" s="1"/>
  <c r="G39" i="9" s="1"/>
  <c r="I31" i="9"/>
  <c r="I34" i="9" s="1"/>
  <c r="I38" i="9" s="1"/>
  <c r="B37" i="9"/>
  <c r="G13" i="4"/>
  <c r="G17" i="4" s="1"/>
  <c r="G14" i="4"/>
  <c r="F6" i="4"/>
  <c r="M6" i="4"/>
  <c r="M13" i="4" s="1"/>
  <c r="L6" i="4"/>
  <c r="J6" i="4"/>
  <c r="C15" i="4"/>
  <c r="I6" i="4"/>
  <c r="C20" i="4"/>
  <c r="H6" i="4"/>
  <c r="K6" i="4"/>
  <c r="C19" i="4"/>
  <c r="C18" i="4"/>
  <c r="F13" i="9"/>
  <c r="G18" i="4"/>
  <c r="G12" i="1"/>
  <c r="H12" i="1"/>
  <c r="I12" i="1"/>
  <c r="J12" i="1"/>
  <c r="K12" i="1"/>
  <c r="L12" i="1"/>
  <c r="F51" i="4" l="1"/>
  <c r="D58" i="4"/>
  <c r="CD7" i="1"/>
  <c r="A80" i="9"/>
  <c r="C71" i="9" s="1"/>
  <c r="C74" i="9" s="1"/>
  <c r="C80" i="9"/>
  <c r="E57" i="9" s="1"/>
  <c r="BT28" i="1"/>
  <c r="BU27" i="1"/>
  <c r="BX27" i="1" s="1"/>
  <c r="BZ27" i="1" s="1"/>
  <c r="BV27" i="1"/>
  <c r="BY27" i="1" s="1"/>
  <c r="CA27" i="1" s="1"/>
  <c r="BW27" i="1"/>
  <c r="BS9" i="1"/>
  <c r="BU8" i="1"/>
  <c r="BX8" i="1" s="1"/>
  <c r="BZ8" i="1" s="1"/>
  <c r="BV8" i="1"/>
  <c r="BY8" i="1" s="1"/>
  <c r="CA8" i="1" s="1"/>
  <c r="BW8" i="1"/>
  <c r="K100" i="9"/>
  <c r="B57" i="9"/>
  <c r="B38" i="9"/>
  <c r="B39" i="9" s="1"/>
  <c r="I13" i="4"/>
  <c r="I17" i="4" s="1"/>
  <c r="I14" i="4"/>
  <c r="I18" i="4" s="1"/>
  <c r="L13" i="4"/>
  <c r="L17" i="4" s="1"/>
  <c r="L14" i="4"/>
  <c r="L18" i="4" s="1"/>
  <c r="K13" i="4"/>
  <c r="K17" i="4" s="1"/>
  <c r="K14" i="4"/>
  <c r="K18" i="4" s="1"/>
  <c r="H13" i="4"/>
  <c r="H17" i="4" s="1"/>
  <c r="H14" i="4"/>
  <c r="H18" i="4" s="1"/>
  <c r="F13" i="4"/>
  <c r="F17" i="4" s="1"/>
  <c r="F14" i="4"/>
  <c r="F18" i="4" s="1"/>
  <c r="J13" i="4"/>
  <c r="J17" i="4" s="1"/>
  <c r="J14" i="4"/>
  <c r="J18" i="4" s="1"/>
  <c r="B13" i="1"/>
  <c r="CD8" i="1" l="1"/>
  <c r="CD27" i="1"/>
  <c r="F57" i="9"/>
  <c r="E64" i="9"/>
  <c r="E65" i="9" s="1"/>
  <c r="B71" i="9"/>
  <c r="B74" i="9" s="1"/>
  <c r="B64" i="9"/>
  <c r="C64" i="9" s="1"/>
  <c r="C65" i="9" s="1"/>
  <c r="D57" i="9"/>
  <c r="BU28" i="1"/>
  <c r="BX28" i="1" s="1"/>
  <c r="BZ28" i="1" s="1"/>
  <c r="BV28" i="1"/>
  <c r="BY28" i="1" s="1"/>
  <c r="CA28" i="1" s="1"/>
  <c r="BW28" i="1"/>
  <c r="BT29" i="1"/>
  <c r="BV9" i="1"/>
  <c r="BY9" i="1" s="1"/>
  <c r="CA9" i="1" s="1"/>
  <c r="BW9" i="1"/>
  <c r="BS10" i="1"/>
  <c r="BU9" i="1"/>
  <c r="BX9" i="1" s="1"/>
  <c r="BZ9" i="1" s="1"/>
  <c r="M17" i="4"/>
  <c r="CD28" i="1" l="1"/>
  <c r="CD9" i="1"/>
  <c r="BU29" i="1"/>
  <c r="BX29" i="1" s="1"/>
  <c r="BZ29" i="1" s="1"/>
  <c r="BV29" i="1"/>
  <c r="BY29" i="1" s="1"/>
  <c r="CA29" i="1" s="1"/>
  <c r="BW29" i="1"/>
  <c r="BS11" i="1"/>
  <c r="BU10" i="1"/>
  <c r="BX10" i="1" s="1"/>
  <c r="BZ10" i="1" s="1"/>
  <c r="BV10" i="1"/>
  <c r="BY10" i="1" s="1"/>
  <c r="CA10" i="1" s="1"/>
  <c r="BW10" i="1"/>
  <c r="CD10" i="1" l="1"/>
  <c r="CD29" i="1"/>
  <c r="BV11" i="1"/>
  <c r="BY11" i="1" s="1"/>
  <c r="CA11" i="1" s="1"/>
  <c r="BU11" i="1"/>
  <c r="BX11" i="1" s="1"/>
  <c r="BZ11" i="1" s="1"/>
  <c r="CD11" i="1" s="1"/>
  <c r="BW11" i="1"/>
  <c r="BS12" i="1"/>
  <c r="BW12" i="1" l="1"/>
  <c r="BU12" i="1"/>
  <c r="BX12" i="1" s="1"/>
  <c r="BZ12" i="1" s="1"/>
  <c r="BV12" i="1"/>
  <c r="BY12" i="1" s="1"/>
  <c r="CA12" i="1" s="1"/>
  <c r="CD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tc={58FD0AE4-0920-4E4E-BF24-EBB2CDA7631F}</author>
    <author>tc={C263E10B-B035-47F7-8348-530F43DF10C8}</author>
    <author>tc={07B8AB3E-D2DD-4B7A-B114-C8BD1B403A99}</author>
    <author>tc={DFC61D98-1A68-4801-8870-1348C25A6CF1}</author>
    <author>tc={0C6A2362-A07F-434C-984A-B543767131EA}</author>
    <author>tc={6BB51934-0805-463B-9245-C3ECD7997D81}</author>
  </authors>
  <commentList>
    <comment ref="E4" authorId="0" shapeId="0" xr:uid="{58FD0AE4-0920-4E4E-BF24-EBB2CDA7631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estimation previous existing S-band antennas (see lower in excel)</t>
      </text>
    </comment>
    <comment ref="F4" authorId="1" shapeId="0" xr:uid="{C263E10B-B035-47F7-8348-530F43DF10C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ETS VIII</t>
      </text>
    </comment>
    <comment ref="I4" authorId="2" shapeId="0" xr:uid="{07B8AB3E-D2DD-4B7A-B114-C8BD1B403A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endurosat</t>
      </text>
    </comment>
    <comment ref="E5" authorId="3" shapeId="0" xr:uid="{DFC61D98-1A68-4801-8870-1348C25A6CF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relation with ETS VIII power and reader adsee 1</t>
      </text>
    </comment>
    <comment ref="G32" authorId="4" shapeId="0" xr:uid="{0C6A2362-A07F-434C-984A-B543767131EA}">
      <text>
        <t>[Threaded comment]
Your version of Excel allows you to read this threaded comment; however, any edits to it will get removed if the file is opened in a newer version of Excel. Learn more: https://go.microsoft.com/fwlink/?linkid=870924
Comment:
    Divergence angle not clear, so 100 microrad used</t>
      </text>
    </comment>
    <comment ref="E96" authorId="5" shapeId="0" xr:uid="{6BB51934-0805-463B-9245-C3ECD7997D8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Assumed for now
</t>
      </text>
    </comment>
  </commentList>
</comments>
</file>

<file path=xl/sharedStrings.xml><?xml version="1.0" encoding="utf-8"?>
<sst xmlns="http://schemas.openxmlformats.org/spreadsheetml/2006/main" count="669" uniqueCount="504">
  <si>
    <t>mass [kg]</t>
  </si>
  <si>
    <t>SC Name</t>
  </si>
  <si>
    <t>Percentage of SC dry mass [%]</t>
  </si>
  <si>
    <t>https://arxiv.org/ftp/arxiv/papers/2010/2010.08706.pdf</t>
  </si>
  <si>
    <t>Density(kg/m^3)</t>
  </si>
  <si>
    <r>
      <t>Sigma</t>
    </r>
    <r>
      <rPr>
        <sz val="8"/>
        <color theme="1"/>
        <rFont val="Calibri"/>
        <family val="2"/>
        <scheme val="minor"/>
      </rPr>
      <t>ult</t>
    </r>
    <r>
      <rPr>
        <sz val="11"/>
        <color theme="1"/>
        <rFont val="Calibri"/>
        <family val="2"/>
        <scheme val="minor"/>
      </rPr>
      <t>(MPa)</t>
    </r>
  </si>
  <si>
    <r>
      <t>Sigma</t>
    </r>
    <r>
      <rPr>
        <sz val="8"/>
        <color theme="1"/>
        <rFont val="Calibri"/>
        <family val="2"/>
        <scheme val="minor"/>
      </rPr>
      <t>yield</t>
    </r>
    <r>
      <rPr>
        <sz val="11"/>
        <color theme="1"/>
        <rFont val="Calibri"/>
        <family val="2"/>
        <scheme val="minor"/>
      </rPr>
      <t>(MPa)</t>
    </r>
  </si>
  <si>
    <t>Youngs modulus(MPa)</t>
  </si>
  <si>
    <t>Thermal coefficient (µm/m)</t>
  </si>
  <si>
    <t>Cost /kg</t>
  </si>
  <si>
    <t>Specific Strength</t>
  </si>
  <si>
    <t>Mass Example</t>
  </si>
  <si>
    <t>Total Cost</t>
  </si>
  <si>
    <t>Galileo 5-26</t>
  </si>
  <si>
    <t>Payload</t>
  </si>
  <si>
    <t>Structure</t>
  </si>
  <si>
    <t>Thermal</t>
  </si>
  <si>
    <t>Power</t>
  </si>
  <si>
    <t>TT&amp;C</t>
  </si>
  <si>
    <t>ADCS</t>
  </si>
  <si>
    <t>Propulsion</t>
  </si>
  <si>
    <t>Aluminium 6061-T6</t>
  </si>
  <si>
    <t>Sustainable</t>
  </si>
  <si>
    <t>GPS</t>
  </si>
  <si>
    <t>https://asm.matweb.com/search/SpecificMaterial.asp?bassnum=ma6061t6</t>
  </si>
  <si>
    <t>GPS block III</t>
  </si>
  <si>
    <t>GPS Block 1</t>
  </si>
  <si>
    <t>Aluminium 7075-T73</t>
  </si>
  <si>
    <t>https://asm.matweb.com/search/SpecificMaterial.asp?bassnum=ma7075t73</t>
  </si>
  <si>
    <t>DIM</t>
  </si>
  <si>
    <t>WEIGHT</t>
  </si>
  <si>
    <t>T STRESS</t>
  </si>
  <si>
    <t>C STRESS</t>
  </si>
  <si>
    <t>THICKNESS</t>
  </si>
  <si>
    <t>IXX</t>
  </si>
  <si>
    <t>IYY</t>
  </si>
  <si>
    <t>IZZ</t>
  </si>
  <si>
    <t>F AXIAL</t>
  </si>
  <si>
    <t>F LAT X</t>
  </si>
  <si>
    <t>F LAT Y</t>
  </si>
  <si>
    <t>m</t>
  </si>
  <si>
    <t>b</t>
  </si>
  <si>
    <t>h</t>
  </si>
  <si>
    <t>t</t>
  </si>
  <si>
    <t>Iz</t>
  </si>
  <si>
    <t>Ix</t>
  </si>
  <si>
    <t>Area</t>
  </si>
  <si>
    <t>x def</t>
  </si>
  <si>
    <t>z def</t>
  </si>
  <si>
    <t>% z def</t>
  </si>
  <si>
    <t>% x def</t>
  </si>
  <si>
    <t>Max stress x</t>
  </si>
  <si>
    <t>Max stress z</t>
  </si>
  <si>
    <t>Max defl</t>
  </si>
  <si>
    <t>Max stress</t>
  </si>
  <si>
    <t>GPS IIF</t>
  </si>
  <si>
    <t>GPS Block 2,1</t>
  </si>
  <si>
    <t>Aluminium 2219-T851</t>
  </si>
  <si>
    <t>https://asm.matweb.com/search/SpecificMaterial.asp?bassnum=MA2219T851</t>
  </si>
  <si>
    <t>1.7x1.7x3.5</t>
  </si>
  <si>
    <t>Pz</t>
  </si>
  <si>
    <t>Glonass-M</t>
  </si>
  <si>
    <t>GPS Block 2,2</t>
  </si>
  <si>
    <t>Ti-6AL-4V</t>
  </si>
  <si>
    <t>https://asm.matweb.com/search/SpecificMaterial.asp?bassnum=mtp641</t>
  </si>
  <si>
    <t>1.85x1.85x3.25</t>
  </si>
  <si>
    <t>Px</t>
  </si>
  <si>
    <t>Beidou 3M</t>
  </si>
  <si>
    <t>Magnesium</t>
  </si>
  <si>
    <t>Man difficulties</t>
  </si>
  <si>
    <t>https://www.matweb.com/search/datasheet.aspx?matguid=d1e286e1ac0742358544b953bbf3c2e9&amp;ckck=1</t>
  </si>
  <si>
    <t>1.95x1.95x2.93</t>
  </si>
  <si>
    <t>L</t>
  </si>
  <si>
    <t>Starlink V2.0</t>
  </si>
  <si>
    <t>Heat-res alloy A-286</t>
  </si>
  <si>
    <t>https://www.atimaterials.com/Products/Documents/datasheets/nickel-cobalt/nickel-based/ati_286_ludlum_version_tds_en_v1.pdf</t>
  </si>
  <si>
    <t>2.07x2.07x2.59</t>
  </si>
  <si>
    <t>E</t>
  </si>
  <si>
    <t>Galileo IOV</t>
  </si>
  <si>
    <t>Heat-res alloy inconel 718</t>
  </si>
  <si>
    <t>https://www.specialmetals.com/documents/technical-bulletins/inconel/inconel-alloy-718.pdf</t>
  </si>
  <si>
    <t>2.24x2.24x2.24</t>
  </si>
  <si>
    <t>steel 17-4PH H1150</t>
  </si>
  <si>
    <t>https://www.pennstainless.com/resources/product-information/stainless-grades/precipitation-hardening-grades/17-4ph-h1150/</t>
  </si>
  <si>
    <t>Average</t>
  </si>
  <si>
    <t>Beryllium</t>
  </si>
  <si>
    <t>TOXIC</t>
  </si>
  <si>
    <t>https://materion.com/-/media/files/beryllium/engineering-design/beryllium-products-descriptions-and-uses.pdf</t>
  </si>
  <si>
    <t>2.05x2.05x2.66</t>
  </si>
  <si>
    <t>Standard deviation</t>
  </si>
  <si>
    <t>BROWN</t>
  </si>
  <si>
    <t>Design [kg]</t>
  </si>
  <si>
    <t>ZANDBERGEN</t>
  </si>
  <si>
    <t>STD [kg]</t>
  </si>
  <si>
    <t>propellant mass [%]</t>
  </si>
  <si>
    <t>dry mass [%]</t>
  </si>
  <si>
    <t>SHAPE</t>
  </si>
  <si>
    <t>Volume</t>
  </si>
  <si>
    <t>Dimensions</t>
  </si>
  <si>
    <t>Weight</t>
  </si>
  <si>
    <t>Tensile Stress</t>
  </si>
  <si>
    <t>Compressive Stress</t>
  </si>
  <si>
    <t>Thickness</t>
  </si>
  <si>
    <t>MMOI ~</t>
  </si>
  <si>
    <t>Surface</t>
  </si>
  <si>
    <t>Ax Freq</t>
  </si>
  <si>
    <t>Lat Freq</t>
  </si>
  <si>
    <t>Cube</t>
  </si>
  <si>
    <t>Rectangular prism</t>
  </si>
  <si>
    <t>1480/590</t>
  </si>
  <si>
    <t>Cylinder</t>
  </si>
  <si>
    <t>1.2x2.4</t>
  </si>
  <si>
    <t>970/830</t>
  </si>
  <si>
    <t>Design</t>
  </si>
  <si>
    <t>Power [W]</t>
  </si>
  <si>
    <t>communication</t>
  </si>
  <si>
    <t>on-board data handling</t>
  </si>
  <si>
    <t>atitude control system</t>
  </si>
  <si>
    <t>power managment and distribution</t>
  </si>
  <si>
    <t>Galileo 1-4</t>
  </si>
  <si>
    <t>30-40</t>
  </si>
  <si>
    <t>20-30</t>
  </si>
  <si>
    <t>10-:20</t>
  </si>
  <si>
    <t>10:-15</t>
  </si>
  <si>
    <t>5-:10</t>
  </si>
  <si>
    <t>Galileo 27-34</t>
  </si>
  <si>
    <t>ACS</t>
  </si>
  <si>
    <t>OBDH</t>
  </si>
  <si>
    <t xml:space="preserve">Block IIF </t>
  </si>
  <si>
    <t>SCE [W]</t>
  </si>
  <si>
    <t>https://www.researchgate.net/publication/261174944_The_PAC2MAN_mission_A_new_tool_to_understand_and_predict_solar_energetic_events</t>
  </si>
  <si>
    <t>Beidou</t>
  </si>
  <si>
    <t>Glonass</t>
  </si>
  <si>
    <t>SC80 [W]</t>
  </si>
  <si>
    <t>IRNSS</t>
  </si>
  <si>
    <t>SC</t>
  </si>
  <si>
    <t>https://www.researchgate.net/publication/324078375_Magrathea_Dust_growth_experiment_in_micro-gravity_conditions</t>
  </si>
  <si>
    <t>SMAD</t>
  </si>
  <si>
    <t>40-80</t>
  </si>
  <si>
    <t>0-5</t>
  </si>
  <si>
    <t>5;10</t>
  </si>
  <si>
    <t>5;25</t>
  </si>
  <si>
    <t>STD</t>
  </si>
  <si>
    <t>Total</t>
  </si>
  <si>
    <t>CDHs</t>
  </si>
  <si>
    <t>Antennas</t>
  </si>
  <si>
    <t xml:space="preserve">paper of LNSS </t>
  </si>
  <si>
    <t>https://upcommons.upc.edu/bitstream/handle/2099.1/17684/Project%20Report.pdf</t>
  </si>
  <si>
    <t>battery Disharge regulator</t>
  </si>
  <si>
    <t>https://satsearch.co/products/terma-battery-discharge-regulator-module</t>
  </si>
  <si>
    <t>battery temp</t>
  </si>
  <si>
    <t>https://www.researchgate.net/publication/357257487_The_Influence_of_Temperature_on_the_Capacity_of_Lithium_Ion_Batteries_with_Different_Anodes?_iepl%5BgeneralViewId%5D=QARvsa07pCjftVLRXqxWFI4gRYlG5WzIEy1l&amp;_iepl%5Bcontexts%5D%5B0%5D=searchReact&amp;_iepl%5BviewId%5D=GpuOy39ZCGXV7wECmFjK4bdvRHmW6yC3eOkd&amp;_iepl%5BsearchType%5D=publication&amp;_iepl%5Bdata%5D%5BcountLessEqual20%5D=1&amp;_iepl%5Bdata%5D%5BinteractedWithPosition2%5D=1&amp;_iepl%5Bdata%5D%5BwithoutEnrichment%5D=1&amp;_iepl%5Bposition%5D=2&amp;_iepl%5BrgKey%5D=PB%3A357257487&amp;_iepl%5BtargetEntityId%5D=PB%3A357257487&amp;_iepl%5BinteractionType%5D=publicationTitle</t>
  </si>
  <si>
    <t>https://artes.esa.int/projects/pcdu-leo-telecom</t>
  </si>
  <si>
    <t>1.8kW, 23 &amp; 38V</t>
  </si>
  <si>
    <t>battery</t>
  </si>
  <si>
    <t>https://satsearch.s3.eu-central-1.amazonaws.com/datasheets/satsearch_datasheet_c7qho3_saft_vl51es.pdf?X-Amz-Algorithm=AWS4-HMAC-SHA256&amp;X-Amz-Credential=AKIAJLB7IRZ54RAMS36Q%2F20230606%2Feu-central-1%2Fs3%2Faws4_request&amp;X-Amz-Date=20230606T150511Z&amp;X-Amz-Expires=86400&amp;X-Amz-Signature=3a6f0a943f715e730b0d3711c3aad59ff6502fbc411a9f0a4cdf004b020e9053&amp;X-Amz-SignedHeaders=host</t>
  </si>
  <si>
    <t>9100Wh, includes shunt resistors</t>
  </si>
  <si>
    <t>DoD</t>
  </si>
  <si>
    <t>https://www.researchgate.net/publication/280886489_Adaptive_state_of_charge_estimation_for_battery_packs</t>
  </si>
  <si>
    <t>https://satsearch.s3.eu-central-1.amazonaws.com/datasheets/satsearch_datasheet_uryedx_airbus_high_power_pcdu.pdf?X-Amz-Algorithm=AWS4-HMAC-SHA256&amp;X-Amz-Credential=AKIAJLB7IRZ54RAMS36Q%2F20230606%2Feu-central-1%2Fs3%2Faws4_request&amp;X-Amz-Date=20230606T111721Z&amp;X-Amz-Expires=86400&amp;X-Amz-Signature=9cdd52ec6522b7106ac8823bdb9cf6581dcaa72102db99d2bad875b5a4fb10a3&amp;X-Amz-SignedHeaders=host</t>
  </si>
  <si>
    <t>2kW, but only 6 years?</t>
  </si>
  <si>
    <t>solar array</t>
  </si>
  <si>
    <t>30-40% 10000cycles</t>
  </si>
  <si>
    <t>https://www.researchgate.net/publication/241627838_A_framework_for_real-time_power_management_of_a_grid-tied_microgrid_to_extend_battery_lifetime_and_reduce_cost_of_energy</t>
  </si>
  <si>
    <t>https://satsearch.s3.eu-central-1.amazonaws.com/datasheets/satsearch_ru4z5f_terma_power_conditioning_unit.pdf?X-Amz-Algorithm=AWS4-HMAC-SHA256&amp;X-Amz-Credential=AKIAJLB7IRZ54RAMS36Q%2F20230606%2Feu-central-1%2Fs3%2Faws4_request&amp;X-Amz-Date=20230606T112103Z&amp;X-Amz-Expires=86400&amp;X-Amz-Signature=8abd3820765384f70f40476966de4c5c5f3b07d393b005ee5c1b0635b6653e4c&amp;X-Amz-SignedHeaders=host</t>
  </si>
  <si>
    <t>PCU</t>
  </si>
  <si>
    <t>900W charging</t>
  </si>
  <si>
    <t>Power distribution unit (PDU)</t>
  </si>
  <si>
    <t>80% 500+ cycles</t>
  </si>
  <si>
    <t>https://satsearch.s3.eu-central-1.amazonaws.com/datasheets/satsearch_datasheet_um1uhg_airbus_pcu_50v.pdf?X-Amz-Algorithm=AWS4-HMAC-SHA256&amp;X-Amz-Credential=AKIAJLB7IRZ54RAMS36Q%2F20230606%2Feu-central-1%2Fs3%2Faws4_request&amp;X-Amz-Date=20230606T112537Z&amp;X-Amz-Expires=86400&amp;X-Amz-Signature=741574f6887e4dfdb87f43380ce4ea3538a51eee7a44940fb311aec1f3e2f8ee&amp;X-Amz-SignedHeaders=host</t>
  </si>
  <si>
    <t>1-6kW</t>
  </si>
  <si>
    <t>power conditioning unit (PCU)</t>
  </si>
  <si>
    <t>Wh/kg</t>
  </si>
  <si>
    <t>https://satsearch.co/products/terma-modular-medium-power-unit</t>
  </si>
  <si>
    <t>PCDU</t>
  </si>
  <si>
    <t>senors</t>
  </si>
  <si>
    <t>W</t>
  </si>
  <si>
    <t>Cable harness</t>
  </si>
  <si>
    <t>Wh</t>
  </si>
  <si>
    <t>Shunt dissipator</t>
  </si>
  <si>
    <t>https://satsearch.co/products/terma-s3r-shunt-regulation-module</t>
  </si>
  <si>
    <t>https://www.airbus.com/sites/g/files/jlcbta136/files/2022-03/publication-power-evo-pcdu-2022.pdf</t>
  </si>
  <si>
    <t>EPS Iteration</t>
  </si>
  <si>
    <t>Battery option</t>
  </si>
  <si>
    <t>https://www.dnkpower.com/wp-content/uploads/2019/02/LG-INR21700-M50-Datasheet.pdf</t>
  </si>
  <si>
    <t>Solar array</t>
  </si>
  <si>
    <t>Battery</t>
  </si>
  <si>
    <t>CMG</t>
  </si>
  <si>
    <t xml:space="preserve">Navigation Signal Generation Unit </t>
  </si>
  <si>
    <t>frequency generator and upconverter unit</t>
  </si>
  <si>
    <t>Clock Monitoring and Control Unit</t>
  </si>
  <si>
    <t>Battery 1</t>
  </si>
  <si>
    <t>main clock 2X (DSAC)</t>
  </si>
  <si>
    <t>Cells</t>
  </si>
  <si>
    <t>TT&amp;C to User</t>
  </si>
  <si>
    <t>Total capacity</t>
  </si>
  <si>
    <t>TT&amp;C to Relay</t>
  </si>
  <si>
    <t>Battery mass</t>
  </si>
  <si>
    <t>kg</t>
  </si>
  <si>
    <t>TT&amp;C to laser</t>
  </si>
  <si>
    <t>Eclipse time = 5 hours</t>
  </si>
  <si>
    <t>Battery volume</t>
  </si>
  <si>
    <t>Computer</t>
  </si>
  <si>
    <t>PCDU has 95% efficiency</t>
  </si>
  <si>
    <t>Star sensors</t>
  </si>
  <si>
    <t>Battery 2</t>
  </si>
  <si>
    <t>battery size</t>
  </si>
  <si>
    <t>clock name</t>
  </si>
  <si>
    <t>accuracy</t>
  </si>
  <si>
    <t>clock error [m]</t>
  </si>
  <si>
    <t>DSAC</t>
  </si>
  <si>
    <t>1 nanosecond in 10 days</t>
  </si>
  <si>
    <t>https://www.nasa.gov/mission_pages/tdm/clock/index.html</t>
  </si>
  <si>
    <t>https://www.gps.gov/governance/advisory/meetings/2018-12/ely.pdf</t>
  </si>
  <si>
    <t>SHM</t>
  </si>
  <si>
    <t>1E-15 in 100s</t>
  </si>
  <si>
    <t>GNSS book</t>
  </si>
  <si>
    <t>Rubidium Atomic clock</t>
  </si>
  <si>
    <t>1.8 nanosecond 12h</t>
  </si>
  <si>
    <t>file:///C:/Users/mathi/Downloads/___Space_Qualified_Rubidium_Atomic_Frequency_Standard__RAFS_.pdf</t>
  </si>
  <si>
    <t>Hydrogen maser clock</t>
  </si>
  <si>
    <t>0.45 nanosecond 12h</t>
  </si>
  <si>
    <t>https://electronics.leonardo.com/documents/16277707/18399571/Passive_Hydrogen_Maser_LQ_mm07688_.pdf?t=1538987567626</t>
  </si>
  <si>
    <t>other clocks</t>
  </si>
  <si>
    <t>https://safran-navigation-timing.com/solution/atomic-clocks-and-oscillators/?utm_term=rubidium%20clock&amp;utm_campaign=SPT+-+Rb+v2&amp;utm_source=adwords&amp;utm_medium=ppc&amp;hsa_acc=9946183019&amp;hsa_cam=20186286929&amp;hsa_grp=148877891905&amp;hsa_ad=652021906696&amp;hsa_src=g&amp;hsa_tgt=kwd-355170574442&amp;hsa_kw=rubidium%20clock&amp;hsa_mt=p&amp;hsa_net=adwords&amp;hsa_ver=3&amp;gad=1&amp;gclid=CjwKCAjwpuajBhBpEiwA_ZtfhaNegl9byftr9S26F4537ido9Ooa5-C1C59tApIOIzodT2kLVLElXBoCxJMQAvD_BwE</t>
  </si>
  <si>
    <t>https://www.excelitas.com/product/space-qualified-rubidium-atomic-frequency-standard-clocks</t>
  </si>
  <si>
    <t>power [W]</t>
  </si>
  <si>
    <t>input voltage [V]</t>
  </si>
  <si>
    <t>Operating T [°C]</t>
  </si>
  <si>
    <t>Non-Operating T [°C]</t>
  </si>
  <si>
    <t>Design life</t>
  </si>
  <si>
    <t>reliability</t>
  </si>
  <si>
    <t>Dimension</t>
  </si>
  <si>
    <t>NSGU</t>
  </si>
  <si>
    <t>-10; +40</t>
  </si>
  <si>
    <t>-35; +70</t>
  </si>
  <si>
    <t>12y</t>
  </si>
  <si>
    <t>267 x 320 x 280 mm</t>
  </si>
  <si>
    <t>https://www.thalesgroup.com/sites/default/files/database/d7/asset/document/TRIS_NSGU-092012.pdf</t>
  </si>
  <si>
    <t>FGUU</t>
  </si>
  <si>
    <t>270x280x116 mm</t>
  </si>
  <si>
    <t>https://www.kongsberg.com/kmagazine/2014/9/board-galileo/</t>
  </si>
  <si>
    <t>CMCU</t>
  </si>
  <si>
    <t>-15; +45</t>
  </si>
  <si>
    <t>-40; +60</t>
  </si>
  <si>
    <t xml:space="preserve">12y </t>
  </si>
  <si>
    <t>0.9927 12y</t>
  </si>
  <si>
    <t>270x216x137 mm</t>
  </si>
  <si>
    <t>https://www.airbus.com/sites/g/files/jlcbta136/files/2021-11/Publication-sce-PP-NAV-CMCU-old.pdf</t>
  </si>
  <si>
    <t>clock choice</t>
  </si>
  <si>
    <t>p290 in pdf understanding GNSS</t>
  </si>
  <si>
    <t xml:space="preserve">time syncronisation </t>
  </si>
  <si>
    <t xml:space="preserve"> p444 in pdf understanding GNSS</t>
  </si>
  <si>
    <t>Mass [kg]</t>
  </si>
  <si>
    <t>https://www.jstor.org/stable/44657705?searchText=&amp;searchUri=&amp;ab_segments=&amp;searchKey=&amp;refreqid=fastly-default%3Ad9cc05508cb0a9f8b39f3bb5e2f9ffe8&amp;seq=2</t>
  </si>
  <si>
    <t>MLI</t>
  </si>
  <si>
    <t>kg/m^2</t>
  </si>
  <si>
    <t>Used for cryogenic tanks</t>
  </si>
  <si>
    <t>mm</t>
  </si>
  <si>
    <t>coating mass</t>
  </si>
  <si>
    <t>https://www.researchgate.net/publication/335226824_Glycerol_Effect_on_the_Corrosion_Resistance_and_Electrodeposition_Conditions_in_a_Zinc_Electroplating_Process</t>
  </si>
  <si>
    <t xml:space="preserve">caoting thickness </t>
  </si>
  <si>
    <t>http://www.adc-ga.com/pdf/MIL_A_8625_F.pdf</t>
  </si>
  <si>
    <t>coating</t>
  </si>
  <si>
    <t>https://ntrs.nasa.gov/api/citations/20070014757/downloads/20070014757.pdf</t>
  </si>
  <si>
    <t>p54</t>
  </si>
  <si>
    <t>Kapton film Aluminium</t>
  </si>
  <si>
    <t>general</t>
  </si>
  <si>
    <t>file:///C:/Users/mathi/Documents/Mathijs/TUDelft/DSE/StateOfTheArtSC.pdf</t>
  </si>
  <si>
    <t>phase change material</t>
  </si>
  <si>
    <t>https://ntrs.nasa.gov/api/citations/19780007491/downloads/19780007491.pdf</t>
  </si>
  <si>
    <t>https://satsearch.co/products/thermal-management-technologies-thermal-storage-units</t>
  </si>
  <si>
    <t>kJ</t>
  </si>
  <si>
    <t>J/kg</t>
  </si>
  <si>
    <t>emissivity SA</t>
  </si>
  <si>
    <t>https://www.researchgate.net/publication/322175579_Mid-infrared_emissivity_of_crystalline_silicon_solar_cells</t>
  </si>
  <si>
    <t xml:space="preserve">emissivity wavelenght </t>
  </si>
  <si>
    <t>https://www.webassign.net/question_assets/uncastrosolarsys1/lab_3_6/manual.html</t>
  </si>
  <si>
    <t>SA operative temperature range</t>
  </si>
  <si>
    <t>https://www.nasa.gov/sites/default/files/atoms/files/3._soa_power_2022.pdf</t>
  </si>
  <si>
    <t>https://www.dmegc.solar/files/bestanden/datasheets/DM550M10-72HSW-EN.pdf</t>
  </si>
  <si>
    <t>trade-off slides thermal</t>
  </si>
  <si>
    <t>https://tfaws.nasa.gov/TFAWS04/Website/program/Speakers/TFAWS2004PresentationonMechLoops-v1.pdf</t>
  </si>
  <si>
    <t>thermal analysis of sc</t>
  </si>
  <si>
    <t>http://eotvos.dm.unipi.it/temp/OLD/GG%20PRR%20DataPack/13%20-%20SD-RP-AI-0627_1%20Thermal_analysis_report.pdf</t>
  </si>
  <si>
    <t xml:space="preserve">coating degradation </t>
  </si>
  <si>
    <t>https://ntrs.nasa.gov/api/citations/20160014803/downloads/20160014803.pdf</t>
  </si>
  <si>
    <t>https://ntrs.nasa.gov/api/citations/20080018585/downloads/20080018585.pdf</t>
  </si>
  <si>
    <t>heat pipes</t>
  </si>
  <si>
    <t>https://ttu-ir.tdl.org/bitstream/handle/2346/87128/ICES-2021-154.pdf?sequence=1</t>
  </si>
  <si>
    <t>https://www.1-act.com/resources/tech-papers/progress-on-3d-printed-loop-heat-pipes/</t>
  </si>
  <si>
    <t>thickness silver coating</t>
  </si>
  <si>
    <t>https://www.researchgate.net/publication/268157054_Autocatalytic_silver-plating_of_aluminium_radio_frequency_waveguides_with_autocatalytic_nickel_as_the_undercoat_for_space_applications</t>
  </si>
  <si>
    <t>radiator cooling</t>
  </si>
  <si>
    <t>http://matthewwturner.com/uah/IPT2008_summer/baselines/LOW%20Files/Thermal/Spacecraft%20Thermal%20Control%20Handbook/06.pdf</t>
  </si>
  <si>
    <t>heaters</t>
  </si>
  <si>
    <t>file:///C:/Users/mathi/Downloads/satsearch_datasheet_91qse8_zoppas-industries-space_stock-polyimide-flexible-heating-element.pdf</t>
  </si>
  <si>
    <t>https://satsearch.co/products/zoppas-industries-space-stock-polyimide-flexible-heating-element</t>
  </si>
  <si>
    <t>questions:</t>
  </si>
  <si>
    <t>energy for material used in sc</t>
  </si>
  <si>
    <t>degradation thermal coating</t>
  </si>
  <si>
    <t>Component</t>
  </si>
  <si>
    <t>Mass</t>
  </si>
  <si>
    <t>Momentum</t>
  </si>
  <si>
    <t>Torque</t>
  </si>
  <si>
    <t>Average Power</t>
  </si>
  <si>
    <t>Min temp</t>
  </si>
  <si>
    <t>Max Temp</t>
  </si>
  <si>
    <t>Source</t>
  </si>
  <si>
    <t>Specific torque</t>
  </si>
  <si>
    <t>Specific Momentum</t>
  </si>
  <si>
    <t>CMG 75-75 S</t>
  </si>
  <si>
    <t>70-75</t>
  </si>
  <si>
    <t>-20</t>
  </si>
  <si>
    <t>550 x 500 x 570 mm</t>
  </si>
  <si>
    <t>https://www.satnow.com/products/control-moment-gyroscopes/airbus/43-1213-cmg-75-75-s</t>
  </si>
  <si>
    <t>M50</t>
  </si>
  <si>
    <t>25-75</t>
  </si>
  <si>
    <t>https://www.satnow.com/products/control-moment-gyroscopes/honeywell-aerospace/43-1202-m50</t>
  </si>
  <si>
    <t>CMG 40-60S</t>
  </si>
  <si>
    <t>-30</t>
  </si>
  <si>
    <t>370 x 465 x 500 mm</t>
  </si>
  <si>
    <t>https://www.satnow.com/products/control-moment-gyroscopes/airbus/43-1213-cmg-40-60-s</t>
  </si>
  <si>
    <t>CMG12</t>
  </si>
  <si>
    <t>340 x 430 x 380 mm</t>
  </si>
  <si>
    <t>https://www.satnow.com/products/control-moment-gyroscopes/blue-canyon-technologies/43-1186-cmg12</t>
  </si>
  <si>
    <t>CMG 15-45S</t>
  </si>
  <si>
    <t>270 x 350 mm</t>
  </si>
  <si>
    <t>https://www.satnow.com/products/control-moment-gyroscopes/airbus/43-1213-cmg-15-45-s</t>
  </si>
  <si>
    <t>Bias</t>
  </si>
  <si>
    <t>drift</t>
  </si>
  <si>
    <t>Frequency</t>
  </si>
  <si>
    <t>Temo range</t>
  </si>
  <si>
    <t>GG1320AN</t>
  </si>
  <si>
    <t>2000-5000</t>
  </si>
  <si>
    <t>neg54 to 85</t>
  </si>
  <si>
    <t xml:space="preserve">https://aerospace.honeywell.com/us/en/products-and-services/product/hardware-and-systems/sensors/gg1320an-digital-ring-laser-gyroscope </t>
  </si>
  <si>
    <t>ASTRIX 120</t>
  </si>
  <si>
    <t>neg 20 to 60</t>
  </si>
  <si>
    <t xml:space="preserve">https://www.satnow.com/products/inertial-measurement-units/airbus/105-1213-astrix-120 </t>
  </si>
  <si>
    <t>Accuracy</t>
  </si>
  <si>
    <t>Update frequency</t>
  </si>
  <si>
    <t>FOV</t>
  </si>
  <si>
    <t>Sun rej</t>
  </si>
  <si>
    <t>Sagitta</t>
  </si>
  <si>
    <t>2 arcseconds (Cross Boresight) to 10 arcseconds (About Boresight)</t>
  </si>
  <si>
    <t>5 Hz</t>
  </si>
  <si>
    <t>40 Degree</t>
  </si>
  <si>
    <t>1.3 W</t>
  </si>
  <si>
    <t>95 x 50 x 45 mm</t>
  </si>
  <si>
    <t>270g</t>
  </si>
  <si>
    <t xml:space="preserve">https://www.arcsec.space/web/sites/default/files/2022-09/arcsec%20Sagitta%20Star%20Tracker%20Datasheet.pdf </t>
  </si>
  <si>
    <t>Cubestar</t>
  </si>
  <si>
    <t>0.02 or 72 arcsec</t>
  </si>
  <si>
    <t>50x35x55</t>
  </si>
  <si>
    <t xml:space="preserve">https://www.cubespace.co.za/downloads/gen_1_sensors_actuators_jan_2023_web.pdf </t>
  </si>
  <si>
    <t xml:space="preserve">https://d-nb.info/1159823146/34 </t>
  </si>
  <si>
    <t>HYDRA</t>
  </si>
  <si>
    <t>8 to 12</t>
  </si>
  <si>
    <t>&gt;26</t>
  </si>
  <si>
    <t xml:space="preserve">https://sodern.com/wp-content/uploads/2021/11/Hydra-M.pdf </t>
  </si>
  <si>
    <t>Lifetime less than mission</t>
  </si>
  <si>
    <t>Longer baffle means better sun exclusion</t>
  </si>
  <si>
    <t>VST</t>
  </si>
  <si>
    <t>5 arcsec / 30 arcsec</t>
  </si>
  <si>
    <t>14° x 14°</t>
  </si>
  <si>
    <t>60mm x 60mm x 138 mm</t>
  </si>
  <si>
    <t>https://www.vectronic-aerospace.com/wp-content/uploads/2020/03/VAS-VST68M-DS2.pdf</t>
  </si>
  <si>
    <t>Update rate</t>
  </si>
  <si>
    <t>SITAEL</t>
  </si>
  <si>
    <t>140 deg</t>
  </si>
  <si>
    <t>50 mW</t>
  </si>
  <si>
    <t>92 x 68 x 33 mm</t>
  </si>
  <si>
    <t xml:space="preserve">https://www.satnow.com/products/sun-sensors/sitael/39-1160-sitael-sun </t>
  </si>
  <si>
    <t>CMOS</t>
  </si>
  <si>
    <t>200 mW</t>
  </si>
  <si>
    <t>30 g</t>
  </si>
  <si>
    <t xml:space="preserve">https://www.satnow.com/products/sun-sensors/cubespace/39-1187-cubesense </t>
  </si>
  <si>
    <t>FSS</t>
  </si>
  <si>
    <t>/</t>
  </si>
  <si>
    <t>SSOC</t>
  </si>
  <si>
    <t>70 mA</t>
  </si>
  <si>
    <t>CubeSense</t>
  </si>
  <si>
    <t>0.2°</t>
  </si>
  <si>
    <t>min FSS</t>
  </si>
  <si>
    <t>pass</t>
  </si>
  <si>
    <t>https://satsearch.co/products/bradford-mini-fine-sun-sensor</t>
  </si>
  <si>
    <t>TVJuCSlpMECM04q0LeCIe988Qxzv53BNmWHGOJ36K2hURUtDWFA3Sjc5V0dLVFpTSzY2OVExUlkxUiQlQCN0PWcu</t>
  </si>
  <si>
    <t>Form1</t>
  </si>
  <si>
    <t>{ee412b91-fc91-412c-b380-694496e96530}</t>
  </si>
  <si>
    <t>DESIGN</t>
  </si>
  <si>
    <t>Data handling and acquisition unit</t>
  </si>
  <si>
    <t>Command processor unit</t>
  </si>
  <si>
    <t>SD</t>
  </si>
  <si>
    <t>ASSUMED SAME AS data handling and acquisition unit</t>
  </si>
  <si>
    <t>specific power</t>
  </si>
  <si>
    <t>1-2.5 W/kg</t>
  </si>
  <si>
    <t xml:space="preserve">assume </t>
  </si>
  <si>
    <t>W/kg</t>
  </si>
  <si>
    <t>then</t>
  </si>
  <si>
    <t>highest</t>
  </si>
  <si>
    <t>mass density</t>
  </si>
  <si>
    <t>0.5-1kg/liter</t>
  </si>
  <si>
    <t>kg/;=l</t>
  </si>
  <si>
    <t>TOTAL</t>
  </si>
  <si>
    <t>To User</t>
  </si>
  <si>
    <t>To Relay</t>
  </si>
  <si>
    <t>To LNSS</t>
  </si>
  <si>
    <t>RF</t>
  </si>
  <si>
    <t>volume [L]</t>
  </si>
  <si>
    <t>Laser</t>
  </si>
  <si>
    <t>Antenna</t>
  </si>
  <si>
    <t>200g</t>
  </si>
  <si>
    <t>Amplifier</t>
  </si>
  <si>
    <t>included in antenna</t>
  </si>
  <si>
    <t>other</t>
  </si>
  <si>
    <t>-</t>
  </si>
  <si>
    <t>Satellite</t>
  </si>
  <si>
    <t>percentage TTC</t>
  </si>
  <si>
    <t>in fractions</t>
  </si>
  <si>
    <t>dry mass [kg]</t>
  </si>
  <si>
    <t>TT&amp;C mass [kg]</t>
  </si>
  <si>
    <t>gps block 1</t>
  </si>
  <si>
    <t>gps block 1,2</t>
  </si>
  <si>
    <t>gps block 2, 2</t>
  </si>
  <si>
    <t>kg, average</t>
  </si>
  <si>
    <t>Alen space High Data Rate Transmitter</t>
  </si>
  <si>
    <t>AAC CLYDE SPACE TX-2400</t>
  </si>
  <si>
    <t>68mm*35mm*15mm</t>
  </si>
  <si>
    <t>96mm*90mm</t>
  </si>
  <si>
    <t>Laser link budget</t>
  </si>
  <si>
    <t>Single photon (to retroreflectors)</t>
  </si>
  <si>
    <t>single photon (inter-sat)</t>
  </si>
  <si>
    <t>single photon resize (inter-sat)</t>
  </si>
  <si>
    <t>APOLLO</t>
  </si>
  <si>
    <t>BELA resize (to retroreflectors)</t>
  </si>
  <si>
    <t>GALA (retroreflectors)</t>
  </si>
  <si>
    <t>BELA (inter-sat)</t>
  </si>
  <si>
    <t>GALA (inter-sat)</t>
  </si>
  <si>
    <t>BELA (to retroreflectors)</t>
  </si>
  <si>
    <t>E_T</t>
  </si>
  <si>
    <t>eta_T</t>
  </si>
  <si>
    <t>eta_R</t>
  </si>
  <si>
    <t>G_T</t>
  </si>
  <si>
    <t>G_R</t>
  </si>
  <si>
    <t>L_T</t>
  </si>
  <si>
    <t>L_R</t>
  </si>
  <si>
    <t>L_PG</t>
  </si>
  <si>
    <t>E_R</t>
  </si>
  <si>
    <t>wavelength</t>
  </si>
  <si>
    <t>frequency</t>
  </si>
  <si>
    <t>energy per photon</t>
  </si>
  <si>
    <t>amount of photons</t>
  </si>
  <si>
    <t>E_b/N_0</t>
  </si>
  <si>
    <t>P_r</t>
  </si>
  <si>
    <t>L_l</t>
  </si>
  <si>
    <t>P_t</t>
  </si>
  <si>
    <t>G_t</t>
  </si>
  <si>
    <t>G_r</t>
  </si>
  <si>
    <t>sats</t>
  </si>
  <si>
    <t>L_s</t>
  </si>
  <si>
    <t>Volume [m^3]</t>
  </si>
  <si>
    <t>cubecom stx</t>
  </si>
  <si>
    <t>alen space</t>
  </si>
  <si>
    <t>endurosat s band transmitter</t>
  </si>
  <si>
    <t>clyde</t>
  </si>
  <si>
    <t>L_pr</t>
  </si>
  <si>
    <t>mass [g]</t>
  </si>
  <si>
    <t>L_r</t>
  </si>
  <si>
    <t>power</t>
  </si>
  <si>
    <t>R</t>
  </si>
  <si>
    <t>k</t>
  </si>
  <si>
    <t>T_s</t>
  </si>
  <si>
    <t>From Relay</t>
  </si>
  <si>
    <t>From LNSS</t>
  </si>
  <si>
    <t>RELAY</t>
  </si>
  <si>
    <t>https://www.sstl.co.uk/getmedia/690f1da3-a935-4c4d-b48c-616ac8417cb1/LunarPathfinder-UserManual-WebSite-v003.pdf</t>
  </si>
  <si>
    <t>P_t (better is 25W)</t>
  </si>
  <si>
    <t>SNR</t>
  </si>
  <si>
    <t>snr margin</t>
  </si>
  <si>
    <t>2025-2110</t>
  </si>
  <si>
    <t>2200-2290</t>
  </si>
  <si>
    <t>forward</t>
  </si>
  <si>
    <t>return</t>
  </si>
  <si>
    <t>EIRP &amp; G/T</t>
  </si>
  <si>
    <t>B</t>
  </si>
  <si>
    <t>https://i.imgur.com/ddXPdBV.png</t>
  </si>
  <si>
    <t>snr</t>
  </si>
  <si>
    <t>Energy [J]</t>
  </si>
  <si>
    <t>m^3</t>
  </si>
  <si>
    <t>Length</t>
  </si>
  <si>
    <t>Width</t>
  </si>
  <si>
    <t>Single photon</t>
  </si>
  <si>
    <t>BELA</t>
  </si>
  <si>
    <t>GALA</t>
  </si>
  <si>
    <t>MOLA</t>
  </si>
  <si>
    <t>energy for reflector</t>
  </si>
  <si>
    <t>reflector</t>
  </si>
  <si>
    <t>Singular Battery</t>
  </si>
  <si>
    <t xml:space="preserve">Number of cells: 66, </t>
  </si>
  <si>
    <t>Battery capacity: 11701.721422824741 [Wh],</t>
  </si>
  <si>
    <t xml:space="preserve">Battery mass: 85.8 [kg], </t>
  </si>
  <si>
    <t>Battery volume: 34.110111 [l]</t>
  </si>
  <si>
    <t>E_b/N_0 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</si>
</sst>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"/>
    <numFmt numFmtId="166" formatCode="0.0%"/>
    <numFmt numFmtId="167" formatCode="0.00000"/>
    <numFmt numFmtId="168" formatCode="0.0000E+00"/>
    <numFmt numFmtId="169" formatCode="_(* #,##0.0000000_);_(* \(#,##0.0000000\);_(* &quot;-&quot;??_);_(@_)"/>
    <numFmt numFmtId="170" formatCode="0.000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444444"/>
      <name val="Arimo"/>
    </font>
    <font>
      <u/>
      <sz val="11"/>
      <color theme="10"/>
      <name val="Calibri"/>
      <family val="2"/>
      <scheme val="minor"/>
    </font>
    <font>
      <sz val="9"/>
      <color theme="1"/>
      <name val="Times New Roman"/>
      <family val="1"/>
    </font>
    <font>
      <sz val="11"/>
      <color rgb="FF003247"/>
      <name val="Arial"/>
      <family val="2"/>
      <charset val="1"/>
    </font>
    <font>
      <sz val="8"/>
      <color rgb="FF444444"/>
      <name val="Arial"/>
      <family val="2"/>
    </font>
    <font>
      <sz val="11"/>
      <color rgb="FF000000"/>
      <name val="Calibri"/>
      <family val="2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trike/>
      <sz val="11"/>
      <name val="Calibri"/>
      <family val="2"/>
      <scheme val="minor"/>
    </font>
    <font>
      <strike/>
      <sz val="11"/>
      <name val="Times New Roman"/>
      <family val="1"/>
    </font>
    <font>
      <strike/>
      <sz val="11"/>
      <color theme="4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110">
    <xf numFmtId="0" fontId="0" fillId="0" borderId="0" xfId="0"/>
    <xf numFmtId="49" fontId="0" fillId="0" borderId="0" xfId="0" applyNumberFormat="1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4" fillId="0" borderId="0" xfId="2"/>
    <xf numFmtId="0" fontId="0" fillId="2" borderId="0" xfId="0" applyFill="1"/>
    <xf numFmtId="17" fontId="0" fillId="2" borderId="0" xfId="0" applyNumberFormat="1" applyFill="1"/>
    <xf numFmtId="16" fontId="0" fillId="2" borderId="0" xfId="0" applyNumberFormat="1" applyFill="1"/>
    <xf numFmtId="0" fontId="1" fillId="2" borderId="0" xfId="0" applyFont="1" applyFill="1"/>
    <xf numFmtId="166" fontId="0" fillId="2" borderId="0" xfId="1" applyNumberFormat="1" applyFont="1" applyFill="1"/>
    <xf numFmtId="166" fontId="0" fillId="2" borderId="0" xfId="0" applyNumberFormat="1" applyFill="1"/>
    <xf numFmtId="2" fontId="0" fillId="2" borderId="0" xfId="0" applyNumberFormat="1" applyFill="1"/>
    <xf numFmtId="0" fontId="1" fillId="3" borderId="0" xfId="0" applyFont="1" applyFill="1"/>
    <xf numFmtId="0" fontId="0" fillId="3" borderId="0" xfId="0" applyFill="1"/>
    <xf numFmtId="9" fontId="0" fillId="2" borderId="0" xfId="0" applyNumberFormat="1" applyFill="1"/>
    <xf numFmtId="165" fontId="0" fillId="2" borderId="0" xfId="0" applyNumberFormat="1" applyFill="1"/>
    <xf numFmtId="0" fontId="1" fillId="4" borderId="0" xfId="0" applyFont="1" applyFill="1"/>
    <xf numFmtId="0" fontId="0" fillId="4" borderId="0" xfId="0" applyFill="1"/>
    <xf numFmtId="0" fontId="5" fillId="0" borderId="0" xfId="0" applyFont="1"/>
    <xf numFmtId="11" fontId="0" fillId="0" borderId="0" xfId="0" applyNumberFormat="1"/>
    <xf numFmtId="0" fontId="6" fillId="0" borderId="0" xfId="0" applyFont="1"/>
    <xf numFmtId="0" fontId="0" fillId="0" borderId="0" xfId="0" quotePrefix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8" xfId="0" applyFill="1" applyBorder="1"/>
    <xf numFmtId="0" fontId="7" fillId="0" borderId="0" xfId="0" applyFont="1"/>
    <xf numFmtId="0" fontId="0" fillId="6" borderId="1" xfId="0" applyFill="1" applyBorder="1"/>
    <xf numFmtId="0" fontId="0" fillId="6" borderId="9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/>
    <xf numFmtId="0" fontId="0" fillId="6" borderId="4" xfId="0" applyFill="1" applyBorder="1"/>
    <xf numFmtId="0" fontId="0" fillId="6" borderId="5" xfId="0" applyFill="1" applyBorder="1"/>
    <xf numFmtId="0" fontId="0" fillId="6" borderId="10" xfId="0" applyFill="1" applyBorder="1"/>
    <xf numFmtId="0" fontId="0" fillId="6" borderId="6" xfId="0" applyFill="1" applyBorder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167" fontId="10" fillId="0" borderId="0" xfId="2" applyNumberFormat="1" applyFont="1"/>
    <xf numFmtId="0" fontId="11" fillId="0" borderId="0" xfId="0" applyFont="1"/>
    <xf numFmtId="167" fontId="12" fillId="0" borderId="0" xfId="2" applyNumberFormat="1" applyFont="1"/>
    <xf numFmtId="0" fontId="10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67" fontId="14" fillId="0" borderId="0" xfId="2" applyNumberFormat="1" applyFont="1"/>
    <xf numFmtId="0" fontId="17" fillId="0" borderId="0" xfId="0" applyFont="1"/>
    <xf numFmtId="0" fontId="0" fillId="7" borderId="0" xfId="0" applyFill="1"/>
    <xf numFmtId="16" fontId="0" fillId="7" borderId="0" xfId="0" applyNumberFormat="1" applyFill="1"/>
    <xf numFmtId="0" fontId="4" fillId="7" borderId="0" xfId="2" applyFill="1"/>
    <xf numFmtId="0" fontId="0" fillId="8" borderId="0" xfId="0" applyFill="1"/>
    <xf numFmtId="0" fontId="7" fillId="8" borderId="0" xfId="0" applyFont="1" applyFill="1"/>
    <xf numFmtId="0" fontId="0" fillId="9" borderId="0" xfId="0" applyFill="1"/>
    <xf numFmtId="0" fontId="7" fillId="9" borderId="0" xfId="0" applyFont="1" applyFill="1" applyAlignment="1">
      <alignment horizontal="left" vertical="center" wrapText="1" indent="1"/>
    </xf>
    <xf numFmtId="0" fontId="0" fillId="10" borderId="0" xfId="0" applyFill="1"/>
    <xf numFmtId="0" fontId="7" fillId="9" borderId="0" xfId="0" applyFont="1" applyFill="1"/>
    <xf numFmtId="0" fontId="0" fillId="11" borderId="0" xfId="0" applyFill="1"/>
    <xf numFmtId="0" fontId="7" fillId="7" borderId="0" xfId="0" applyFont="1" applyFill="1"/>
    <xf numFmtId="0" fontId="0" fillId="9" borderId="0" xfId="0" applyFill="1" applyAlignment="1">
      <alignment wrapText="1"/>
    </xf>
    <xf numFmtId="0" fontId="0" fillId="12" borderId="0" xfId="0" applyFill="1" applyAlignment="1">
      <alignment wrapText="1"/>
    </xf>
    <xf numFmtId="0" fontId="1" fillId="9" borderId="0" xfId="0" applyFont="1" applyFill="1" applyAlignment="1">
      <alignment wrapText="1"/>
    </xf>
    <xf numFmtId="168" fontId="0" fillId="0" borderId="0" xfId="0" applyNumberFormat="1" applyAlignment="1">
      <alignment wrapText="1"/>
    </xf>
    <xf numFmtId="0" fontId="4" fillId="0" borderId="0" xfId="2" applyAlignment="1">
      <alignment wrapText="1"/>
    </xf>
    <xf numFmtId="0" fontId="1" fillId="8" borderId="11" xfId="0" applyFont="1" applyFill="1" applyBorder="1" applyAlignment="1">
      <alignment wrapText="1"/>
    </xf>
    <xf numFmtId="0" fontId="1" fillId="8" borderId="12" xfId="0" applyFont="1" applyFill="1" applyBorder="1" applyAlignment="1">
      <alignment wrapText="1"/>
    </xf>
    <xf numFmtId="0" fontId="1" fillId="8" borderId="13" xfId="0" applyFont="1" applyFill="1" applyBorder="1" applyAlignment="1">
      <alignment wrapText="1"/>
    </xf>
    <xf numFmtId="0" fontId="1" fillId="8" borderId="14" xfId="0" applyFont="1" applyFill="1" applyBorder="1" applyAlignment="1">
      <alignment wrapText="1"/>
    </xf>
    <xf numFmtId="0" fontId="1" fillId="8" borderId="15" xfId="0" applyFont="1" applyFill="1" applyBorder="1" applyAlignment="1">
      <alignment wrapText="1"/>
    </xf>
    <xf numFmtId="0" fontId="1" fillId="8" borderId="16" xfId="0" applyFont="1" applyFill="1" applyBorder="1" applyAlignment="1">
      <alignment wrapText="1"/>
    </xf>
    <xf numFmtId="169" fontId="0" fillId="0" borderId="0" xfId="3" applyNumberFormat="1" applyFont="1" applyAlignment="1">
      <alignment wrapText="1"/>
    </xf>
    <xf numFmtId="164" fontId="0" fillId="0" borderId="0" xfId="0" applyNumberFormat="1" applyAlignment="1">
      <alignment wrapText="1"/>
    </xf>
    <xf numFmtId="170" fontId="0" fillId="0" borderId="0" xfId="0" applyNumberFormat="1" applyAlignment="1">
      <alignment wrapText="1"/>
    </xf>
    <xf numFmtId="0" fontId="0" fillId="0" borderId="0" xfId="3" applyNumberFormat="1" applyFont="1" applyAlignment="1">
      <alignment wrapText="1"/>
    </xf>
    <xf numFmtId="0" fontId="2" fillId="0" borderId="0" xfId="3" applyNumberFormat="1" applyFont="1" applyAlignment="1">
      <alignment wrapText="1"/>
    </xf>
    <xf numFmtId="0" fontId="4" fillId="0" borderId="0" xfId="2" applyAlignment="1"/>
    <xf numFmtId="169" fontId="0" fillId="0" borderId="0" xfId="0" applyNumberFormat="1" applyAlignment="1">
      <alignment wrapText="1"/>
    </xf>
    <xf numFmtId="0" fontId="0" fillId="0" borderId="1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1" fillId="0" borderId="3" xfId="0" applyFont="1" applyBorder="1"/>
    <xf numFmtId="0" fontId="1" fillId="8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1" fillId="13" borderId="0" xfId="0" applyFont="1" applyFill="1" applyAlignment="1">
      <alignment wrapText="1"/>
    </xf>
    <xf numFmtId="0" fontId="0" fillId="13" borderId="0" xfId="0" applyFill="1" applyAlignment="1">
      <alignment wrapText="1"/>
    </xf>
    <xf numFmtId="0" fontId="10" fillId="9" borderId="0" xfId="0" applyFont="1" applyFill="1" applyAlignment="1">
      <alignment wrapText="1"/>
    </xf>
    <xf numFmtId="3" fontId="0" fillId="9" borderId="0" xfId="0" applyNumberFormat="1" applyFill="1" applyAlignment="1">
      <alignment wrapText="1"/>
    </xf>
    <xf numFmtId="0" fontId="1" fillId="2" borderId="0" xfId="0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14"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energy to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'TT&amp;C'!$D$95:$D$98</c:f>
              <c:numCache>
                <c:formatCode>General</c:formatCode>
                <c:ptCount val="4"/>
                <c:pt idx="0">
                  <c:v>3.0000000000000001E-6</c:v>
                </c:pt>
                <c:pt idx="1">
                  <c:v>0.05</c:v>
                </c:pt>
                <c:pt idx="2">
                  <c:v>1.7000000000000001E-2</c:v>
                </c:pt>
                <c:pt idx="3">
                  <c:v>0.03</c:v>
                </c:pt>
              </c:numCache>
            </c:numRef>
          </c:xVal>
          <c:yVal>
            <c:numRef>
              <c:f>'TT&amp;C'!$B$95:$B$98</c:f>
              <c:numCache>
                <c:formatCode>General</c:formatCode>
                <c:ptCount val="4"/>
                <c:pt idx="0">
                  <c:v>4</c:v>
                </c:pt>
                <c:pt idx="1">
                  <c:v>15.006</c:v>
                </c:pt>
                <c:pt idx="2">
                  <c:v>24</c:v>
                </c:pt>
                <c:pt idx="3">
                  <c:v>26.18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A-4D05-A2DC-07DCB9558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02416"/>
        <c:axId val="441502896"/>
      </c:scatterChart>
      <c:valAx>
        <c:axId val="4415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1502896"/>
        <c:crosses val="autoZero"/>
        <c:crossBetween val="midCat"/>
      </c:valAx>
      <c:valAx>
        <c:axId val="4415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15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energy to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'TT&amp;C'!$D$95:$D$98</c:f>
              <c:numCache>
                <c:formatCode>General</c:formatCode>
                <c:ptCount val="4"/>
                <c:pt idx="0">
                  <c:v>3.0000000000000001E-6</c:v>
                </c:pt>
                <c:pt idx="1">
                  <c:v>0.05</c:v>
                </c:pt>
                <c:pt idx="2">
                  <c:v>1.7000000000000001E-2</c:v>
                </c:pt>
                <c:pt idx="3">
                  <c:v>0.03</c:v>
                </c:pt>
              </c:numCache>
            </c:numRef>
          </c:xVal>
          <c:yVal>
            <c:numRef>
              <c:f>'TT&amp;C'!$C$95:$C$98</c:f>
              <c:numCache>
                <c:formatCode>General</c:formatCode>
                <c:ptCount val="4"/>
                <c:pt idx="0">
                  <c:v>20</c:v>
                </c:pt>
                <c:pt idx="1">
                  <c:v>43.24</c:v>
                </c:pt>
                <c:pt idx="2">
                  <c:v>51</c:v>
                </c:pt>
                <c:pt idx="3">
                  <c:v>28.74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3-4ECC-898F-06E1E510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12400"/>
        <c:axId val="341414320"/>
      </c:scatterChart>
      <c:valAx>
        <c:axId val="3414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41414320"/>
        <c:crosses val="autoZero"/>
        <c:crossBetween val="midCat"/>
      </c:valAx>
      <c:valAx>
        <c:axId val="3414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414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Energy to volume</a:t>
            </a:r>
          </a:p>
          <a:p>
            <a:pPr>
              <a:defRPr/>
            </a:pP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'TT&amp;C'!$D$95:$D$98</c:f>
              <c:numCache>
                <c:formatCode>General</c:formatCode>
                <c:ptCount val="4"/>
                <c:pt idx="0">
                  <c:v>3.0000000000000001E-6</c:v>
                </c:pt>
                <c:pt idx="1">
                  <c:v>0.05</c:v>
                </c:pt>
                <c:pt idx="2">
                  <c:v>1.7000000000000001E-2</c:v>
                </c:pt>
                <c:pt idx="3">
                  <c:v>0.03</c:v>
                </c:pt>
              </c:numCache>
            </c:numRef>
          </c:xVal>
          <c:yVal>
            <c:numRef>
              <c:f>'TT&amp;C'!$E$95:$E$98</c:f>
              <c:numCache>
                <c:formatCode>General</c:formatCode>
                <c:ptCount val="4"/>
                <c:pt idx="0">
                  <c:v>3.7799999999999999E-3</c:v>
                </c:pt>
                <c:pt idx="1">
                  <c:v>4.4999999999999998E-2</c:v>
                </c:pt>
                <c:pt idx="2">
                  <c:v>5.7329999999999902E-2</c:v>
                </c:pt>
                <c:pt idx="3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A-4354-BF73-0C1FE187A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92384"/>
        <c:axId val="2127689504"/>
      </c:scatterChart>
      <c:valAx>
        <c:axId val="21276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27689504"/>
        <c:crosses val="autoZero"/>
        <c:crossBetween val="midCat"/>
      </c:valAx>
      <c:valAx>
        <c:axId val="21276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2769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mass to power for s</a:t>
            </a:r>
            <a:r>
              <a:rPr lang="nl-NL" baseline="0"/>
              <a:t> band transmitters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37578524054425"/>
                  <c:y val="-0.19306922056445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'TT&amp;C'!$I$46:$L$46</c:f>
              <c:numCache>
                <c:formatCode>General</c:formatCode>
                <c:ptCount val="4"/>
                <c:pt idx="0">
                  <c:v>12</c:v>
                </c:pt>
                <c:pt idx="1">
                  <c:v>2.4</c:v>
                </c:pt>
                <c:pt idx="2">
                  <c:v>7.2</c:v>
                </c:pt>
                <c:pt idx="3">
                  <c:v>2.5</c:v>
                </c:pt>
              </c:numCache>
            </c:numRef>
          </c:xVal>
          <c:yVal>
            <c:numRef>
              <c:f>'TT&amp;C'!$I$45:$L$45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250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E-4CB0-AD23-DA035969A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85264"/>
        <c:axId val="492087184"/>
      </c:scatterChart>
      <c:valAx>
        <c:axId val="49208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2087184"/>
        <c:crosses val="autoZero"/>
        <c:crossBetween val="midCat"/>
      </c:valAx>
      <c:valAx>
        <c:axId val="4920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208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4.png"/><Relationship Id="rId7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21</xdr:col>
      <xdr:colOff>304800</xdr:colOff>
      <xdr:row>15</xdr:row>
      <xdr:rowOff>140970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A9F60F-8907-40A9-BC94-3E8B749A8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952500"/>
          <a:ext cx="4572000" cy="2095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273890</xdr:colOff>
      <xdr:row>61</xdr:row>
      <xdr:rowOff>138248</xdr:rowOff>
    </xdr:from>
    <xdr:to>
      <xdr:col>20</xdr:col>
      <xdr:colOff>535516</xdr:colOff>
      <xdr:row>70</xdr:row>
      <xdr:rowOff>58296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DF2C249-5BBF-6297-E202-A9E68C4E2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344" y="15448949"/>
          <a:ext cx="9398006" cy="1748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451239</xdr:colOff>
      <xdr:row>71</xdr:row>
      <xdr:rowOff>100693</xdr:rowOff>
    </xdr:from>
    <xdr:to>
      <xdr:col>19</xdr:col>
      <xdr:colOff>485411</xdr:colOff>
      <xdr:row>79</xdr:row>
      <xdr:rowOff>98277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E09B2173-2D0A-9851-E7CF-35DE425DC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950" y="17406734"/>
          <a:ext cx="7650362" cy="1643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354853</xdr:colOff>
      <xdr:row>81</xdr:row>
      <xdr:rowOff>23567</xdr:rowOff>
    </xdr:from>
    <xdr:to>
      <xdr:col>20</xdr:col>
      <xdr:colOff>460337</xdr:colOff>
      <xdr:row>88</xdr:row>
      <xdr:rowOff>160572</xdr:rowOff>
    </xdr:to>
    <xdr:pic>
      <xdr:nvPicPr>
        <xdr:cNvPr id="9" name="Picture 7">
          <a:extLst>
            <a:ext uri="{FF2B5EF4-FFF2-40B4-BE49-F238E27FC236}">
              <a16:creationId xmlns:a16="http://schemas.microsoft.com/office/drawing/2014/main" id="{0C8BA7DA-F5AA-0291-5B3F-0514FC1EB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0564" y="19324948"/>
          <a:ext cx="8327464" cy="1413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1850571</xdr:colOff>
      <xdr:row>89</xdr:row>
      <xdr:rowOff>65315</xdr:rowOff>
    </xdr:from>
    <xdr:to>
      <xdr:col>21</xdr:col>
      <xdr:colOff>297179</xdr:colOff>
      <xdr:row>98</xdr:row>
      <xdr:rowOff>220163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C45EA4F-7776-29C2-DAAB-CB34EFEAA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0342" y="19670486"/>
          <a:ext cx="6120493" cy="2002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102</xdr:row>
      <xdr:rowOff>80010</xdr:rowOff>
    </xdr:from>
    <xdr:to>
      <xdr:col>4</xdr:col>
      <xdr:colOff>403860</xdr:colOff>
      <xdr:row>117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0C3406-BE53-09D8-71B4-AA9AAF701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731520</xdr:colOff>
      <xdr:row>101</xdr:row>
      <xdr:rowOff>110490</xdr:rowOff>
    </xdr:from>
    <xdr:to>
      <xdr:col>10</xdr:col>
      <xdr:colOff>182880</xdr:colOff>
      <xdr:row>116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4EF660-F9AC-00A4-B11C-00BC208D0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533400</xdr:colOff>
      <xdr:row>118</xdr:row>
      <xdr:rowOff>19050</xdr:rowOff>
    </xdr:from>
    <xdr:to>
      <xdr:col>7</xdr:col>
      <xdr:colOff>167640</xdr:colOff>
      <xdr:row>133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D3E0AB-6A0E-4DF1-B91F-2FED49E2A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513842</xdr:colOff>
      <xdr:row>47</xdr:row>
      <xdr:rowOff>26155</xdr:rowOff>
    </xdr:from>
    <xdr:to>
      <xdr:col>15</xdr:col>
      <xdr:colOff>578420</xdr:colOff>
      <xdr:row>59</xdr:row>
      <xdr:rowOff>62014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03866F-B402-6B86-9D54-7CB41A084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sper Geijsberts" id="{77B8617C-52AC-460E-9978-322C179DCEB2}" userId="S::jkgeijsberts@tudelft.nl::4b6578d8-8c61-4f6a-8943-179185049ca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AF1F5D-6278-4C0D-9C95-C98FE993BB8A}" name="Table5" displayName="Table5" ref="B9:F13" totalsRowShown="0" headerRowDxfId="13" dataDxfId="12">
  <autoFilter ref="B9:F13" xr:uid="{A9AF1F5D-6278-4C0D-9C95-C98FE993BB8A}"/>
  <tableColumns count="5">
    <tableColumn id="1" xr3:uid="{1E164338-7631-4687-A217-694CD167877E}" name="Satellite" dataDxfId="11"/>
    <tableColumn id="2" xr3:uid="{A542C2E2-5894-43F2-8E2B-9DD29C0D7332}" name="percentage TTC" dataDxfId="10"/>
    <tableColumn id="3" xr3:uid="{B10C754D-8C51-4F7F-B1DA-3CCCE9ACA2CD}" name="in fractions" dataDxfId="9"/>
    <tableColumn id="5" xr3:uid="{F61A315D-B189-4D21-8354-118A42AE2AA6}" name="dry mass [kg]" dataDxfId="8"/>
    <tableColumn id="6" xr3:uid="{348B68E7-D868-4BCB-BACA-950ED2C6F2D2}" name="TT&amp;C mass [kg]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3F56AF-0EC9-478B-A461-26B94FD75EF6}" name="Table6" displayName="Table6" ref="B17:E22" totalsRowShown="0" headerRowDxfId="6" dataDxfId="5">
  <autoFilter ref="B17:E22" xr:uid="{D33F56AF-0EC9-478B-A461-26B94FD75EF6}"/>
  <tableColumns count="4">
    <tableColumn id="1" xr3:uid="{7680341C-83D8-4D12-A95B-CAF42F389DEB}" name="Satellite" dataDxfId="4"/>
    <tableColumn id="2" xr3:uid="{FB5F7A8B-0E82-4B7C-B86C-0940D2FEB430}" name="mass [kg]" dataDxfId="3"/>
    <tableColumn id="3" xr3:uid="{4AFCF0A2-E807-4693-9AE6-598F337AC49A}" name="power [W]" dataDxfId="2"/>
    <tableColumn id="4" xr3:uid="{C61C370B-5823-44EA-8027-6816A4FB53DB}" name="volume [L]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3-06-06T12:01:30.41" personId="{77B8617C-52AC-460E-9978-322C179DCEB2}" id="{58FD0AE4-0920-4E4E-BF24-EBB2CDA7631F}">
    <text>From estimation previous existing S-band antennas (see lower in excel)</text>
  </threadedComment>
  <threadedComment ref="F4" dT="2023-06-06T11:59:59.00" personId="{77B8617C-52AC-460E-9978-322C179DCEB2}" id="{C263E10B-B035-47F7-8348-530F43DF10C8}">
    <text>From ETS VIII</text>
  </threadedComment>
  <threadedComment ref="I4" dT="2023-06-06T12:05:24.56" personId="{77B8617C-52AC-460E-9978-322C179DCEB2}" id="{07B8AB3E-D2DD-4B7A-B114-C8BD1B403A99}">
    <text>From endurosat</text>
  </threadedComment>
  <threadedComment ref="E5" dT="2023-06-06T12:00:14.75" personId="{77B8617C-52AC-460E-9978-322C179DCEB2}" id="{DFC61D98-1A68-4801-8870-1348C25A6CF1}">
    <text>From relation with ETS VIII power and reader adsee 1</text>
  </threadedComment>
  <threadedComment ref="G32" dT="2023-06-11T15:19:29.44" personId="{77B8617C-52AC-460E-9978-322C179DCEB2}" id="{0C6A2362-A07F-434C-984A-B543767131EA}">
    <text>Divergence angle not clear, so 100 microrad used</text>
  </threadedComment>
  <threadedComment ref="E96" dT="2023-06-12T07:49:01.44" personId="{77B8617C-52AC-460E-9978-322C179DCEB2}" id="{6BB51934-0805-463B-9245-C3ECD7997D81}">
    <text xml:space="preserve">Assumed for now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cialmetals.com/documents/technical-bulletins/inconel/inconel-alloy-718.pdf" TargetMode="External"/><Relationship Id="rId3" Type="http://schemas.openxmlformats.org/officeDocument/2006/relationships/hyperlink" Target="https://asm.matweb.com/search/SpecificMaterial.asp?bassnum=ma7075t73" TargetMode="External"/><Relationship Id="rId7" Type="http://schemas.openxmlformats.org/officeDocument/2006/relationships/hyperlink" Target="https://www.atimaterials.com/Products/Documents/datasheets/nickel-cobalt/nickel-based/ati_286_ludlum_version_tds_en_v1.pdf" TargetMode="External"/><Relationship Id="rId2" Type="http://schemas.openxmlformats.org/officeDocument/2006/relationships/hyperlink" Target="https://asm.matweb.com/search/SpecificMaterial.asp?bassnum=ma6061t6" TargetMode="External"/><Relationship Id="rId1" Type="http://schemas.openxmlformats.org/officeDocument/2006/relationships/hyperlink" Target="https://arxiv.org/ftp/arxiv/papers/2010/2010.08706.pdf" TargetMode="External"/><Relationship Id="rId6" Type="http://schemas.openxmlformats.org/officeDocument/2006/relationships/hyperlink" Target="https://www.matweb.com/search/datasheet.aspx?matguid=d1e286e1ac0742358544b953bbf3c2e9&amp;ckck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asm.matweb.com/search/SpecificMaterial.asp?bassnum=mtp641" TargetMode="External"/><Relationship Id="rId10" Type="http://schemas.openxmlformats.org/officeDocument/2006/relationships/hyperlink" Target="https://www.pennstainless.com/resources/product-information/stainless-grades/precipitation-hardening-grades/17-4ph-h1150/" TargetMode="External"/><Relationship Id="rId4" Type="http://schemas.openxmlformats.org/officeDocument/2006/relationships/hyperlink" Target="https://asm.matweb.com/search/SpecificMaterial.asp?bassnum=MA2219T851" TargetMode="External"/><Relationship Id="rId9" Type="http://schemas.openxmlformats.org/officeDocument/2006/relationships/hyperlink" Target="https://materion.com/-/media/files/beryllium/engineering-design/beryllium-products-descriptions-and-uses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atsearch.co/products/terma-s3r-shunt-regulation-module" TargetMode="External"/><Relationship Id="rId13" Type="http://schemas.openxmlformats.org/officeDocument/2006/relationships/hyperlink" Target="https://www.researchgate.net/publication/280886489_Adaptive_state_of_charge_estimation_for_battery_packs" TargetMode="External"/><Relationship Id="rId3" Type="http://schemas.openxmlformats.org/officeDocument/2006/relationships/hyperlink" Target="https://upcommons.upc.edu/bitstream/handle/2099.1/17684/Project%20Report.pdf" TargetMode="External"/><Relationship Id="rId7" Type="http://schemas.openxmlformats.org/officeDocument/2006/relationships/hyperlink" Target="https://satsearch.s3.eu-central-1.amazonaws.com/datasheets/satsearch_datasheet_um1uhg_airbus_pcu_50v.pdf?X-Amz-Algorithm=AWS4-HMAC-SHA256&amp;X-Amz-Credential=AKIAJLB7IRZ54RAMS36Q%2F20230606%2Feu-central-1%2Fs3%2Faws4_request&amp;X-Amz-Date=20230606T112537Z&amp;X-Amz-Expires=86400&amp;X-Amz-Signature=741574f6887e4dfdb87f43380ce4ea3538a51eee7a44940fb311aec1f3e2f8ee&amp;X-Amz-SignedHeaders=host" TargetMode="External"/><Relationship Id="rId12" Type="http://schemas.openxmlformats.org/officeDocument/2006/relationships/hyperlink" Target="https://www.airbus.com/sites/g/files/jlcbta136/files/2022-03/publication-power-evo-pcdu-2022.pdf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researchgate.net/publication/324078375_Magrathea_Dust_growth_experiment_in_micro-gravity_conditions" TargetMode="External"/><Relationship Id="rId16" Type="http://schemas.openxmlformats.org/officeDocument/2006/relationships/hyperlink" Target="https://www.researchgate.net/publication/357257487_The_Influence_of_Temperature_on_the_Capacity_of_Lithium_Ion_Batteries_with_Different_Anodes?_iepl%5BgeneralViewId%5D=QARvsa07pCjftVLRXqxWFI4gRYlG5WzIEy1l&amp;_iepl%5Bcontexts%5D%5B0%5D=searchReact&amp;_iepl%5BviewId%5D=GpuOy39ZCGXV7wECmFjK4bdvRHmW6yC3eOkd&amp;_iepl%5BsearchType%5D=publication&amp;_iepl%5Bdata%5D%5BcountLessEqual20%5D=1&amp;_iepl%5Bdata%5D%5BinteractedWithPosition2%5D=1&amp;_iepl%5Bdata%5D%5BwithoutEnrichment%5D=1&amp;_iepl%5Bposition%5D=2&amp;_iepl%5BrgKey%5D=PB%3A357257487&amp;_iepl%5BtargetEntityId%5D=PB%3A357257487&amp;_iepl%5BinteractionType%5D=publicationTitle" TargetMode="External"/><Relationship Id="rId1" Type="http://schemas.openxmlformats.org/officeDocument/2006/relationships/hyperlink" Target="https://www.researchgate.net/publication/261174944_The_PAC2MAN_mission_A_new_tool_to_understand_and_predict_solar_energetic_events" TargetMode="External"/><Relationship Id="rId6" Type="http://schemas.openxmlformats.org/officeDocument/2006/relationships/hyperlink" Target="https://satsearch.s3.eu-central-1.amazonaws.com/datasheets/satsearch_ru4z5f_terma_power_conditioning_unit.pdf?X-Amz-Algorithm=AWS4-HMAC-SHA256&amp;X-Amz-Credential=AKIAJLB7IRZ54RAMS36Q%2F20230606%2Feu-central-1%2Fs3%2Faws4_request&amp;X-Amz-Date=20230606T112103Z&amp;X-Amz-Expires=86400&amp;X-Amz-Signature=8abd3820765384f70f40476966de4c5c5f3b07d393b005ee5c1b0635b6653e4c&amp;X-Amz-SignedHeaders=host" TargetMode="External"/><Relationship Id="rId11" Type="http://schemas.openxmlformats.org/officeDocument/2006/relationships/hyperlink" Target="https://satsearch.co/products/terma-battery-discharge-regulator-module" TargetMode="External"/><Relationship Id="rId5" Type="http://schemas.openxmlformats.org/officeDocument/2006/relationships/hyperlink" Target="https://satsearch.s3.eu-central-1.amazonaws.com/datasheets/satsearch_datasheet_uryedx_airbus_high_power_pcdu.pdf?X-Amz-Algorithm=AWS4-HMAC-SHA256&amp;X-Amz-Credential=AKIAJLB7IRZ54RAMS36Q%2F20230606%2Feu-central-1%2Fs3%2Faws4_request&amp;X-Amz-Date=20230606T111721Z&amp;X-Amz-Expires=86400&amp;X-Amz-Signature=9cdd52ec6522b7106ac8823bdb9cf6581dcaa72102db99d2bad875b5a4fb10a3&amp;X-Amz-SignedHeaders=host" TargetMode="External"/><Relationship Id="rId15" Type="http://schemas.openxmlformats.org/officeDocument/2006/relationships/hyperlink" Target="https://www.dnkpower.com/wp-content/uploads/2019/02/LG-INR21700-M50-Datasheet.pdf" TargetMode="External"/><Relationship Id="rId10" Type="http://schemas.openxmlformats.org/officeDocument/2006/relationships/hyperlink" Target="https://satsearch.co/products/terma-modular-medium-power-unit" TargetMode="External"/><Relationship Id="rId4" Type="http://schemas.openxmlformats.org/officeDocument/2006/relationships/hyperlink" Target="https://artes.esa.int/projects/pcdu-leo-telecom" TargetMode="External"/><Relationship Id="rId9" Type="http://schemas.openxmlformats.org/officeDocument/2006/relationships/hyperlink" Target="https://satsearch.s3.eu-central-1.amazonaws.com/datasheets/satsearch_datasheet_c7qho3_saft_vl51es.pdf?X-Amz-Algorithm=AWS4-HMAC-SHA256&amp;X-Amz-Credential=AKIAJLB7IRZ54RAMS36Q%2F20230606%2Feu-central-1%2Fs3%2Faws4_request&amp;X-Amz-Date=20230606T150511Z&amp;X-Amz-Expires=86400&amp;X-Amz-Signature=3a6f0a943f715e730b0d3711c3aad59ff6502fbc411a9f0a4cdf004b020e9053&amp;X-Amz-SignedHeaders=host" TargetMode="External"/><Relationship Id="rId14" Type="http://schemas.openxmlformats.org/officeDocument/2006/relationships/hyperlink" Target="https://www.researchgate.net/publication/241627838_A_framework_for_real-time_power_management_of_a_grid-tied_microgrid_to_extend_battery_lifetime_and_reduce_cost_of_energ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afran-navigation-timing.com/solution/atomic-clocks-and-oscillators/?utm_term=rubidium%20clock&amp;utm_campaign=SPT+-+Rb+v2&amp;utm_source=adwords&amp;utm_medium=ppc&amp;hsa_acc=9946183019&amp;hsa_cam=20186286929&amp;hsa_grp=148877891905&amp;hsa_ad=652021906696&amp;hsa_src=g&amp;hsa_tgt=kwd-355170574442&amp;hsa_kw=rubidium%20clock&amp;hsa_mt=p&amp;hsa_net=adwords&amp;hsa_ver=3&amp;gad=1&amp;gclid=CjwKCAjwpuajBhBpEiwA_ZtfhaNegl9byftr9S26F4537ido9Ooa5-C1C59tApIOIzodT2kLVLElXBoCxJMQAvD_BwE" TargetMode="External"/><Relationship Id="rId3" Type="http://schemas.openxmlformats.org/officeDocument/2006/relationships/hyperlink" Target="file:///C:\Users\mathi\Downloads\___Space_Qualified_Rubidium_Atomic_Frequency_Standard__RAFS_.pdf" TargetMode="External"/><Relationship Id="rId7" Type="http://schemas.openxmlformats.org/officeDocument/2006/relationships/hyperlink" Target="https://www.gps.gov/governance/advisory/meetings/2018-12/ely.pdf" TargetMode="External"/><Relationship Id="rId2" Type="http://schemas.openxmlformats.org/officeDocument/2006/relationships/hyperlink" Target="https://electronics.leonardo.com/documents/16277707/18399571/Passive_Hydrogen_Maser_LQ_mm07688_.pdf?t=1538987567626" TargetMode="External"/><Relationship Id="rId1" Type="http://schemas.openxmlformats.org/officeDocument/2006/relationships/hyperlink" Target="https://arxiv.org/ftp/arxiv/papers/2010/2010.08706.pdf" TargetMode="External"/><Relationship Id="rId6" Type="http://schemas.openxmlformats.org/officeDocument/2006/relationships/hyperlink" Target="https://www.airbus.com/sites/g/files/jlcbta136/files/2021-11/Publication-sce-PP-NAV-CMCU-old.pdf" TargetMode="External"/><Relationship Id="rId5" Type="http://schemas.openxmlformats.org/officeDocument/2006/relationships/hyperlink" Target="https://www.kongsberg.com/kmagazine/2014/9/board-galileo/" TargetMode="External"/><Relationship Id="rId10" Type="http://schemas.openxmlformats.org/officeDocument/2006/relationships/hyperlink" Target="https://www.excelitas.com/product/space-qualified-rubidium-atomic-frequency-standard-clocks" TargetMode="External"/><Relationship Id="rId4" Type="http://schemas.openxmlformats.org/officeDocument/2006/relationships/hyperlink" Target="https://www.thalesgroup.com/sites/default/files/database/d7/asset/document/TRIS_NSGU-092012.pdf" TargetMode="External"/><Relationship Id="rId9" Type="http://schemas.openxmlformats.org/officeDocument/2006/relationships/hyperlink" Target="https://www.nasa.gov/mission_pages/tdm/clock/index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trs.nasa.gov/api/citations/20160014803/downloads/20160014803.pdf" TargetMode="External"/><Relationship Id="rId13" Type="http://schemas.openxmlformats.org/officeDocument/2006/relationships/hyperlink" Target="https://www.researchgate.net/publication/335226824_Glycerol_Effect_on_the_Corrosion_Resistance_and_Electrodeposition_Conditions_in_a_Zinc_Electroplating_Process" TargetMode="External"/><Relationship Id="rId18" Type="http://schemas.openxmlformats.org/officeDocument/2006/relationships/hyperlink" Target="file:///C:\Users\mathi\Downloads\satsearch_datasheet_91qse8_zoppas-industries-space_stock-polyimide-flexible-heating-element.pdf" TargetMode="External"/><Relationship Id="rId3" Type="http://schemas.openxmlformats.org/officeDocument/2006/relationships/hyperlink" Target="https://ntrs.nasa.gov/api/citations/19780007491/downloads/19780007491.pdf" TargetMode="External"/><Relationship Id="rId21" Type="http://schemas.openxmlformats.org/officeDocument/2006/relationships/hyperlink" Target="https://www.jstor.org/stable/44657705?searchText=&amp;searchUri=&amp;ab_segments=&amp;searchKey=&amp;refreqid=fastly-default%3Ad9cc05508cb0a9f8b39f3bb5e2f9ffe8&amp;seq=2" TargetMode="External"/><Relationship Id="rId7" Type="http://schemas.openxmlformats.org/officeDocument/2006/relationships/hyperlink" Target="http://eotvos.dm.unipi.it/temp/OLD/GG%20PRR%20DataPack/13%20-%20SD-RP-AI-0627_1%20Thermal_analysis_report.pdf" TargetMode="External"/><Relationship Id="rId12" Type="http://schemas.openxmlformats.org/officeDocument/2006/relationships/hyperlink" Target="http://www.adc-ga.com/pdf/MIL_A_8625_F.pdf" TargetMode="External"/><Relationship Id="rId17" Type="http://schemas.openxmlformats.org/officeDocument/2006/relationships/hyperlink" Target="http://matthewwturner.com/uah/IPT2008_summer/baselines/LOW%20Files/Thermal/Spacecraft%20Thermal%20Control%20Handbook/06.pdf" TargetMode="External"/><Relationship Id="rId2" Type="http://schemas.openxmlformats.org/officeDocument/2006/relationships/hyperlink" Target="file:///C:\Users\mathi\Documents\Mathijs\TUDelft\DSE\StateOfTheArtSC.pdf" TargetMode="External"/><Relationship Id="rId16" Type="http://schemas.openxmlformats.org/officeDocument/2006/relationships/hyperlink" Target="https://www.researchgate.net/publication/268157054_Autocatalytic_silver-plating_of_aluminium_radio_frequency_waveguides_with_autocatalytic_nickel_as_the_undercoat_for_space_applications" TargetMode="External"/><Relationship Id="rId20" Type="http://schemas.openxmlformats.org/officeDocument/2006/relationships/hyperlink" Target="https://satsearch.co/products/thermal-management-technologies-thermal-storage-units" TargetMode="External"/><Relationship Id="rId1" Type="http://schemas.openxmlformats.org/officeDocument/2006/relationships/hyperlink" Target="https://ntrs.nasa.gov/api/citations/20070014757/downloads/20070014757.pdf" TargetMode="External"/><Relationship Id="rId6" Type="http://schemas.openxmlformats.org/officeDocument/2006/relationships/hyperlink" Target="https://tfaws.nasa.gov/TFAWS04/Website/program/Speakers/TFAWS2004PresentationonMechLoops-v1.pdf" TargetMode="External"/><Relationship Id="rId11" Type="http://schemas.openxmlformats.org/officeDocument/2006/relationships/hyperlink" Target="https://www.1-act.com/resources/tech-papers/progress-on-3d-printed-loop-heat-pipes/" TargetMode="External"/><Relationship Id="rId5" Type="http://schemas.openxmlformats.org/officeDocument/2006/relationships/hyperlink" Target="https://www.webassign.net/question_assets/uncastrosolarsys1/lab_3_6/manual.html" TargetMode="External"/><Relationship Id="rId15" Type="http://schemas.openxmlformats.org/officeDocument/2006/relationships/hyperlink" Target="https://www.dmegc.solar/files/bestanden/datasheets/DM550M10-72HSW-EN.pdf" TargetMode="External"/><Relationship Id="rId10" Type="http://schemas.openxmlformats.org/officeDocument/2006/relationships/hyperlink" Target="https://ttu-ir.tdl.org/bitstream/handle/2346/87128/ICES-2021-154.pdf?sequence=1" TargetMode="External"/><Relationship Id="rId19" Type="http://schemas.openxmlformats.org/officeDocument/2006/relationships/hyperlink" Target="https://satsearch.co/products/zoppas-industries-space-stock-polyimide-flexible-heating-element" TargetMode="External"/><Relationship Id="rId4" Type="http://schemas.openxmlformats.org/officeDocument/2006/relationships/hyperlink" Target="https://www.researchgate.net/publication/322175579_Mid-infrared_emissivity_of_crystalline_silicon_solar_cells" TargetMode="External"/><Relationship Id="rId9" Type="http://schemas.openxmlformats.org/officeDocument/2006/relationships/hyperlink" Target="https://ntrs.nasa.gov/api/citations/20080018585/downloads/20080018585.pdf" TargetMode="External"/><Relationship Id="rId14" Type="http://schemas.openxmlformats.org/officeDocument/2006/relationships/hyperlink" Target="https://www.nasa.gov/sites/default/files/atoms/files/3._soa_power_2022.pdf" TargetMode="External"/><Relationship Id="rId2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ubespace.co.za/downloads/gen_1_sensors_actuators_jan_2023_web.pdf" TargetMode="External"/><Relationship Id="rId13" Type="http://schemas.openxmlformats.org/officeDocument/2006/relationships/hyperlink" Target="https://d-nb.info/1159823146/34" TargetMode="External"/><Relationship Id="rId3" Type="http://schemas.openxmlformats.org/officeDocument/2006/relationships/hyperlink" Target="https://www.satnow.com/products/control-moment-gyroscopes/airbus/43-1213-cmg-40-60-s" TargetMode="External"/><Relationship Id="rId7" Type="http://schemas.openxmlformats.org/officeDocument/2006/relationships/hyperlink" Target="https://www.satnow.com/products/inertial-measurement-units/airbus/105-1213-astrix-120" TargetMode="External"/><Relationship Id="rId12" Type="http://schemas.openxmlformats.org/officeDocument/2006/relationships/hyperlink" Target="https://www.satnow.com/products/sun-sensors/cubespace/39-1187-cubesense" TargetMode="External"/><Relationship Id="rId2" Type="http://schemas.openxmlformats.org/officeDocument/2006/relationships/hyperlink" Target="https://www.satnow.com/products/control-moment-gyroscopes/honeywell-aerospace/43-1202-m50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www.satnow.com/products/control-moment-gyroscopes/airbus/43-1213-cmg-75-75-s" TargetMode="External"/><Relationship Id="rId6" Type="http://schemas.openxmlformats.org/officeDocument/2006/relationships/hyperlink" Target="https://aerospace.honeywell.com/us/en/products-and-services/product/hardware-and-systems/sensors/gg1320an-digital-ring-laser-gyroscope" TargetMode="External"/><Relationship Id="rId11" Type="http://schemas.openxmlformats.org/officeDocument/2006/relationships/hyperlink" Target="https://www.satnow.com/products/sun-sensors/sitael/39-1160-sitael-sun" TargetMode="External"/><Relationship Id="rId5" Type="http://schemas.openxmlformats.org/officeDocument/2006/relationships/hyperlink" Target="https://www.satnow.com/products/control-moment-gyroscopes/airbus/43-1213-cmg-15-45-s" TargetMode="External"/><Relationship Id="rId15" Type="http://schemas.openxmlformats.org/officeDocument/2006/relationships/hyperlink" Target="https://www.vectronic-aerospace.com/wp-content/uploads/2020/03/VAS-VST68M-DS2.pdf" TargetMode="External"/><Relationship Id="rId10" Type="http://schemas.openxmlformats.org/officeDocument/2006/relationships/hyperlink" Target="https://sodern.com/wp-content/uploads/2021/11/Hydra-M.pdf" TargetMode="External"/><Relationship Id="rId4" Type="http://schemas.openxmlformats.org/officeDocument/2006/relationships/hyperlink" Target="https://www.satnow.com/products/control-moment-gyroscopes/blue-canyon-technologies/43-1186-cmg12" TargetMode="External"/><Relationship Id="rId9" Type="http://schemas.openxmlformats.org/officeDocument/2006/relationships/hyperlink" Target="https://www.arcsec.space/web/sites/default/files/2022-09/arcsec%20Sagitta%20Star%20Tracker%20Datasheet.pdf" TargetMode="External"/><Relationship Id="rId14" Type="http://schemas.openxmlformats.org/officeDocument/2006/relationships/hyperlink" Target="https://satsearch.co/products/bradford-mini-fine-sun-sensor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drawing" Target="../drawings/drawing2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stl.co.uk/getmedia/690f1da3-a935-4c4d-b48c-616ac8417cb1/LunarPathfinder-UserManual-WebSite-v003.pdf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45"/>
  <sheetViews>
    <sheetView topLeftCell="BN20" zoomScale="109" workbookViewId="0">
      <selection activeCell="CE37" sqref="CE37"/>
    </sheetView>
  </sheetViews>
  <sheetFormatPr defaultRowHeight="14.4"/>
  <cols>
    <col min="1" max="1" width="23.33203125" customWidth="1"/>
    <col min="2" max="2" width="18.44140625" customWidth="1"/>
    <col min="3" max="3" width="12.33203125" bestFit="1" customWidth="1"/>
    <col min="5" max="5" width="13.88671875" customWidth="1"/>
    <col min="6" max="7" width="10.33203125" bestFit="1" customWidth="1"/>
    <col min="8" max="8" width="9.33203125" bestFit="1" customWidth="1"/>
    <col min="9" max="9" width="10.33203125" bestFit="1" customWidth="1"/>
    <col min="10" max="12" width="9.33203125" bestFit="1" customWidth="1"/>
    <col min="27" max="27" width="23.33203125" bestFit="1" customWidth="1"/>
    <col min="32" max="32" width="8.88671875" bestFit="1" customWidth="1"/>
    <col min="37" max="37" width="14.33203125" bestFit="1" customWidth="1"/>
    <col min="80" max="80" width="14.33203125" customWidth="1"/>
    <col min="81" max="81" width="11.109375" customWidth="1"/>
    <col min="83" max="83" width="10.44140625" customWidth="1"/>
  </cols>
  <sheetData>
    <row r="1" spans="1:83" ht="57.6">
      <c r="B1" t="s">
        <v>0</v>
      </c>
      <c r="E1" s="105" t="s">
        <v>1</v>
      </c>
      <c r="F1" s="105" t="s">
        <v>2</v>
      </c>
      <c r="G1" s="105"/>
      <c r="H1" s="105"/>
      <c r="I1" s="105"/>
      <c r="J1" s="105"/>
      <c r="K1" s="105"/>
      <c r="L1" s="105"/>
      <c r="N1" s="5" t="s">
        <v>3</v>
      </c>
      <c r="AB1" s="37" t="s">
        <v>4</v>
      </c>
      <c r="AC1" s="37" t="s">
        <v>5</v>
      </c>
      <c r="AD1" s="37" t="s">
        <v>6</v>
      </c>
      <c r="AE1" s="37" t="s">
        <v>7</v>
      </c>
      <c r="AF1" s="37" t="s">
        <v>8</v>
      </c>
      <c r="AG1" s="37" t="s">
        <v>9</v>
      </c>
      <c r="AH1" s="37" t="s">
        <v>10</v>
      </c>
      <c r="AI1" s="37" t="s">
        <v>11</v>
      </c>
      <c r="AJ1" s="37" t="s">
        <v>12</v>
      </c>
    </row>
    <row r="2" spans="1:83">
      <c r="A2" t="s">
        <v>13</v>
      </c>
      <c r="B2">
        <v>732.8</v>
      </c>
      <c r="E2" s="105"/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20</v>
      </c>
      <c r="AA2" t="s">
        <v>21</v>
      </c>
      <c r="AB2">
        <f>2.71*1000</f>
        <v>2710</v>
      </c>
      <c r="AC2">
        <v>310</v>
      </c>
      <c r="AD2">
        <v>276</v>
      </c>
      <c r="AE2">
        <v>68900</v>
      </c>
      <c r="AF2">
        <v>23.6</v>
      </c>
      <c r="AG2" s="51">
        <v>3.5</v>
      </c>
      <c r="AH2" s="52">
        <f t="shared" ref="AH2:AH10" si="0">AD2/AB2</f>
        <v>0.1018450184501845</v>
      </c>
      <c r="AI2">
        <v>124.7</v>
      </c>
      <c r="AJ2">
        <f t="shared" ref="AJ2:AJ10" si="1">AI2*AG2</f>
        <v>436.45</v>
      </c>
      <c r="AK2" t="s">
        <v>22</v>
      </c>
      <c r="AL2" t="s">
        <v>23</v>
      </c>
      <c r="AR2" s="5" t="s">
        <v>24</v>
      </c>
    </row>
    <row r="3" spans="1:83">
      <c r="A3" t="s">
        <v>25</v>
      </c>
      <c r="E3" s="6" t="s">
        <v>26</v>
      </c>
      <c r="F3" s="6">
        <v>20.5</v>
      </c>
      <c r="G3" s="6">
        <v>19.899999999999999</v>
      </c>
      <c r="H3" s="6">
        <v>8.6999999999999993</v>
      </c>
      <c r="I3" s="6">
        <v>35.799999999999997</v>
      </c>
      <c r="J3" s="6">
        <v>5.8</v>
      </c>
      <c r="K3" s="6">
        <v>6.2</v>
      </c>
      <c r="L3" s="6">
        <v>3.6</v>
      </c>
      <c r="N3">
        <v>122</v>
      </c>
      <c r="AA3" s="2" t="s">
        <v>27</v>
      </c>
      <c r="AB3" s="2">
        <f>2.8*1000</f>
        <v>2800</v>
      </c>
      <c r="AC3" s="2">
        <v>505</v>
      </c>
      <c r="AD3" s="2">
        <v>435</v>
      </c>
      <c r="AE3" s="2">
        <v>72000</v>
      </c>
      <c r="AF3" s="2">
        <v>23.6</v>
      </c>
      <c r="AG3" s="53">
        <v>7</v>
      </c>
      <c r="AH3" s="54">
        <f t="shared" si="0"/>
        <v>0.15535714285714286</v>
      </c>
      <c r="AI3" s="2">
        <v>128.9</v>
      </c>
      <c r="AJ3" s="2">
        <f t="shared" si="1"/>
        <v>902.30000000000007</v>
      </c>
      <c r="AK3" t="s">
        <v>22</v>
      </c>
      <c r="AL3" t="s">
        <v>23</v>
      </c>
      <c r="AR3" s="5" t="s">
        <v>28</v>
      </c>
      <c r="BA3" s="2" t="s">
        <v>29</v>
      </c>
      <c r="BB3" s="2" t="s">
        <v>30</v>
      </c>
      <c r="BC3" s="2" t="s">
        <v>31</v>
      </c>
      <c r="BD3" s="2" t="s">
        <v>32</v>
      </c>
      <c r="BE3" s="2" t="s">
        <v>33</v>
      </c>
      <c r="BF3" s="2" t="s">
        <v>34</v>
      </c>
      <c r="BG3" s="2" t="s">
        <v>35</v>
      </c>
      <c r="BH3" s="2" t="s">
        <v>36</v>
      </c>
      <c r="BI3" s="2" t="s">
        <v>37</v>
      </c>
      <c r="BJ3" s="2" t="s">
        <v>38</v>
      </c>
      <c r="BK3" s="2" t="s">
        <v>39</v>
      </c>
      <c r="BO3" t="s">
        <v>40</v>
      </c>
      <c r="BP3">
        <f>13.68</f>
        <v>13.68</v>
      </c>
      <c r="BR3" t="s">
        <v>41</v>
      </c>
      <c r="BS3" t="s">
        <v>42</v>
      </c>
      <c r="BT3" t="s">
        <v>43</v>
      </c>
      <c r="BU3" t="s">
        <v>44</v>
      </c>
      <c r="BV3" t="s">
        <v>45</v>
      </c>
      <c r="BW3" t="s">
        <v>46</v>
      </c>
      <c r="BX3" t="s">
        <v>47</v>
      </c>
      <c r="BY3" t="s">
        <v>48</v>
      </c>
      <c r="BZ3" t="s">
        <v>49</v>
      </c>
      <c r="CA3" t="s">
        <v>50</v>
      </c>
      <c r="CB3" t="s">
        <v>51</v>
      </c>
      <c r="CC3" t="s">
        <v>52</v>
      </c>
      <c r="CD3" t="s">
        <v>53</v>
      </c>
      <c r="CE3" t="s">
        <v>54</v>
      </c>
    </row>
    <row r="4" spans="1:83">
      <c r="A4" t="s">
        <v>55</v>
      </c>
      <c r="B4">
        <v>1633</v>
      </c>
      <c r="E4" s="6" t="s">
        <v>56</v>
      </c>
      <c r="F4" s="6">
        <v>20.2</v>
      </c>
      <c r="G4" s="6">
        <v>25.1</v>
      </c>
      <c r="H4" s="6">
        <v>9.9</v>
      </c>
      <c r="I4" s="6">
        <v>31</v>
      </c>
      <c r="J4" s="6">
        <v>5.2</v>
      </c>
      <c r="K4" s="6">
        <v>5.4</v>
      </c>
      <c r="L4" s="6">
        <v>3.3</v>
      </c>
      <c r="AA4" t="s">
        <v>57</v>
      </c>
      <c r="AB4">
        <f>2.85*1000</f>
        <v>2850</v>
      </c>
      <c r="AC4">
        <v>455</v>
      </c>
      <c r="AD4">
        <v>352</v>
      </c>
      <c r="AE4">
        <v>73100</v>
      </c>
      <c r="AF4">
        <v>22.3</v>
      </c>
      <c r="AG4" s="51">
        <v>8</v>
      </c>
      <c r="AH4" s="52">
        <f t="shared" si="0"/>
        <v>0.12350877192982457</v>
      </c>
      <c r="AI4">
        <v>131.19999999999999</v>
      </c>
      <c r="AJ4">
        <f t="shared" si="1"/>
        <v>1049.5999999999999</v>
      </c>
      <c r="AK4" t="s">
        <v>22</v>
      </c>
      <c r="AR4" s="5" t="s">
        <v>58</v>
      </c>
      <c r="AZ4">
        <v>2</v>
      </c>
      <c r="BA4" t="s">
        <v>59</v>
      </c>
      <c r="BB4" s="20">
        <v>154.37608601551599</v>
      </c>
      <c r="BC4" s="20">
        <v>19549682.183402602</v>
      </c>
      <c r="BD4" s="20">
        <v>23548481.599036101</v>
      </c>
      <c r="BE4" s="20">
        <v>1.74420603206938E-3</v>
      </c>
      <c r="BF4" s="20">
        <v>1506.74234295666</v>
      </c>
      <c r="BG4" s="20">
        <v>1954.4903798754401</v>
      </c>
      <c r="BH4" s="20">
        <v>1066.2499637128701</v>
      </c>
      <c r="BI4" s="20">
        <v>118.17809667769799</v>
      </c>
      <c r="BJ4" s="20">
        <v>54.035533152325797</v>
      </c>
      <c r="BK4" s="20">
        <v>54.035533152325797</v>
      </c>
      <c r="BO4" t="s">
        <v>60</v>
      </c>
      <c r="BP4">
        <f>BP3*3*9.81</f>
        <v>402.60239999999999</v>
      </c>
      <c r="BR4">
        <v>0.04</v>
      </c>
      <c r="BS4">
        <v>0.06</v>
      </c>
      <c r="BT4">
        <v>5.0000000000000001E-3</v>
      </c>
      <c r="BU4">
        <f t="shared" ref="BU4:BU29" si="2">(BR4*BS4^3)/12 - ((BR4-2*BT4)*(BS4-2*BT4)^3)/12</f>
        <v>4.0750000000000007E-7</v>
      </c>
      <c r="BV4">
        <f t="shared" ref="BV4:BV29" si="3">BS4*BR4^3/12-(BR4-2*BT4)^3*(BS4-2*BT4)/12</f>
        <v>2.0750000000000008E-7</v>
      </c>
      <c r="BW4">
        <f t="shared" ref="BW4:BW29" si="4">BR4*BS4-(BR4-2*BT4)*(BS4-2*BT4)</f>
        <v>8.9999999999999998E-4</v>
      </c>
      <c r="BX4">
        <f t="shared" ref="BX4:BX29" si="5">$BP$5*$BP$6^3/(BU4*$BP$7*3)</f>
        <v>1.2821176459451688E-3</v>
      </c>
      <c r="BY4">
        <f t="shared" ref="BY4:BY29" si="6">$BP$4*$BP$6^3/(3*$BP$7*BV4)</f>
        <v>8.8866836125752998E-4</v>
      </c>
      <c r="BZ4">
        <f t="shared" ref="BZ4:BZ37" si="7">BX4/BR4*100</f>
        <v>3.2052941148629222</v>
      </c>
      <c r="CA4">
        <f t="shared" ref="CA4:CA37" si="8">BY4/BS4*100</f>
        <v>1.4811139354292167</v>
      </c>
      <c r="CB4">
        <f t="shared" ref="CB4:CB37" si="9">$BP$6*$BP$5*(BS5/2)/BU5</f>
        <v>30605289.488950294</v>
      </c>
      <c r="CC4">
        <f t="shared" ref="CC4:CC37" si="10">$BP$6*$BP$4*(BR4/2)/BU4</f>
        <v>9138827.4846625756</v>
      </c>
      <c r="CD4">
        <f t="shared" ref="CD4:CD37" si="11">SQRT(BZ4^2+CA4^2)</f>
        <v>3.530950134524347</v>
      </c>
      <c r="CE4">
        <f>SQRT(CB4^2+CC4^2)</f>
        <v>31940599.751677729</v>
      </c>
    </row>
    <row r="5" spans="1:83">
      <c r="A5" t="s">
        <v>61</v>
      </c>
      <c r="B5">
        <v>1480</v>
      </c>
      <c r="E5" s="6" t="s">
        <v>62</v>
      </c>
      <c r="F5" s="6">
        <v>23</v>
      </c>
      <c r="G5" s="6">
        <v>25.4</v>
      </c>
      <c r="H5" s="6">
        <v>11</v>
      </c>
      <c r="I5" s="6">
        <v>29.4</v>
      </c>
      <c r="J5" s="6">
        <v>3.1</v>
      </c>
      <c r="K5" s="6">
        <v>5.3</v>
      </c>
      <c r="L5" s="6">
        <v>2.7</v>
      </c>
      <c r="AA5" t="s">
        <v>63</v>
      </c>
      <c r="AB5">
        <f>4.43*1000</f>
        <v>4430</v>
      </c>
      <c r="AC5">
        <v>950</v>
      </c>
      <c r="AD5">
        <v>880</v>
      </c>
      <c r="AE5">
        <v>113800</v>
      </c>
      <c r="AF5">
        <v>8.6</v>
      </c>
      <c r="AG5" s="51">
        <v>50</v>
      </c>
      <c r="AH5" s="52">
        <f t="shared" si="0"/>
        <v>0.19864559819413091</v>
      </c>
      <c r="AI5">
        <v>203.9</v>
      </c>
      <c r="AJ5">
        <f t="shared" si="1"/>
        <v>10195</v>
      </c>
      <c r="AR5" s="5" t="s">
        <v>64</v>
      </c>
      <c r="AZ5">
        <v>1.7</v>
      </c>
      <c r="BA5" t="s">
        <v>65</v>
      </c>
      <c r="BB5" s="20">
        <v>157.84406072986201</v>
      </c>
      <c r="BC5" s="20">
        <v>16151358.721765099</v>
      </c>
      <c r="BD5" s="20">
        <v>19831415.8371436</v>
      </c>
      <c r="BE5" s="20">
        <v>1.8127678740161399E-3</v>
      </c>
      <c r="BF5" s="20">
        <v>1343.6070230908899</v>
      </c>
      <c r="BG5" s="20">
        <v>1784.3418136293301</v>
      </c>
      <c r="BH5" s="20">
        <v>1116.8214318922901</v>
      </c>
      <c r="BI5" s="20">
        <v>128.79682895199201</v>
      </c>
      <c r="BJ5" s="20">
        <v>67.303797104202104</v>
      </c>
      <c r="BK5" s="20">
        <v>67.303797104202104</v>
      </c>
      <c r="BO5" t="s">
        <v>66</v>
      </c>
      <c r="BP5">
        <f>BP3*8.5*9.81</f>
        <v>1140.7068000000002</v>
      </c>
      <c r="BR5">
        <v>0.04</v>
      </c>
      <c r="BS5">
        <f t="shared" ref="BS5:BS12" si="12">BS4+0.01</f>
        <v>6.9999999999999993E-2</v>
      </c>
      <c r="BT5">
        <v>5.0000000000000001E-3</v>
      </c>
      <c r="BU5">
        <f t="shared" si="2"/>
        <v>6.033333333333331E-7</v>
      </c>
      <c r="BV5">
        <f t="shared" si="3"/>
        <v>2.3833333333333336E-7</v>
      </c>
      <c r="BW5">
        <f t="shared" si="4"/>
        <v>1.0000000000000002E-3</v>
      </c>
      <c r="BX5">
        <f t="shared" si="5"/>
        <v>8.6596067523092254E-4</v>
      </c>
      <c r="BY5">
        <f t="shared" si="6"/>
        <v>7.737007760598776E-4</v>
      </c>
      <c r="BZ5">
        <f t="shared" si="7"/>
        <v>2.1649016880773062</v>
      </c>
      <c r="CA5">
        <f t="shared" si="8"/>
        <v>1.1052868229426824</v>
      </c>
      <c r="CB5">
        <f t="shared" si="9"/>
        <v>24851512.227674209</v>
      </c>
      <c r="CC5">
        <f t="shared" si="10"/>
        <v>6172495.3591160243</v>
      </c>
      <c r="CD5">
        <f t="shared" si="11"/>
        <v>2.4307320461150583</v>
      </c>
      <c r="CE5">
        <f t="shared" ref="CE5:CE36" si="13">SQRT(CB5^2+CC5^2)</f>
        <v>25606588.194457877</v>
      </c>
    </row>
    <row r="6" spans="1:83">
      <c r="A6" t="s">
        <v>67</v>
      </c>
      <c r="B6">
        <v>1014</v>
      </c>
      <c r="E6" s="6"/>
      <c r="F6" s="6"/>
      <c r="G6" s="6"/>
      <c r="H6" s="6"/>
      <c r="I6" s="6"/>
      <c r="J6" s="6"/>
      <c r="K6" s="6"/>
      <c r="L6" s="6"/>
      <c r="AA6" t="s">
        <v>68</v>
      </c>
      <c r="AB6">
        <f>1.77*1000</f>
        <v>1770</v>
      </c>
      <c r="AC6">
        <v>290</v>
      </c>
      <c r="AD6">
        <v>220</v>
      </c>
      <c r="AE6">
        <v>45000</v>
      </c>
      <c r="AF6" s="51">
        <v>26</v>
      </c>
      <c r="AG6" s="51">
        <v>4</v>
      </c>
      <c r="AH6" s="52">
        <f t="shared" si="0"/>
        <v>0.12429378531073447</v>
      </c>
      <c r="AI6">
        <v>81.5</v>
      </c>
      <c r="AJ6">
        <f t="shared" si="1"/>
        <v>326</v>
      </c>
      <c r="AK6" t="s">
        <v>69</v>
      </c>
      <c r="AR6" s="5" t="s">
        <v>70</v>
      </c>
      <c r="AZ6">
        <v>1.5</v>
      </c>
      <c r="BA6" t="s">
        <v>71</v>
      </c>
      <c r="BB6" s="20">
        <v>162.33853061295301</v>
      </c>
      <c r="BC6" s="20">
        <v>13021161.462671701</v>
      </c>
      <c r="BD6" s="20">
        <v>16369460.7285295</v>
      </c>
      <c r="BE6" s="20">
        <v>1.8925915245908099E-3</v>
      </c>
      <c r="BF6" s="20">
        <v>1197.6061562544901</v>
      </c>
      <c r="BG6" s="20">
        <v>1632.6159043867201</v>
      </c>
      <c r="BH6" s="20">
        <v>1184.2714733881701</v>
      </c>
      <c r="BI6" s="20">
        <v>142.14641559104601</v>
      </c>
      <c r="BJ6" s="20">
        <v>86.659683332519805</v>
      </c>
      <c r="BK6" s="20">
        <v>86.659683332519805</v>
      </c>
      <c r="BO6" t="s">
        <v>72</v>
      </c>
      <c r="BP6">
        <f>0.925/2</f>
        <v>0.46250000000000002</v>
      </c>
      <c r="BR6">
        <v>0.04</v>
      </c>
      <c r="BS6">
        <f t="shared" si="12"/>
        <v>7.9999999999999988E-2</v>
      </c>
      <c r="BT6">
        <v>5.0000000000000001E-3</v>
      </c>
      <c r="BU6">
        <f t="shared" si="2"/>
        <v>8.4916666666666612E-7</v>
      </c>
      <c r="BV6">
        <f t="shared" si="3"/>
        <v>2.691666666666667E-7</v>
      </c>
      <c r="BW6">
        <f t="shared" si="4"/>
        <v>1.0999999999999998E-3</v>
      </c>
      <c r="BX6">
        <f t="shared" si="5"/>
        <v>6.1526548465867326E-4</v>
      </c>
      <c r="BY6">
        <f t="shared" si="6"/>
        <v>6.8507251378676466E-4</v>
      </c>
      <c r="BZ6">
        <f t="shared" si="7"/>
        <v>1.5381637116466831</v>
      </c>
      <c r="CA6">
        <f t="shared" si="8"/>
        <v>0.85634064223345585</v>
      </c>
      <c r="CB6">
        <f t="shared" si="9"/>
        <v>20644313.282608718</v>
      </c>
      <c r="CC6">
        <f t="shared" si="10"/>
        <v>4385560.981354272</v>
      </c>
      <c r="CD6">
        <f t="shared" si="11"/>
        <v>1.7604734872662833</v>
      </c>
      <c r="CE6">
        <f t="shared" si="13"/>
        <v>21104995.049316447</v>
      </c>
    </row>
    <row r="7" spans="1:83">
      <c r="A7" t="s">
        <v>73</v>
      </c>
      <c r="B7">
        <v>1250</v>
      </c>
      <c r="E7" s="6"/>
      <c r="F7" s="106">
        <v>0.55000000000000004</v>
      </c>
      <c r="G7" s="107"/>
      <c r="H7" s="15">
        <v>0.02</v>
      </c>
      <c r="I7" s="15">
        <v>0.23</v>
      </c>
      <c r="J7" s="15">
        <v>0.1</v>
      </c>
      <c r="K7" s="106">
        <v>0.1</v>
      </c>
      <c r="L7" s="106"/>
      <c r="AA7" t="s">
        <v>74</v>
      </c>
      <c r="AB7">
        <f>7.94*1000</f>
        <v>7940</v>
      </c>
      <c r="AC7">
        <v>1000</v>
      </c>
      <c r="AD7">
        <v>720</v>
      </c>
      <c r="AE7">
        <v>201000</v>
      </c>
      <c r="AF7" s="51">
        <v>14.1</v>
      </c>
      <c r="AG7" s="51">
        <v>25</v>
      </c>
      <c r="AH7" s="52">
        <f t="shared" si="0"/>
        <v>9.06801007556675E-2</v>
      </c>
      <c r="AI7">
        <v>365.5</v>
      </c>
      <c r="AJ7">
        <f t="shared" si="1"/>
        <v>9137.5</v>
      </c>
      <c r="AR7" s="5" t="s">
        <v>75</v>
      </c>
      <c r="AZ7">
        <v>1.25</v>
      </c>
      <c r="BA7" t="s">
        <v>76</v>
      </c>
      <c r="BB7" s="20">
        <v>168.38657640562599</v>
      </c>
      <c r="BC7" s="20">
        <v>10171791.9747563</v>
      </c>
      <c r="BD7" s="20">
        <v>13173304.8660542</v>
      </c>
      <c r="BE7" s="20">
        <v>1.9867681852692299E-3</v>
      </c>
      <c r="BF7" s="20">
        <v>1073.9291962084901</v>
      </c>
      <c r="BG7" s="20">
        <v>1505.3711306699499</v>
      </c>
      <c r="BH7" s="20">
        <v>1277.54066869433</v>
      </c>
      <c r="BI7" s="20">
        <v>159.540771872177</v>
      </c>
      <c r="BJ7" s="20">
        <v>116.717000615828</v>
      </c>
      <c r="BK7" s="20">
        <v>116.717000615828</v>
      </c>
      <c r="BO7" t="s">
        <v>77</v>
      </c>
      <c r="BP7">
        <f>72*10^9</f>
        <v>72000000000</v>
      </c>
      <c r="BR7">
        <v>0.04</v>
      </c>
      <c r="BS7">
        <f t="shared" si="12"/>
        <v>8.9999999999999983E-2</v>
      </c>
      <c r="BT7">
        <v>5.0000000000000001E-3</v>
      </c>
      <c r="BU7">
        <f t="shared" si="2"/>
        <v>1.1499999999999989E-6</v>
      </c>
      <c r="BV7">
        <f t="shared" si="3"/>
        <v>2.9999999999999999E-7</v>
      </c>
      <c r="BW7">
        <f t="shared" si="4"/>
        <v>1.2000000000000001E-3</v>
      </c>
      <c r="BX7">
        <f t="shared" si="5"/>
        <v>4.5431560062839728E-4</v>
      </c>
      <c r="BY7">
        <f t="shared" si="6"/>
        <v>6.146622832031251E-4</v>
      </c>
      <c r="BZ7">
        <f t="shared" si="7"/>
        <v>1.1357890015709933</v>
      </c>
      <c r="CA7">
        <f t="shared" si="8"/>
        <v>0.68295809244791694</v>
      </c>
      <c r="CB7">
        <f t="shared" si="9"/>
        <v>17459797.959183685</v>
      </c>
      <c r="CC7">
        <f t="shared" si="10"/>
        <v>3238323.6521739163</v>
      </c>
      <c r="CD7">
        <f t="shared" si="11"/>
        <v>1.3253106851337657</v>
      </c>
      <c r="CE7">
        <f t="shared" si="13"/>
        <v>17757569.790141437</v>
      </c>
    </row>
    <row r="8" spans="1:83">
      <c r="A8" t="s">
        <v>78</v>
      </c>
      <c r="B8">
        <v>640</v>
      </c>
      <c r="E8" s="6"/>
      <c r="F8" s="6"/>
      <c r="G8" s="6"/>
      <c r="H8" s="6"/>
      <c r="I8" s="6"/>
      <c r="J8" s="6"/>
      <c r="K8" s="6"/>
      <c r="L8" s="6"/>
      <c r="AA8" s="55" t="s">
        <v>79</v>
      </c>
      <c r="AB8" s="55">
        <f>8.22*1000</f>
        <v>8220</v>
      </c>
      <c r="AC8" s="56">
        <f>180*6.8947572932</f>
        <v>1241.0563127759999</v>
      </c>
      <c r="AD8" s="55">
        <f>150*6.8947572932</f>
        <v>1034.21359398</v>
      </c>
      <c r="AE8" s="55">
        <f>29000*6.8947572932</f>
        <v>199947.9615028</v>
      </c>
      <c r="AF8" s="51">
        <v>13.1</v>
      </c>
      <c r="AG8" s="51">
        <v>70</v>
      </c>
      <c r="AH8" s="52">
        <f t="shared" si="0"/>
        <v>0.12581673892700732</v>
      </c>
      <c r="AI8">
        <v>378.4</v>
      </c>
      <c r="AJ8">
        <f t="shared" si="1"/>
        <v>26488</v>
      </c>
      <c r="AR8" s="5" t="s">
        <v>80</v>
      </c>
      <c r="AZ8">
        <v>1</v>
      </c>
      <c r="BA8" t="s">
        <v>81</v>
      </c>
      <c r="BB8" s="20">
        <v>176.93485300921299</v>
      </c>
      <c r="BC8" s="20">
        <v>7619414.6919989996</v>
      </c>
      <c r="BD8" s="20">
        <v>10256904.793855</v>
      </c>
      <c r="BE8" s="20">
        <v>2.0989071825289001E-3</v>
      </c>
      <c r="BF8" s="20">
        <v>981.810609237314</v>
      </c>
      <c r="BG8" s="20">
        <v>1413.5437805449999</v>
      </c>
      <c r="BH8" s="20">
        <v>1413.5437805449999</v>
      </c>
      <c r="BI8" s="20">
        <v>183.33682827728799</v>
      </c>
      <c r="BJ8" s="20">
        <v>167.65717905969501</v>
      </c>
      <c r="BK8" s="20">
        <v>167.65717905969501</v>
      </c>
      <c r="BR8">
        <v>0.04</v>
      </c>
      <c r="BS8">
        <f t="shared" si="12"/>
        <v>9.9999999999999978E-2</v>
      </c>
      <c r="BT8">
        <v>5.0000000000000001E-3</v>
      </c>
      <c r="BU8">
        <f t="shared" si="2"/>
        <v>1.5108333333333323E-6</v>
      </c>
      <c r="BV8">
        <f t="shared" si="3"/>
        <v>3.3083333333333338E-7</v>
      </c>
      <c r="BW8">
        <f t="shared" si="4"/>
        <v>1.2999999999999999E-3</v>
      </c>
      <c r="BX8">
        <f t="shared" si="5"/>
        <v>3.4581110251913301E-4</v>
      </c>
      <c r="BY8">
        <f t="shared" si="6"/>
        <v>5.5737637771568007E-4</v>
      </c>
      <c r="BZ8">
        <f t="shared" si="7"/>
        <v>0.86452775629783252</v>
      </c>
      <c r="CA8">
        <f t="shared" si="8"/>
        <v>0.55737637771568027</v>
      </c>
      <c r="CB8">
        <f t="shared" si="9"/>
        <v>14982820.598106727</v>
      </c>
      <c r="CC8">
        <f t="shared" si="10"/>
        <v>2464912.653061226</v>
      </c>
      <c r="CD8">
        <f t="shared" si="11"/>
        <v>1.0286285373470916</v>
      </c>
      <c r="CE8">
        <f t="shared" si="13"/>
        <v>15184225.612861281</v>
      </c>
    </row>
    <row r="9" spans="1:83">
      <c r="E9" s="6"/>
      <c r="F9" s="6"/>
      <c r="G9" s="6"/>
      <c r="H9" s="6"/>
      <c r="I9" s="6"/>
      <c r="J9" s="6"/>
      <c r="K9" s="6"/>
      <c r="L9" s="6"/>
      <c r="AA9" t="s">
        <v>82</v>
      </c>
      <c r="AB9">
        <f>7.86*1000</f>
        <v>7860</v>
      </c>
      <c r="AC9">
        <f>1000</f>
        <v>1000</v>
      </c>
      <c r="AD9">
        <f>862</f>
        <v>862</v>
      </c>
      <c r="AE9">
        <v>196000</v>
      </c>
      <c r="AF9" s="51">
        <v>10.8</v>
      </c>
      <c r="AG9" s="51">
        <v>10</v>
      </c>
      <c r="AH9" s="52">
        <f t="shared" si="0"/>
        <v>0.10966921119592875</v>
      </c>
      <c r="AI9">
        <v>361.8</v>
      </c>
      <c r="AJ9">
        <f t="shared" si="1"/>
        <v>3618</v>
      </c>
      <c r="AR9" s="5" t="s">
        <v>83</v>
      </c>
      <c r="BR9">
        <v>0.04</v>
      </c>
      <c r="BS9">
        <f t="shared" si="12"/>
        <v>0.10999999999999997</v>
      </c>
      <c r="BT9">
        <v>5.0000000000000001E-3</v>
      </c>
      <c r="BU9">
        <f t="shared" si="2"/>
        <v>1.9366666666666649E-6</v>
      </c>
      <c r="BV9">
        <f t="shared" si="3"/>
        <v>3.6166666666666666E-7</v>
      </c>
      <c r="BW9">
        <f t="shared" si="4"/>
        <v>1.4000000000000002E-3</v>
      </c>
      <c r="BX9">
        <f t="shared" si="5"/>
        <v>2.6977432395317908E-4</v>
      </c>
      <c r="BY9">
        <f t="shared" si="6"/>
        <v>5.0985811509936642E-4</v>
      </c>
      <c r="BZ9">
        <f t="shared" si="7"/>
        <v>0.67443580988294771</v>
      </c>
      <c r="CA9">
        <f t="shared" si="8"/>
        <v>0.46350737736306047</v>
      </c>
      <c r="CB9">
        <f t="shared" si="9"/>
        <v>13013201.932168562</v>
      </c>
      <c r="CC9">
        <f t="shared" si="10"/>
        <v>1922928.8468158366</v>
      </c>
      <c r="CD9">
        <f t="shared" si="11"/>
        <v>0.81835368302614131</v>
      </c>
      <c r="CE9">
        <f t="shared" si="13"/>
        <v>13154507.967891162</v>
      </c>
    </row>
    <row r="10" spans="1:83">
      <c r="A10" s="2" t="s">
        <v>84</v>
      </c>
      <c r="B10" s="18">
        <f>AVERAGE(B2:B8)</f>
        <v>1124.9666666666667</v>
      </c>
      <c r="E10" s="6"/>
      <c r="F10" s="16">
        <f>AVERAGE(F3:F5)</f>
        <v>21.233333333333334</v>
      </c>
      <c r="G10" s="16">
        <f t="shared" ref="G10:L10" si="14">AVERAGE(G3:G5)</f>
        <v>23.466666666666669</v>
      </c>
      <c r="H10" s="16">
        <f t="shared" si="14"/>
        <v>9.8666666666666671</v>
      </c>
      <c r="I10" s="16">
        <f t="shared" si="14"/>
        <v>32.066666666666663</v>
      </c>
      <c r="J10" s="16">
        <f t="shared" si="14"/>
        <v>4.7</v>
      </c>
      <c r="K10" s="16">
        <f t="shared" si="14"/>
        <v>5.6333333333333337</v>
      </c>
      <c r="L10" s="16">
        <f t="shared" si="14"/>
        <v>3.2000000000000006</v>
      </c>
      <c r="AA10" s="57" t="s">
        <v>85</v>
      </c>
      <c r="AB10" s="57">
        <f>1.85*1000</f>
        <v>1850</v>
      </c>
      <c r="AC10" s="57">
        <v>324</v>
      </c>
      <c r="AD10" s="58">
        <v>241</v>
      </c>
      <c r="AE10" s="57">
        <v>290000</v>
      </c>
      <c r="AF10" s="59">
        <v>11.3</v>
      </c>
      <c r="AG10" s="59">
        <v>100</v>
      </c>
      <c r="AH10" s="60">
        <f t="shared" si="0"/>
        <v>0.13027027027027027</v>
      </c>
      <c r="AI10" s="61">
        <v>85.2</v>
      </c>
      <c r="AJ10" s="61">
        <f t="shared" si="1"/>
        <v>8520</v>
      </c>
      <c r="AK10" s="61" t="s">
        <v>86</v>
      </c>
      <c r="AR10" s="5" t="s">
        <v>87</v>
      </c>
      <c r="AZ10">
        <v>1.3</v>
      </c>
      <c r="BA10" s="2" t="s">
        <v>88</v>
      </c>
      <c r="BB10">
        <v>167.01590995807501</v>
      </c>
      <c r="BC10">
        <v>10718489.255851099</v>
      </c>
      <c r="BD10">
        <v>13790668.230466601</v>
      </c>
      <c r="BE10">
        <v>1.9666119645485999E-3</v>
      </c>
      <c r="BF10">
        <v>1096.5217383158899</v>
      </c>
      <c r="BG10">
        <v>1528.44113001442</v>
      </c>
      <c r="BH10">
        <v>1256.1817851104399</v>
      </c>
      <c r="BI10">
        <v>155.64700177285101</v>
      </c>
      <c r="BJ10">
        <v>109.488838836471</v>
      </c>
      <c r="BK10">
        <v>109.488838836471</v>
      </c>
      <c r="BR10">
        <v>0.04</v>
      </c>
      <c r="BS10">
        <f t="shared" si="12"/>
        <v>0.11999999999999997</v>
      </c>
      <c r="BT10">
        <v>5.0000000000000001E-3</v>
      </c>
      <c r="BU10">
        <f t="shared" si="2"/>
        <v>2.4324999999999979E-6</v>
      </c>
      <c r="BV10">
        <f t="shared" si="3"/>
        <v>3.925E-7</v>
      </c>
      <c r="BW10">
        <f t="shared" si="4"/>
        <v>1.4999999999999996E-3</v>
      </c>
      <c r="BX10">
        <f t="shared" si="5"/>
        <v>2.1478435384281885E-4</v>
      </c>
      <c r="BY10">
        <f t="shared" si="6"/>
        <v>4.6980556677945866E-4</v>
      </c>
      <c r="BZ10">
        <f t="shared" si="7"/>
        <v>0.53696088460704716</v>
      </c>
      <c r="CA10">
        <f t="shared" si="8"/>
        <v>0.39150463898288229</v>
      </c>
      <c r="CB10">
        <f t="shared" si="9"/>
        <v>11418145.896226428</v>
      </c>
      <c r="CC10">
        <f t="shared" si="10"/>
        <v>1530964.9331963016</v>
      </c>
      <c r="CD10">
        <f t="shared" si="11"/>
        <v>0.6645320714180013</v>
      </c>
      <c r="CE10">
        <f t="shared" si="13"/>
        <v>11520325.921352623</v>
      </c>
    </row>
    <row r="11" spans="1:83">
      <c r="A11" s="2" t="s">
        <v>89</v>
      </c>
      <c r="B11">
        <f>_xlfn.STDEV.S(B2:B8)</f>
        <v>400.27011712925383</v>
      </c>
      <c r="E11" s="6"/>
      <c r="F11" s="16">
        <f>_xlfn.STDEV.S(F3:F5)</f>
        <v>1.5373136743466944</v>
      </c>
      <c r="G11" s="16">
        <f t="shared" ref="G11:L11" si="15">_xlfn.STDEV.S(G3:G5)</f>
        <v>3.0924639582916988</v>
      </c>
      <c r="H11" s="16">
        <f t="shared" si="15"/>
        <v>1.1503622617824936</v>
      </c>
      <c r="I11" s="16">
        <f t="shared" si="15"/>
        <v>3.3306655991458114</v>
      </c>
      <c r="J11" s="16">
        <f t="shared" si="15"/>
        <v>1.4177446878757842</v>
      </c>
      <c r="K11" s="16">
        <f t="shared" si="15"/>
        <v>0.4932882862316248</v>
      </c>
      <c r="L11" s="16">
        <f t="shared" si="15"/>
        <v>0.45825756949557911</v>
      </c>
      <c r="BR11">
        <v>0.04</v>
      </c>
      <c r="BS11">
        <f t="shared" si="12"/>
        <v>0.12999999999999998</v>
      </c>
      <c r="BT11">
        <v>5.0000000000000001E-3</v>
      </c>
      <c r="BU11">
        <f t="shared" si="2"/>
        <v>3.0033333333333306E-6</v>
      </c>
      <c r="BV11">
        <f t="shared" si="3"/>
        <v>4.2333333333333334E-7</v>
      </c>
      <c r="BW11">
        <f t="shared" si="4"/>
        <v>1.5999999999999994E-3</v>
      </c>
      <c r="BX11">
        <f t="shared" si="5"/>
        <v>1.7396102354805444E-4</v>
      </c>
      <c r="BY11">
        <f t="shared" si="6"/>
        <v>4.3558744478961619E-4</v>
      </c>
      <c r="BZ11">
        <f t="shared" si="7"/>
        <v>0.43490255887013607</v>
      </c>
      <c r="CA11">
        <f t="shared" si="8"/>
        <v>0.33506726522278174</v>
      </c>
      <c r="CB11">
        <f t="shared" si="9"/>
        <v>10106376.095781077</v>
      </c>
      <c r="CC11">
        <f t="shared" si="10"/>
        <v>1239979.6448390689</v>
      </c>
      <c r="CD11">
        <f t="shared" si="11"/>
        <v>0.54900847710729039</v>
      </c>
      <c r="CE11">
        <f t="shared" si="13"/>
        <v>10182160.247658174</v>
      </c>
    </row>
    <row r="12" spans="1:83">
      <c r="A12" t="s">
        <v>90</v>
      </c>
      <c r="B12">
        <f>3.6*F12</f>
        <v>808.04240729333333</v>
      </c>
      <c r="E12" s="17" t="s">
        <v>91</v>
      </c>
      <c r="F12" s="18">
        <f>$C$24*F10/100</f>
        <v>224.45622424814815</v>
      </c>
      <c r="G12" s="18">
        <f t="shared" ref="G12:L12" si="16">$C$24*G10/100</f>
        <v>248.06464971851852</v>
      </c>
      <c r="H12" s="18">
        <f t="shared" si="16"/>
        <v>104.29990954074074</v>
      </c>
      <c r="I12" s="18">
        <f t="shared" si="16"/>
        <v>338.97470600740729</v>
      </c>
      <c r="J12" s="18">
        <f t="shared" si="16"/>
        <v>49.683402855555549</v>
      </c>
      <c r="K12" s="18">
        <f t="shared" si="16"/>
        <v>59.549610514814816</v>
      </c>
      <c r="L12" s="18">
        <f t="shared" si="16"/>
        <v>33.826997688888895</v>
      </c>
      <c r="BR12">
        <v>0.04</v>
      </c>
      <c r="BS12">
        <f t="shared" si="12"/>
        <v>0.13999999999999999</v>
      </c>
      <c r="BT12">
        <v>5.0000000000000001E-3</v>
      </c>
      <c r="BU12">
        <f t="shared" si="2"/>
        <v>3.6541666666666654E-6</v>
      </c>
      <c r="BV12">
        <f t="shared" si="3"/>
        <v>4.5416666666666673E-7</v>
      </c>
      <c r="BW12">
        <f t="shared" si="4"/>
        <v>1.700000000000001E-3</v>
      </c>
      <c r="BX12">
        <f t="shared" si="5"/>
        <v>1.4297731559114891E-4</v>
      </c>
      <c r="BY12">
        <f t="shared" si="6"/>
        <v>4.06015453125E-4</v>
      </c>
      <c r="BZ12">
        <f t="shared" si="7"/>
        <v>0.35744328897787225</v>
      </c>
      <c r="CA12">
        <f t="shared" si="8"/>
        <v>0.29001103794642857</v>
      </c>
      <c r="CB12">
        <f t="shared" si="9"/>
        <v>32746152.103448283</v>
      </c>
      <c r="CC12">
        <f t="shared" si="10"/>
        <v>1019130.3625997723</v>
      </c>
      <c r="CD12">
        <f t="shared" si="11"/>
        <v>0.4602956734166459</v>
      </c>
      <c r="CE12">
        <f t="shared" si="13"/>
        <v>32762007.024572581</v>
      </c>
    </row>
    <row r="13" spans="1:83">
      <c r="A13" t="s">
        <v>92</v>
      </c>
      <c r="B13">
        <f>1.8225*F12+545.1</f>
        <v>954.17146869225007</v>
      </c>
      <c r="E13" s="17" t="s">
        <v>93</v>
      </c>
      <c r="F13" s="18">
        <f>($B$10+$B$11)*F11/100</f>
        <v>23.447673643460412</v>
      </c>
      <c r="G13" s="18">
        <f t="shared" ref="G13:L13" si="17">($B$10+$B$11)*G11/100</f>
        <v>47.167397817496322</v>
      </c>
      <c r="H13" s="18">
        <f t="shared" si="17"/>
        <v>17.54574836361331</v>
      </c>
      <c r="I13" s="18">
        <f t="shared" si="17"/>
        <v>50.800536863408695</v>
      </c>
      <c r="J13" s="18">
        <f t="shared" si="17"/>
        <v>21.623963479794124</v>
      </c>
      <c r="K13" s="18">
        <f t="shared" si="17"/>
        <v>7.5238143917612481</v>
      </c>
      <c r="L13" s="18">
        <f t="shared" si="17"/>
        <v>6.989513014475726</v>
      </c>
      <c r="BR13" s="2">
        <f t="shared" ref="BR13:BR21" si="18">BR12+0.01</f>
        <v>0.05</v>
      </c>
      <c r="BS13" s="2">
        <v>0.06</v>
      </c>
      <c r="BT13" s="2">
        <v>5.0000000000000001E-3</v>
      </c>
      <c r="BU13" s="2">
        <f t="shared" si="2"/>
        <v>4.833333333333334E-7</v>
      </c>
      <c r="BV13" s="2">
        <f t="shared" si="3"/>
        <v>3.5833333333333348E-7</v>
      </c>
      <c r="BW13" s="2">
        <f t="shared" si="4"/>
        <v>1E-3</v>
      </c>
      <c r="BX13" s="2">
        <f t="shared" si="5"/>
        <v>1.0809578083917025E-3</v>
      </c>
      <c r="BY13" s="2">
        <f t="shared" si="6"/>
        <v>5.1460098128633706E-4</v>
      </c>
      <c r="BZ13" s="2">
        <f t="shared" si="7"/>
        <v>2.1619156167834048</v>
      </c>
      <c r="CA13" s="2">
        <f t="shared" si="8"/>
        <v>0.85766830214389511</v>
      </c>
      <c r="CB13">
        <f t="shared" si="9"/>
        <v>28305168.733233981</v>
      </c>
      <c r="CC13">
        <f t="shared" si="10"/>
        <v>9631221.2068965491</v>
      </c>
      <c r="CD13">
        <f t="shared" si="11"/>
        <v>2.325827605519025</v>
      </c>
      <c r="CE13">
        <f t="shared" si="13"/>
        <v>29898879.560161117</v>
      </c>
    </row>
    <row r="14" spans="1:83">
      <c r="BR14">
        <f t="shared" si="18"/>
        <v>6.0000000000000005E-2</v>
      </c>
      <c r="BS14">
        <v>0.06</v>
      </c>
      <c r="BT14">
        <v>5.0000000000000001E-3</v>
      </c>
      <c r="BU14">
        <f t="shared" si="2"/>
        <v>5.5916666666666678E-7</v>
      </c>
      <c r="BV14">
        <f t="shared" si="3"/>
        <v>5.59166666666667E-7</v>
      </c>
      <c r="BW14">
        <f t="shared" si="4"/>
        <v>1.1000000000000003E-3</v>
      </c>
      <c r="BX14">
        <f t="shared" si="5"/>
        <v>9.3435995360236586E-4</v>
      </c>
      <c r="BY14">
        <f t="shared" si="6"/>
        <v>3.2977410127142307E-4</v>
      </c>
      <c r="BZ14">
        <f t="shared" si="7"/>
        <v>1.5572665893372761</v>
      </c>
      <c r="CA14">
        <f t="shared" si="8"/>
        <v>0.54962350211903854</v>
      </c>
      <c r="CB14">
        <f t="shared" si="9"/>
        <v>24924892.677165359</v>
      </c>
      <c r="CC14">
        <f t="shared" si="10"/>
        <v>9990059.552906109</v>
      </c>
      <c r="CD14">
        <f t="shared" si="11"/>
        <v>1.6514130992419036</v>
      </c>
      <c r="CE14">
        <f t="shared" si="13"/>
        <v>26852403.334502891</v>
      </c>
    </row>
    <row r="15" spans="1:83">
      <c r="A15" s="2"/>
      <c r="BR15">
        <f t="shared" si="18"/>
        <v>7.0000000000000007E-2</v>
      </c>
      <c r="BS15">
        <v>0.06</v>
      </c>
      <c r="BT15">
        <v>5.0000000000000001E-3</v>
      </c>
      <c r="BU15">
        <f t="shared" si="2"/>
        <v>6.3500000000000006E-7</v>
      </c>
      <c r="BV15">
        <f t="shared" si="3"/>
        <v>8.1500000000000024E-7</v>
      </c>
      <c r="BW15">
        <f t="shared" si="4"/>
        <v>1.2000000000000005E-3</v>
      </c>
      <c r="BX15">
        <f t="shared" si="5"/>
        <v>8.227762846026083E-4</v>
      </c>
      <c r="BY15">
        <f t="shared" si="6"/>
        <v>2.2625605516679443E-4</v>
      </c>
      <c r="BZ15">
        <f t="shared" si="7"/>
        <v>1.1753946922894403</v>
      </c>
      <c r="CA15">
        <f t="shared" si="8"/>
        <v>0.37709342527799072</v>
      </c>
      <c r="CB15">
        <f t="shared" si="9"/>
        <v>22265847.85463072</v>
      </c>
      <c r="CC15">
        <f t="shared" si="10"/>
        <v>10263191.102362204</v>
      </c>
      <c r="CD15">
        <f t="shared" si="11"/>
        <v>1.2344035539685048</v>
      </c>
      <c r="CE15">
        <f t="shared" si="13"/>
        <v>24517362.669935975</v>
      </c>
    </row>
    <row r="16" spans="1:83">
      <c r="A16" s="2" t="s">
        <v>1</v>
      </c>
      <c r="B16" t="s">
        <v>94</v>
      </c>
      <c r="C16" t="s">
        <v>95</v>
      </c>
      <c r="BR16">
        <f t="shared" si="18"/>
        <v>0.08</v>
      </c>
      <c r="BS16">
        <v>0.06</v>
      </c>
      <c r="BT16">
        <v>5.0000000000000001E-3</v>
      </c>
      <c r="BU16">
        <f t="shared" si="2"/>
        <v>7.1083333333333334E-7</v>
      </c>
      <c r="BV16">
        <f t="shared" si="3"/>
        <v>1.1308333333333334E-6</v>
      </c>
      <c r="BW16">
        <f t="shared" si="4"/>
        <v>1.2999999999999995E-3</v>
      </c>
      <c r="BX16">
        <f t="shared" si="5"/>
        <v>7.350006200084263E-4</v>
      </c>
      <c r="BY16">
        <f t="shared" si="6"/>
        <v>1.6306442295735077E-4</v>
      </c>
      <c r="BZ16">
        <f t="shared" si="7"/>
        <v>0.91875077501053282</v>
      </c>
      <c r="CA16">
        <f t="shared" si="8"/>
        <v>0.27177403826225127</v>
      </c>
      <c r="CB16">
        <f t="shared" si="9"/>
        <v>20119457.860169493</v>
      </c>
      <c r="CC16">
        <f t="shared" si="10"/>
        <v>10478046.049237983</v>
      </c>
      <c r="CD16">
        <f t="shared" si="11"/>
        <v>0.95810443817771052</v>
      </c>
      <c r="CE16">
        <f t="shared" si="13"/>
        <v>22684400.666473154</v>
      </c>
    </row>
    <row r="17" spans="1:83">
      <c r="A17" t="s">
        <v>26</v>
      </c>
      <c r="B17">
        <v>5.8</v>
      </c>
      <c r="C17">
        <v>94.2</v>
      </c>
      <c r="F17" s="108"/>
      <c r="G17" s="108"/>
      <c r="H17" s="108"/>
      <c r="I17" s="108"/>
      <c r="J17" s="108"/>
      <c r="K17" s="108"/>
      <c r="AA17" t="s">
        <v>96</v>
      </c>
      <c r="AB17" t="s">
        <v>97</v>
      </c>
      <c r="AC17" t="s">
        <v>98</v>
      </c>
      <c r="AD17" t="s">
        <v>99</v>
      </c>
      <c r="AE17" t="s">
        <v>100</v>
      </c>
      <c r="AF17" t="s">
        <v>101</v>
      </c>
      <c r="AG17" t="s">
        <v>102</v>
      </c>
      <c r="AH17" t="s">
        <v>103</v>
      </c>
      <c r="AI17" t="s">
        <v>104</v>
      </c>
      <c r="AJ17" t="s">
        <v>105</v>
      </c>
      <c r="AK17" t="s">
        <v>106</v>
      </c>
      <c r="BR17">
        <f t="shared" si="18"/>
        <v>0.09</v>
      </c>
      <c r="BS17">
        <v>0.06</v>
      </c>
      <c r="BT17">
        <v>5.0000000000000001E-3</v>
      </c>
      <c r="BU17">
        <f t="shared" si="2"/>
        <v>7.8666666666666683E-7</v>
      </c>
      <c r="BV17">
        <f t="shared" si="3"/>
        <v>1.5116666666666665E-6</v>
      </c>
      <c r="BW17">
        <f t="shared" si="4"/>
        <v>1.3999999999999993E-3</v>
      </c>
      <c r="BX17">
        <f t="shared" si="5"/>
        <v>6.6414780600337659E-4</v>
      </c>
      <c r="BY17">
        <f t="shared" si="6"/>
        <v>1.2198369457173377E-4</v>
      </c>
      <c r="BZ17">
        <f t="shared" si="7"/>
        <v>0.73794200667041854</v>
      </c>
      <c r="CA17">
        <f t="shared" si="8"/>
        <v>0.20330615761955631</v>
      </c>
      <c r="CB17">
        <f t="shared" si="9"/>
        <v>18350500.695652183</v>
      </c>
      <c r="CC17">
        <f t="shared" si="10"/>
        <v>10651477.690677963</v>
      </c>
      <c r="CD17">
        <f t="shared" si="11"/>
        <v>0.76543569222684671</v>
      </c>
      <c r="CE17">
        <f t="shared" si="13"/>
        <v>21217795.662512675</v>
      </c>
    </row>
    <row r="18" spans="1:83">
      <c r="A18" t="s">
        <v>56</v>
      </c>
      <c r="B18">
        <v>5.7</v>
      </c>
      <c r="C18">
        <v>94.3</v>
      </c>
      <c r="AA18" s="2" t="s">
        <v>107</v>
      </c>
      <c r="AB18" s="2">
        <v>11.24</v>
      </c>
      <c r="AC18" s="2" t="s">
        <v>81</v>
      </c>
      <c r="AD18" s="2">
        <v>176.9</v>
      </c>
      <c r="AE18" s="2">
        <v>7319414</v>
      </c>
      <c r="AF18" s="2">
        <v>10256904</v>
      </c>
      <c r="AG18" s="2">
        <v>2.1</v>
      </c>
      <c r="AH18" s="2">
        <v>940</v>
      </c>
      <c r="AI18" s="2">
        <v>30.1</v>
      </c>
      <c r="AJ18" s="2">
        <v>183</v>
      </c>
      <c r="AK18" s="2">
        <v>167.7</v>
      </c>
      <c r="BR18">
        <f t="shared" si="18"/>
        <v>9.9999999999999992E-2</v>
      </c>
      <c r="BS18">
        <v>0.06</v>
      </c>
      <c r="BT18">
        <v>5.0000000000000001E-3</v>
      </c>
      <c r="BU18">
        <f t="shared" si="2"/>
        <v>8.6249999999999989E-7</v>
      </c>
      <c r="BV18">
        <f t="shared" si="3"/>
        <v>1.9624999999999994E-6</v>
      </c>
      <c r="BW18">
        <f t="shared" si="4"/>
        <v>1.4999999999999996E-3</v>
      </c>
      <c r="BX18">
        <f t="shared" si="5"/>
        <v>6.0575413417119587E-4</v>
      </c>
      <c r="BY18">
        <f t="shared" si="6"/>
        <v>9.3961113355891761E-5</v>
      </c>
      <c r="BZ18">
        <f t="shared" si="7"/>
        <v>0.60575413417119595</v>
      </c>
      <c r="CA18">
        <f t="shared" si="8"/>
        <v>0.15660185559315296</v>
      </c>
      <c r="CB18">
        <f t="shared" si="9"/>
        <v>16867467.335701607</v>
      </c>
      <c r="CC18">
        <f t="shared" si="10"/>
        <v>10794412.173913045</v>
      </c>
      <c r="CD18">
        <f t="shared" si="11"/>
        <v>0.62566941130337672</v>
      </c>
      <c r="CE18">
        <f t="shared" si="13"/>
        <v>20025753.131936956</v>
      </c>
    </row>
    <row r="19" spans="1:83">
      <c r="A19" t="s">
        <v>62</v>
      </c>
      <c r="B19">
        <v>6.6</v>
      </c>
      <c r="C19">
        <v>93.4</v>
      </c>
      <c r="AA19" s="2" t="s">
        <v>108</v>
      </c>
      <c r="AB19" s="2">
        <v>11.24</v>
      </c>
      <c r="AC19" s="2" t="s">
        <v>59</v>
      </c>
      <c r="AD19" s="2">
        <v>154.4</v>
      </c>
      <c r="AE19" s="2">
        <v>19549682</v>
      </c>
      <c r="AF19" s="2">
        <v>23548481</v>
      </c>
      <c r="AG19" s="2">
        <v>1.7</v>
      </c>
      <c r="AH19" s="2" t="s">
        <v>109</v>
      </c>
      <c r="AI19" s="2">
        <v>31.6</v>
      </c>
      <c r="AJ19" s="2">
        <v>118</v>
      </c>
      <c r="AK19" s="2">
        <v>54</v>
      </c>
      <c r="BR19">
        <f t="shared" si="18"/>
        <v>0.10999999999999999</v>
      </c>
      <c r="BS19">
        <v>0.06</v>
      </c>
      <c r="BT19">
        <v>5.0000000000000001E-3</v>
      </c>
      <c r="BU19">
        <f t="shared" si="2"/>
        <v>9.3833333333333317E-7</v>
      </c>
      <c r="BV19">
        <f t="shared" si="3"/>
        <v>2.4883333333333312E-6</v>
      </c>
      <c r="BW19">
        <f t="shared" si="4"/>
        <v>1.5999999999999999E-3</v>
      </c>
      <c r="BX19">
        <f t="shared" si="5"/>
        <v>5.5679887110762685E-4</v>
      </c>
      <c r="BY19">
        <f t="shared" si="6"/>
        <v>7.4105298711696325E-5</v>
      </c>
      <c r="BZ19">
        <f t="shared" si="7"/>
        <v>0.5061807919160245</v>
      </c>
      <c r="CA19">
        <f t="shared" si="8"/>
        <v>0.12350883118616054</v>
      </c>
      <c r="CB19">
        <f t="shared" si="9"/>
        <v>15606218.751027118</v>
      </c>
      <c r="CC19">
        <f t="shared" si="10"/>
        <v>10914243.570159858</v>
      </c>
      <c r="CD19">
        <f t="shared" si="11"/>
        <v>0.52103111757908005</v>
      </c>
      <c r="CE19">
        <f t="shared" si="13"/>
        <v>19044022.065038841</v>
      </c>
    </row>
    <row r="20" spans="1:83">
      <c r="AA20" t="s">
        <v>110</v>
      </c>
      <c r="AB20">
        <v>11.24</v>
      </c>
      <c r="AC20" t="s">
        <v>111</v>
      </c>
      <c r="AD20">
        <v>77.8</v>
      </c>
      <c r="AE20">
        <v>23100917</v>
      </c>
      <c r="AF20">
        <v>29604073</v>
      </c>
      <c r="AG20">
        <v>1</v>
      </c>
      <c r="AH20" t="s">
        <v>112</v>
      </c>
      <c r="AI20">
        <v>27.8</v>
      </c>
      <c r="AJ20">
        <v>112</v>
      </c>
      <c r="AK20">
        <v>88.9</v>
      </c>
      <c r="BR20">
        <f t="shared" si="18"/>
        <v>0.11999999999999998</v>
      </c>
      <c r="BS20">
        <v>0.06</v>
      </c>
      <c r="BT20">
        <v>5.0000000000000001E-3</v>
      </c>
      <c r="BU20">
        <f t="shared" si="2"/>
        <v>1.0141666666666668E-6</v>
      </c>
      <c r="BV20">
        <f t="shared" si="3"/>
        <v>3.0941666666666665E-6</v>
      </c>
      <c r="BW20">
        <f t="shared" si="4"/>
        <v>1.7000000000000001E-3</v>
      </c>
      <c r="BX20">
        <f t="shared" si="5"/>
        <v>5.1516477310368733E-4</v>
      </c>
      <c r="BY20">
        <f t="shared" si="6"/>
        <v>5.9595588998956373E-5</v>
      </c>
      <c r="BZ20">
        <f t="shared" si="7"/>
        <v>0.42930397758640615</v>
      </c>
      <c r="CA20">
        <f t="shared" si="8"/>
        <v>9.9325981664927301E-2</v>
      </c>
      <c r="CB20">
        <f t="shared" si="9"/>
        <v>14520465.000000006</v>
      </c>
      <c r="CC20">
        <f t="shared" si="10"/>
        <v>11016154.412489727</v>
      </c>
      <c r="CD20">
        <f t="shared" si="11"/>
        <v>0.44064447778817223</v>
      </c>
      <c r="CE20">
        <f t="shared" si="13"/>
        <v>18226342.525477845</v>
      </c>
    </row>
    <row r="21" spans="1:83">
      <c r="BR21">
        <f t="shared" si="18"/>
        <v>0.12999999999999998</v>
      </c>
      <c r="BS21">
        <v>0.06</v>
      </c>
      <c r="BT21">
        <v>5.0000000000000001E-3</v>
      </c>
      <c r="BU21">
        <f t="shared" si="2"/>
        <v>1.0899999999999999E-6</v>
      </c>
      <c r="BV21">
        <f t="shared" si="3"/>
        <v>3.7849999999999993E-6</v>
      </c>
      <c r="BW21">
        <f t="shared" si="4"/>
        <v>1.7999999999999995E-3</v>
      </c>
      <c r="BX21">
        <f t="shared" si="5"/>
        <v>4.7932379882812515E-4</v>
      </c>
      <c r="BY21">
        <f t="shared" si="6"/>
        <v>4.8718278721515862E-5</v>
      </c>
      <c r="BZ21">
        <f t="shared" si="7"/>
        <v>0.36871061448317322</v>
      </c>
      <c r="CA21">
        <f t="shared" si="8"/>
        <v>8.1197131202526446E-2</v>
      </c>
      <c r="CB21">
        <f t="shared" si="9"/>
        <v>154948898.13859957</v>
      </c>
      <c r="CC21">
        <f t="shared" si="10"/>
        <v>11103884.999999998</v>
      </c>
      <c r="CD21">
        <f t="shared" si="11"/>
        <v>0.37754535005490331</v>
      </c>
      <c r="CE21">
        <f t="shared" si="13"/>
        <v>155346249.70194593</v>
      </c>
    </row>
    <row r="22" spans="1:83">
      <c r="A22" s="2" t="s">
        <v>84</v>
      </c>
      <c r="B22" s="3">
        <f>AVERAGE(B17:B19)</f>
        <v>6.0333333333333341</v>
      </c>
      <c r="C22" s="3">
        <f>AVERAGE(C17:C19)</f>
        <v>93.966666666666654</v>
      </c>
      <c r="BR22">
        <v>0.04</v>
      </c>
      <c r="BS22">
        <v>0.06</v>
      </c>
      <c r="BT22">
        <v>1E-3</v>
      </c>
      <c r="BU22">
        <f t="shared" si="2"/>
        <v>1.0214533333333357E-7</v>
      </c>
      <c r="BV22">
        <f t="shared" si="3"/>
        <v>5.4785333333333446E-8</v>
      </c>
      <c r="BW22">
        <f t="shared" si="4"/>
        <v>1.9599999999999999E-4</v>
      </c>
      <c r="BX22">
        <f t="shared" si="5"/>
        <v>5.1148977997623173E-3</v>
      </c>
      <c r="BY22">
        <f t="shared" si="6"/>
        <v>3.3658403397674036E-3</v>
      </c>
      <c r="BZ22">
        <f t="shared" si="7"/>
        <v>12.787244499405793</v>
      </c>
      <c r="CA22">
        <f t="shared" si="8"/>
        <v>5.6097338996123396</v>
      </c>
      <c r="CB22">
        <f t="shared" si="9"/>
        <v>81942236.425198808</v>
      </c>
      <c r="CC22">
        <f t="shared" si="10"/>
        <v>36458564.267905779</v>
      </c>
      <c r="CD22">
        <f t="shared" si="11"/>
        <v>13.963621890900782</v>
      </c>
      <c r="CE22">
        <f t="shared" si="13"/>
        <v>89686994.702912167</v>
      </c>
    </row>
    <row r="23" spans="1:83">
      <c r="A23" s="2" t="s">
        <v>89</v>
      </c>
      <c r="B23" s="3">
        <f>_xlfn.STDEV.S(B17:B19)</f>
        <v>0.49328828623162452</v>
      </c>
      <c r="C23" s="3">
        <f>_xlfn.STDEV.S(C17:C19)</f>
        <v>0.49328828623162119</v>
      </c>
      <c r="BR23">
        <v>0.04</v>
      </c>
      <c r="BS23">
        <v>0.06</v>
      </c>
      <c r="BT23">
        <f t="shared" ref="BT23:BT29" si="19">BT22+0.001</f>
        <v>2E-3</v>
      </c>
      <c r="BU23">
        <f t="shared" si="2"/>
        <v>1.9315200000000006E-7</v>
      </c>
      <c r="BV23">
        <f t="shared" si="3"/>
        <v>1.02272E-7</v>
      </c>
      <c r="BW23">
        <f t="shared" si="4"/>
        <v>3.8399999999999979E-4</v>
      </c>
      <c r="BX23">
        <f t="shared" si="5"/>
        <v>2.704931560235753E-3</v>
      </c>
      <c r="BY23">
        <f t="shared" si="6"/>
        <v>1.8030221855535975E-3</v>
      </c>
      <c r="BZ23">
        <f t="shared" si="7"/>
        <v>6.7623289005893827</v>
      </c>
      <c r="CA23">
        <f t="shared" si="8"/>
        <v>3.0050369759226627</v>
      </c>
      <c r="CB23">
        <f t="shared" si="9"/>
        <v>57795111.410542928</v>
      </c>
      <c r="CC23">
        <f t="shared" si="10"/>
        <v>19280526.217693832</v>
      </c>
      <c r="CD23">
        <f t="shared" si="11"/>
        <v>7.3999553638119213</v>
      </c>
      <c r="CE23">
        <f t="shared" si="13"/>
        <v>60926296.409582034</v>
      </c>
    </row>
    <row r="24" spans="1:83">
      <c r="A24" s="2" t="s">
        <v>113</v>
      </c>
      <c r="B24">
        <f>$B$10*B22/100</f>
        <v>67.872988888888898</v>
      </c>
      <c r="C24" s="18">
        <f>$B$10*C22/100</f>
        <v>1057.0936777777777</v>
      </c>
      <c r="BR24">
        <v>0.04</v>
      </c>
      <c r="BS24">
        <v>0.06</v>
      </c>
      <c r="BT24">
        <f t="shared" si="19"/>
        <v>3.0000000000000001E-3</v>
      </c>
      <c r="BU24">
        <f t="shared" si="2"/>
        <v>2.7385200000000004E-7</v>
      </c>
      <c r="BV24">
        <f t="shared" si="3"/>
        <v>1.4313200000000004E-7</v>
      </c>
      <c r="BW24">
        <f t="shared" si="4"/>
        <v>5.6399999999999961E-4</v>
      </c>
      <c r="BX24">
        <f t="shared" si="5"/>
        <v>1.9078295602101001E-3</v>
      </c>
      <c r="BY24">
        <f t="shared" si="6"/>
        <v>1.2883120822802551E-3</v>
      </c>
      <c r="BZ24">
        <f t="shared" si="7"/>
        <v>4.7695739005252502</v>
      </c>
      <c r="CA24">
        <f t="shared" si="8"/>
        <v>2.1471868038004254</v>
      </c>
      <c r="CB24">
        <f t="shared" si="9"/>
        <v>45870224.34733215</v>
      </c>
      <c r="CC24">
        <f t="shared" si="10"/>
        <v>13598849.743657157</v>
      </c>
      <c r="CD24">
        <f t="shared" si="11"/>
        <v>5.2306066916741445</v>
      </c>
      <c r="CE24">
        <f t="shared" si="13"/>
        <v>47843559.608636431</v>
      </c>
    </row>
    <row r="25" spans="1:83">
      <c r="BR25">
        <v>0.04</v>
      </c>
      <c r="BS25">
        <v>0.06</v>
      </c>
      <c r="BT25">
        <f t="shared" si="19"/>
        <v>4.0000000000000001E-3</v>
      </c>
      <c r="BU25">
        <f t="shared" si="2"/>
        <v>3.4504533333333335E-7</v>
      </c>
      <c r="BV25">
        <f t="shared" si="3"/>
        <v>1.7800533333333338E-7</v>
      </c>
      <c r="BW25">
        <f t="shared" si="4"/>
        <v>7.3599999999999989E-4</v>
      </c>
      <c r="BX25">
        <f t="shared" si="5"/>
        <v>1.5141863698760057E-3</v>
      </c>
      <c r="BY25">
        <f t="shared" si="6"/>
        <v>1.0359166296193606E-3</v>
      </c>
      <c r="BZ25">
        <f t="shared" si="7"/>
        <v>3.7854659246900146</v>
      </c>
      <c r="CA25">
        <f t="shared" si="8"/>
        <v>1.7265277160322678</v>
      </c>
      <c r="CB25">
        <f t="shared" si="9"/>
        <v>38840016.809815958</v>
      </c>
      <c r="CC25">
        <f t="shared" si="10"/>
        <v>10792993.964078151</v>
      </c>
      <c r="CD25">
        <f t="shared" si="11"/>
        <v>4.1606069534644616</v>
      </c>
      <c r="CE25">
        <f t="shared" si="13"/>
        <v>40311730.606554389</v>
      </c>
    </row>
    <row r="26" spans="1:83">
      <c r="BR26">
        <v>0.04</v>
      </c>
      <c r="BS26">
        <v>0.06</v>
      </c>
      <c r="BT26">
        <f t="shared" si="19"/>
        <v>5.0000000000000001E-3</v>
      </c>
      <c r="BU26">
        <f t="shared" si="2"/>
        <v>4.0750000000000007E-7</v>
      </c>
      <c r="BV26">
        <f t="shared" si="3"/>
        <v>2.0750000000000008E-7</v>
      </c>
      <c r="BW26">
        <f t="shared" si="4"/>
        <v>8.9999999999999998E-4</v>
      </c>
      <c r="BX26">
        <f t="shared" si="5"/>
        <v>1.2821176459451688E-3</v>
      </c>
      <c r="BY26">
        <f t="shared" si="6"/>
        <v>8.8866836125752998E-4</v>
      </c>
      <c r="BZ26">
        <f t="shared" si="7"/>
        <v>3.2052941148629222</v>
      </c>
      <c r="CA26">
        <f t="shared" si="8"/>
        <v>1.4811139354292167</v>
      </c>
      <c r="CB26">
        <f t="shared" si="9"/>
        <v>34261799.602556124</v>
      </c>
      <c r="CC26">
        <f t="shared" si="10"/>
        <v>9138827.4846625756</v>
      </c>
      <c r="CD26">
        <f t="shared" si="11"/>
        <v>3.530950134524347</v>
      </c>
      <c r="CE26">
        <f t="shared" si="13"/>
        <v>35459682.454868928</v>
      </c>
    </row>
    <row r="27" spans="1:83">
      <c r="BR27">
        <v>0.04</v>
      </c>
      <c r="BS27">
        <v>0.06</v>
      </c>
      <c r="BT27">
        <f t="shared" si="19"/>
        <v>6.0000000000000001E-3</v>
      </c>
      <c r="BU27">
        <f t="shared" si="2"/>
        <v>4.6195199999999998E-7</v>
      </c>
      <c r="BV27">
        <f t="shared" si="3"/>
        <v>2.3219200000000007E-7</v>
      </c>
      <c r="BW27">
        <f t="shared" si="4"/>
        <v>1.0559999999999996E-3</v>
      </c>
      <c r="BX27">
        <f t="shared" si="5"/>
        <v>1.1309896714867698E-3</v>
      </c>
      <c r="BY27">
        <f t="shared" si="6"/>
        <v>7.941646782013914E-4</v>
      </c>
      <c r="BZ27">
        <f t="shared" si="7"/>
        <v>2.8274741787169244</v>
      </c>
      <c r="CA27">
        <f t="shared" si="8"/>
        <v>1.323607797002319</v>
      </c>
      <c r="CB27">
        <f t="shared" si="9"/>
        <v>31088471.901034243</v>
      </c>
      <c r="CC27">
        <f t="shared" si="10"/>
        <v>8061599.9064837908</v>
      </c>
      <c r="CD27">
        <f t="shared" si="11"/>
        <v>3.1219461609060906</v>
      </c>
      <c r="CE27">
        <f t="shared" si="13"/>
        <v>32116700.92325199</v>
      </c>
    </row>
    <row r="28" spans="1:83">
      <c r="BR28">
        <v>0.04</v>
      </c>
      <c r="BS28">
        <v>0.06</v>
      </c>
      <c r="BT28">
        <f t="shared" si="19"/>
        <v>7.0000000000000001E-3</v>
      </c>
      <c r="BU28">
        <f t="shared" si="2"/>
        <v>5.0910533333333329E-7</v>
      </c>
      <c r="BV28">
        <f t="shared" si="3"/>
        <v>2.5262533333333337E-7</v>
      </c>
      <c r="BW28">
        <f t="shared" si="4"/>
        <v>1.2039999999999998E-3</v>
      </c>
      <c r="BX28">
        <f t="shared" si="5"/>
        <v>1.0262374139784888E-3</v>
      </c>
      <c r="BY28">
        <f t="shared" si="6"/>
        <v>7.2992950678318414E-4</v>
      </c>
      <c r="BZ28">
        <f t="shared" si="7"/>
        <v>2.5655935349462222</v>
      </c>
      <c r="CA28">
        <f t="shared" si="8"/>
        <v>1.2165491779719735</v>
      </c>
      <c r="CB28">
        <f t="shared" si="9"/>
        <v>28796188.813606203</v>
      </c>
      <c r="CC28">
        <f t="shared" si="10"/>
        <v>7314934.5649492322</v>
      </c>
      <c r="CD28">
        <f t="shared" si="11"/>
        <v>2.8394122787968175</v>
      </c>
      <c r="CE28">
        <f t="shared" si="13"/>
        <v>29710751.553576492</v>
      </c>
    </row>
    <row r="29" spans="1:83" ht="15" thickBot="1">
      <c r="BR29">
        <v>0.04</v>
      </c>
      <c r="BS29">
        <v>0.06</v>
      </c>
      <c r="BT29">
        <f t="shared" si="19"/>
        <v>8.0000000000000002E-3</v>
      </c>
      <c r="BU29">
        <f t="shared" si="2"/>
        <v>5.4963200000000003E-7</v>
      </c>
      <c r="BV29">
        <f t="shared" si="3"/>
        <v>2.6931200000000008E-7</v>
      </c>
      <c r="BW29">
        <f t="shared" si="4"/>
        <v>1.3439999999999999E-3</v>
      </c>
      <c r="BX29">
        <f t="shared" si="5"/>
        <v>9.5056863632877336E-4</v>
      </c>
      <c r="BY29">
        <f t="shared" si="6"/>
        <v>6.8470281666222627E-4</v>
      </c>
      <c r="BZ29">
        <f t="shared" si="7"/>
        <v>2.3764215908219333</v>
      </c>
      <c r="CA29">
        <f t="shared" si="8"/>
        <v>1.1411713611037104</v>
      </c>
      <c r="CB29" t="e">
        <f t="shared" si="9"/>
        <v>#DIV/0!</v>
      </c>
      <c r="CC29">
        <f t="shared" si="10"/>
        <v>6775573.8384955749</v>
      </c>
      <c r="CD29">
        <f t="shared" si="11"/>
        <v>2.6362191966389941</v>
      </c>
      <c r="CE29" t="e">
        <f t="shared" si="13"/>
        <v>#DIV/0!</v>
      </c>
    </row>
    <row r="30" spans="1:83">
      <c r="BR30" s="91"/>
      <c r="BS30" s="92"/>
      <c r="BT30" s="92"/>
      <c r="BU30" s="92"/>
      <c r="BV30" s="92"/>
      <c r="BW30" s="92"/>
      <c r="BX30" s="92"/>
      <c r="BY30" s="92"/>
      <c r="BZ30" t="e">
        <f t="shared" si="7"/>
        <v>#DIV/0!</v>
      </c>
      <c r="CA30" t="e">
        <f t="shared" si="8"/>
        <v>#DIV/0!</v>
      </c>
      <c r="CB30">
        <f t="shared" si="9"/>
        <v>35616553.111253083</v>
      </c>
      <c r="CC30" t="e">
        <f t="shared" si="10"/>
        <v>#DIV/0!</v>
      </c>
      <c r="CD30" t="e">
        <f t="shared" si="11"/>
        <v>#DIV/0!</v>
      </c>
      <c r="CE30" t="e">
        <f t="shared" si="13"/>
        <v>#DIV/0!</v>
      </c>
    </row>
    <row r="31" spans="1:83">
      <c r="BR31" s="98">
        <v>4.2000000000000003E-2</v>
      </c>
      <c r="BS31" s="2">
        <v>6.2E-2</v>
      </c>
      <c r="BT31" s="2">
        <v>5.0000000000000001E-3</v>
      </c>
      <c r="BU31" s="2">
        <f t="shared" ref="BU31:BU37" si="20">(BR31*BS31^3)/12 - ((BR31-2*BT31)*(BS31-2*BT31)^3)/12</f>
        <v>4.5919333333333329E-7</v>
      </c>
      <c r="BV31" s="2">
        <f t="shared" ref="BV31:BV37" si="21">BS31*BR31^3/12-(BR31-2*BT31)^3*(BS31-2*BT31)/12</f>
        <v>2.4079333333333335E-7</v>
      </c>
      <c r="BW31" s="2">
        <f t="shared" ref="BW31:BW37" si="22">BR31*BS31-(BR31-2*BT31)*(BS31-2*BT31)</f>
        <v>9.4000000000000008E-4</v>
      </c>
      <c r="BX31" s="2">
        <f t="shared" ref="BX31:BX33" si="23">$BP$5*$BP$6^3/(BU31*$BP$7*3)</f>
        <v>1.1377842464088976E-3</v>
      </c>
      <c r="BY31" s="2">
        <f t="shared" ref="BY31:BY33" si="24">$BP$4*$BP$6^3/(3*$BP$7*BV31)</f>
        <v>7.6579647122402693E-4</v>
      </c>
      <c r="BZ31">
        <f t="shared" si="7"/>
        <v>2.7090101104973749</v>
      </c>
      <c r="CA31">
        <f t="shared" si="8"/>
        <v>1.2351555987484306</v>
      </c>
      <c r="CB31">
        <f t="shared" si="9"/>
        <v>32778506.750197392</v>
      </c>
      <c r="CC31">
        <f t="shared" si="10"/>
        <v>8515532.6224248335</v>
      </c>
      <c r="CD31">
        <f t="shared" si="11"/>
        <v>2.9773050115660968</v>
      </c>
      <c r="CE31">
        <f t="shared" si="13"/>
        <v>33866573.499784671</v>
      </c>
    </row>
    <row r="32" spans="1:83">
      <c r="BR32" s="93">
        <v>4.3999999999999997E-2</v>
      </c>
      <c r="BS32">
        <v>6.4000000000000001E-2</v>
      </c>
      <c r="BT32" s="2">
        <v>5.0000000000000001E-3</v>
      </c>
      <c r="BU32">
        <f t="shared" si="20"/>
        <v>5.1504666666666684E-7</v>
      </c>
      <c r="BV32">
        <f t="shared" si="21"/>
        <v>2.7744666666666672E-7</v>
      </c>
      <c r="BW32">
        <f t="shared" si="22"/>
        <v>9.8000000000000019E-4</v>
      </c>
      <c r="BX32">
        <f t="shared" si="23"/>
        <v>1.014399227363196E-3</v>
      </c>
      <c r="BY32">
        <f t="shared" si="24"/>
        <v>6.6462750184157014E-4</v>
      </c>
      <c r="BZ32">
        <f t="shared" si="7"/>
        <v>2.3054527894618095</v>
      </c>
      <c r="CA32">
        <f t="shared" si="8"/>
        <v>1.0384804716274534</v>
      </c>
      <c r="CB32">
        <f t="shared" si="9"/>
        <v>30266745.827683322</v>
      </c>
      <c r="CC32">
        <f t="shared" si="10"/>
        <v>7953608.2555625997</v>
      </c>
      <c r="CD32">
        <f t="shared" si="11"/>
        <v>2.52854785487418</v>
      </c>
      <c r="CE32">
        <f t="shared" si="13"/>
        <v>31294341.138303891</v>
      </c>
    </row>
    <row r="33" spans="70:83">
      <c r="BR33" s="93">
        <v>4.5999999999999999E-2</v>
      </c>
      <c r="BS33">
        <v>6.6000000000000003E-2</v>
      </c>
      <c r="BT33" s="2">
        <v>5.0000000000000001E-3</v>
      </c>
      <c r="BU33">
        <f t="shared" si="20"/>
        <v>5.7522000000000014E-7</v>
      </c>
      <c r="BV33">
        <f t="shared" si="21"/>
        <v>3.1761999999999995E-7</v>
      </c>
      <c r="BW33">
        <f t="shared" si="22"/>
        <v>1.0200000000000001E-3</v>
      </c>
      <c r="BX33">
        <f t="shared" si="23"/>
        <v>9.0828368402116801E-4</v>
      </c>
      <c r="BY33">
        <f t="shared" si="24"/>
        <v>5.8056383401844207E-4</v>
      </c>
      <c r="BZ33">
        <f t="shared" si="7"/>
        <v>1.9745297478721044</v>
      </c>
      <c r="CA33">
        <f t="shared" si="8"/>
        <v>0.87964217275521528</v>
      </c>
      <c r="CB33">
        <f t="shared" si="9"/>
        <v>28033070.75879601</v>
      </c>
      <c r="CC33">
        <f t="shared" si="10"/>
        <v>7445295.7650985699</v>
      </c>
      <c r="CD33">
        <f t="shared" si="11"/>
        <v>2.1616054397880737</v>
      </c>
      <c r="CE33">
        <f t="shared" si="13"/>
        <v>29004921.740929738</v>
      </c>
    </row>
    <row r="34" spans="70:83">
      <c r="BR34" s="93">
        <v>4.8000000000000001E-2</v>
      </c>
      <c r="BS34">
        <v>6.8000000000000005E-2</v>
      </c>
      <c r="BT34" s="2">
        <v>5.0000000000000001E-3</v>
      </c>
      <c r="BU34">
        <f t="shared" si="20"/>
        <v>6.3987333333333366E-7</v>
      </c>
      <c r="BV34">
        <f t="shared" si="21"/>
        <v>3.6147333333333339E-7</v>
      </c>
      <c r="BW34">
        <f t="shared" si="22"/>
        <v>1.0600000000000002E-3</v>
      </c>
      <c r="BX34">
        <f>$BP$5*$BP$6^3/(BU34*$BP$7*3)</f>
        <v>8.1650994580592423E-4</v>
      </c>
      <c r="BY34">
        <f>$BP$4*$BP$6^3/(3*$BP$7*BV34)</f>
        <v>5.1013081175449774E-4</v>
      </c>
      <c r="BZ34">
        <f t="shared" si="7"/>
        <v>1.7010623870956754</v>
      </c>
      <c r="CA34">
        <f t="shared" si="8"/>
        <v>0.75019237022720253</v>
      </c>
      <c r="CB34">
        <f t="shared" si="9"/>
        <v>26037872.608695652</v>
      </c>
      <c r="CC34">
        <f t="shared" si="10"/>
        <v>6984017.6284889681</v>
      </c>
      <c r="CD34">
        <f t="shared" si="11"/>
        <v>1.8591400800205307</v>
      </c>
      <c r="CE34">
        <f t="shared" si="13"/>
        <v>26958251.282709494</v>
      </c>
    </row>
    <row r="35" spans="70:83">
      <c r="BR35" s="93">
        <v>0.05</v>
      </c>
      <c r="BS35">
        <v>7.0000000000000007E-2</v>
      </c>
      <c r="BT35" s="2">
        <v>5.0000000000000001E-3</v>
      </c>
      <c r="BU35">
        <f t="shared" si="20"/>
        <v>7.0916666666666694E-7</v>
      </c>
      <c r="BV35">
        <f t="shared" si="21"/>
        <v>4.0916666666666674E-7</v>
      </c>
      <c r="BW35">
        <f t="shared" si="22"/>
        <v>1.1000000000000003E-3</v>
      </c>
      <c r="BX35">
        <f>$BP$5*$BP$6^3/(BU35*$BP$7*3)</f>
        <v>7.3672800101902164E-4</v>
      </c>
      <c r="BY35">
        <f>$BP$4*$BP$6^3/(3*$BP$7*BV35)</f>
        <v>4.5066888381491848E-4</v>
      </c>
      <c r="BZ35">
        <f t="shared" si="7"/>
        <v>1.4734560020380432</v>
      </c>
      <c r="CA35">
        <f t="shared" si="8"/>
        <v>0.64381269116416928</v>
      </c>
      <c r="CB35">
        <f t="shared" si="9"/>
        <v>24248357.148328785</v>
      </c>
      <c r="CC35">
        <f t="shared" si="10"/>
        <v>6564169.5652173888</v>
      </c>
      <c r="CD35">
        <f t="shared" si="11"/>
        <v>1.6079699534649223</v>
      </c>
      <c r="CE35">
        <f t="shared" si="13"/>
        <v>25121129.482446324</v>
      </c>
    </row>
    <row r="36" spans="70:83">
      <c r="BR36" s="93">
        <v>5.1999999999999998E-2</v>
      </c>
      <c r="BS36">
        <v>7.1999999999999995E-2</v>
      </c>
      <c r="BT36" s="2">
        <v>5.0000000000000001E-3</v>
      </c>
      <c r="BU36">
        <f t="shared" si="20"/>
        <v>7.8326000000000004E-7</v>
      </c>
      <c r="BV36">
        <f t="shared" si="21"/>
        <v>4.6086000000000001E-7</v>
      </c>
      <c r="BW36">
        <f t="shared" si="22"/>
        <v>1.14E-3</v>
      </c>
      <c r="BX36">
        <f>$BP$5*$BP$6^3/(BU36*$BP$7*3)</f>
        <v>6.6703641284204015E-4</v>
      </c>
      <c r="BY36">
        <f>$BP$4*$BP$6^3/(3*$BP$7*BV36)</f>
        <v>4.0011865851004102E-4</v>
      </c>
      <c r="BZ36">
        <f t="shared" si="7"/>
        <v>1.2827623323885389</v>
      </c>
      <c r="CA36">
        <f t="shared" si="8"/>
        <v>0.55572035904172368</v>
      </c>
      <c r="CB36">
        <f t="shared" si="9"/>
        <v>22637183.446465723</v>
      </c>
      <c r="CC36">
        <f t="shared" si="10"/>
        <v>6180953.7829073351</v>
      </c>
      <c r="CD36">
        <f t="shared" si="11"/>
        <v>1.3979643482036108</v>
      </c>
      <c r="CE36">
        <f t="shared" si="13"/>
        <v>23465853.149957668</v>
      </c>
    </row>
    <row r="37" spans="70:83">
      <c r="BR37" s="93">
        <v>5.3999999999999999E-2</v>
      </c>
      <c r="BS37">
        <v>7.3999999999999996E-2</v>
      </c>
      <c r="BT37" s="2">
        <v>5.0000000000000001E-3</v>
      </c>
      <c r="BU37">
        <f t="shared" si="20"/>
        <v>8.6231333333333305E-7</v>
      </c>
      <c r="BV37">
        <f t="shared" si="21"/>
        <v>5.1671333333333313E-7</v>
      </c>
      <c r="BW37">
        <f t="shared" si="22"/>
        <v>1.1799999999999996E-3</v>
      </c>
      <c r="BX37">
        <f>$BP$5*$BP$6^3/(BU37*$BP$7*3)</f>
        <v>6.0588526296240718E-4</v>
      </c>
      <c r="BY37">
        <f>$BP$4*$BP$6^3/(3*$BP$7*BV37)</f>
        <v>3.5686844729044653E-4</v>
      </c>
      <c r="BZ37">
        <f t="shared" si="7"/>
        <v>1.12200974622668</v>
      </c>
      <c r="CA37">
        <f t="shared" si="8"/>
        <v>0.48225465850060345</v>
      </c>
      <c r="CB37" t="e">
        <f t="shared" si="9"/>
        <v>#DIV/0!</v>
      </c>
      <c r="CC37">
        <f t="shared" si="10"/>
        <v>5830244.3852582611</v>
      </c>
      <c r="CD37">
        <f t="shared" si="11"/>
        <v>1.2212597701853576</v>
      </c>
    </row>
    <row r="38" spans="70:83">
      <c r="BR38" s="93"/>
      <c r="CA38" s="94"/>
    </row>
    <row r="39" spans="70:83">
      <c r="BR39" s="93"/>
      <c r="CA39" s="94"/>
    </row>
    <row r="40" spans="70:83">
      <c r="BR40" s="93"/>
      <c r="CA40" s="94"/>
    </row>
    <row r="41" spans="70:83">
      <c r="BR41" s="93"/>
      <c r="CA41" s="94"/>
    </row>
    <row r="42" spans="70:83">
      <c r="BR42" s="93"/>
      <c r="CA42" s="94"/>
    </row>
    <row r="43" spans="70:83">
      <c r="BR43" s="93"/>
      <c r="CA43" s="94"/>
    </row>
    <row r="44" spans="70:83">
      <c r="BR44" s="93"/>
      <c r="CA44" s="94"/>
    </row>
    <row r="45" spans="70:83" ht="15" thickBot="1">
      <c r="BR45" s="95"/>
      <c r="BS45" s="96"/>
      <c r="BT45" s="96"/>
      <c r="BU45" s="96"/>
      <c r="BV45" s="96"/>
      <c r="BW45" s="96"/>
      <c r="BX45" s="96"/>
      <c r="BY45" s="96"/>
      <c r="BZ45" s="96"/>
      <c r="CA45" s="97"/>
    </row>
  </sheetData>
  <mergeCells count="5">
    <mergeCell ref="F1:L1"/>
    <mergeCell ref="E1:E2"/>
    <mergeCell ref="K7:L7"/>
    <mergeCell ref="F7:G7"/>
    <mergeCell ref="F17:K17"/>
  </mergeCells>
  <conditionalFormatting sqref="AD18:AD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8:AE2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:AF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:AG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J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8:AJ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8:AK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4:BB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:BC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4:BD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4:BE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4:BI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4:BJ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4:BK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4:BW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31:BW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4:CA37">
    <cfRule type="cellIs" dxfId="0" priority="2" operator="lessThan">
      <formula>2</formula>
    </cfRule>
  </conditionalFormatting>
  <hyperlinks>
    <hyperlink ref="N1" r:id="rId1" xr:uid="{479823ED-7E55-4411-8269-900126AE0E9F}"/>
    <hyperlink ref="AR2" r:id="rId2" xr:uid="{054CDC39-ED98-4CE9-ABA7-FE17C5BB6863}"/>
    <hyperlink ref="AR3" r:id="rId3" xr:uid="{42535A5B-E312-417C-9C0A-A5DC2243FBFB}"/>
    <hyperlink ref="AR4" r:id="rId4" xr:uid="{8D27093E-7C0B-47FD-B075-372476D0FAF9}"/>
    <hyperlink ref="AR5" r:id="rId5" xr:uid="{758165B2-C29D-4C5F-93D9-BB9ED2B95C9A}"/>
    <hyperlink ref="AR6" r:id="rId6" xr:uid="{908B2827-8B4D-4CF3-93ED-67EF0FC6C918}"/>
    <hyperlink ref="AR7" r:id="rId7" xr:uid="{2D31EE93-5186-47D7-8DFB-5C188212F417}"/>
    <hyperlink ref="AR8" r:id="rId8" xr:uid="{974035FC-C697-4751-A910-DAEEE6F6CEC2}"/>
    <hyperlink ref="AR10" r:id="rId9" xr:uid="{E11649CC-F9AA-4E93-BBEF-8B6C51DC613A}"/>
    <hyperlink ref="AR9" r:id="rId10" xr:uid="{B1875FF8-570B-430B-8419-36C911245FD5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3308-468D-4C94-9362-4F88B687F80A}">
  <dimension ref="A1:N59"/>
  <sheetViews>
    <sheetView topLeftCell="A105" workbookViewId="0">
      <selection activeCell="K52" sqref="K52"/>
    </sheetView>
  </sheetViews>
  <sheetFormatPr defaultRowHeight="14.4"/>
  <cols>
    <col min="1" max="1" width="17.44140625" customWidth="1"/>
    <col min="2" max="2" width="11.6640625" customWidth="1"/>
    <col min="5" max="5" width="12.5546875" customWidth="1"/>
    <col min="6" max="6" width="18.44140625" customWidth="1"/>
    <col min="7" max="7" width="24.88671875" customWidth="1"/>
    <col min="8" max="8" width="24.109375" customWidth="1"/>
    <col min="9" max="12" width="13.6640625" bestFit="1" customWidth="1"/>
    <col min="13" max="13" width="18" customWidth="1"/>
  </cols>
  <sheetData>
    <row r="1" spans="1:14">
      <c r="A1" s="2" t="s">
        <v>1</v>
      </c>
      <c r="B1" s="2" t="s">
        <v>114</v>
      </c>
      <c r="E1" s="6" t="s">
        <v>14</v>
      </c>
      <c r="F1" s="6" t="s">
        <v>115</v>
      </c>
      <c r="G1" s="6" t="s">
        <v>116</v>
      </c>
      <c r="H1" s="6" t="s">
        <v>117</v>
      </c>
      <c r="I1" s="6" t="s">
        <v>118</v>
      </c>
      <c r="J1" s="6"/>
      <c r="K1" s="6"/>
      <c r="L1" s="6"/>
      <c r="M1" s="6"/>
    </row>
    <row r="2" spans="1:14">
      <c r="A2" t="s">
        <v>119</v>
      </c>
      <c r="B2">
        <v>1420</v>
      </c>
      <c r="C2" t="s">
        <v>55</v>
      </c>
      <c r="D2">
        <v>1900</v>
      </c>
      <c r="E2" s="6" t="s">
        <v>120</v>
      </c>
      <c r="F2" s="6" t="s">
        <v>121</v>
      </c>
      <c r="G2" s="7" t="s">
        <v>122</v>
      </c>
      <c r="H2" s="7" t="s">
        <v>123</v>
      </c>
      <c r="I2" s="8" t="s">
        <v>124</v>
      </c>
      <c r="J2" s="6"/>
      <c r="K2" s="6"/>
      <c r="L2" s="6"/>
      <c r="M2" s="6"/>
    </row>
    <row r="3" spans="1:14">
      <c r="A3" t="s">
        <v>13</v>
      </c>
      <c r="B3">
        <v>1900</v>
      </c>
      <c r="C3" t="s">
        <v>61</v>
      </c>
      <c r="D3">
        <v>1600</v>
      </c>
      <c r="E3" s="6"/>
      <c r="F3" s="6"/>
      <c r="G3" s="6"/>
      <c r="H3" s="6"/>
      <c r="I3" s="6"/>
      <c r="J3" s="6"/>
      <c r="K3" s="6"/>
      <c r="L3" s="6"/>
      <c r="M3" s="6"/>
    </row>
    <row r="4" spans="1:14">
      <c r="A4" t="s">
        <v>125</v>
      </c>
      <c r="B4">
        <v>1900</v>
      </c>
      <c r="C4" t="s">
        <v>67</v>
      </c>
      <c r="D4">
        <v>1500</v>
      </c>
      <c r="E4" s="6"/>
      <c r="F4" s="6" t="s">
        <v>14</v>
      </c>
      <c r="G4" s="6" t="s">
        <v>20</v>
      </c>
      <c r="H4" s="6" t="s">
        <v>126</v>
      </c>
      <c r="I4" s="6" t="s">
        <v>18</v>
      </c>
      <c r="J4" s="6" t="s">
        <v>127</v>
      </c>
      <c r="K4" s="6" t="s">
        <v>16</v>
      </c>
      <c r="L4" s="6" t="s">
        <v>17</v>
      </c>
      <c r="M4" s="6"/>
    </row>
    <row r="5" spans="1:14">
      <c r="A5" t="s">
        <v>128</v>
      </c>
      <c r="B5">
        <v>1900</v>
      </c>
      <c r="C5" t="s">
        <v>78</v>
      </c>
      <c r="D5">
        <v>1420</v>
      </c>
      <c r="E5" s="9" t="s">
        <v>129</v>
      </c>
      <c r="F5" s="6">
        <v>226</v>
      </c>
      <c r="G5" s="6">
        <v>21</v>
      </c>
      <c r="H5" s="6">
        <v>42</v>
      </c>
      <c r="I5" s="6">
        <v>60</v>
      </c>
      <c r="J5" s="6">
        <v>21</v>
      </c>
      <c r="K5" s="6">
        <v>21</v>
      </c>
      <c r="L5" s="6">
        <v>63</v>
      </c>
      <c r="M5" s="6">
        <f>SUM(E5:L5)</f>
        <v>454</v>
      </c>
      <c r="N5" s="5" t="s">
        <v>130</v>
      </c>
    </row>
    <row r="6" spans="1:14">
      <c r="A6" t="s">
        <v>131</v>
      </c>
      <c r="B6">
        <v>1500</v>
      </c>
      <c r="C6" t="s">
        <v>13</v>
      </c>
      <c r="D6">
        <v>1900</v>
      </c>
      <c r="E6" s="6"/>
      <c r="F6" s="10">
        <f>F5/$M$5</f>
        <v>0.49779735682819382</v>
      </c>
      <c r="G6" s="10">
        <f t="shared" ref="G6:M6" si="0">G5/$M$5</f>
        <v>4.6255506607929514E-2</v>
      </c>
      <c r="H6" s="10">
        <f t="shared" si="0"/>
        <v>9.2511013215859028E-2</v>
      </c>
      <c r="I6" s="10">
        <f t="shared" si="0"/>
        <v>0.13215859030837004</v>
      </c>
      <c r="J6" s="10">
        <f t="shared" si="0"/>
        <v>4.6255506607929514E-2</v>
      </c>
      <c r="K6" s="10">
        <f t="shared" si="0"/>
        <v>4.6255506607929514E-2</v>
      </c>
      <c r="L6" s="10">
        <f t="shared" si="0"/>
        <v>0.13876651982378854</v>
      </c>
      <c r="M6" s="10">
        <f t="shared" si="0"/>
        <v>1</v>
      </c>
    </row>
    <row r="7" spans="1:14">
      <c r="A7" t="s">
        <v>132</v>
      </c>
      <c r="B7">
        <v>1600</v>
      </c>
      <c r="C7" t="s">
        <v>73</v>
      </c>
      <c r="E7" s="9" t="s">
        <v>133</v>
      </c>
      <c r="F7" s="6">
        <v>109</v>
      </c>
      <c r="G7" s="6">
        <v>24</v>
      </c>
      <c r="H7" s="6">
        <v>47</v>
      </c>
      <c r="I7" s="6">
        <v>350</v>
      </c>
      <c r="J7" s="6">
        <v>24</v>
      </c>
      <c r="K7" s="6">
        <v>24</v>
      </c>
      <c r="L7" s="6">
        <v>71</v>
      </c>
      <c r="M7" s="6">
        <f>SUM(F7:L7)</f>
        <v>649</v>
      </c>
    </row>
    <row r="8" spans="1:14">
      <c r="A8" s="4" t="s">
        <v>134</v>
      </c>
      <c r="B8">
        <v>1660</v>
      </c>
      <c r="E8" s="6"/>
      <c r="F8" s="10">
        <f>F7/$M$7</f>
        <v>0.1679506933744222</v>
      </c>
      <c r="G8" s="10">
        <f t="shared" ref="G8:M8" si="1">G7/$M$7</f>
        <v>3.6979969183359017E-2</v>
      </c>
      <c r="H8" s="10">
        <f t="shared" si="1"/>
        <v>7.24191063174114E-2</v>
      </c>
      <c r="I8" s="10">
        <f t="shared" si="1"/>
        <v>0.53929121725731899</v>
      </c>
      <c r="J8" s="10">
        <f t="shared" si="1"/>
        <v>3.6979969183359017E-2</v>
      </c>
      <c r="K8" s="10">
        <f t="shared" si="1"/>
        <v>3.6979969183359017E-2</v>
      </c>
      <c r="L8" s="10">
        <f t="shared" si="1"/>
        <v>0.10939907550077041</v>
      </c>
      <c r="M8" s="10">
        <f t="shared" si="1"/>
        <v>1</v>
      </c>
    </row>
    <row r="9" spans="1:14">
      <c r="E9" s="6" t="s">
        <v>135</v>
      </c>
      <c r="F9" s="6">
        <v>454</v>
      </c>
      <c r="G9" s="6">
        <v>24</v>
      </c>
      <c r="H9" s="6">
        <v>266</v>
      </c>
      <c r="I9" s="6">
        <v>66</v>
      </c>
      <c r="J9" s="6">
        <v>18</v>
      </c>
      <c r="K9" s="6">
        <v>36</v>
      </c>
      <c r="L9" s="6">
        <v>27</v>
      </c>
      <c r="M9" s="6">
        <f>SUM(F9:L9)</f>
        <v>891</v>
      </c>
      <c r="N9" s="5" t="s">
        <v>136</v>
      </c>
    </row>
    <row r="10" spans="1:14">
      <c r="E10" s="6"/>
      <c r="F10" s="11">
        <f>F9/$M$9</f>
        <v>0.50953984287317622</v>
      </c>
      <c r="G10" s="11">
        <f t="shared" ref="G10:M10" si="2">G9/$M$9</f>
        <v>2.6936026936026935E-2</v>
      </c>
      <c r="H10" s="11">
        <f t="shared" si="2"/>
        <v>0.29854096520763185</v>
      </c>
      <c r="I10" s="11">
        <f t="shared" si="2"/>
        <v>7.407407407407407E-2</v>
      </c>
      <c r="J10" s="11">
        <f t="shared" si="2"/>
        <v>2.0202020202020204E-2</v>
      </c>
      <c r="K10" s="11">
        <f t="shared" si="2"/>
        <v>4.0404040404040407E-2</v>
      </c>
      <c r="L10" s="11">
        <f t="shared" si="2"/>
        <v>3.0303030303030304E-2</v>
      </c>
      <c r="M10" s="11">
        <f t="shared" si="2"/>
        <v>1</v>
      </c>
    </row>
    <row r="11" spans="1:14">
      <c r="A11" s="2" t="s">
        <v>84</v>
      </c>
      <c r="B11">
        <f>AVERAGE(D2:D6)</f>
        <v>1664</v>
      </c>
      <c r="E11" s="6" t="s">
        <v>137</v>
      </c>
      <c r="F11" s="6" t="s">
        <v>138</v>
      </c>
      <c r="G11" s="6" t="s">
        <v>139</v>
      </c>
      <c r="H11" s="12" t="s">
        <v>140</v>
      </c>
      <c r="I11" s="12" t="s">
        <v>140</v>
      </c>
      <c r="J11" s="12" t="s">
        <v>140</v>
      </c>
      <c r="K11" s="6" t="s">
        <v>139</v>
      </c>
      <c r="L11" s="8" t="s">
        <v>141</v>
      </c>
      <c r="M11" s="6"/>
    </row>
    <row r="12" spans="1:14">
      <c r="A12" s="2" t="s">
        <v>89</v>
      </c>
      <c r="B12">
        <f>_xlfn.STDEV.S(D2:D6)</f>
        <v>224.67754671973788</v>
      </c>
      <c r="E12" s="6"/>
      <c r="F12" s="6"/>
      <c r="G12" s="6"/>
      <c r="H12" s="6"/>
      <c r="I12" s="6"/>
      <c r="J12" s="6"/>
      <c r="K12" s="6"/>
      <c r="L12" s="6"/>
      <c r="M12" s="6"/>
    </row>
    <row r="13" spans="1:14">
      <c r="E13" s="9" t="s">
        <v>84</v>
      </c>
      <c r="F13" s="11">
        <f>AVERAGE(F6,F8,F10)</f>
        <v>0.39176263102526415</v>
      </c>
      <c r="G13" s="11">
        <f t="shared" ref="G13:M13" si="3">AVERAGE(G6,G8,G10)</f>
        <v>3.672383424243849E-2</v>
      </c>
      <c r="H13" s="11">
        <f t="shared" si="3"/>
        <v>0.15449036158030074</v>
      </c>
      <c r="I13" s="11">
        <f t="shared" si="3"/>
        <v>0.24850796054658772</v>
      </c>
      <c r="J13" s="11">
        <f t="shared" si="3"/>
        <v>3.4479165331102915E-2</v>
      </c>
      <c r="K13" s="11">
        <f t="shared" si="3"/>
        <v>4.1213172065109653E-2</v>
      </c>
      <c r="L13" s="11">
        <f t="shared" si="3"/>
        <v>9.2822875209196409E-2</v>
      </c>
      <c r="M13" s="11">
        <f t="shared" si="3"/>
        <v>1</v>
      </c>
    </row>
    <row r="14" spans="1:14">
      <c r="E14" s="9" t="s">
        <v>142</v>
      </c>
      <c r="F14" s="11">
        <f>_xlfn.STDEV.S(F6,F8,F10)</f>
        <v>0.19391572672400076</v>
      </c>
      <c r="G14" s="11">
        <f t="shared" ref="G14:L14" si="4">_xlfn.STDEV.S(G6,G8,G10)</f>
        <v>9.6622863510265541E-3</v>
      </c>
      <c r="H14" s="11">
        <f t="shared" si="4"/>
        <v>0.1251553174449764</v>
      </c>
      <c r="I14" s="11">
        <f t="shared" si="4"/>
        <v>0.25349483139507467</v>
      </c>
      <c r="J14" s="11">
        <f t="shared" si="4"/>
        <v>1.3205550098588077E-2</v>
      </c>
      <c r="K14" s="11">
        <f t="shared" si="4"/>
        <v>4.6904071424941855E-3</v>
      </c>
      <c r="L14" s="11">
        <f t="shared" si="4"/>
        <v>5.6099553936147253E-2</v>
      </c>
      <c r="M14" s="6"/>
    </row>
    <row r="15" spans="1:14">
      <c r="A15" t="s">
        <v>14</v>
      </c>
      <c r="B15">
        <v>1200</v>
      </c>
      <c r="C15">
        <f t="shared" ref="C15:C20" si="5">B15/$B$21*100</f>
        <v>48.387096774193552</v>
      </c>
      <c r="E15" s="6"/>
      <c r="F15" s="6"/>
      <c r="G15" s="6"/>
      <c r="H15" s="6"/>
      <c r="I15" s="6"/>
      <c r="J15" s="6"/>
      <c r="K15" s="6"/>
      <c r="L15" s="6"/>
      <c r="M15" s="6"/>
    </row>
    <row r="16" spans="1:14">
      <c r="A16" t="s">
        <v>19</v>
      </c>
      <c r="B16">
        <v>200</v>
      </c>
      <c r="C16">
        <f t="shared" si="5"/>
        <v>8.064516129032258</v>
      </c>
      <c r="E16" s="9"/>
      <c r="F16" s="9" t="s">
        <v>14</v>
      </c>
      <c r="G16" s="9" t="s">
        <v>20</v>
      </c>
      <c r="H16" s="9" t="s">
        <v>126</v>
      </c>
      <c r="I16" s="9" t="s">
        <v>18</v>
      </c>
      <c r="J16" s="9" t="s">
        <v>127</v>
      </c>
      <c r="K16" s="9" t="s">
        <v>16</v>
      </c>
      <c r="L16" s="9" t="s">
        <v>17</v>
      </c>
      <c r="M16" s="9" t="s">
        <v>143</v>
      </c>
    </row>
    <row r="17" spans="1:14">
      <c r="A17" t="s">
        <v>144</v>
      </c>
      <c r="B17">
        <v>368</v>
      </c>
      <c r="C17">
        <f t="shared" si="5"/>
        <v>14.838709677419354</v>
      </c>
      <c r="E17" s="13" t="s">
        <v>113</v>
      </c>
      <c r="F17" s="14">
        <f>F13*$B$11</f>
        <v>651.8930180260395</v>
      </c>
      <c r="G17" s="14">
        <f t="shared" ref="G17:L17" si="6">G13*$B$11</f>
        <v>61.108460179417648</v>
      </c>
      <c r="H17" s="14">
        <f t="shared" si="6"/>
        <v>257.07196166962046</v>
      </c>
      <c r="I17" s="14">
        <f t="shared" si="6"/>
        <v>413.51724634952194</v>
      </c>
      <c r="J17" s="14">
        <f t="shared" si="6"/>
        <v>57.373331110955249</v>
      </c>
      <c r="K17" s="14">
        <f t="shared" si="6"/>
        <v>68.57871831634246</v>
      </c>
      <c r="L17" s="14">
        <f t="shared" si="6"/>
        <v>154.45726434810283</v>
      </c>
      <c r="M17" s="14">
        <f>SUM(F17:L17)</f>
        <v>1664</v>
      </c>
    </row>
    <row r="18" spans="1:14">
      <c r="A18" t="s">
        <v>145</v>
      </c>
      <c r="B18">
        <v>150</v>
      </c>
      <c r="C18">
        <f t="shared" si="5"/>
        <v>6.0483870967741939</v>
      </c>
      <c r="E18" s="13" t="s">
        <v>142</v>
      </c>
      <c r="F18" s="14">
        <f>($B$11+$B$12)*F14</f>
        <v>366.24427901946086</v>
      </c>
      <c r="G18" s="14">
        <f t="shared" ref="G18:L18" si="7">($B$11+$B$12)*G14</f>
        <v>18.24894328116044</v>
      </c>
      <c r="H18" s="14">
        <f t="shared" si="7"/>
        <v>236.37803791090803</v>
      </c>
      <c r="I18" s="14">
        <f t="shared" si="7"/>
        <v>478.76999626538321</v>
      </c>
      <c r="J18" s="14">
        <f t="shared" si="7"/>
        <v>24.94102596328592</v>
      </c>
      <c r="K18" s="14">
        <f t="shared" si="7"/>
        <v>8.8586666550026543</v>
      </c>
      <c r="L18" s="14">
        <f t="shared" si="7"/>
        <v>105.9539679001942</v>
      </c>
      <c r="M18" s="14"/>
    </row>
    <row r="19" spans="1:14">
      <c r="A19" t="s">
        <v>17</v>
      </c>
      <c r="B19">
        <v>250</v>
      </c>
      <c r="C19">
        <f t="shared" si="5"/>
        <v>10.080645161290322</v>
      </c>
    </row>
    <row r="20" spans="1:14">
      <c r="A20" t="s">
        <v>18</v>
      </c>
      <c r="B20">
        <v>312</v>
      </c>
      <c r="C20">
        <f t="shared" si="5"/>
        <v>12.580645161290322</v>
      </c>
    </row>
    <row r="21" spans="1:14">
      <c r="A21" t="s">
        <v>143</v>
      </c>
      <c r="B21">
        <f>SUM(B15:B20)</f>
        <v>2480</v>
      </c>
      <c r="M21" t="s">
        <v>146</v>
      </c>
      <c r="N21" s="5" t="s">
        <v>147</v>
      </c>
    </row>
    <row r="25" spans="1:14">
      <c r="G25" t="s">
        <v>148</v>
      </c>
      <c r="H25" s="5" t="s">
        <v>149</v>
      </c>
      <c r="M25" t="s">
        <v>150</v>
      </c>
      <c r="N25" s="5" t="s">
        <v>151</v>
      </c>
    </row>
    <row r="26" spans="1:14">
      <c r="A26" s="5" t="s">
        <v>152</v>
      </c>
      <c r="E26" t="s">
        <v>153</v>
      </c>
      <c r="G26" t="s">
        <v>154</v>
      </c>
      <c r="H26" s="5" t="s">
        <v>155</v>
      </c>
      <c r="I26" t="s">
        <v>156</v>
      </c>
      <c r="M26" t="s">
        <v>157</v>
      </c>
      <c r="N26" s="5" t="s">
        <v>158</v>
      </c>
    </row>
    <row r="27" spans="1:14">
      <c r="A27" s="5" t="s">
        <v>159</v>
      </c>
      <c r="E27" t="s">
        <v>160</v>
      </c>
      <c r="G27" t="s">
        <v>161</v>
      </c>
      <c r="M27" t="s">
        <v>162</v>
      </c>
      <c r="N27" s="5" t="s">
        <v>163</v>
      </c>
    </row>
    <row r="28" spans="1:14">
      <c r="A28" s="5" t="s">
        <v>164</v>
      </c>
      <c r="E28" t="s">
        <v>165</v>
      </c>
      <c r="F28" t="s">
        <v>166</v>
      </c>
      <c r="G28" t="s">
        <v>167</v>
      </c>
      <c r="M28" t="s">
        <v>168</v>
      </c>
    </row>
    <row r="29" spans="1:14">
      <c r="A29" s="5" t="s">
        <v>169</v>
      </c>
      <c r="E29" t="s">
        <v>165</v>
      </c>
      <c r="F29" t="s">
        <v>170</v>
      </c>
      <c r="G29" t="s">
        <v>171</v>
      </c>
      <c r="M29">
        <v>150</v>
      </c>
      <c r="N29" t="s">
        <v>172</v>
      </c>
    </row>
    <row r="30" spans="1:14">
      <c r="A30" s="5" t="s">
        <v>173</v>
      </c>
      <c r="E30" t="s">
        <v>174</v>
      </c>
      <c r="G30" t="s">
        <v>175</v>
      </c>
      <c r="M30">
        <v>600</v>
      </c>
      <c r="N30" t="s">
        <v>176</v>
      </c>
    </row>
    <row r="31" spans="1:14">
      <c r="G31" t="s">
        <v>177</v>
      </c>
      <c r="M31">
        <v>600</v>
      </c>
      <c r="N31" t="s">
        <v>178</v>
      </c>
    </row>
    <row r="32" spans="1:14">
      <c r="G32" t="s">
        <v>179</v>
      </c>
      <c r="H32" s="5" t="s">
        <v>180</v>
      </c>
      <c r="M32">
        <f>600*4</f>
        <v>2400</v>
      </c>
      <c r="N32" t="s">
        <v>178</v>
      </c>
    </row>
    <row r="33" spans="1:13">
      <c r="G33" t="s">
        <v>174</v>
      </c>
      <c r="H33" s="5" t="s">
        <v>181</v>
      </c>
      <c r="M33">
        <f>M31/M29/0.3</f>
        <v>13.333333333333334</v>
      </c>
    </row>
    <row r="34" spans="1:13">
      <c r="M34">
        <f>M32/M29/0.8</f>
        <v>20</v>
      </c>
    </row>
    <row r="35" spans="1:13">
      <c r="M35">
        <f>(M32+M31)/M29/0.3</f>
        <v>66.666666666666671</v>
      </c>
    </row>
    <row r="36" spans="1:13">
      <c r="A36" t="s">
        <v>182</v>
      </c>
      <c r="B36" s="49"/>
      <c r="G36" t="s">
        <v>183</v>
      </c>
      <c r="H36" s="5" t="s">
        <v>184</v>
      </c>
    </row>
    <row r="37" spans="1:13">
      <c r="A37" t="s">
        <v>185</v>
      </c>
      <c r="B37" s="49">
        <v>0</v>
      </c>
      <c r="C37">
        <v>1</v>
      </c>
      <c r="D37">
        <f t="shared" ref="D37:D49" si="8">B37*C37</f>
        <v>0</v>
      </c>
    </row>
    <row r="38" spans="1:13">
      <c r="A38" t="s">
        <v>186</v>
      </c>
      <c r="B38" s="49"/>
      <c r="C38">
        <v>1</v>
      </c>
      <c r="D38">
        <f t="shared" si="8"/>
        <v>0</v>
      </c>
    </row>
    <row r="39" spans="1:13">
      <c r="A39" t="s">
        <v>187</v>
      </c>
      <c r="B39" s="49">
        <v>35</v>
      </c>
      <c r="C39">
        <v>2</v>
      </c>
      <c r="D39">
        <f t="shared" si="8"/>
        <v>70</v>
      </c>
    </row>
    <row r="40" spans="1:13">
      <c r="A40" s="49" t="s">
        <v>188</v>
      </c>
      <c r="B40" s="49">
        <v>35</v>
      </c>
      <c r="C40">
        <v>1</v>
      </c>
      <c r="D40">
        <f t="shared" si="8"/>
        <v>35</v>
      </c>
    </row>
    <row r="41" spans="1:13">
      <c r="A41" s="49" t="s">
        <v>189</v>
      </c>
      <c r="B41" s="49">
        <v>22</v>
      </c>
      <c r="C41">
        <v>1</v>
      </c>
      <c r="D41">
        <f t="shared" si="8"/>
        <v>22</v>
      </c>
    </row>
    <row r="42" spans="1:13">
      <c r="A42" s="49" t="s">
        <v>190</v>
      </c>
      <c r="B42" s="49">
        <v>21</v>
      </c>
      <c r="C42">
        <v>1</v>
      </c>
      <c r="D42">
        <f t="shared" si="8"/>
        <v>21</v>
      </c>
      <c r="J42" t="s">
        <v>191</v>
      </c>
    </row>
    <row r="43" spans="1:13">
      <c r="A43" s="49" t="s">
        <v>192</v>
      </c>
      <c r="B43" s="49">
        <v>44</v>
      </c>
      <c r="C43">
        <v>4</v>
      </c>
      <c r="D43">
        <f t="shared" si="8"/>
        <v>176</v>
      </c>
      <c r="J43" t="s">
        <v>193</v>
      </c>
      <c r="K43">
        <v>14</v>
      </c>
    </row>
    <row r="44" spans="1:13">
      <c r="A44" s="49" t="s">
        <v>194</v>
      </c>
      <c r="B44" s="49">
        <v>18</v>
      </c>
      <c r="C44">
        <v>1</v>
      </c>
      <c r="D44">
        <f t="shared" si="8"/>
        <v>18</v>
      </c>
      <c r="J44" t="s">
        <v>195</v>
      </c>
      <c r="K44">
        <v>2366.1</v>
      </c>
      <c r="L44" t="s">
        <v>178</v>
      </c>
    </row>
    <row r="45" spans="1:13">
      <c r="A45" s="49" t="s">
        <v>196</v>
      </c>
      <c r="B45" s="49">
        <v>2</v>
      </c>
      <c r="C45">
        <v>1</v>
      </c>
      <c r="D45">
        <f t="shared" si="8"/>
        <v>2</v>
      </c>
      <c r="J45" t="s">
        <v>197</v>
      </c>
      <c r="K45">
        <v>29.64</v>
      </c>
      <c r="L45" t="s">
        <v>198</v>
      </c>
    </row>
    <row r="46" spans="1:13">
      <c r="A46" s="49" t="s">
        <v>199</v>
      </c>
      <c r="B46" s="49">
        <v>20</v>
      </c>
      <c r="C46">
        <v>1</v>
      </c>
      <c r="D46">
        <f t="shared" si="8"/>
        <v>20</v>
      </c>
      <c r="F46" t="s">
        <v>200</v>
      </c>
      <c r="J46" t="s">
        <v>201</v>
      </c>
      <c r="K46">
        <v>7.67</v>
      </c>
      <c r="L46" t="s">
        <v>72</v>
      </c>
    </row>
    <row r="47" spans="1:13">
      <c r="A47" s="49" t="s">
        <v>202</v>
      </c>
      <c r="B47" s="50">
        <v>114.746</v>
      </c>
      <c r="C47">
        <v>1</v>
      </c>
      <c r="D47">
        <f t="shared" si="8"/>
        <v>114.746</v>
      </c>
      <c r="F47" t="s">
        <v>203</v>
      </c>
    </row>
    <row r="48" spans="1:13">
      <c r="A48" t="s">
        <v>204</v>
      </c>
      <c r="B48">
        <v>3</v>
      </c>
      <c r="C48">
        <v>3</v>
      </c>
      <c r="D48">
        <f t="shared" si="8"/>
        <v>9</v>
      </c>
      <c r="J48" t="s">
        <v>205</v>
      </c>
    </row>
    <row r="49" spans="1:12">
      <c r="A49" t="s">
        <v>16</v>
      </c>
      <c r="B49">
        <v>100</v>
      </c>
      <c r="C49">
        <v>1</v>
      </c>
      <c r="D49">
        <f t="shared" si="8"/>
        <v>100</v>
      </c>
      <c r="J49" t="s">
        <v>193</v>
      </c>
      <c r="K49">
        <v>31</v>
      </c>
    </row>
    <row r="50" spans="1:12">
      <c r="J50" t="s">
        <v>195</v>
      </c>
      <c r="K50">
        <v>4832.5</v>
      </c>
      <c r="L50" t="s">
        <v>178</v>
      </c>
    </row>
    <row r="51" spans="1:12">
      <c r="E51" t="s">
        <v>206</v>
      </c>
      <c r="F51">
        <f>5*D56</f>
        <v>2938.73</v>
      </c>
      <c r="G51" t="s">
        <v>178</v>
      </c>
      <c r="J51" t="s">
        <v>197</v>
      </c>
      <c r="K51">
        <v>48</v>
      </c>
      <c r="L51" t="s">
        <v>198</v>
      </c>
    </row>
    <row r="52" spans="1:12">
      <c r="J52" t="s">
        <v>201</v>
      </c>
      <c r="K52">
        <v>16.3</v>
      </c>
    </row>
    <row r="53" spans="1:12">
      <c r="D53">
        <v>936</v>
      </c>
      <c r="E53">
        <f>D53*1.2</f>
        <v>1123.2</v>
      </c>
      <c r="G53">
        <f>(SQRT(2)/2)^2*0.9*4</f>
        <v>1.8000000000000005</v>
      </c>
    </row>
    <row r="54" spans="1:12">
      <c r="E54">
        <v>1618</v>
      </c>
      <c r="J54" t="s">
        <v>498</v>
      </c>
    </row>
    <row r="55" spans="1:12">
      <c r="J55" t="s">
        <v>193</v>
      </c>
      <c r="K55">
        <v>66</v>
      </c>
    </row>
    <row r="56" spans="1:12">
      <c r="D56">
        <f>SUM(D37:D49)</f>
        <v>587.74599999999998</v>
      </c>
      <c r="E56" t="s">
        <v>176</v>
      </c>
      <c r="G56" t="s">
        <v>499</v>
      </c>
      <c r="J56" t="s">
        <v>195</v>
      </c>
      <c r="K56">
        <v>11701.7</v>
      </c>
      <c r="L56" t="s">
        <v>178</v>
      </c>
    </row>
    <row r="57" spans="1:12">
      <c r="G57" t="s">
        <v>500</v>
      </c>
      <c r="J57" t="s">
        <v>197</v>
      </c>
      <c r="K57">
        <v>85.8</v>
      </c>
    </row>
    <row r="58" spans="1:12">
      <c r="D58">
        <f>D56/0.95^2</f>
        <v>651.2421052631579</v>
      </c>
      <c r="G58" t="s">
        <v>501</v>
      </c>
      <c r="J58" t="s">
        <v>201</v>
      </c>
      <c r="K58">
        <v>34.1</v>
      </c>
    </row>
    <row r="59" spans="1:12">
      <c r="G59" t="s">
        <v>502</v>
      </c>
    </row>
  </sheetData>
  <hyperlinks>
    <hyperlink ref="N5" r:id="rId1" xr:uid="{9C8247FD-9AF1-45F0-8742-7CBA9D672825}"/>
    <hyperlink ref="N9" r:id="rId2" xr:uid="{60EF4709-6377-4DCE-BFB1-EA1BFCE171D1}"/>
    <hyperlink ref="N21" r:id="rId3" xr:uid="{55BA7E05-9105-44A8-B981-3DCE7D1B1B11}"/>
    <hyperlink ref="A26" r:id="rId4" xr:uid="{D460835D-1814-4A64-B274-9986BC397223}"/>
    <hyperlink ref="A27" r:id="rId5" display="https://satsearch.s3.eu-central-1.amazonaws.com/datasheets/satsearch_datasheet_uryedx_airbus_high_power_pcdu.pdf?X-Amz-Algorithm=AWS4-HMAC-SHA256&amp;X-Amz-Credential=AKIAJLB7IRZ54RAMS36Q%2F20230606%2Feu-central-1%2Fs3%2Faws4_request&amp;X-Amz-Date=20230606T111721Z&amp;X-Amz-Expires=86400&amp;X-Amz-Signature=9cdd52ec6522b7106ac8823bdb9cf6581dcaa72102db99d2bad875b5a4fb10a3&amp;X-Amz-SignedHeaders=host" xr:uid="{95DF409A-BF37-41CD-9C2B-E3539C36271F}"/>
    <hyperlink ref="A28" r:id="rId6" display="https://satsearch.s3.eu-central-1.amazonaws.com/datasheets/satsearch_ru4z5f_terma_power_conditioning_unit.pdf?X-Amz-Algorithm=AWS4-HMAC-SHA256&amp;X-Amz-Credential=AKIAJLB7IRZ54RAMS36Q%2F20230606%2Feu-central-1%2Fs3%2Faws4_request&amp;X-Amz-Date=20230606T112103Z&amp;X-Amz-Expires=86400&amp;X-Amz-Signature=8abd3820765384f70f40476966de4c5c5f3b07d393b005ee5c1b0635b6653e4c&amp;X-Amz-SignedHeaders=host" xr:uid="{A7A9A696-C579-4902-8CC9-95E05EBF0F64}"/>
    <hyperlink ref="A29" r:id="rId7" display="https://satsearch.s3.eu-central-1.amazonaws.com/datasheets/satsearch_datasheet_um1uhg_airbus_pcu_50v.pdf?X-Amz-Algorithm=AWS4-HMAC-SHA256&amp;X-Amz-Credential=AKIAJLB7IRZ54RAMS36Q%2F20230606%2Feu-central-1%2Fs3%2Faws4_request&amp;X-Amz-Date=20230606T112537Z&amp;X-Amz-Expires=86400&amp;X-Amz-Signature=741574f6887e4dfdb87f43380ce4ea3538a51eee7a44940fb311aec1f3e2f8ee&amp;X-Amz-SignedHeaders=host" xr:uid="{40420957-0923-4F1F-A23D-9BB837756700}"/>
    <hyperlink ref="H32" r:id="rId8" xr:uid="{81C09073-292B-4744-AB2A-71D33F725B0B}"/>
    <hyperlink ref="H26" r:id="rId9" display="https://satsearch.s3.eu-central-1.amazonaws.com/datasheets/satsearch_datasheet_c7qho3_saft_vl51es.pdf?X-Amz-Algorithm=AWS4-HMAC-SHA256&amp;X-Amz-Credential=AKIAJLB7IRZ54RAMS36Q%2F20230606%2Feu-central-1%2Fs3%2Faws4_request&amp;X-Amz-Date=20230606T150511Z&amp;X-Amz-Expires=86400&amp;X-Amz-Signature=3a6f0a943f715e730b0d3711c3aad59ff6502fbc411a9f0a4cdf004b020e9053&amp;X-Amz-SignedHeaders=host" xr:uid="{23060D90-C5D9-4ABF-9699-3861FB7029F0}"/>
    <hyperlink ref="A30" r:id="rId10" xr:uid="{682111C2-577B-4B15-8752-BF39ADF0F327}"/>
    <hyperlink ref="H25" r:id="rId11" xr:uid="{3A9A3994-88D7-426A-9638-0D044D7D6854}"/>
    <hyperlink ref="H33" r:id="rId12" xr:uid="{03FA8DB4-2B96-46D9-A18C-23DA3082BB02}"/>
    <hyperlink ref="N26" r:id="rId13" xr:uid="{9E69E937-BC88-441F-898C-CE4F62C3C907}"/>
    <hyperlink ref="N27" r:id="rId14" xr:uid="{41560CF7-82F7-4084-80BE-1F063EDAD3D5}"/>
    <hyperlink ref="H36" r:id="rId15" xr:uid="{F207D76E-C845-4F21-BA88-0DE1A0CCDB62}"/>
    <hyperlink ref="N25" r:id="rId16" display="https://www.researchgate.net/publication/357257487_The_Influence_of_Temperature_on_the_Capacity_of_Lithium_Ion_Batteries_with_Different_Anodes?_iepl%5BgeneralViewId%5D=QARvsa07pCjftVLRXqxWFI4gRYlG5WzIEy1l&amp;_iepl%5Bcontexts%5D%5B0%5D=searchReact&amp;_iepl%5BviewId%5D=GpuOy39ZCGXV7wECmFjK4bdvRHmW6yC3eOkd&amp;_iepl%5BsearchType%5D=publication&amp;_iepl%5Bdata%5D%5BcountLessEqual20%5D=1&amp;_iepl%5Bdata%5D%5BinteractedWithPosition2%5D=1&amp;_iepl%5Bdata%5D%5BwithoutEnrichment%5D=1&amp;_iepl%5Bposition%5D=2&amp;_iepl%5BrgKey%5D=PB%3A357257487&amp;_iepl%5BtargetEntityId%5D=PB%3A357257487&amp;_iepl%5BinteractionType%5D=publicationTitle" xr:uid="{63166EA4-C6F3-4EC8-BA6D-F92A1290A21C}"/>
  </hyperlinks>
  <pageMargins left="0.7" right="0.7" top="0.75" bottom="0.75" header="0.3" footer="0.3"/>
  <pageSetup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022-6D41-48A1-9A59-009A6EA3DFAF}">
  <dimension ref="A1:N27"/>
  <sheetViews>
    <sheetView workbookViewId="0">
      <selection activeCell="B24" sqref="B24"/>
    </sheetView>
  </sheetViews>
  <sheetFormatPr defaultRowHeight="14.4"/>
  <cols>
    <col min="1" max="1" width="30.88671875" customWidth="1"/>
    <col min="2" max="2" width="30.5546875" customWidth="1"/>
    <col min="3" max="3" width="14.6640625" customWidth="1"/>
    <col min="4" max="4" width="16.44140625" customWidth="1"/>
    <col min="5" max="5" width="16.5546875" customWidth="1"/>
    <col min="6" max="8" width="21.88671875" customWidth="1"/>
    <col min="9" max="9" width="19.33203125" customWidth="1"/>
  </cols>
  <sheetData>
    <row r="1" spans="1:14">
      <c r="A1" t="s">
        <v>207</v>
      </c>
      <c r="B1" t="s">
        <v>208</v>
      </c>
      <c r="E1" t="s">
        <v>209</v>
      </c>
      <c r="F1" t="s">
        <v>0</v>
      </c>
      <c r="G1" t="s">
        <v>114</v>
      </c>
    </row>
    <row r="2" spans="1:14">
      <c r="A2" t="s">
        <v>210</v>
      </c>
      <c r="B2" t="s">
        <v>211</v>
      </c>
      <c r="C2">
        <v>1</v>
      </c>
      <c r="D2">
        <v>10</v>
      </c>
      <c r="E2">
        <f>1/(10*10^6*365*24*3600)*300*10^6*9600</f>
        <v>9.1324200913242004E-3</v>
      </c>
      <c r="F2">
        <v>17.5</v>
      </c>
      <c r="G2">
        <v>44</v>
      </c>
      <c r="J2" s="5" t="s">
        <v>212</v>
      </c>
      <c r="K2" s="5" t="s">
        <v>213</v>
      </c>
      <c r="N2" s="5" t="s">
        <v>3</v>
      </c>
    </row>
    <row r="3" spans="1:14">
      <c r="A3" s="19" t="s">
        <v>214</v>
      </c>
      <c r="B3" s="20" t="s">
        <v>215</v>
      </c>
      <c r="E3">
        <f>1*10^(-17)*300*10^6*E7</f>
        <v>2.8800000000000006E-4</v>
      </c>
      <c r="F3">
        <v>35</v>
      </c>
      <c r="G3">
        <v>77</v>
      </c>
      <c r="J3" t="s">
        <v>216</v>
      </c>
    </row>
    <row r="4" spans="1:14">
      <c r="A4" t="s">
        <v>217</v>
      </c>
      <c r="B4" t="s">
        <v>218</v>
      </c>
      <c r="E4">
        <f>1.8*10^(-9)/(12*3600)*300*10^6*E7</f>
        <v>1.2000000000000002</v>
      </c>
      <c r="G4">
        <v>39</v>
      </c>
      <c r="J4" s="5" t="s">
        <v>219</v>
      </c>
    </row>
    <row r="5" spans="1:14">
      <c r="A5" s="21" t="s">
        <v>220</v>
      </c>
      <c r="B5" t="s">
        <v>221</v>
      </c>
      <c r="C5">
        <v>0.45</v>
      </c>
      <c r="D5">
        <v>12</v>
      </c>
      <c r="E5">
        <f>0.45*10^(-9)/(12*3600)*300*10^6*E7</f>
        <v>0.30000000000000004</v>
      </c>
      <c r="F5">
        <v>12</v>
      </c>
      <c r="G5">
        <v>54</v>
      </c>
      <c r="J5" s="5" t="s">
        <v>222</v>
      </c>
    </row>
    <row r="6" spans="1:14">
      <c r="A6" t="s">
        <v>223</v>
      </c>
      <c r="B6" s="5" t="s">
        <v>224</v>
      </c>
      <c r="E6">
        <v>0.3</v>
      </c>
    </row>
    <row r="7" spans="1:14">
      <c r="A7" s="5" t="s">
        <v>225</v>
      </c>
      <c r="B7">
        <f>5*10^(-14) * 3600 * 24</f>
        <v>4.32E-9</v>
      </c>
      <c r="C7">
        <f>300*10^(6)*B7</f>
        <v>1.296</v>
      </c>
      <c r="E7">
        <v>96000</v>
      </c>
      <c r="F7">
        <f>50000/3600/24</f>
        <v>0.57870370370370372</v>
      </c>
      <c r="G7">
        <f>50000*1*10^(-14)*3*10^8</f>
        <v>0.15000000000000002</v>
      </c>
    </row>
    <row r="9" spans="1:14">
      <c r="A9" t="s">
        <v>188</v>
      </c>
      <c r="B9" t="s">
        <v>0</v>
      </c>
      <c r="C9" t="s">
        <v>226</v>
      </c>
      <c r="D9" t="s">
        <v>227</v>
      </c>
      <c r="E9" t="s">
        <v>228</v>
      </c>
      <c r="F9" t="s">
        <v>229</v>
      </c>
      <c r="G9" t="s">
        <v>230</v>
      </c>
      <c r="H9" t="s">
        <v>231</v>
      </c>
      <c r="I9" t="s">
        <v>232</v>
      </c>
    </row>
    <row r="10" spans="1:14">
      <c r="A10" t="s">
        <v>233</v>
      </c>
      <c r="B10">
        <v>12</v>
      </c>
      <c r="C10">
        <v>35</v>
      </c>
      <c r="D10">
        <v>50</v>
      </c>
      <c r="E10" t="s">
        <v>234</v>
      </c>
      <c r="F10" t="s">
        <v>235</v>
      </c>
      <c r="G10" t="s">
        <v>236</v>
      </c>
      <c r="I10" t="s">
        <v>237</v>
      </c>
      <c r="J10" s="5" t="s">
        <v>238</v>
      </c>
    </row>
    <row r="13" spans="1:14">
      <c r="A13" t="s">
        <v>189</v>
      </c>
      <c r="B13" t="s">
        <v>0</v>
      </c>
      <c r="C13" t="s">
        <v>226</v>
      </c>
      <c r="D13" t="s">
        <v>227</v>
      </c>
      <c r="E13" t="s">
        <v>228</v>
      </c>
      <c r="F13" t="s">
        <v>229</v>
      </c>
      <c r="G13" t="s">
        <v>230</v>
      </c>
      <c r="H13" t="s">
        <v>231</v>
      </c>
      <c r="I13" t="s">
        <v>232</v>
      </c>
    </row>
    <row r="14" spans="1:14">
      <c r="A14" t="s">
        <v>239</v>
      </c>
      <c r="B14">
        <v>7.6</v>
      </c>
      <c r="C14">
        <v>22</v>
      </c>
      <c r="I14" t="s">
        <v>240</v>
      </c>
      <c r="J14" s="5" t="s">
        <v>241</v>
      </c>
    </row>
    <row r="16" spans="1:14">
      <c r="A16" t="s">
        <v>190</v>
      </c>
      <c r="B16" t="s">
        <v>0</v>
      </c>
      <c r="C16" t="s">
        <v>226</v>
      </c>
      <c r="D16" t="s">
        <v>227</v>
      </c>
      <c r="E16" t="s">
        <v>228</v>
      </c>
      <c r="F16" t="s">
        <v>229</v>
      </c>
      <c r="G16" t="s">
        <v>230</v>
      </c>
      <c r="H16" t="s">
        <v>231</v>
      </c>
      <c r="I16" t="s">
        <v>232</v>
      </c>
    </row>
    <row r="17" spans="1:10">
      <c r="A17" t="s">
        <v>242</v>
      </c>
      <c r="B17">
        <v>5.2</v>
      </c>
      <c r="C17">
        <v>21</v>
      </c>
      <c r="E17" t="s">
        <v>243</v>
      </c>
      <c r="F17" t="s">
        <v>244</v>
      </c>
      <c r="G17" t="s">
        <v>245</v>
      </c>
      <c r="H17" t="s">
        <v>246</v>
      </c>
      <c r="I17" t="s">
        <v>247</v>
      </c>
      <c r="J17" s="5" t="s">
        <v>248</v>
      </c>
    </row>
    <row r="19" spans="1:10">
      <c r="A19" t="s">
        <v>249</v>
      </c>
      <c r="B19" t="s">
        <v>250</v>
      </c>
    </row>
    <row r="20" spans="1:10">
      <c r="A20" t="s">
        <v>251</v>
      </c>
      <c r="B20" t="s">
        <v>252</v>
      </c>
    </row>
    <row r="26" spans="1:10">
      <c r="A26" s="2" t="s">
        <v>143</v>
      </c>
      <c r="B26" t="s">
        <v>114</v>
      </c>
      <c r="C26" t="s">
        <v>253</v>
      </c>
    </row>
    <row r="27" spans="1:10">
      <c r="A27" s="2"/>
    </row>
  </sheetData>
  <hyperlinks>
    <hyperlink ref="N2" r:id="rId1" xr:uid="{CCECA1B2-619A-4E73-9344-ACF9E9917636}"/>
    <hyperlink ref="J5" r:id="rId2" xr:uid="{CF219DD7-5268-4F75-A4C3-398FF52CC4FC}"/>
    <hyperlink ref="J4" r:id="rId3" xr:uid="{D5AA7792-8E13-48AE-9131-3AF9DD19CC23}"/>
    <hyperlink ref="J10" r:id="rId4" xr:uid="{5AFC616B-4538-445A-8CF4-9675E4904B8F}"/>
    <hyperlink ref="J14" r:id="rId5" xr:uid="{20F7355C-55B0-4AB5-A9AC-7FBE26DB2BFE}"/>
    <hyperlink ref="J17" r:id="rId6" xr:uid="{4237C984-5DC1-4485-A1BE-3B444DCE9073}"/>
    <hyperlink ref="K2" r:id="rId7" xr:uid="{CE5F3391-3A12-4D10-AC69-B56D9B3C8347}"/>
    <hyperlink ref="B6" r:id="rId8" display="https://safran-navigation-timing.com/solution/atomic-clocks-and-oscillators/?utm_term=rubidium%20clock&amp;utm_campaign=SPT+-+Rb+v2&amp;utm_source=adwords&amp;utm_medium=ppc&amp;hsa_acc=9946183019&amp;hsa_cam=20186286929&amp;hsa_grp=148877891905&amp;hsa_ad=652021906696&amp;hsa_src=g&amp;hsa_tgt=kwd-355170574442&amp;hsa_kw=rubidium%20clock&amp;hsa_mt=p&amp;hsa_net=adwords&amp;hsa_ver=3&amp;gad=1&amp;gclid=CjwKCAjwpuajBhBpEiwA_ZtfhaNegl9byftr9S26F4537ido9Ooa5-C1C59tApIOIzodT2kLVLElXBoCxJMQAvD_BwE" xr:uid="{32453DAA-3704-44A5-A993-7ECC77DD1C5C}"/>
    <hyperlink ref="J2" r:id="rId9" xr:uid="{1DFCE364-5F39-43E3-B7C9-DDCA7A9A025C}"/>
    <hyperlink ref="A7" r:id="rId10" xr:uid="{0D46CD0A-5DFB-42BF-AB7A-40763EEA15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FA03-5F0B-4C91-9D78-D03D0DA04EBF}">
  <dimension ref="A2:L49"/>
  <sheetViews>
    <sheetView topLeftCell="A6" workbookViewId="0">
      <selection activeCell="B23" sqref="B23"/>
    </sheetView>
  </sheetViews>
  <sheetFormatPr defaultRowHeight="14.4"/>
  <cols>
    <col min="1" max="1" width="39.6640625" customWidth="1"/>
  </cols>
  <sheetData>
    <row r="2" spans="1:11">
      <c r="A2" s="5" t="s">
        <v>254</v>
      </c>
    </row>
    <row r="6" spans="1:11">
      <c r="B6" t="s">
        <v>255</v>
      </c>
      <c r="C6">
        <v>1.2</v>
      </c>
      <c r="D6" t="s">
        <v>256</v>
      </c>
      <c r="E6" t="s">
        <v>257</v>
      </c>
    </row>
    <row r="7" spans="1:11">
      <c r="C7">
        <v>20</v>
      </c>
      <c r="D7" t="s">
        <v>258</v>
      </c>
    </row>
    <row r="8" spans="1:11">
      <c r="A8" t="s">
        <v>259</v>
      </c>
      <c r="B8" s="5" t="s">
        <v>260</v>
      </c>
    </row>
    <row r="9" spans="1:11">
      <c r="A9" t="s">
        <v>261</v>
      </c>
      <c r="B9" s="5" t="s">
        <v>262</v>
      </c>
    </row>
    <row r="10" spans="1:11">
      <c r="A10" t="s">
        <v>263</v>
      </c>
      <c r="B10" s="5" t="s">
        <v>264</v>
      </c>
      <c r="J10" t="s">
        <v>265</v>
      </c>
      <c r="K10" t="s">
        <v>266</v>
      </c>
    </row>
    <row r="11" spans="1:11">
      <c r="A11" t="s">
        <v>267</v>
      </c>
      <c r="B11" s="5" t="s">
        <v>268</v>
      </c>
    </row>
    <row r="12" spans="1:11">
      <c r="A12" t="s">
        <v>269</v>
      </c>
      <c r="B12" s="5" t="s">
        <v>270</v>
      </c>
    </row>
    <row r="13" spans="1:11">
      <c r="B13" s="5" t="s">
        <v>271</v>
      </c>
    </row>
    <row r="15" spans="1:11">
      <c r="B15">
        <f>4*3600</f>
        <v>14400</v>
      </c>
      <c r="C15" t="s">
        <v>272</v>
      </c>
    </row>
    <row r="16" spans="1:11">
      <c r="B16">
        <v>200</v>
      </c>
      <c r="C16" t="s">
        <v>273</v>
      </c>
    </row>
    <row r="17" spans="1:12">
      <c r="B17">
        <f>B15/B16</f>
        <v>72</v>
      </c>
      <c r="C17" t="s">
        <v>198</v>
      </c>
    </row>
    <row r="20" spans="1:12">
      <c r="A20" t="s">
        <v>274</v>
      </c>
      <c r="B20" s="5" t="s">
        <v>275</v>
      </c>
    </row>
    <row r="21" spans="1:12">
      <c r="A21" t="s">
        <v>276</v>
      </c>
      <c r="B21" s="5" t="s">
        <v>277</v>
      </c>
    </row>
    <row r="22" spans="1:12">
      <c r="A22" t="s">
        <v>278</v>
      </c>
      <c r="B22" s="5" t="s">
        <v>279</v>
      </c>
      <c r="K22">
        <v>-40</v>
      </c>
      <c r="L22">
        <v>85</v>
      </c>
    </row>
    <row r="23" spans="1:12">
      <c r="B23" s="5" t="s">
        <v>280</v>
      </c>
    </row>
    <row r="25" spans="1:12">
      <c r="A25" t="s">
        <v>281</v>
      </c>
      <c r="B25" s="5" t="s">
        <v>282</v>
      </c>
    </row>
    <row r="28" spans="1:12">
      <c r="A28" t="s">
        <v>283</v>
      </c>
      <c r="B28" s="5" t="s">
        <v>284</v>
      </c>
    </row>
    <row r="31" spans="1:12">
      <c r="A31" t="s">
        <v>285</v>
      </c>
      <c r="B31" s="5" t="s">
        <v>286</v>
      </c>
    </row>
    <row r="32" spans="1:12">
      <c r="B32" s="5" t="s">
        <v>287</v>
      </c>
    </row>
    <row r="36" spans="1:2">
      <c r="A36" t="s">
        <v>288</v>
      </c>
      <c r="B36" s="5" t="s">
        <v>289</v>
      </c>
    </row>
    <row r="37" spans="1:2">
      <c r="B37" s="5" t="s">
        <v>290</v>
      </c>
    </row>
    <row r="39" spans="1:2">
      <c r="A39" t="s">
        <v>291</v>
      </c>
      <c r="B39" s="5" t="s">
        <v>292</v>
      </c>
    </row>
    <row r="40" spans="1:2">
      <c r="A40" t="s">
        <v>293</v>
      </c>
      <c r="B40" s="5" t="s">
        <v>294</v>
      </c>
    </row>
    <row r="42" spans="1:2">
      <c r="A42" t="s">
        <v>295</v>
      </c>
      <c r="B42" s="5" t="s">
        <v>296</v>
      </c>
    </row>
    <row r="43" spans="1:2">
      <c r="B43" s="5" t="s">
        <v>297</v>
      </c>
    </row>
    <row r="46" spans="1:2">
      <c r="A46" t="s">
        <v>298</v>
      </c>
    </row>
    <row r="47" spans="1:2">
      <c r="A47" t="s">
        <v>299</v>
      </c>
    </row>
    <row r="48" spans="1:2">
      <c r="A48" t="s">
        <v>269</v>
      </c>
    </row>
    <row r="49" spans="1:1">
      <c r="A49" t="s">
        <v>300</v>
      </c>
    </row>
  </sheetData>
  <hyperlinks>
    <hyperlink ref="B10" r:id="rId1" xr:uid="{A1E72D7A-F616-4C59-8048-68D4377C1588}"/>
    <hyperlink ref="B11" r:id="rId2" xr:uid="{96014966-ADD5-43FA-B7A6-0D58B230B12F}"/>
    <hyperlink ref="B12" r:id="rId3" xr:uid="{0DDA8C58-8120-4916-8EA8-9E6BA5C2003F}"/>
    <hyperlink ref="B20" r:id="rId4" xr:uid="{6471E14E-2279-4749-9083-C7A0EBD53FF6}"/>
    <hyperlink ref="B21" r:id="rId5" xr:uid="{52862926-4DE5-4E17-A155-BFE6482B0731}"/>
    <hyperlink ref="B25" r:id="rId6" xr:uid="{B32F5EA6-5C88-4B05-9099-8346ECD64F48}"/>
    <hyperlink ref="B28" r:id="rId7" xr:uid="{E8879CA4-70FC-4240-B598-876850B2C046}"/>
    <hyperlink ref="B31" r:id="rId8" xr:uid="{DFF8FAE8-CC94-4640-B6F0-123E2094BA0B}"/>
    <hyperlink ref="B32" r:id="rId9" xr:uid="{602015E5-AFE7-4ADB-9D27-B03BD5A44E35}"/>
    <hyperlink ref="B36" r:id="rId10" xr:uid="{D02F9BCB-A884-4ACB-AD39-809E308473B0}"/>
    <hyperlink ref="B37" r:id="rId11" xr:uid="{ACCCACDE-F1E7-465F-843C-854A50D5042F}"/>
    <hyperlink ref="B9" r:id="rId12" xr:uid="{7C256149-3939-417E-BA4B-6341100555FD}"/>
    <hyperlink ref="B8" r:id="rId13" xr:uid="{4DB7D64A-5977-4555-9DB9-54C4415C8E37}"/>
    <hyperlink ref="B22" r:id="rId14" xr:uid="{A82BA6ED-D989-4136-8F62-00843E6FE904}"/>
    <hyperlink ref="B23" r:id="rId15" xr:uid="{A0EDA48E-BEA9-4AF1-BB08-70D137C7BD3B}"/>
    <hyperlink ref="B39" r:id="rId16" xr:uid="{2107BAAC-FFC1-40A9-84E1-6287FEE9ECE2}"/>
    <hyperlink ref="B40" r:id="rId17" xr:uid="{DD30A3A5-3E45-49C0-A109-6B063EF747BA}"/>
    <hyperlink ref="B42" r:id="rId18" xr:uid="{B27DDF22-19EF-47C9-A90F-0F9EAB698577}"/>
    <hyperlink ref="B43" r:id="rId19" xr:uid="{79FAD1BB-1439-4910-ACA4-0BB5F3FBD489}"/>
    <hyperlink ref="B13" r:id="rId20" xr:uid="{702509EB-641A-49A5-960B-504D502151A7}"/>
    <hyperlink ref="A2" r:id="rId21" xr:uid="{9B546AD4-7841-4DF6-A37E-8AB96D1E475B}"/>
  </hyperlinks>
  <pageMargins left="0.7" right="0.7" top="0.75" bottom="0.75" header="0.3" footer="0.3"/>
  <drawing r:id="rId2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AA0B-9B2B-4662-AE95-F320D847771D}">
  <dimension ref="B1:U33"/>
  <sheetViews>
    <sheetView tabSelected="1" workbookViewId="0">
      <selection activeCell="J2" sqref="J2"/>
    </sheetView>
  </sheetViews>
  <sheetFormatPr defaultRowHeight="14.4"/>
  <cols>
    <col min="2" max="2" width="13.21875" customWidth="1"/>
    <col min="3" max="3" width="44.33203125" customWidth="1"/>
    <col min="4" max="4" width="14.5546875" customWidth="1"/>
    <col min="6" max="6" width="14.77734375" customWidth="1"/>
    <col min="7" max="7" width="21.33203125" customWidth="1"/>
    <col min="20" max="20" width="13.5546875" customWidth="1"/>
    <col min="21" max="21" width="17.6640625" customWidth="1"/>
  </cols>
  <sheetData>
    <row r="1" spans="2:21"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I1" t="s">
        <v>98</v>
      </c>
      <c r="J1" t="s">
        <v>308</v>
      </c>
      <c r="T1" t="s">
        <v>309</v>
      </c>
      <c r="U1" t="s">
        <v>310</v>
      </c>
    </row>
    <row r="2" spans="2:21">
      <c r="B2" t="s">
        <v>311</v>
      </c>
      <c r="C2">
        <v>69</v>
      </c>
      <c r="D2" t="s">
        <v>312</v>
      </c>
      <c r="E2">
        <v>75</v>
      </c>
      <c r="G2" s="22" t="s">
        <v>313</v>
      </c>
      <c r="H2">
        <v>40</v>
      </c>
      <c r="I2" t="s">
        <v>314</v>
      </c>
      <c r="J2" s="5" t="s">
        <v>315</v>
      </c>
      <c r="T2">
        <f>E2/C2</f>
        <v>1.0869565217391304</v>
      </c>
      <c r="U2">
        <f>70/C2</f>
        <v>1.0144927536231885</v>
      </c>
    </row>
    <row r="3" spans="2:21">
      <c r="B3" t="s">
        <v>316</v>
      </c>
      <c r="C3">
        <v>28</v>
      </c>
      <c r="D3" t="s">
        <v>317</v>
      </c>
      <c r="E3">
        <v>75</v>
      </c>
      <c r="F3">
        <v>35</v>
      </c>
      <c r="J3" s="5" t="s">
        <v>318</v>
      </c>
      <c r="T3">
        <f>E3/C3</f>
        <v>2.6785714285714284</v>
      </c>
      <c r="U3">
        <f>25/C3</f>
        <v>0.8928571428571429</v>
      </c>
    </row>
    <row r="4" spans="2:21">
      <c r="B4" t="s">
        <v>319</v>
      </c>
      <c r="C4">
        <v>38</v>
      </c>
      <c r="D4" t="s">
        <v>120</v>
      </c>
      <c r="E4">
        <v>60</v>
      </c>
      <c r="G4" s="22" t="s">
        <v>320</v>
      </c>
      <c r="H4">
        <v>30</v>
      </c>
      <c r="I4" t="s">
        <v>321</v>
      </c>
      <c r="J4" s="5" t="s">
        <v>322</v>
      </c>
      <c r="T4">
        <f>E4/C4</f>
        <v>1.5789473684210527</v>
      </c>
      <c r="U4">
        <f>30/C4</f>
        <v>0.78947368421052633</v>
      </c>
    </row>
    <row r="5" spans="2:21">
      <c r="B5" t="s">
        <v>323</v>
      </c>
      <c r="C5">
        <v>18</v>
      </c>
      <c r="D5">
        <v>12</v>
      </c>
      <c r="E5">
        <v>12</v>
      </c>
      <c r="I5" t="s">
        <v>324</v>
      </c>
      <c r="J5" s="5" t="s">
        <v>325</v>
      </c>
      <c r="T5">
        <f>E5/C5</f>
        <v>0.66666666666666663</v>
      </c>
      <c r="U5">
        <f>D5/C5</f>
        <v>0.66666666666666663</v>
      </c>
    </row>
    <row r="6" spans="2:21">
      <c r="B6" t="s">
        <v>326</v>
      </c>
      <c r="C6">
        <v>18.399999999999999</v>
      </c>
      <c r="D6">
        <v>15</v>
      </c>
      <c r="E6">
        <v>45</v>
      </c>
      <c r="G6" s="22" t="s">
        <v>313</v>
      </c>
      <c r="H6">
        <v>55</v>
      </c>
      <c r="I6" t="s">
        <v>327</v>
      </c>
      <c r="J6" s="5" t="s">
        <v>328</v>
      </c>
      <c r="T6">
        <f>E6/C6</f>
        <v>2.4456521739130435</v>
      </c>
      <c r="U6">
        <f>D6/C6</f>
        <v>0.81521739130434789</v>
      </c>
    </row>
    <row r="8" spans="2:21">
      <c r="B8" t="s">
        <v>301</v>
      </c>
      <c r="C8" t="s">
        <v>302</v>
      </c>
      <c r="D8" t="s">
        <v>329</v>
      </c>
      <c r="E8" t="s">
        <v>330</v>
      </c>
      <c r="F8" t="s">
        <v>331</v>
      </c>
      <c r="G8" t="s">
        <v>17</v>
      </c>
      <c r="H8" t="s">
        <v>332</v>
      </c>
      <c r="J8" t="s">
        <v>308</v>
      </c>
    </row>
    <row r="9" spans="2:21">
      <c r="B9" s="109" t="s">
        <v>333</v>
      </c>
      <c r="C9">
        <v>0.45400000000000001</v>
      </c>
      <c r="D9">
        <v>3.5000000000000001E-3</v>
      </c>
      <c r="E9">
        <v>3.5000000000000001E-3</v>
      </c>
      <c r="F9" t="s">
        <v>334</v>
      </c>
      <c r="G9">
        <v>1.6</v>
      </c>
      <c r="H9" t="s">
        <v>335</v>
      </c>
      <c r="J9" s="5" t="s">
        <v>336</v>
      </c>
    </row>
    <row r="10" spans="2:21">
      <c r="B10" t="s">
        <v>337</v>
      </c>
      <c r="C10">
        <v>6.5</v>
      </c>
      <c r="D10">
        <v>0.01</v>
      </c>
      <c r="E10">
        <v>1.6000000000000001E-3</v>
      </c>
      <c r="G10">
        <v>6</v>
      </c>
      <c r="H10" t="s">
        <v>338</v>
      </c>
      <c r="J10" s="5" t="s">
        <v>339</v>
      </c>
    </row>
    <row r="11" spans="2:21">
      <c r="J11" s="5"/>
    </row>
    <row r="12" spans="2:21">
      <c r="J12" s="5"/>
    </row>
    <row r="14" spans="2:21">
      <c r="B14" t="s">
        <v>301</v>
      </c>
      <c r="C14" t="s">
        <v>340</v>
      </c>
      <c r="D14" t="s">
        <v>341</v>
      </c>
      <c r="E14" t="s">
        <v>342</v>
      </c>
      <c r="F14" t="s">
        <v>17</v>
      </c>
      <c r="G14" t="s">
        <v>98</v>
      </c>
      <c r="H14" t="s">
        <v>302</v>
      </c>
      <c r="I14" t="s">
        <v>343</v>
      </c>
    </row>
    <row r="15" spans="2:21">
      <c r="B15" s="70" t="s">
        <v>344</v>
      </c>
      <c r="C15" s="27" t="s">
        <v>345</v>
      </c>
      <c r="D15" s="66" t="s">
        <v>346</v>
      </c>
      <c r="E15" s="66" t="s">
        <v>347</v>
      </c>
      <c r="F15" s="68" t="s">
        <v>348</v>
      </c>
      <c r="G15" s="66" t="s">
        <v>349</v>
      </c>
      <c r="H15" s="70" t="s">
        <v>350</v>
      </c>
      <c r="I15">
        <v>40</v>
      </c>
      <c r="J15" s="5" t="s">
        <v>351</v>
      </c>
    </row>
    <row r="16" spans="2:21">
      <c r="B16" s="69" t="s">
        <v>352</v>
      </c>
      <c r="C16" t="s">
        <v>353</v>
      </c>
      <c r="D16" s="67">
        <v>1</v>
      </c>
      <c r="E16" s="65">
        <v>42</v>
      </c>
      <c r="F16" s="65">
        <v>0.26400000000000001</v>
      </c>
      <c r="G16" s="67" t="s">
        <v>354</v>
      </c>
      <c r="H16" s="65">
        <v>55</v>
      </c>
      <c r="J16" s="5" t="s">
        <v>355</v>
      </c>
      <c r="U16" s="5" t="s">
        <v>356</v>
      </c>
    </row>
    <row r="17" spans="2:21">
      <c r="B17" s="62" t="s">
        <v>357</v>
      </c>
      <c r="C17" s="62"/>
      <c r="D17" s="63" t="s">
        <v>358</v>
      </c>
      <c r="E17" s="62" t="s">
        <v>359</v>
      </c>
      <c r="F17" s="62">
        <v>8</v>
      </c>
      <c r="G17" s="62"/>
      <c r="H17" s="62">
        <v>2.75</v>
      </c>
      <c r="I17" s="62"/>
      <c r="J17" s="64" t="s">
        <v>360</v>
      </c>
      <c r="K17" s="62"/>
      <c r="L17" s="62"/>
      <c r="M17" s="62"/>
      <c r="N17" s="62"/>
      <c r="O17" s="62"/>
      <c r="P17" s="62"/>
      <c r="R17" t="s">
        <v>361</v>
      </c>
      <c r="U17" t="s">
        <v>362</v>
      </c>
    </row>
    <row r="18" spans="2:21">
      <c r="B18" s="71" t="s">
        <v>363</v>
      </c>
      <c r="C18" t="s">
        <v>364</v>
      </c>
      <c r="D18" s="65" t="s">
        <v>346</v>
      </c>
      <c r="E18" s="67" t="s">
        <v>365</v>
      </c>
      <c r="F18" s="69">
        <v>3</v>
      </c>
      <c r="G18" s="65" t="s">
        <v>366</v>
      </c>
      <c r="H18" s="65">
        <v>0.47</v>
      </c>
      <c r="J18" s="5" t="s">
        <v>367</v>
      </c>
    </row>
    <row r="20" spans="2:21">
      <c r="B20" t="s">
        <v>301</v>
      </c>
      <c r="C20" t="s">
        <v>340</v>
      </c>
      <c r="D20" t="s">
        <v>368</v>
      </c>
      <c r="E20" t="s">
        <v>342</v>
      </c>
      <c r="F20" t="s">
        <v>17</v>
      </c>
      <c r="G20" t="s">
        <v>98</v>
      </c>
      <c r="H20" t="s">
        <v>302</v>
      </c>
    </row>
    <row r="21" spans="2:21">
      <c r="B21" s="62" t="s">
        <v>369</v>
      </c>
      <c r="C21" s="72">
        <v>0.5</v>
      </c>
      <c r="D21" s="62">
        <v>10</v>
      </c>
      <c r="E21" s="62" t="s">
        <v>370</v>
      </c>
      <c r="F21" s="62" t="s">
        <v>371</v>
      </c>
      <c r="G21" s="72" t="s">
        <v>372</v>
      </c>
      <c r="H21" s="62">
        <v>240</v>
      </c>
      <c r="I21" s="62"/>
      <c r="J21" s="64" t="s">
        <v>373</v>
      </c>
      <c r="K21" s="62"/>
      <c r="L21" s="62"/>
      <c r="M21" s="62"/>
      <c r="N21" s="62"/>
      <c r="O21" s="62"/>
      <c r="P21" s="62"/>
    </row>
    <row r="22" spans="2:21">
      <c r="B22" s="71" t="s">
        <v>374</v>
      </c>
      <c r="C22" s="67">
        <v>0.2</v>
      </c>
      <c r="D22" s="65">
        <v>2</v>
      </c>
      <c r="E22" s="65">
        <v>180</v>
      </c>
      <c r="F22" s="69" t="s">
        <v>375</v>
      </c>
      <c r="H22" s="65" t="s">
        <v>376</v>
      </c>
      <c r="J22" s="5" t="s">
        <v>377</v>
      </c>
    </row>
    <row r="23" spans="2:21">
      <c r="B23" s="69" t="s">
        <v>378</v>
      </c>
      <c r="C23" s="65">
        <v>0.15</v>
      </c>
      <c r="D23" t="s">
        <v>379</v>
      </c>
      <c r="E23" s="69">
        <v>128</v>
      </c>
      <c r="F23" s="69" t="s">
        <v>375</v>
      </c>
      <c r="H23" s="69">
        <v>650</v>
      </c>
    </row>
    <row r="24" spans="2:21">
      <c r="B24" s="67" t="s">
        <v>380</v>
      </c>
      <c r="C24" s="69">
        <v>0.3</v>
      </c>
      <c r="E24" s="69">
        <v>120</v>
      </c>
      <c r="F24" s="65" t="s">
        <v>381</v>
      </c>
      <c r="H24" s="65">
        <v>35</v>
      </c>
    </row>
    <row r="25" spans="2:21">
      <c r="B25" s="65" t="s">
        <v>382</v>
      </c>
      <c r="C25" s="67" t="s">
        <v>383</v>
      </c>
      <c r="D25" s="65">
        <v>2</v>
      </c>
      <c r="E25" s="65">
        <v>170</v>
      </c>
      <c r="F25" s="69" t="s">
        <v>375</v>
      </c>
      <c r="H25" s="65">
        <v>30</v>
      </c>
    </row>
    <row r="26" spans="2:21">
      <c r="B26" s="71" t="s">
        <v>384</v>
      </c>
      <c r="C26" s="65">
        <v>0.2</v>
      </c>
      <c r="E26" s="65">
        <v>172</v>
      </c>
      <c r="F26" s="71" t="s">
        <v>385</v>
      </c>
      <c r="H26" s="67">
        <v>50</v>
      </c>
      <c r="J26" s="5" t="s">
        <v>386</v>
      </c>
    </row>
    <row r="30" spans="2:21">
      <c r="B30">
        <v>3</v>
      </c>
      <c r="C30">
        <f>3*47</f>
        <v>141</v>
      </c>
      <c r="D30">
        <f>3*3</f>
        <v>9</v>
      </c>
    </row>
    <row r="31" spans="2:21">
      <c r="B31">
        <v>15</v>
      </c>
      <c r="C31">
        <f>15*50</f>
        <v>750</v>
      </c>
      <c r="D31">
        <f>10*0</f>
        <v>0</v>
      </c>
    </row>
    <row r="32" spans="2:21">
      <c r="B32">
        <v>4</v>
      </c>
      <c r="C32">
        <f>4*454</f>
        <v>1816</v>
      </c>
      <c r="D32">
        <f>4*1.6</f>
        <v>6.4</v>
      </c>
    </row>
    <row r="33" spans="3:4">
      <c r="C33">
        <f>SUM(C30:C32)</f>
        <v>2707</v>
      </c>
      <c r="D33">
        <f>SUM(D30:D32)</f>
        <v>15.4</v>
      </c>
    </row>
  </sheetData>
  <conditionalFormatting sqref="T2:T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J2" r:id="rId1" xr:uid="{07B083BD-2F44-41DC-91EF-FF835F3DDDF9}"/>
    <hyperlink ref="J3" r:id="rId2" xr:uid="{301B0FBC-169A-4F9A-B4A3-6BEAB3988806}"/>
    <hyperlink ref="J4" r:id="rId3" xr:uid="{17947269-7124-4DF4-B5A9-94BFE9D5A0D3}"/>
    <hyperlink ref="J5" r:id="rId4" xr:uid="{13FC549B-9C8B-4505-B59F-D84839B516F1}"/>
    <hyperlink ref="J6" r:id="rId5" xr:uid="{23C136CA-D12C-4469-8FA4-62194A1CF3AB}"/>
    <hyperlink ref="J9" r:id="rId6" xr:uid="{F396285B-67E6-4076-B8E0-5CA75142CCFA}"/>
    <hyperlink ref="J10" r:id="rId7" xr:uid="{1EF63F8A-7AF9-4FC5-8969-A6E0BFE989AD}"/>
    <hyperlink ref="J16" r:id="rId8" xr:uid="{062C7C12-B076-43C2-9062-7F59C5867537}"/>
    <hyperlink ref="J15" r:id="rId9" xr:uid="{C0CB4D26-731B-4B77-AADF-3A27FF35A2BB}"/>
    <hyperlink ref="J17" r:id="rId10" xr:uid="{E49F6E1D-4A2A-40FC-8AE0-33C4DFE24B27}"/>
    <hyperlink ref="J21" r:id="rId11" xr:uid="{92B2608E-B98D-4C32-92F3-C46C6FB787D6}"/>
    <hyperlink ref="J22" r:id="rId12" xr:uid="{61353CB6-ADC0-4CB1-9FA5-E6132B2BF24A}"/>
    <hyperlink ref="U16" r:id="rId13" xr:uid="{D4F49B4D-8199-4209-9729-3E9C33984A50}"/>
    <hyperlink ref="J26" r:id="rId14" xr:uid="{1DD3FD94-A394-47C8-B8C4-C6F2EED9E2C6}"/>
    <hyperlink ref="J18" r:id="rId15" xr:uid="{968061E5-C155-4B5B-9764-9C1501EBB890}"/>
  </hyperlinks>
  <pageMargins left="0.7" right="0.7" top="0.75" bottom="0.75" header="0.3" footer="0.3"/>
  <pageSetup paperSize="9" orientation="portrait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E105-C3C1-47DE-B339-47F0D1DC6267}">
  <dimension ref="A1:A3"/>
  <sheetViews>
    <sheetView workbookViewId="0"/>
  </sheetViews>
  <sheetFormatPr defaultRowHeight="14.4"/>
  <sheetData>
    <row r="1" spans="1:1">
      <c r="A1" s="1" t="s">
        <v>387</v>
      </c>
    </row>
    <row r="2" spans="1:1">
      <c r="A2" s="1" t="s">
        <v>388</v>
      </c>
    </row>
    <row r="3" spans="1:1">
      <c r="A3" s="1" t="s">
        <v>389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8B40B-A613-4865-9E7D-C3E5742CEFAB}">
  <dimension ref="A2:N16"/>
  <sheetViews>
    <sheetView workbookViewId="0"/>
  </sheetViews>
  <sheetFormatPr defaultRowHeight="14.4"/>
  <sheetData>
    <row r="2" spans="1:14" ht="15" thickBot="1">
      <c r="A2" t="s">
        <v>390</v>
      </c>
      <c r="B2" s="14">
        <v>57.373331110000002</v>
      </c>
      <c r="C2" t="s">
        <v>176</v>
      </c>
      <c r="H2" s="2" t="s">
        <v>391</v>
      </c>
      <c r="I2" s="2"/>
      <c r="L2" s="2" t="s">
        <v>392</v>
      </c>
    </row>
    <row r="3" spans="1:14" ht="15" thickBot="1">
      <c r="A3" t="s">
        <v>393</v>
      </c>
      <c r="B3" s="14">
        <v>24.941025960000001</v>
      </c>
      <c r="C3" t="s">
        <v>176</v>
      </c>
      <c r="H3" s="25">
        <v>57.373330000000003</v>
      </c>
      <c r="I3" s="26" t="s">
        <v>176</v>
      </c>
      <c r="L3" s="25">
        <f>H3</f>
        <v>57.373330000000003</v>
      </c>
      <c r="M3" s="26" t="s">
        <v>176</v>
      </c>
      <c r="N3" t="s">
        <v>394</v>
      </c>
    </row>
    <row r="4" spans="1:14">
      <c r="H4" s="23"/>
      <c r="I4" s="24"/>
      <c r="L4" s="23"/>
      <c r="M4" s="24"/>
    </row>
    <row r="5" spans="1:14" ht="15" thickBot="1">
      <c r="H5" s="23"/>
      <c r="I5" s="24"/>
      <c r="L5" s="23"/>
      <c r="M5" s="24"/>
    </row>
    <row r="6" spans="1:14" ht="15" thickBot="1">
      <c r="A6" t="s">
        <v>395</v>
      </c>
      <c r="B6" t="s">
        <v>396</v>
      </c>
      <c r="D6" t="s">
        <v>397</v>
      </c>
      <c r="E6">
        <v>1.75</v>
      </c>
      <c r="F6" t="s">
        <v>398</v>
      </c>
      <c r="G6" t="s">
        <v>399</v>
      </c>
      <c r="H6" s="25">
        <f>H3/E6</f>
        <v>32.784759999999999</v>
      </c>
      <c r="I6" s="26" t="s">
        <v>198</v>
      </c>
      <c r="L6" s="25">
        <f>H6</f>
        <v>32.784759999999999</v>
      </c>
      <c r="M6" s="26" t="s">
        <v>198</v>
      </c>
    </row>
    <row r="7" spans="1:14">
      <c r="G7" t="s">
        <v>400</v>
      </c>
      <c r="H7" s="23"/>
      <c r="I7" s="24"/>
      <c r="L7" s="23"/>
      <c r="M7" s="24"/>
    </row>
    <row r="8" spans="1:14" ht="15" thickBot="1">
      <c r="H8" s="23"/>
      <c r="I8" s="24"/>
      <c r="L8" s="23"/>
      <c r="M8" s="24"/>
    </row>
    <row r="9" spans="1:14" ht="15" thickBot="1">
      <c r="A9" t="s">
        <v>401</v>
      </c>
      <c r="B9" t="s">
        <v>402</v>
      </c>
      <c r="D9" t="s">
        <v>397</v>
      </c>
      <c r="E9">
        <v>0.75</v>
      </c>
      <c r="F9" t="s">
        <v>403</v>
      </c>
      <c r="G9" t="s">
        <v>399</v>
      </c>
      <c r="H9" s="25">
        <f>H6/E9</f>
        <v>43.713013333333329</v>
      </c>
      <c r="I9" s="26" t="s">
        <v>72</v>
      </c>
      <c r="L9" s="25">
        <f>H9</f>
        <v>43.713013333333329</v>
      </c>
      <c r="M9" s="26" t="s">
        <v>72</v>
      </c>
    </row>
    <row r="10" spans="1:14">
      <c r="G10" t="s">
        <v>400</v>
      </c>
    </row>
    <row r="13" spans="1:14" ht="15" thickBot="1"/>
    <row r="14" spans="1:14">
      <c r="H14" s="28" t="s">
        <v>404</v>
      </c>
      <c r="I14" s="29">
        <f>H3+L3</f>
        <v>114.74666000000001</v>
      </c>
      <c r="J14" s="30" t="s">
        <v>176</v>
      </c>
    </row>
    <row r="15" spans="1:14">
      <c r="H15" s="31"/>
      <c r="I15" s="32">
        <f>H6+L6</f>
        <v>65.569519999999997</v>
      </c>
      <c r="J15" s="33" t="s">
        <v>198</v>
      </c>
    </row>
    <row r="16" spans="1:14" ht="15" thickBot="1">
      <c r="H16" s="34"/>
      <c r="I16" s="35">
        <f>H9+L9</f>
        <v>87.426026666666658</v>
      </c>
      <c r="J16" s="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E298-FC09-4A02-BB42-F932EEAC6C5E}">
  <dimension ref="A2:FO100"/>
  <sheetViews>
    <sheetView topLeftCell="A14" zoomScale="97" zoomScaleNormal="70" workbookViewId="0">
      <selection activeCell="B44" sqref="B44"/>
    </sheetView>
  </sheetViews>
  <sheetFormatPr defaultColWidth="8.88671875" defaultRowHeight="14.4"/>
  <cols>
    <col min="1" max="1" width="11" style="37" customWidth="1"/>
    <col min="2" max="2" width="14" style="37" customWidth="1"/>
    <col min="3" max="4" width="15.5546875" style="37" customWidth="1"/>
    <col min="5" max="5" width="11.88671875" style="37" customWidth="1"/>
    <col min="6" max="6" width="14.5546875" style="37" customWidth="1"/>
    <col min="7" max="7" width="15.44140625" style="37" customWidth="1"/>
    <col min="8" max="8" width="13.33203125" style="37" customWidth="1"/>
    <col min="9" max="9" width="13.6640625" style="37" customWidth="1"/>
    <col min="10" max="10" width="11.5546875" style="37" bestFit="1" customWidth="1"/>
    <col min="11" max="11" width="11.109375" style="37" customWidth="1"/>
    <col min="12" max="12" width="8.88671875" style="37" bestFit="1" customWidth="1"/>
    <col min="13" max="13" width="12.44140625" style="37" customWidth="1"/>
    <col min="14" max="15" width="8.88671875" style="37" bestFit="1" customWidth="1"/>
    <col min="16" max="16384" width="8.88671875" style="37"/>
  </cols>
  <sheetData>
    <row r="2" spans="2:15" ht="15" thickBot="1">
      <c r="D2" s="38" t="s">
        <v>405</v>
      </c>
      <c r="H2" s="38" t="s">
        <v>406</v>
      </c>
      <c r="L2" s="38" t="s">
        <v>407</v>
      </c>
    </row>
    <row r="3" spans="2:15" ht="28.8">
      <c r="C3" s="39"/>
      <c r="D3" s="40" t="s">
        <v>408</v>
      </c>
      <c r="E3" s="41" t="s">
        <v>0</v>
      </c>
      <c r="F3" s="41" t="s">
        <v>226</v>
      </c>
      <c r="G3" s="41" t="s">
        <v>409</v>
      </c>
      <c r="H3" s="40"/>
      <c r="I3" s="41" t="s">
        <v>0</v>
      </c>
      <c r="J3" s="41" t="s">
        <v>226</v>
      </c>
      <c r="K3" s="41" t="s">
        <v>409</v>
      </c>
      <c r="L3" s="40" t="s">
        <v>410</v>
      </c>
      <c r="M3" s="41" t="s">
        <v>0</v>
      </c>
      <c r="N3" s="41" t="s">
        <v>226</v>
      </c>
      <c r="O3" s="42" t="s">
        <v>409</v>
      </c>
    </row>
    <row r="4" spans="2:15">
      <c r="C4" s="43" t="s">
        <v>411</v>
      </c>
      <c r="E4" s="37">
        <f>C22</f>
        <v>0.1</v>
      </c>
      <c r="F4" s="37">
        <v>18</v>
      </c>
      <c r="I4" s="37" t="s">
        <v>412</v>
      </c>
      <c r="J4" s="37">
        <v>2</v>
      </c>
      <c r="O4" s="44"/>
    </row>
    <row r="5" spans="2:15" ht="28.8">
      <c r="C5" s="43" t="s">
        <v>413</v>
      </c>
      <c r="E5" s="37">
        <f>F4*0.07+0.634</f>
        <v>1.8940000000000001</v>
      </c>
      <c r="I5" s="37" t="s">
        <v>414</v>
      </c>
      <c r="J5" s="37" t="s">
        <v>414</v>
      </c>
      <c r="K5" s="37" t="s">
        <v>414</v>
      </c>
      <c r="O5" s="44"/>
    </row>
    <row r="6" spans="2:15" ht="15" thickBot="1">
      <c r="C6" s="45" t="s">
        <v>415</v>
      </c>
      <c r="D6" s="46"/>
      <c r="E6" s="46"/>
      <c r="F6" s="46"/>
      <c r="G6" s="46"/>
      <c r="H6" s="46"/>
      <c r="I6" s="46" t="s">
        <v>416</v>
      </c>
      <c r="J6" s="46" t="s">
        <v>416</v>
      </c>
      <c r="K6" s="46" t="s">
        <v>416</v>
      </c>
      <c r="L6" s="46"/>
      <c r="M6" s="46"/>
      <c r="N6" s="46"/>
      <c r="O6" s="47"/>
    </row>
    <row r="9" spans="2:15">
      <c r="B9" s="37" t="s">
        <v>417</v>
      </c>
      <c r="C9" s="37" t="s">
        <v>418</v>
      </c>
      <c r="D9" s="37" t="s">
        <v>419</v>
      </c>
      <c r="E9" s="37" t="s">
        <v>420</v>
      </c>
      <c r="F9" s="37" t="s">
        <v>421</v>
      </c>
    </row>
    <row r="10" spans="2:15">
      <c r="B10" s="37" t="s">
        <v>422</v>
      </c>
      <c r="C10" s="37">
        <v>5.84</v>
      </c>
      <c r="D10" s="37">
        <f>C10/100</f>
        <v>5.8400000000000001E-2</v>
      </c>
      <c r="E10" s="37">
        <v>479.1</v>
      </c>
      <c r="F10" s="37">
        <f>E10*D10</f>
        <v>27.97944</v>
      </c>
    </row>
    <row r="11" spans="2:15">
      <c r="B11" s="37" t="s">
        <v>423</v>
      </c>
      <c r="C11" s="37">
        <v>5.2</v>
      </c>
      <c r="D11" s="37">
        <f>C11/100</f>
        <v>5.2000000000000005E-2</v>
      </c>
      <c r="E11" s="37">
        <v>699.1</v>
      </c>
      <c r="F11" s="37">
        <f>E11*D11</f>
        <v>36.353200000000001</v>
      </c>
    </row>
    <row r="12" spans="2:15">
      <c r="B12" s="37" t="s">
        <v>424</v>
      </c>
      <c r="C12" s="37">
        <v>3.1</v>
      </c>
      <c r="D12" s="37">
        <f>C12/100</f>
        <v>3.1E-2</v>
      </c>
      <c r="E12" s="37">
        <v>858</v>
      </c>
      <c r="F12" s="37">
        <f>E12*D12</f>
        <v>26.597999999999999</v>
      </c>
    </row>
    <row r="13" spans="2:15">
      <c r="F13" s="48">
        <f>AVERAGE(F10:F12)</f>
        <v>30.310213333333333</v>
      </c>
      <c r="G13" s="37" t="s">
        <v>425</v>
      </c>
    </row>
    <row r="16" spans="2:15">
      <c r="C16" s="37" t="s">
        <v>18</v>
      </c>
    </row>
    <row r="17" spans="1:13">
      <c r="B17" s="37" t="s">
        <v>417</v>
      </c>
      <c r="C17" s="2" t="s">
        <v>0</v>
      </c>
      <c r="D17" s="2" t="s">
        <v>226</v>
      </c>
      <c r="E17" s="2" t="s">
        <v>409</v>
      </c>
    </row>
    <row r="18" spans="1:13">
      <c r="C18" s="48" t="e">
        <f>AVERAGE(C15:C17)</f>
        <v>#DIV/0!</v>
      </c>
      <c r="D18" s="48" t="e">
        <f>AVERAGE(D15:D17)</f>
        <v>#DIV/0!</v>
      </c>
    </row>
    <row r="20" spans="1:13" ht="43.2">
      <c r="B20" s="37" t="s">
        <v>426</v>
      </c>
      <c r="C20" s="37">
        <v>0.13</v>
      </c>
      <c r="D20" s="37">
        <v>2.4</v>
      </c>
      <c r="E20" s="37" t="s">
        <v>416</v>
      </c>
    </row>
    <row r="21" spans="1:13" ht="28.8">
      <c r="B21" t="s">
        <v>427</v>
      </c>
      <c r="C21" s="37">
        <v>7.0000000000000007E-2</v>
      </c>
      <c r="D21" s="37">
        <v>2.5</v>
      </c>
      <c r="E21" s="37" t="s">
        <v>428</v>
      </c>
    </row>
    <row r="22" spans="1:13" ht="28.8">
      <c r="C22" s="48">
        <f>AVERAGE(C20:C21)</f>
        <v>0.1</v>
      </c>
      <c r="D22" s="48">
        <f>AVERAGE(D20:D21)</f>
        <v>2.4500000000000002</v>
      </c>
      <c r="E22" s="37" t="s">
        <v>429</v>
      </c>
      <c r="H22"/>
    </row>
    <row r="23" spans="1:13">
      <c r="H23"/>
      <c r="K23"/>
      <c r="L23" s="89"/>
    </row>
    <row r="24" spans="1:13" ht="28.8">
      <c r="B24" s="37" t="s">
        <v>430</v>
      </c>
      <c r="H24"/>
    </row>
    <row r="25" spans="1:13" ht="44.25" customHeight="1">
      <c r="B25" s="99" t="s">
        <v>431</v>
      </c>
      <c r="C25" s="99" t="s">
        <v>432</v>
      </c>
      <c r="D25" s="48" t="s">
        <v>433</v>
      </c>
      <c r="E25" s="101" t="s">
        <v>434</v>
      </c>
      <c r="F25" s="48" t="s">
        <v>435</v>
      </c>
      <c r="G25" s="48" t="s">
        <v>436</v>
      </c>
      <c r="H25" s="48" t="s">
        <v>437</v>
      </c>
      <c r="I25" s="48" t="s">
        <v>438</v>
      </c>
      <c r="J25" s="48" t="s">
        <v>439</v>
      </c>
    </row>
    <row r="26" spans="1:13">
      <c r="A26" s="75" t="s">
        <v>440</v>
      </c>
      <c r="B26" s="100">
        <f>0.000003</f>
        <v>3.0000000000000001E-6</v>
      </c>
      <c r="C26" s="100">
        <f>3*10^(-6)</f>
        <v>3.0000000000000001E-6</v>
      </c>
      <c r="D26" s="73">
        <f>3*10^(-6)</f>
        <v>3.0000000000000001E-6</v>
      </c>
      <c r="E26" s="102">
        <f>115*10^(-3)</f>
        <v>0.115</v>
      </c>
      <c r="F26" s="103">
        <f>25*10^(-5)</f>
        <v>2.5000000000000001E-4</v>
      </c>
      <c r="G26" s="73">
        <f>17*10^-3</f>
        <v>1.7000000000000001E-2</v>
      </c>
      <c r="H26" s="73">
        <f>50*10^(-3)</f>
        <v>0.05</v>
      </c>
      <c r="I26" s="73">
        <f>17*10^-3</f>
        <v>1.7000000000000001E-2</v>
      </c>
      <c r="J26" s="73">
        <f>50*10^(-3)</f>
        <v>0.05</v>
      </c>
    </row>
    <row r="27" spans="1:13">
      <c r="A27" s="75" t="s">
        <v>441</v>
      </c>
      <c r="B27" s="100">
        <v>0.625</v>
      </c>
      <c r="C27" s="100">
        <v>0.625</v>
      </c>
      <c r="D27" s="73">
        <v>0.625</v>
      </c>
      <c r="E27" s="102">
        <v>0.4</v>
      </c>
      <c r="F27" s="103">
        <v>0.625</v>
      </c>
      <c r="G27" s="73">
        <v>0.625</v>
      </c>
      <c r="H27" s="73">
        <v>0.625</v>
      </c>
      <c r="I27" s="73">
        <v>0.625</v>
      </c>
      <c r="J27" s="73">
        <v>0.625</v>
      </c>
    </row>
    <row r="28" spans="1:13">
      <c r="A28" s="75" t="s">
        <v>442</v>
      </c>
      <c r="B28" s="100">
        <v>0.04</v>
      </c>
      <c r="C28" s="100">
        <v>0.04</v>
      </c>
      <c r="D28" s="73">
        <v>0.04</v>
      </c>
      <c r="E28" s="102">
        <v>0.25</v>
      </c>
      <c r="F28" s="103">
        <v>0.34</v>
      </c>
      <c r="G28" s="73">
        <v>0.83</v>
      </c>
      <c r="H28" s="73">
        <v>0.34</v>
      </c>
      <c r="I28" s="73">
        <v>0.83</v>
      </c>
      <c r="J28" s="73">
        <v>0.34</v>
      </c>
    </row>
    <row r="29" spans="1:13">
      <c r="A29" s="75" t="s">
        <v>443</v>
      </c>
      <c r="B29" s="100">
        <f>16/(8*10^(-3))^2</f>
        <v>250000</v>
      </c>
      <c r="C29" s="100">
        <f>16/(8*10^(-3))^2</f>
        <v>250000</v>
      </c>
      <c r="D29" s="73">
        <f>16/(8*10^(-3))^2</f>
        <v>250000</v>
      </c>
      <c r="E29" s="102">
        <f>16/(0.0000096963)^2</f>
        <v>170179755267.00195</v>
      </c>
      <c r="F29" s="103">
        <f>16/(60*10^(-6))^2</f>
        <v>4444444444.4444447</v>
      </c>
      <c r="G29" s="73">
        <f>16/((100*10^-6)^2)</f>
        <v>1600000000.0000002</v>
      </c>
      <c r="H29" s="73">
        <f>16/(60*10^(-6))^2</f>
        <v>4444444444.4444447</v>
      </c>
      <c r="I29" s="73">
        <f t="shared" ref="I29" si="0">16/((100*10^-6)^2)</f>
        <v>1600000000.0000002</v>
      </c>
      <c r="J29" s="73">
        <f>16/(60*10^(-6))^2</f>
        <v>4444444444.4444447</v>
      </c>
    </row>
    <row r="30" spans="1:13">
      <c r="A30" s="75" t="s">
        <v>444</v>
      </c>
      <c r="B30" s="100">
        <f>(PI()*40/(532))^(2)</f>
        <v>5.5795151795405944E-2</v>
      </c>
      <c r="C30" s="100">
        <f>(PI()*40/(532))^(2)</f>
        <v>5.5795151795405944E-2</v>
      </c>
      <c r="D30" s="73">
        <f>(PI()*40/(532))^(2)</f>
        <v>5.5795151795405944E-2</v>
      </c>
      <c r="E30" s="102">
        <f>(PI()*30*10^(-3)/(532))^(2)</f>
        <v>3.1384772884915847E-8</v>
      </c>
      <c r="F30" s="103">
        <f>((PI()*200)/(1064))^2</f>
        <v>0.34871969872128716</v>
      </c>
      <c r="G30" s="73">
        <f>((PI()*250)/(1064.5))^2</f>
        <v>0.54436278987732289</v>
      </c>
      <c r="H30" s="73">
        <f>((PI()*200)/(1064))^2</f>
        <v>0.34871969872128716</v>
      </c>
      <c r="I30" s="73">
        <f>((PI()*250)/(1064.5))^2</f>
        <v>0.54436278987732289</v>
      </c>
      <c r="J30" s="73">
        <f>((PI()*200)/(1064))^2</f>
        <v>0.34871969872128716</v>
      </c>
    </row>
    <row r="31" spans="1:13">
      <c r="A31" s="75" t="s">
        <v>445</v>
      </c>
      <c r="B31" s="100">
        <f>EXP(-(B29)*(8*10^(-3))^2)</f>
        <v>1.1253517471925912E-7</v>
      </c>
      <c r="C31" s="100">
        <f>EXP(-(C29)*(8*10^(-3))^2)</f>
        <v>1.1253517471925912E-7</v>
      </c>
      <c r="D31" s="73">
        <f>EXP(-(D29)*(8*10^(-3))^2)</f>
        <v>1.1253517471925912E-7</v>
      </c>
      <c r="E31" s="102">
        <f>EXP(-(E29)*(0.0000096963)^2)</f>
        <v>1.1253517471925912E-7</v>
      </c>
      <c r="F31" s="103">
        <f>EXP(-F29*(90*10^(-6))^2)</f>
        <v>2.3195228302435859E-16</v>
      </c>
      <c r="G31" s="73">
        <f>EXP(-(G29)*(100*10^(-6))^2)</f>
        <v>1.1253517471925912E-7</v>
      </c>
      <c r="H31" s="73">
        <f>EXP(-H29*(90*10^(-6))^2)</f>
        <v>2.3195228302435859E-16</v>
      </c>
      <c r="I31" s="73">
        <f t="shared" ref="I31" si="1">EXP(-(I29)*(100*10^(-6))^2)</f>
        <v>1.1253517471925912E-7</v>
      </c>
      <c r="J31" s="73">
        <f>EXP(-J29*(90*10^(-6))^2)</f>
        <v>2.3195228302435859E-16</v>
      </c>
    </row>
    <row r="32" spans="1:13" ht="15.75" customHeight="1">
      <c r="A32" s="75" t="s">
        <v>446</v>
      </c>
      <c r="B32" s="100">
        <f>EXP(-(B30)*(8*10^(-3))^2)</f>
        <v>0.99999642911666076</v>
      </c>
      <c r="C32" s="100">
        <f>EXP(-(D30)*(8*10^(-3))^2)</f>
        <v>0.99999642911666076</v>
      </c>
      <c r="D32" s="73">
        <f>EXP(-(E30)*(8*10^(-3))^2)</f>
        <v>0.99999999999799138</v>
      </c>
      <c r="E32" s="102">
        <f>EXP(-(E30)*(4.85*10^(-5))^2)</f>
        <v>0.99999999999999989</v>
      </c>
      <c r="F32" s="103">
        <f>EXP(-(F30)*(50*10^(-6))^2)</f>
        <v>0.9999999991282007</v>
      </c>
      <c r="G32" s="73">
        <f>EXP(-(G30)*(100*10^(-6))^2)</f>
        <v>0.99999999455637212</v>
      </c>
      <c r="H32" s="73">
        <f>EXP(-(H30)*(50*10^(-6))^2)</f>
        <v>0.9999999991282007</v>
      </c>
      <c r="I32" s="73">
        <f>EXP(-(I30)*(100*10^(-6))^2)</f>
        <v>0.99999999455637212</v>
      </c>
      <c r="J32" s="73">
        <f>EXP(-(J30)*(50*10^(-6))^2)</f>
        <v>0.9999999991282007</v>
      </c>
      <c r="M32" s="77"/>
    </row>
    <row r="33" spans="1:12">
      <c r="A33" s="75" t="s">
        <v>447</v>
      </c>
      <c r="B33" s="100">
        <f>(532/(4*PI()*2*8723.15789759901))^2</f>
        <v>5.8883833744673676E-6</v>
      </c>
      <c r="C33" s="100">
        <f>(532/(4*PI()*8078.89340623758))^2</f>
        <v>2.7459952424061777E-5</v>
      </c>
      <c r="D33" s="73">
        <f>(532/(4*PI()*8078.89340623758))^2</f>
        <v>2.7459952424061777E-5</v>
      </c>
      <c r="E33" s="102">
        <f>(532/(4*PI()*2*384400))^2</f>
        <v>3.0323322666886314E-9</v>
      </c>
      <c r="F33" s="103">
        <f>(1064/(4*PI()*2*8723.15789759901))^2</f>
        <v>2.3553533497869471E-5</v>
      </c>
      <c r="G33" s="73">
        <f>(1064/(4*PI()*2*8723.15789759901))^2</f>
        <v>2.3553533497869471E-5</v>
      </c>
      <c r="H33" s="73">
        <f>(1064/(4*PI()*8078.89340623758))^2</f>
        <v>1.0983980969624711E-4</v>
      </c>
      <c r="I33" s="73">
        <f>(1064.5/(4*PI()*8078.89340623758))^2</f>
        <v>1.0994306685594844E-4</v>
      </c>
      <c r="J33" s="73">
        <f>(1064/(4*PI()*2*8723.15789759901))^2</f>
        <v>2.3553533497869471E-5</v>
      </c>
    </row>
    <row r="34" spans="1:12">
      <c r="A34" s="75" t="s">
        <v>448</v>
      </c>
      <c r="B34" s="100">
        <f>B26*B27*B28*B29*B30*B31*B32*B33</f>
        <v>6.9323511308770817E-16</v>
      </c>
      <c r="C34" s="100">
        <f>C26*C27*C28*C29*C30*C31*C32*C33</f>
        <v>3.232840325346423E-15</v>
      </c>
      <c r="D34" s="73">
        <f>D26*D27*D28*D29*D30*D31*D32*D33</f>
        <v>3.2328518694768082E-15</v>
      </c>
      <c r="E34" s="102">
        <f>E26*E27*E28*E29*E30*E31*E32*E33</f>
        <v>2.0959928756500929E-14</v>
      </c>
      <c r="F34" s="103">
        <f>F26*F27*F28*F29*F30*F31*F32*F33</f>
        <v>4.498291817698126E-16</v>
      </c>
      <c r="G34" s="73">
        <f t="shared" ref="G34" si="2">G26*G27*G28*G29*G30*G31*G32*G33</f>
        <v>2.0359157460344377E-5</v>
      </c>
      <c r="H34" s="73">
        <f>H26*H27*H28*H29*H30*H31*H32*H33</f>
        <v>4.1954768040119383E-13</v>
      </c>
      <c r="I34" s="73">
        <f t="shared" ref="I34" si="3">I26*I27*I28*I29*I30*I31*I32*I33</f>
        <v>9.5032374229365318E-5</v>
      </c>
      <c r="J34" s="73">
        <f>J26*J27*J28*J29*J30*J31*J32*J33</f>
        <v>8.9965836353962531E-14</v>
      </c>
    </row>
    <row r="35" spans="1:12" ht="14.25" customHeight="1">
      <c r="A35" s="48" t="s">
        <v>449</v>
      </c>
      <c r="B35" s="37">
        <f>532*10^-9</f>
        <v>5.3200000000000005E-7</v>
      </c>
      <c r="C35" s="37">
        <f>532*10^-9</f>
        <v>5.3200000000000005E-7</v>
      </c>
      <c r="D35" s="37">
        <f>532*10^-9</f>
        <v>5.3200000000000005E-7</v>
      </c>
      <c r="E35" s="37">
        <f>532*10^-9</f>
        <v>5.3200000000000005E-7</v>
      </c>
      <c r="F35" s="37">
        <f>1064*10^(-9)</f>
        <v>1.0640000000000001E-6</v>
      </c>
      <c r="G35" s="37">
        <f>1064.5*10^-9</f>
        <v>1.0645000000000001E-6</v>
      </c>
      <c r="H35" s="37">
        <f>1064*10^(-9)</f>
        <v>1.0640000000000001E-6</v>
      </c>
      <c r="I35" s="37">
        <f>1064.5*10^-9</f>
        <v>1.0645000000000001E-6</v>
      </c>
      <c r="J35" s="37">
        <f>1064*10^(-9)</f>
        <v>1.0640000000000001E-6</v>
      </c>
    </row>
    <row r="36" spans="1:12">
      <c r="A36" s="48" t="s">
        <v>450</v>
      </c>
      <c r="B36" s="37">
        <f>299792458/B35</f>
        <v>563519657894736.75</v>
      </c>
      <c r="C36" s="37">
        <f t="shared" ref="C36" si="4">299792458/C35</f>
        <v>563519657894736.75</v>
      </c>
      <c r="D36" s="37">
        <f t="shared" ref="D36:E36" si="5">299792458/D35</f>
        <v>563519657894736.75</v>
      </c>
      <c r="E36" s="37">
        <f t="shared" si="5"/>
        <v>563519657894736.75</v>
      </c>
      <c r="F36" s="37">
        <f>299792458/F35</f>
        <v>281759828947368.38</v>
      </c>
      <c r="G36" s="37">
        <f t="shared" ref="G36" si="6">299792458/G35</f>
        <v>281627485204321.25</v>
      </c>
      <c r="H36" s="37">
        <f>299792458/H35</f>
        <v>281759828947368.38</v>
      </c>
      <c r="I36" s="37">
        <f t="shared" ref="I36" si="7">299792458/I35</f>
        <v>281627485204321.25</v>
      </c>
      <c r="J36" s="37">
        <f>299792458/J35</f>
        <v>281759828947368.38</v>
      </c>
    </row>
    <row r="37" spans="1:12" ht="28.8">
      <c r="A37" s="48" t="s">
        <v>451</v>
      </c>
      <c r="B37" s="37">
        <f t="shared" ref="B37:G37" si="8">6.62607015*10^(-34)*B36</f>
        <v>3.7339207841145277E-19</v>
      </c>
      <c r="C37" s="37">
        <f t="shared" ref="C37" si="9">6.62607015*10^(-34)*C36</f>
        <v>3.7339207841145277E-19</v>
      </c>
      <c r="D37" s="37">
        <f t="shared" si="8"/>
        <v>3.7339207841145277E-19</v>
      </c>
      <c r="E37" s="37">
        <f t="shared" si="8"/>
        <v>3.7339207841145277E-19</v>
      </c>
      <c r="F37" s="37">
        <f t="shared" si="8"/>
        <v>1.8669603920572639E-19</v>
      </c>
      <c r="G37" s="37">
        <f t="shared" si="8"/>
        <v>1.86608347313192E-19</v>
      </c>
      <c r="H37" s="37">
        <f t="shared" ref="H37" si="10">6.62607015*10^(-34)*H36</f>
        <v>1.8669603920572639E-19</v>
      </c>
      <c r="I37" s="37">
        <f t="shared" ref="I37:J37" si="11">6.62607015*10^(-34)*I36</f>
        <v>1.86608347313192E-19</v>
      </c>
      <c r="J37" s="76">
        <f t="shared" si="11"/>
        <v>1.8669603920572639E-19</v>
      </c>
      <c r="L37"/>
    </row>
    <row r="38" spans="1:12" ht="28.8">
      <c r="A38" s="48" t="s">
        <v>452</v>
      </c>
      <c r="B38" s="74">
        <f>B34/B37</f>
        <v>1856.5876277744972</v>
      </c>
      <c r="C38" s="74">
        <f>C34/C37</f>
        <v>8658.0313623687853</v>
      </c>
      <c r="D38" s="74">
        <f>D34/D37</f>
        <v>8658.0622792817376</v>
      </c>
      <c r="E38" s="74">
        <f>E34/E37</f>
        <v>56133.833491251811</v>
      </c>
      <c r="F38" s="74">
        <f>F34/F37</f>
        <v>2409.4200588483363</v>
      </c>
      <c r="G38" s="74">
        <f t="shared" ref="G38" si="12">G34/G37</f>
        <v>109101000858095.69</v>
      </c>
      <c r="H38" s="74">
        <f>H34/H37</f>
        <v>2247223.2522237962</v>
      </c>
      <c r="I38" s="74">
        <f>I34/I37</f>
        <v>509261110757649.06</v>
      </c>
      <c r="J38" s="74">
        <f>J34/J37</f>
        <v>481884.01176966733</v>
      </c>
    </row>
    <row r="39" spans="1:12">
      <c r="B39" s="37">
        <f>B38*0.01</f>
        <v>18.565876277744973</v>
      </c>
      <c r="E39" s="37">
        <f>E38*0.01*0.3</f>
        <v>168.40150047375542</v>
      </c>
      <c r="F39" s="37">
        <f>F38*0.01</f>
        <v>24.094200588483364</v>
      </c>
      <c r="G39" s="37">
        <f>G38*0.01</f>
        <v>1091010008580.9569</v>
      </c>
      <c r="J39" s="37">
        <f>J38*0.01</f>
        <v>4818.8401176966736</v>
      </c>
    </row>
    <row r="40" spans="1:12">
      <c r="A40" s="37" t="s">
        <v>453</v>
      </c>
      <c r="B40" s="37">
        <v>8</v>
      </c>
      <c r="C40" s="37">
        <f>10^(B40/10)</f>
        <v>6.3095734448019343</v>
      </c>
      <c r="E40" s="37" t="s">
        <v>454</v>
      </c>
      <c r="F40" s="37">
        <v>-160</v>
      </c>
      <c r="G40" s="37">
        <f>10^(F40/10)</f>
        <v>9.9999999999999998E-17</v>
      </c>
      <c r="H40"/>
      <c r="I40" s="37">
        <f t="shared" ref="I40" si="13">10^(H40/10)</f>
        <v>1</v>
      </c>
    </row>
    <row r="41" spans="1:12">
      <c r="A41" s="37" t="s">
        <v>455</v>
      </c>
      <c r="B41" s="37">
        <v>0.7</v>
      </c>
      <c r="E41" s="37" t="s">
        <v>456</v>
      </c>
      <c r="F41" s="84">
        <f>G40/(C42*C43*B44*B41*B45*B46)</f>
        <v>13.305334138912071</v>
      </c>
      <c r="H41"/>
    </row>
    <row r="42" spans="1:12">
      <c r="A42" s="37" t="s">
        <v>457</v>
      </c>
      <c r="B42" s="37">
        <v>8</v>
      </c>
      <c r="C42" s="37">
        <f>10^(B42/10)</f>
        <v>6.3095734448019343</v>
      </c>
    </row>
    <row r="43" spans="1:12">
      <c r="A43" s="37" t="s">
        <v>458</v>
      </c>
      <c r="B43" s="37">
        <v>3.05</v>
      </c>
      <c r="C43" s="37">
        <f>10^(B43/10)</f>
        <v>2.0183663636815612</v>
      </c>
      <c r="I43" s="37" t="s">
        <v>459</v>
      </c>
    </row>
    <row r="44" spans="1:12" ht="43.2">
      <c r="A44" s="37" t="s">
        <v>460</v>
      </c>
      <c r="B44" s="76">
        <f>((2.99792458*10^8/(2492*10^6))/(4*PI()*8723157.89759901))^2</f>
        <v>1.2044204877194407E-18</v>
      </c>
      <c r="E44" s="37" t="s">
        <v>461</v>
      </c>
      <c r="F44" s="86">
        <f>200*10^(-3)*200*10^(-3)*5*10^(-3)</f>
        <v>2.0000000000000001E-4</v>
      </c>
      <c r="I44" s="37" t="s">
        <v>462</v>
      </c>
      <c r="J44" s="37" t="s">
        <v>463</v>
      </c>
      <c r="K44" s="37" t="s">
        <v>464</v>
      </c>
      <c r="L44" s="37" t="s">
        <v>465</v>
      </c>
    </row>
    <row r="45" spans="1:12">
      <c r="A45" s="37" t="s">
        <v>466</v>
      </c>
      <c r="B45" s="37">
        <v>1</v>
      </c>
      <c r="E45" s="37" t="s">
        <v>467</v>
      </c>
      <c r="F45" s="90">
        <f>I48</f>
        <v>627.80084929295811</v>
      </c>
      <c r="H45" s="37" t="s">
        <v>467</v>
      </c>
      <c r="I45" s="37">
        <v>120</v>
      </c>
      <c r="J45" s="37">
        <v>130</v>
      </c>
      <c r="K45" s="37">
        <v>250</v>
      </c>
      <c r="L45" s="37">
        <v>70</v>
      </c>
    </row>
    <row r="46" spans="1:12">
      <c r="A46" s="37" t="s">
        <v>468</v>
      </c>
      <c r="B46" s="37">
        <v>0.7</v>
      </c>
      <c r="H46" s="37" t="s">
        <v>469</v>
      </c>
      <c r="I46" s="37">
        <v>12</v>
      </c>
      <c r="J46" s="37">
        <v>2.4</v>
      </c>
      <c r="K46" s="37">
        <v>7.2</v>
      </c>
      <c r="L46" s="37">
        <v>2.5</v>
      </c>
    </row>
    <row r="47" spans="1:12">
      <c r="A47" s="37" t="s">
        <v>470</v>
      </c>
      <c r="B47" s="37">
        <v>50</v>
      </c>
    </row>
    <row r="48" spans="1:12">
      <c r="A48" s="37" t="s">
        <v>471</v>
      </c>
      <c r="B48" s="37">
        <f>1.380649*10^(-23)</f>
        <v>1.3806490000000001E-23</v>
      </c>
      <c r="H48" s="48"/>
      <c r="I48" s="85">
        <f>41.328*F41+77.918</f>
        <v>627.80084929295811</v>
      </c>
    </row>
    <row r="49" spans="1:13">
      <c r="A49" s="37" t="s">
        <v>472</v>
      </c>
      <c r="B49" s="37">
        <v>135</v>
      </c>
    </row>
    <row r="50" spans="1:13">
      <c r="A50" s="37" t="s">
        <v>456</v>
      </c>
      <c r="B50" s="37">
        <f>C40/(B41*C42*C43*B44*B45*B46)*B47*B48*B49</f>
        <v>7.823711745139407E-2</v>
      </c>
    </row>
    <row r="51" spans="1:13">
      <c r="B51" s="37" t="s">
        <v>473</v>
      </c>
      <c r="C51" s="37" t="s">
        <v>474</v>
      </c>
    </row>
    <row r="52" spans="1:13">
      <c r="A52" s="48" t="s">
        <v>475</v>
      </c>
    </row>
    <row r="53" spans="1:13" ht="28.8">
      <c r="A53" s="37" t="s">
        <v>503</v>
      </c>
      <c r="B53" s="37">
        <v>5</v>
      </c>
      <c r="C53" s="37">
        <f>10^(B53/10)</f>
        <v>3.1622776601683795</v>
      </c>
      <c r="G53" s="37">
        <f>10^(F53/10)</f>
        <v>1</v>
      </c>
    </row>
    <row r="54" spans="1:13">
      <c r="A54" s="37" t="s">
        <v>455</v>
      </c>
      <c r="B54" s="37">
        <v>0.7</v>
      </c>
      <c r="D54" s="37">
        <f t="shared" ref="D54:D63" si="14">10*LOG10(B54)</f>
        <v>-1.5490195998574319</v>
      </c>
      <c r="F54" s="76"/>
    </row>
    <row r="55" spans="1:13">
      <c r="A55" s="37" t="s">
        <v>457</v>
      </c>
      <c r="B55" s="104">
        <v>124.7</v>
      </c>
      <c r="D55" s="37">
        <f t="shared" si="14"/>
        <v>20.958664534785427</v>
      </c>
      <c r="G55" s="37">
        <f>10^0.1</f>
        <v>1.2589254117941673</v>
      </c>
    </row>
    <row r="56" spans="1:13" ht="158.4">
      <c r="A56" s="37" t="s">
        <v>458</v>
      </c>
      <c r="B56" s="73">
        <v>100</v>
      </c>
      <c r="D56" s="37">
        <f t="shared" si="14"/>
        <v>20</v>
      </c>
      <c r="E56" s="37">
        <f>10^(0.2/10)</f>
        <v>1.0471285480508996</v>
      </c>
      <c r="M56" s="77" t="s">
        <v>476</v>
      </c>
    </row>
    <row r="57" spans="1:13">
      <c r="A57" s="37" t="s">
        <v>460</v>
      </c>
      <c r="B57" s="87">
        <f>((3*10^8/(2066*10^6))/(4*PI()*A80*10^3))^2</f>
        <v>2.0577073678134147E-18</v>
      </c>
      <c r="D57" s="37">
        <f t="shared" si="14"/>
        <v>-176.86616387387113</v>
      </c>
      <c r="E57" s="87">
        <f>((3*10^8/(2066*10^6))/(4*PI()*C80*10^3))^2</f>
        <v>3.1538442666475818E-15</v>
      </c>
      <c r="F57" s="37">
        <f>10*LOG10(E57)</f>
        <v>-145.01159755460327</v>
      </c>
      <c r="M57" s="5"/>
    </row>
    <row r="58" spans="1:13">
      <c r="A58" s="37" t="s">
        <v>466</v>
      </c>
      <c r="B58" s="37">
        <v>0.1</v>
      </c>
      <c r="D58" s="37">
        <f t="shared" si="14"/>
        <v>-10</v>
      </c>
    </row>
    <row r="59" spans="1:13">
      <c r="A59" s="37" t="s">
        <v>468</v>
      </c>
      <c r="B59" s="37">
        <v>0.7</v>
      </c>
      <c r="D59" s="37">
        <f t="shared" si="14"/>
        <v>-1.5490195998574319</v>
      </c>
    </row>
    <row r="60" spans="1:13">
      <c r="A60" s="37" t="s">
        <v>470</v>
      </c>
      <c r="B60" s="37">
        <v>1000</v>
      </c>
      <c r="D60" s="37">
        <f t="shared" si="14"/>
        <v>30</v>
      </c>
    </row>
    <row r="61" spans="1:13">
      <c r="A61" s="37" t="s">
        <v>471</v>
      </c>
      <c r="B61" s="37">
        <f>1.380649*10^(-23)</f>
        <v>1.3806490000000001E-23</v>
      </c>
      <c r="D61" s="37">
        <f t="shared" si="14"/>
        <v>-228.59916717321767</v>
      </c>
    </row>
    <row r="62" spans="1:13">
      <c r="A62" s="37" t="s">
        <v>472</v>
      </c>
      <c r="B62" s="37">
        <v>135</v>
      </c>
      <c r="D62" s="37">
        <f t="shared" si="14"/>
        <v>21.303337684950062</v>
      </c>
    </row>
    <row r="63" spans="1:13" ht="28.8">
      <c r="A63" s="37" t="s">
        <v>477</v>
      </c>
      <c r="B63" s="73">
        <v>1.9950000000000001</v>
      </c>
      <c r="D63" s="37">
        <f t="shared" si="14"/>
        <v>2.9994290002276709</v>
      </c>
    </row>
    <row r="64" spans="1:13">
      <c r="A64" s="48" t="s">
        <v>478</v>
      </c>
      <c r="B64" s="88">
        <f>B63*B55*B54*B56*B59*B57*B58/(B60*B61*B62)</f>
        <v>1345.773570440979</v>
      </c>
      <c r="C64" s="37">
        <f>10*LOG10(B64)</f>
        <v>31.289719949694714</v>
      </c>
      <c r="E64" s="87">
        <f>B63*B55*B54*B56*B59*E57*B58/(B60*B61*B62)</f>
        <v>2062664.6556897545</v>
      </c>
    </row>
    <row r="65" spans="1:43">
      <c r="A65" s="48" t="s">
        <v>479</v>
      </c>
      <c r="C65" s="48">
        <f>C64-B53</f>
        <v>26.289719949694714</v>
      </c>
      <c r="E65" s="48">
        <f>10*LOG10(E64)-B53</f>
        <v>58.144286268962574</v>
      </c>
    </row>
    <row r="68" spans="1:43">
      <c r="B68" s="37" t="s">
        <v>480</v>
      </c>
      <c r="C68" s="37" t="s">
        <v>481</v>
      </c>
    </row>
    <row r="69" spans="1:43">
      <c r="B69" s="37" t="s">
        <v>482</v>
      </c>
      <c r="C69" s="37" t="s">
        <v>483</v>
      </c>
    </row>
    <row r="70" spans="1:43">
      <c r="A70" s="37" t="s">
        <v>484</v>
      </c>
      <c r="B70" s="37">
        <f>10*LOG10(2*10^(20.14/10))</f>
        <v>23.15029995663982</v>
      </c>
      <c r="C70" s="37">
        <f>10*LOG10(2*10^(-10.13/10))</f>
        <v>-7.11970004336019</v>
      </c>
    </row>
    <row r="71" spans="1:43">
      <c r="A71" s="37" t="s">
        <v>72</v>
      </c>
      <c r="B71" s="37">
        <f>10*LOG10(((3*10^8/(2066*10^6))/(4*PI()*A80*10^3))^2)</f>
        <v>-176.86616387387113</v>
      </c>
      <c r="C71" s="37">
        <f>10*LOG10(((3*10^8/(2066*10^6))/(4*PI()*A80*10^3))^2)</f>
        <v>-176.86616387387113</v>
      </c>
    </row>
    <row r="72" spans="1:43">
      <c r="A72" s="37" t="s">
        <v>471</v>
      </c>
      <c r="B72" s="37">
        <f>10*LOG10(B61)</f>
        <v>-228.59916717321767</v>
      </c>
      <c r="C72" s="37">
        <f>10*LOG10(B61)</f>
        <v>-228.59916717321767</v>
      </c>
      <c r="G72"/>
    </row>
    <row r="73" spans="1:43" ht="28.8">
      <c r="A73" s="37" t="s">
        <v>485</v>
      </c>
      <c r="B73" s="37">
        <f>10*LOG10(25*10^6)</f>
        <v>73.979400086720375</v>
      </c>
      <c r="C73" s="37">
        <f>10*LOG10(27*10^6)</f>
        <v>74.313637641589864</v>
      </c>
      <c r="G73" s="37" t="s">
        <v>486</v>
      </c>
    </row>
    <row r="74" spans="1:43">
      <c r="A74" s="48" t="s">
        <v>487</v>
      </c>
      <c r="B74" s="48">
        <f>B70+B71-B72-B73</f>
        <v>0.90390316926598757</v>
      </c>
      <c r="C74" s="48">
        <f>C70+C71-C72-C73</f>
        <v>-29.700334385603512</v>
      </c>
    </row>
    <row r="77" spans="1:43">
      <c r="AQ77" s="73"/>
    </row>
    <row r="78" spans="1:43">
      <c r="AQ78" s="73"/>
    </row>
    <row r="79" spans="1:43">
      <c r="A79" s="37">
        <f>C79-2616.56</f>
        <v>6452.6400000000012</v>
      </c>
      <c r="B79" s="37">
        <f>5740</f>
        <v>5740</v>
      </c>
      <c r="C79" s="37">
        <f>B79*(1+0.58)</f>
        <v>9069.2000000000007</v>
      </c>
      <c r="AQ79" s="73"/>
    </row>
    <row r="80" spans="1:43">
      <c r="A80" s="37">
        <f>10466.24-B80</f>
        <v>8055.44</v>
      </c>
      <c r="B80" s="37">
        <f>B79*(1-0.58)</f>
        <v>2410.8000000000002</v>
      </c>
      <c r="C80" s="37">
        <f>2616.56-B80</f>
        <v>205.75999999999976</v>
      </c>
      <c r="AQ80" s="73"/>
    </row>
    <row r="81" spans="1:171">
      <c r="B81"/>
      <c r="AQ81" s="73"/>
    </row>
    <row r="82" spans="1:171">
      <c r="D82" s="37">
        <v>200</v>
      </c>
      <c r="E82" s="37">
        <v>250</v>
      </c>
      <c r="F82" s="37">
        <v>300</v>
      </c>
      <c r="G82" s="37">
        <v>350</v>
      </c>
      <c r="H82" s="37">
        <v>400</v>
      </c>
      <c r="I82" s="37">
        <v>450</v>
      </c>
      <c r="J82" s="37">
        <v>500</v>
      </c>
      <c r="K82" s="37">
        <v>550</v>
      </c>
      <c r="L82" s="37">
        <v>600</v>
      </c>
      <c r="M82" s="37">
        <v>650</v>
      </c>
      <c r="N82" s="37">
        <v>700</v>
      </c>
      <c r="O82" s="37">
        <v>750</v>
      </c>
      <c r="P82" s="37">
        <v>800</v>
      </c>
      <c r="Q82" s="37">
        <v>850</v>
      </c>
      <c r="R82" s="37">
        <v>900</v>
      </c>
      <c r="S82" s="37">
        <v>950</v>
      </c>
      <c r="T82" s="37">
        <v>1000</v>
      </c>
      <c r="U82" s="37">
        <v>1050</v>
      </c>
      <c r="V82" s="37">
        <v>1100</v>
      </c>
      <c r="W82" s="37">
        <v>1150</v>
      </c>
      <c r="X82" s="37">
        <v>1200</v>
      </c>
      <c r="Y82" s="37">
        <v>1250</v>
      </c>
      <c r="Z82" s="37">
        <v>1300</v>
      </c>
      <c r="AA82" s="37">
        <v>1350</v>
      </c>
      <c r="AB82" s="37">
        <v>1400</v>
      </c>
      <c r="AC82" s="37">
        <v>1450</v>
      </c>
      <c r="AD82" s="37">
        <v>1500</v>
      </c>
      <c r="AE82" s="37">
        <v>1550</v>
      </c>
      <c r="AF82" s="37">
        <v>1600</v>
      </c>
      <c r="AG82" s="37">
        <v>1650</v>
      </c>
      <c r="AH82" s="37">
        <v>1700</v>
      </c>
      <c r="AI82" s="37">
        <v>1750</v>
      </c>
      <c r="AJ82" s="37">
        <v>1800</v>
      </c>
      <c r="AK82" s="37">
        <v>1850</v>
      </c>
      <c r="AL82" s="37">
        <v>1900</v>
      </c>
      <c r="AM82" s="37">
        <v>1950</v>
      </c>
      <c r="AN82" s="37">
        <v>2000</v>
      </c>
      <c r="AO82" s="37">
        <v>2050</v>
      </c>
      <c r="AP82" s="37">
        <v>2100</v>
      </c>
      <c r="AQ82" s="73">
        <v>2150</v>
      </c>
      <c r="AR82" s="37">
        <v>2200</v>
      </c>
      <c r="AS82" s="37">
        <v>2250</v>
      </c>
      <c r="AT82" s="37">
        <v>2300</v>
      </c>
      <c r="AU82" s="37">
        <v>2350</v>
      </c>
      <c r="AV82" s="37">
        <v>2400</v>
      </c>
      <c r="AW82" s="37">
        <v>2450</v>
      </c>
      <c r="AX82" s="37">
        <v>2500</v>
      </c>
      <c r="AY82" s="37">
        <v>2550</v>
      </c>
      <c r="AZ82" s="37">
        <v>2600</v>
      </c>
      <c r="BA82" s="37">
        <v>2650</v>
      </c>
      <c r="BB82" s="37">
        <v>2700</v>
      </c>
      <c r="BC82" s="37">
        <v>2750</v>
      </c>
      <c r="BD82" s="37">
        <v>2800</v>
      </c>
      <c r="BE82" s="37">
        <v>2850</v>
      </c>
      <c r="BF82" s="37">
        <v>2900</v>
      </c>
      <c r="BG82" s="37">
        <v>2950</v>
      </c>
      <c r="BH82" s="37">
        <v>3000</v>
      </c>
      <c r="BI82" s="37">
        <v>3050</v>
      </c>
      <c r="BJ82" s="37">
        <v>3100</v>
      </c>
      <c r="BK82" s="37">
        <v>3150</v>
      </c>
      <c r="BL82" s="37">
        <v>3200</v>
      </c>
      <c r="BM82" s="37">
        <v>3250</v>
      </c>
      <c r="BN82" s="37">
        <v>3300</v>
      </c>
      <c r="BO82" s="37">
        <v>3350</v>
      </c>
      <c r="BP82" s="37">
        <v>3400</v>
      </c>
      <c r="BQ82" s="37">
        <v>3450</v>
      </c>
      <c r="BR82" s="37">
        <v>3500</v>
      </c>
      <c r="BS82" s="37">
        <v>3550</v>
      </c>
      <c r="BT82" s="37">
        <v>3600</v>
      </c>
      <c r="BU82" s="37">
        <v>3650</v>
      </c>
      <c r="BV82" s="37">
        <v>3700</v>
      </c>
      <c r="BW82" s="37">
        <v>3750</v>
      </c>
      <c r="BX82" s="37">
        <v>3800</v>
      </c>
      <c r="BY82" s="37">
        <v>3850</v>
      </c>
      <c r="BZ82" s="37">
        <v>3900</v>
      </c>
      <c r="CA82" s="37">
        <v>3950</v>
      </c>
      <c r="CB82" s="37">
        <v>4000</v>
      </c>
      <c r="CC82" s="37">
        <v>4050</v>
      </c>
      <c r="CD82" s="37">
        <v>4100</v>
      </c>
      <c r="CE82" s="37">
        <v>4150</v>
      </c>
      <c r="CF82" s="37">
        <v>4200</v>
      </c>
      <c r="CG82" s="37">
        <v>4250</v>
      </c>
      <c r="CH82" s="37">
        <v>4300</v>
      </c>
      <c r="CI82" s="37">
        <v>4350</v>
      </c>
      <c r="CJ82" s="37">
        <v>4400</v>
      </c>
      <c r="CK82" s="37">
        <v>4450</v>
      </c>
      <c r="CL82" s="37">
        <v>4500</v>
      </c>
      <c r="CM82" s="37">
        <v>4550</v>
      </c>
      <c r="CN82" s="37">
        <v>4600</v>
      </c>
      <c r="CO82" s="37">
        <v>4650</v>
      </c>
      <c r="CP82" s="37">
        <v>4700</v>
      </c>
      <c r="CQ82" s="37">
        <v>4750</v>
      </c>
      <c r="CR82" s="37">
        <v>4800</v>
      </c>
      <c r="CS82" s="37">
        <v>4850</v>
      </c>
      <c r="CT82" s="37">
        <v>4900</v>
      </c>
      <c r="CU82" s="37">
        <v>4950</v>
      </c>
      <c r="CV82" s="37">
        <v>5000</v>
      </c>
      <c r="CW82" s="37">
        <v>5050</v>
      </c>
      <c r="CX82" s="37">
        <v>5100</v>
      </c>
      <c r="CY82" s="37">
        <v>5150</v>
      </c>
      <c r="CZ82" s="37">
        <v>5200</v>
      </c>
      <c r="DA82" s="37">
        <v>5250</v>
      </c>
      <c r="DB82" s="37">
        <v>5300</v>
      </c>
      <c r="DC82" s="37">
        <v>5350</v>
      </c>
      <c r="DD82" s="37">
        <v>5400</v>
      </c>
      <c r="DE82" s="37">
        <v>5450</v>
      </c>
      <c r="DF82" s="37">
        <v>5500</v>
      </c>
      <c r="DG82" s="37">
        <v>5550</v>
      </c>
      <c r="DH82" s="37">
        <v>5600</v>
      </c>
      <c r="DI82" s="37">
        <v>5650</v>
      </c>
      <c r="DJ82" s="37">
        <v>5700</v>
      </c>
      <c r="DK82" s="37">
        <v>5750</v>
      </c>
      <c r="DL82" s="37">
        <v>5800</v>
      </c>
      <c r="DM82" s="37">
        <v>5850</v>
      </c>
      <c r="DN82" s="37">
        <v>5900</v>
      </c>
      <c r="DO82" s="37">
        <v>5950</v>
      </c>
      <c r="DP82" s="37">
        <v>6000</v>
      </c>
      <c r="DQ82" s="37">
        <v>6050</v>
      </c>
      <c r="DR82" s="37">
        <v>6100</v>
      </c>
      <c r="DS82" s="37">
        <v>6150</v>
      </c>
      <c r="DT82" s="37">
        <v>6200</v>
      </c>
      <c r="DU82" s="37">
        <v>6250</v>
      </c>
      <c r="DV82" s="37">
        <v>6300</v>
      </c>
      <c r="DW82" s="37">
        <v>6350</v>
      </c>
      <c r="DX82" s="37">
        <v>6400</v>
      </c>
      <c r="DY82" s="37">
        <v>6450</v>
      </c>
      <c r="DZ82" s="37">
        <v>6500</v>
      </c>
      <c r="EA82" s="37">
        <v>6550</v>
      </c>
      <c r="EB82" s="37">
        <v>6600</v>
      </c>
      <c r="EC82" s="37">
        <v>6650</v>
      </c>
      <c r="ED82" s="37">
        <v>6700</v>
      </c>
      <c r="EE82" s="37">
        <v>6750</v>
      </c>
      <c r="EF82" s="37">
        <v>6800</v>
      </c>
      <c r="EG82" s="37">
        <v>6850</v>
      </c>
      <c r="EH82" s="37">
        <v>6900</v>
      </c>
      <c r="EI82" s="37">
        <v>6950</v>
      </c>
      <c r="EJ82" s="37">
        <v>7000</v>
      </c>
      <c r="EK82" s="37">
        <v>7050</v>
      </c>
      <c r="EL82" s="37">
        <v>7100</v>
      </c>
      <c r="EM82" s="37">
        <v>7150</v>
      </c>
      <c r="EN82" s="37">
        <v>7200</v>
      </c>
      <c r="EO82" s="37">
        <v>7250</v>
      </c>
      <c r="EP82" s="37">
        <v>7300</v>
      </c>
      <c r="EQ82" s="37">
        <v>7350</v>
      </c>
      <c r="ER82" s="37">
        <v>7400</v>
      </c>
      <c r="ES82" s="37">
        <v>7450</v>
      </c>
      <c r="ET82" s="37">
        <v>7500</v>
      </c>
      <c r="EU82" s="37">
        <v>7550</v>
      </c>
      <c r="EV82" s="37">
        <v>7600</v>
      </c>
      <c r="EW82" s="37">
        <v>7650</v>
      </c>
      <c r="EX82" s="37">
        <v>7700</v>
      </c>
      <c r="EY82" s="37">
        <v>7750</v>
      </c>
      <c r="EZ82" s="37">
        <v>7800</v>
      </c>
      <c r="FA82" s="37">
        <v>7850</v>
      </c>
      <c r="FB82" s="37">
        <v>7900</v>
      </c>
      <c r="FC82" s="37">
        <v>7950</v>
      </c>
      <c r="FD82" s="37">
        <v>8000</v>
      </c>
      <c r="FE82" s="37">
        <v>8050</v>
      </c>
      <c r="FF82" s="37">
        <v>8100</v>
      </c>
      <c r="FG82" s="37">
        <v>8150</v>
      </c>
      <c r="FH82" s="37">
        <v>8200</v>
      </c>
      <c r="FI82" s="37">
        <v>8250</v>
      </c>
      <c r="FJ82" s="37">
        <v>8300</v>
      </c>
      <c r="FK82" s="37">
        <v>8350</v>
      </c>
      <c r="FL82" s="37">
        <v>8400</v>
      </c>
      <c r="FM82" s="37">
        <v>8450</v>
      </c>
      <c r="FN82" s="37">
        <v>8500</v>
      </c>
      <c r="FO82" s="37">
        <v>8550</v>
      </c>
    </row>
    <row r="83" spans="1:171">
      <c r="D83" s="37">
        <f t="shared" ref="D83:AI83" si="15">((3*10^8/(2066*10^6))/(4*PI()*D82*10^3))^2</f>
        <v>3.3381216209950025E-15</v>
      </c>
      <c r="E83" s="37">
        <f t="shared" si="15"/>
        <v>2.1363978374368021E-15</v>
      </c>
      <c r="F83" s="37">
        <f t="shared" si="15"/>
        <v>1.4836096093311127E-15</v>
      </c>
      <c r="G83" s="37">
        <f t="shared" si="15"/>
        <v>1.08999889665143E-15</v>
      </c>
      <c r="H83" s="37">
        <f t="shared" si="15"/>
        <v>8.3453040524875062E-16</v>
      </c>
      <c r="I83" s="37">
        <f t="shared" si="15"/>
        <v>6.5938204859160571E-16</v>
      </c>
      <c r="J83" s="37">
        <f t="shared" si="15"/>
        <v>5.3409945935920054E-16</v>
      </c>
      <c r="K83" s="37">
        <f t="shared" si="15"/>
        <v>4.4140451186710785E-16</v>
      </c>
      <c r="L83" s="37">
        <f t="shared" si="15"/>
        <v>3.7090240233277819E-16</v>
      </c>
      <c r="M83" s="37">
        <f t="shared" si="15"/>
        <v>3.1603518305278144E-16</v>
      </c>
      <c r="N83" s="37">
        <f t="shared" si="15"/>
        <v>2.7249972416285749E-16</v>
      </c>
      <c r="O83" s="37">
        <f t="shared" si="15"/>
        <v>2.3737753749297803E-16</v>
      </c>
      <c r="P83" s="37">
        <f t="shared" si="15"/>
        <v>2.0863260131218766E-16</v>
      </c>
      <c r="Q83" s="37">
        <f t="shared" si="15"/>
        <v>1.8480950150837394E-16</v>
      </c>
      <c r="R83" s="37">
        <f t="shared" si="15"/>
        <v>1.6484551214790143E-16</v>
      </c>
      <c r="S83" s="37">
        <f t="shared" si="15"/>
        <v>1.4794998874216081E-16</v>
      </c>
      <c r="T83" s="37">
        <f t="shared" si="15"/>
        <v>1.3352486483980013E-16</v>
      </c>
      <c r="U83" s="37">
        <f t="shared" si="15"/>
        <v>1.2111098851682549E-16</v>
      </c>
      <c r="V83" s="37">
        <f t="shared" si="15"/>
        <v>1.1035112796677696E-16</v>
      </c>
      <c r="W83" s="37">
        <f t="shared" si="15"/>
        <v>1.0096398097527421E-16</v>
      </c>
      <c r="X83" s="37">
        <f t="shared" si="15"/>
        <v>9.2725600583194546E-17</v>
      </c>
      <c r="Y83" s="37">
        <f t="shared" si="15"/>
        <v>8.5455913497472086E-17</v>
      </c>
      <c r="Z83" s="37">
        <f t="shared" si="15"/>
        <v>7.9008795763195361E-17</v>
      </c>
      <c r="AA83" s="37">
        <f t="shared" si="15"/>
        <v>7.3264672065733924E-17</v>
      </c>
      <c r="AB83" s="37">
        <f t="shared" si="15"/>
        <v>6.8124931040714374E-17</v>
      </c>
      <c r="AC83" s="37">
        <f t="shared" si="15"/>
        <v>6.3507664608703997E-17</v>
      </c>
      <c r="AD83" s="37">
        <f t="shared" si="15"/>
        <v>5.9344384373244507E-17</v>
      </c>
      <c r="AE83" s="37">
        <f t="shared" si="15"/>
        <v>5.5577467154963649E-17</v>
      </c>
      <c r="AF83" s="37">
        <f t="shared" si="15"/>
        <v>5.2158150328046914E-17</v>
      </c>
      <c r="AG83" s="37">
        <f t="shared" si="15"/>
        <v>4.9044945763011975E-17</v>
      </c>
      <c r="AH83" s="37">
        <f t="shared" si="15"/>
        <v>4.6202375377093485E-17</v>
      </c>
      <c r="AI83" s="37">
        <f t="shared" si="15"/>
        <v>4.359995586605718E-17</v>
      </c>
      <c r="AJ83" s="37">
        <f t="shared" ref="AJ83:BO83" si="16">((3*10^8/(2066*10^6))/(4*PI()*AJ82*10^3))^2</f>
        <v>4.1211378036975357E-17</v>
      </c>
      <c r="AK83" s="37">
        <f t="shared" si="16"/>
        <v>3.9013839251950361E-17</v>
      </c>
      <c r="AL83" s="37">
        <f t="shared" si="16"/>
        <v>3.6987497185540203E-17</v>
      </c>
      <c r="AM83" s="37">
        <f t="shared" si="16"/>
        <v>3.5115020339197926E-17</v>
      </c>
      <c r="AN83" s="37">
        <f t="shared" si="16"/>
        <v>3.3381216209950034E-17</v>
      </c>
      <c r="AO83" s="37">
        <f t="shared" si="16"/>
        <v>3.177272215105298E-17</v>
      </c>
      <c r="AP83" s="37">
        <f t="shared" si="16"/>
        <v>3.0277747129206373E-17</v>
      </c>
      <c r="AQ83" s="73">
        <f t="shared" si="16"/>
        <v>2.8885855022130907E-17</v>
      </c>
      <c r="AR83" s="37">
        <f t="shared" si="16"/>
        <v>2.7587781991694241E-17</v>
      </c>
      <c r="AS83" s="37">
        <f t="shared" si="16"/>
        <v>2.6375281943664218E-17</v>
      </c>
      <c r="AT83" s="37">
        <f t="shared" si="16"/>
        <v>2.5240995243818553E-17</v>
      </c>
      <c r="AU83" s="37">
        <f t="shared" si="16"/>
        <v>2.4178336774975127E-17</v>
      </c>
      <c r="AV83" s="37">
        <f t="shared" si="16"/>
        <v>2.3181400145798637E-17</v>
      </c>
      <c r="AW83" s="37">
        <f t="shared" si="16"/>
        <v>2.2244875441865912E-17</v>
      </c>
      <c r="AX83" s="37">
        <f t="shared" si="16"/>
        <v>2.1363978374368022E-17</v>
      </c>
      <c r="AY83" s="37">
        <f t="shared" si="16"/>
        <v>2.0534389056485986E-17</v>
      </c>
      <c r="AZ83" s="37">
        <f t="shared" si="16"/>
        <v>1.975219894079884E-17</v>
      </c>
      <c r="BA83" s="37">
        <f t="shared" si="16"/>
        <v>1.9013864697728741E-17</v>
      </c>
      <c r="BB83" s="37">
        <f t="shared" si="16"/>
        <v>1.8316168016433481E-17</v>
      </c>
      <c r="BC83" s="37">
        <f t="shared" si="16"/>
        <v>1.7656180474684318E-17</v>
      </c>
      <c r="BD83" s="37">
        <f t="shared" si="16"/>
        <v>1.7031232760178593E-17</v>
      </c>
      <c r="BE83" s="37">
        <f t="shared" si="16"/>
        <v>1.643888763801787E-17</v>
      </c>
      <c r="BF83" s="37">
        <f t="shared" si="16"/>
        <v>1.5876916152175999E-17</v>
      </c>
      <c r="BG83" s="37">
        <f t="shared" si="16"/>
        <v>1.5343276626233858E-17</v>
      </c>
      <c r="BH83" s="37">
        <f t="shared" si="16"/>
        <v>1.4836096093311127E-17</v>
      </c>
      <c r="BI83" s="37">
        <f t="shared" si="16"/>
        <v>1.4353653839269022E-17</v>
      </c>
      <c r="BJ83" s="37">
        <f t="shared" si="16"/>
        <v>1.3894366788740912E-17</v>
      </c>
      <c r="BK83" s="37">
        <f t="shared" si="16"/>
        <v>1.3456776501869501E-17</v>
      </c>
      <c r="BL83" s="37">
        <f t="shared" si="16"/>
        <v>1.3039537582011728E-17</v>
      </c>
      <c r="BM83" s="37">
        <f t="shared" si="16"/>
        <v>1.2641407322111254E-17</v>
      </c>
      <c r="BN83" s="37">
        <f t="shared" si="16"/>
        <v>1.2261236440752994E-17</v>
      </c>
      <c r="BO83" s="37">
        <f t="shared" si="16"/>
        <v>1.1897960778774791E-17</v>
      </c>
      <c r="BP83" s="37">
        <f t="shared" ref="BP83:CU83" si="17">((3*10^8/(2066*10^6))/(4*PI()*BP82*10^3))^2</f>
        <v>1.1550593844273371E-17</v>
      </c>
      <c r="BQ83" s="37">
        <f t="shared" si="17"/>
        <v>1.1218220108363801E-17</v>
      </c>
      <c r="BR83" s="37">
        <f t="shared" si="17"/>
        <v>1.0899988966514295E-17</v>
      </c>
      <c r="BS83" s="37">
        <f t="shared" si="17"/>
        <v>1.0595109290997826E-17</v>
      </c>
      <c r="BT83" s="37">
        <f t="shared" si="17"/>
        <v>1.0302844509243839E-17</v>
      </c>
      <c r="BU83" s="37">
        <f t="shared" si="17"/>
        <v>1.0022508150857581E-17</v>
      </c>
      <c r="BV83" s="37">
        <f t="shared" si="17"/>
        <v>9.7534598129875902E-18</v>
      </c>
      <c r="BW83" s="37">
        <f t="shared" si="17"/>
        <v>9.4951014997191221E-18</v>
      </c>
      <c r="BX83" s="37">
        <f t="shared" si="17"/>
        <v>9.2468742963850508E-18</v>
      </c>
      <c r="BY83" s="37">
        <f t="shared" si="17"/>
        <v>9.0082553442266902E-18</v>
      </c>
      <c r="BZ83" s="37">
        <f t="shared" si="17"/>
        <v>8.7787550847994815E-18</v>
      </c>
      <c r="CA83" s="37">
        <f t="shared" si="17"/>
        <v>8.5579147469828642E-18</v>
      </c>
      <c r="CB83" s="37">
        <f t="shared" si="17"/>
        <v>8.3453040524875084E-18</v>
      </c>
      <c r="CC83" s="37">
        <f t="shared" si="17"/>
        <v>8.140519118414885E-18</v>
      </c>
      <c r="CD83" s="37">
        <f t="shared" si="17"/>
        <v>7.943180537763245E-18</v>
      </c>
      <c r="CE83" s="37">
        <f t="shared" si="17"/>
        <v>7.7529316208332212E-18</v>
      </c>
      <c r="CF83" s="37">
        <f t="shared" si="17"/>
        <v>7.5694367823015931E-18</v>
      </c>
      <c r="CG83" s="37">
        <f t="shared" si="17"/>
        <v>7.3923800603349569E-18</v>
      </c>
      <c r="CH83" s="37">
        <f t="shared" si="17"/>
        <v>7.2214637555327268E-18</v>
      </c>
      <c r="CI83" s="37">
        <f t="shared" si="17"/>
        <v>7.0564071787448865E-18</v>
      </c>
      <c r="CJ83" s="37">
        <f t="shared" si="17"/>
        <v>6.8969454979235602E-18</v>
      </c>
      <c r="CK83" s="37">
        <f t="shared" si="17"/>
        <v>6.742828675157184E-18</v>
      </c>
      <c r="CL83" s="37">
        <f t="shared" si="17"/>
        <v>6.5938204859160544E-18</v>
      </c>
      <c r="CM83" s="37">
        <f t="shared" si="17"/>
        <v>6.4496976133220693E-18</v>
      </c>
      <c r="CN83" s="37">
        <f t="shared" si="17"/>
        <v>6.3102488109546383E-18</v>
      </c>
      <c r="CO83" s="37">
        <f t="shared" si="17"/>
        <v>6.175274128329293E-18</v>
      </c>
      <c r="CP83" s="37">
        <f t="shared" si="17"/>
        <v>6.0445841937437818E-18</v>
      </c>
      <c r="CQ83" s="37">
        <f t="shared" si="17"/>
        <v>5.917999549686434E-18</v>
      </c>
      <c r="CR83" s="37">
        <f t="shared" si="17"/>
        <v>5.7953500364496592E-18</v>
      </c>
      <c r="CS83" s="37">
        <f t="shared" si="17"/>
        <v>5.6764742199936275E-18</v>
      </c>
      <c r="CT83" s="37">
        <f t="shared" si="17"/>
        <v>5.5612188604664781E-18</v>
      </c>
      <c r="CU83" s="37">
        <f t="shared" si="17"/>
        <v>5.4494384181124433E-18</v>
      </c>
      <c r="CV83" s="37">
        <f t="shared" ref="CV83:EA83" si="18">((3*10^8/(2066*10^6))/(4*PI()*CV82*10^3))^2</f>
        <v>5.3409945935920054E-18</v>
      </c>
      <c r="CW83" s="37">
        <f t="shared" si="18"/>
        <v>5.2357559000019665E-18</v>
      </c>
      <c r="CX83" s="37">
        <f t="shared" si="18"/>
        <v>5.1335972641214965E-18</v>
      </c>
      <c r="CY83" s="37">
        <f t="shared" si="18"/>
        <v>5.0343996546253227E-18</v>
      </c>
      <c r="CZ83" s="37">
        <f t="shared" si="18"/>
        <v>4.9380497351997101E-18</v>
      </c>
      <c r="DA83" s="37">
        <f t="shared" si="18"/>
        <v>4.8444395406730206E-18</v>
      </c>
      <c r="DB83" s="37">
        <f t="shared" si="18"/>
        <v>4.7534661744321852E-18</v>
      </c>
      <c r="DC83" s="37">
        <f t="shared" si="18"/>
        <v>4.6650315255410992E-18</v>
      </c>
      <c r="DD83" s="37">
        <f t="shared" si="18"/>
        <v>4.5790420041083702E-18</v>
      </c>
      <c r="DE83" s="37">
        <f t="shared" si="18"/>
        <v>4.4954082935712539E-18</v>
      </c>
      <c r="DF83" s="37">
        <f t="shared" si="18"/>
        <v>4.4140451186710794E-18</v>
      </c>
      <c r="DG83" s="37">
        <f t="shared" si="18"/>
        <v>4.3348710279944859E-18</v>
      </c>
      <c r="DH83" s="37">
        <f t="shared" si="18"/>
        <v>4.2578081900446484E-18</v>
      </c>
      <c r="DI83" s="37">
        <f t="shared" si="18"/>
        <v>4.1827822018889546E-18</v>
      </c>
      <c r="DJ83" s="37">
        <f t="shared" si="18"/>
        <v>4.1097219095044675E-18</v>
      </c>
      <c r="DK83" s="37">
        <f t="shared" si="18"/>
        <v>4.038559239010967E-18</v>
      </c>
      <c r="DL83" s="37">
        <f t="shared" si="18"/>
        <v>3.9692290380439998E-18</v>
      </c>
      <c r="DM83" s="37">
        <f t="shared" si="18"/>
        <v>3.9016689265775489E-18</v>
      </c>
      <c r="DN83" s="37">
        <f t="shared" si="18"/>
        <v>3.8358191565584646E-18</v>
      </c>
      <c r="DO83" s="37">
        <f t="shared" si="18"/>
        <v>3.7716224797627324E-18</v>
      </c>
      <c r="DP83" s="37">
        <f t="shared" si="18"/>
        <v>3.7090240233277817E-18</v>
      </c>
      <c r="DQ83" s="37">
        <f t="shared" si="18"/>
        <v>3.647971172455436E-18</v>
      </c>
      <c r="DR83" s="37">
        <f t="shared" si="18"/>
        <v>3.5884134598172556E-18</v>
      </c>
      <c r="DS83" s="37">
        <f t="shared" si="18"/>
        <v>3.5303024612281097E-18</v>
      </c>
      <c r="DT83" s="37">
        <f t="shared" si="18"/>
        <v>3.4735916971852281E-18</v>
      </c>
      <c r="DU83" s="37">
        <f t="shared" si="18"/>
        <v>3.4182365398988839E-18</v>
      </c>
      <c r="DV83" s="37">
        <f t="shared" si="18"/>
        <v>3.3641941254673752E-18</v>
      </c>
      <c r="DW83" s="37">
        <f t="shared" si="18"/>
        <v>3.3114232708735852E-18</v>
      </c>
      <c r="DX83" s="37">
        <f t="shared" si="18"/>
        <v>3.2598843955029321E-18</v>
      </c>
      <c r="DY83" s="37">
        <f t="shared" si="18"/>
        <v>3.209539446903435E-18</v>
      </c>
      <c r="DZ83" s="37">
        <f t="shared" si="18"/>
        <v>3.1603518305278135E-18</v>
      </c>
      <c r="EA83" s="37">
        <f t="shared" si="18"/>
        <v>3.1122863432154336E-18</v>
      </c>
      <c r="EB83" s="37">
        <f t="shared" ref="EB83:FG83" si="19">((3*10^8/(2066*10^6))/(4*PI()*EB82*10^3))^2</f>
        <v>3.0653091101882484E-18</v>
      </c>
      <c r="EC83" s="37">
        <f t="shared" si="19"/>
        <v>3.0193875253502203E-18</v>
      </c>
      <c r="ED83" s="37">
        <f t="shared" si="19"/>
        <v>2.9744901946936976E-18</v>
      </c>
      <c r="EE83" s="37">
        <f t="shared" si="19"/>
        <v>2.9305868826293578E-18</v>
      </c>
      <c r="EF83" s="37">
        <f t="shared" si="19"/>
        <v>2.8876484610683428E-18</v>
      </c>
      <c r="EG83" s="37">
        <f t="shared" si="19"/>
        <v>2.8456468610964919E-18</v>
      </c>
      <c r="EH83" s="37">
        <f t="shared" si="19"/>
        <v>2.8045550270909504E-18</v>
      </c>
      <c r="EI83" s="37">
        <f t="shared" si="19"/>
        <v>2.7643468731390745E-18</v>
      </c>
      <c r="EJ83" s="37">
        <f t="shared" si="19"/>
        <v>2.7249972416285737E-18</v>
      </c>
      <c r="EK83" s="37">
        <f t="shared" si="19"/>
        <v>2.6864818638861248E-18</v>
      </c>
      <c r="EL83" s="37">
        <f t="shared" si="19"/>
        <v>2.6487773227494565E-18</v>
      </c>
      <c r="EM83" s="37">
        <f t="shared" si="19"/>
        <v>2.6118610169651353E-18</v>
      </c>
      <c r="EN83" s="37">
        <f t="shared" si="19"/>
        <v>2.5757111273109598E-18</v>
      </c>
      <c r="EO83" s="37">
        <f t="shared" si="19"/>
        <v>2.5403065843481594E-18</v>
      </c>
      <c r="EP83" s="37">
        <f t="shared" si="19"/>
        <v>2.5056270377143951E-18</v>
      </c>
      <c r="EQ83" s="37">
        <f t="shared" si="19"/>
        <v>2.4716528268739907E-18</v>
      </c>
      <c r="ER83" s="37">
        <f t="shared" si="19"/>
        <v>2.4383649532468976E-18</v>
      </c>
      <c r="ES83" s="37">
        <f t="shared" si="19"/>
        <v>2.4057450536426319E-18</v>
      </c>
      <c r="ET83" s="37">
        <f t="shared" si="19"/>
        <v>2.3737753749297805E-18</v>
      </c>
      <c r="EU83" s="37">
        <f t="shared" si="19"/>
        <v>2.3424387498758853E-18</v>
      </c>
      <c r="EV83" s="37">
        <f t="shared" si="19"/>
        <v>2.3117185740962627E-18</v>
      </c>
      <c r="EW83" s="37">
        <f t="shared" si="19"/>
        <v>2.2815987840539983E-18</v>
      </c>
      <c r="EX83" s="37">
        <f t="shared" si="19"/>
        <v>2.2520638360566726E-18</v>
      </c>
      <c r="EY83" s="37">
        <f t="shared" si="19"/>
        <v>2.223098686198545E-18</v>
      </c>
      <c r="EZ83" s="37">
        <f t="shared" si="19"/>
        <v>2.1946887711998704E-18</v>
      </c>
      <c r="FA83" s="37">
        <f t="shared" si="19"/>
        <v>2.1668199900977751E-18</v>
      </c>
      <c r="FB83" s="37">
        <f t="shared" si="19"/>
        <v>2.139478686745716E-18</v>
      </c>
      <c r="FC83" s="37">
        <f t="shared" si="19"/>
        <v>2.112651633080972E-18</v>
      </c>
      <c r="FD83" s="37">
        <f t="shared" si="19"/>
        <v>2.0863260131218771E-18</v>
      </c>
      <c r="FE83" s="37">
        <f t="shared" si="19"/>
        <v>2.0604894076586573E-18</v>
      </c>
      <c r="FF83" s="37">
        <f t="shared" si="19"/>
        <v>2.0351297796037213E-18</v>
      </c>
      <c r="FG83" s="37">
        <f t="shared" si="19"/>
        <v>2.0102354599691393E-18</v>
      </c>
      <c r="FH83" s="37">
        <f t="shared" ref="FH83:GM83" si="20">((3*10^8/(2066*10^6))/(4*PI()*FH82*10^3))^2</f>
        <v>1.9857951344408113E-18</v>
      </c>
      <c r="FI83" s="37">
        <f t="shared" si="20"/>
        <v>1.9617978305204795E-18</v>
      </c>
      <c r="FJ83" s="37">
        <f t="shared" si="20"/>
        <v>1.9382329052083053E-18</v>
      </c>
      <c r="FK83" s="37">
        <f t="shared" si="20"/>
        <v>1.9150900332001878E-18</v>
      </c>
      <c r="FL83" s="37">
        <f t="shared" si="20"/>
        <v>1.8923591955753983E-18</v>
      </c>
      <c r="FM83" s="37">
        <f t="shared" si="20"/>
        <v>1.8700306689513691E-18</v>
      </c>
      <c r="FN83" s="37">
        <f t="shared" si="20"/>
        <v>1.8480950150837392E-18</v>
      </c>
      <c r="FO83" s="37">
        <f t="shared" si="20"/>
        <v>1.8265430708908748E-18</v>
      </c>
    </row>
    <row r="84" spans="1:171">
      <c r="D84" s="37">
        <f t="shared" ref="D84:AI84" si="21">$B$63*$B$55*$B$54*$B$56*$B$59*D83*$B$58/($B$60*$B$61*$B$62)</f>
        <v>2183184.9964294941</v>
      </c>
      <c r="E84" s="37">
        <f t="shared" si="21"/>
        <v>1397238.3977148766</v>
      </c>
      <c r="F84" s="37">
        <f t="shared" si="21"/>
        <v>970304.44285755337</v>
      </c>
      <c r="G84" s="37">
        <f t="shared" si="21"/>
        <v>712876.73352799844</v>
      </c>
      <c r="H84" s="37">
        <f t="shared" si="21"/>
        <v>545796.24910737353</v>
      </c>
      <c r="I84" s="37">
        <f t="shared" si="21"/>
        <v>431246.41904780152</v>
      </c>
      <c r="J84" s="37">
        <f t="shared" si="21"/>
        <v>349309.59942871914</v>
      </c>
      <c r="K84" s="37">
        <f t="shared" si="21"/>
        <v>288685.6193625778</v>
      </c>
      <c r="L84" s="37">
        <f t="shared" si="21"/>
        <v>242576.11071438834</v>
      </c>
      <c r="M84" s="37">
        <f t="shared" si="21"/>
        <v>206692.0706678812</v>
      </c>
      <c r="N84" s="37">
        <f t="shared" si="21"/>
        <v>178219.18338199961</v>
      </c>
      <c r="O84" s="37">
        <f t="shared" si="21"/>
        <v>155248.7108572085</v>
      </c>
      <c r="P84" s="37">
        <f t="shared" si="21"/>
        <v>136449.06227684338</v>
      </c>
      <c r="Q84" s="37">
        <f t="shared" si="21"/>
        <v>120868.37350474716</v>
      </c>
      <c r="R84" s="37">
        <f t="shared" si="21"/>
        <v>107811.60476195038</v>
      </c>
      <c r="S84" s="37">
        <f t="shared" si="21"/>
        <v>96761.661891611948</v>
      </c>
      <c r="T84" s="37">
        <f t="shared" si="21"/>
        <v>87327.399857179786</v>
      </c>
      <c r="U84" s="37">
        <f t="shared" si="21"/>
        <v>79208.525947555347</v>
      </c>
      <c r="V84" s="37">
        <f t="shared" si="21"/>
        <v>72171.404840644449</v>
      </c>
      <c r="W84" s="37">
        <f t="shared" si="21"/>
        <v>66032.060383500793</v>
      </c>
      <c r="X84" s="37">
        <f t="shared" si="21"/>
        <v>60644.027678597085</v>
      </c>
      <c r="Y84" s="37">
        <f t="shared" si="21"/>
        <v>55889.535908595069</v>
      </c>
      <c r="Z84" s="37">
        <f t="shared" si="21"/>
        <v>51673.0176669703</v>
      </c>
      <c r="AA84" s="37">
        <f t="shared" si="21"/>
        <v>47916.268783089028</v>
      </c>
      <c r="AB84" s="37">
        <f t="shared" si="21"/>
        <v>44554.795845499902</v>
      </c>
      <c r="AC84" s="37">
        <f t="shared" si="21"/>
        <v>41535.029658587307</v>
      </c>
      <c r="AD84" s="37">
        <f t="shared" si="21"/>
        <v>38812.177714302125</v>
      </c>
      <c r="AE84" s="37">
        <f t="shared" si="21"/>
        <v>36348.553530563913</v>
      </c>
      <c r="AF84" s="37">
        <f t="shared" si="21"/>
        <v>34112.265569210846</v>
      </c>
      <c r="AG84" s="37">
        <f t="shared" si="21"/>
        <v>32076.179929175305</v>
      </c>
      <c r="AH84" s="37">
        <f t="shared" si="21"/>
        <v>30217.093376186789</v>
      </c>
      <c r="AI84" s="37">
        <f t="shared" si="21"/>
        <v>28515.069341119928</v>
      </c>
      <c r="AJ84" s="37">
        <f t="shared" ref="AJ84:BO84" si="22">$B$63*$B$55*$B$54*$B$56*$B$59*AJ83*$B$58/($B$60*$B$61*$B$62)</f>
        <v>26952.901190487595</v>
      </c>
      <c r="AK84" s="37">
        <f t="shared" si="22"/>
        <v>25515.675633945877</v>
      </c>
      <c r="AL84" s="37">
        <f t="shared" si="22"/>
        <v>24190.415472902987</v>
      </c>
      <c r="AM84" s="37">
        <f t="shared" si="22"/>
        <v>22965.78562976457</v>
      </c>
      <c r="AN84" s="37">
        <f t="shared" si="22"/>
        <v>21831.849964294946</v>
      </c>
      <c r="AO84" s="37">
        <f t="shared" si="22"/>
        <v>20779.869091535944</v>
      </c>
      <c r="AP84" s="37">
        <f t="shared" si="22"/>
        <v>19802.131486888837</v>
      </c>
      <c r="AQ84" s="73">
        <f t="shared" si="22"/>
        <v>18891.811759260094</v>
      </c>
      <c r="AR84" s="37">
        <f t="shared" si="22"/>
        <v>18042.851210161112</v>
      </c>
      <c r="AS84" s="37">
        <f t="shared" si="22"/>
        <v>17249.856761912055</v>
      </c>
      <c r="AT84" s="37">
        <f t="shared" si="22"/>
        <v>16508.015095875198</v>
      </c>
      <c r="AU84" s="37">
        <f t="shared" si="22"/>
        <v>15813.019439960124</v>
      </c>
      <c r="AV84" s="37">
        <f t="shared" si="22"/>
        <v>15161.006919649271</v>
      </c>
      <c r="AW84" s="37">
        <f t="shared" si="22"/>
        <v>14548.504765877517</v>
      </c>
      <c r="AX84" s="37">
        <f t="shared" si="22"/>
        <v>13972.383977148767</v>
      </c>
      <c r="AY84" s="37">
        <f t="shared" si="22"/>
        <v>13429.819278305235</v>
      </c>
      <c r="AZ84" s="37">
        <f t="shared" si="22"/>
        <v>12918.254416742575</v>
      </c>
      <c r="BA84" s="37">
        <f t="shared" si="22"/>
        <v>12435.371998174405</v>
      </c>
      <c r="BB84" s="37">
        <f t="shared" si="22"/>
        <v>11979.067195772257</v>
      </c>
      <c r="BC84" s="37">
        <f t="shared" si="22"/>
        <v>11547.424774503113</v>
      </c>
      <c r="BD84" s="37">
        <f t="shared" si="22"/>
        <v>11138.698961374976</v>
      </c>
      <c r="BE84" s="37">
        <f t="shared" si="22"/>
        <v>10751.295765734663</v>
      </c>
      <c r="BF84" s="37">
        <f t="shared" si="22"/>
        <v>10383.757414646827</v>
      </c>
      <c r="BG84" s="37">
        <f t="shared" si="22"/>
        <v>10034.748619038186</v>
      </c>
      <c r="BH84" s="37">
        <f t="shared" si="22"/>
        <v>9703.0444285755311</v>
      </c>
      <c r="BI84" s="37">
        <f t="shared" si="22"/>
        <v>9387.5194686567866</v>
      </c>
      <c r="BJ84" s="37">
        <f t="shared" si="22"/>
        <v>9087.1383826409783</v>
      </c>
      <c r="BK84" s="37">
        <f t="shared" si="22"/>
        <v>8800.94732750615</v>
      </c>
      <c r="BL84" s="37">
        <f t="shared" si="22"/>
        <v>8528.0663923027114</v>
      </c>
      <c r="BM84" s="37">
        <f t="shared" si="22"/>
        <v>8267.682826715245</v>
      </c>
      <c r="BN84" s="37">
        <f t="shared" si="22"/>
        <v>8019.0449822938263</v>
      </c>
      <c r="BO84" s="37">
        <f t="shared" si="22"/>
        <v>7781.4568819050801</v>
      </c>
      <c r="BP84" s="37">
        <f t="shared" ref="BP84:CU84" si="23">$B$63*$B$55*$B$54*$B$56*$B$59*BP83*$B$58/($B$60*$B$61*$B$62)</f>
        <v>7554.2733440466973</v>
      </c>
      <c r="BQ84" s="37">
        <f t="shared" si="23"/>
        <v>7336.8955981667541</v>
      </c>
      <c r="BR84" s="37">
        <f t="shared" si="23"/>
        <v>7128.767335279982</v>
      </c>
      <c r="BS84" s="37">
        <f t="shared" si="23"/>
        <v>6929.3711451838744</v>
      </c>
      <c r="BT84" s="37">
        <f t="shared" si="23"/>
        <v>6738.2252976218988</v>
      </c>
      <c r="BU84" s="37">
        <f t="shared" si="23"/>
        <v>6554.880829962829</v>
      </c>
      <c r="BV84" s="37">
        <f t="shared" si="23"/>
        <v>6378.9189084864693</v>
      </c>
      <c r="BW84" s="37">
        <f t="shared" si="23"/>
        <v>6209.9484342883416</v>
      </c>
      <c r="BX84" s="37">
        <f t="shared" si="23"/>
        <v>6047.6038682257467</v>
      </c>
      <c r="BY84" s="37">
        <f t="shared" si="23"/>
        <v>5891.5432522975061</v>
      </c>
      <c r="BZ84" s="37">
        <f t="shared" si="23"/>
        <v>5741.4464074411426</v>
      </c>
      <c r="CA84" s="37">
        <f t="shared" si="23"/>
        <v>5597.0132899971022</v>
      </c>
      <c r="CB84" s="37">
        <f t="shared" si="23"/>
        <v>5457.9624910737366</v>
      </c>
      <c r="CC84" s="37">
        <f t="shared" si="23"/>
        <v>5324.0298647876725</v>
      </c>
      <c r="CD84" s="37">
        <f t="shared" si="23"/>
        <v>5194.967272883986</v>
      </c>
      <c r="CE84" s="37">
        <f t="shared" si="23"/>
        <v>5070.5414345873014</v>
      </c>
      <c r="CF84" s="37">
        <f t="shared" si="23"/>
        <v>4950.5328717222092</v>
      </c>
      <c r="CG84" s="37">
        <f t="shared" si="23"/>
        <v>4834.7349401898855</v>
      </c>
      <c r="CH84" s="37">
        <f t="shared" si="23"/>
        <v>4722.9529398150235</v>
      </c>
      <c r="CI84" s="37">
        <f t="shared" si="23"/>
        <v>4615.0032953985874</v>
      </c>
      <c r="CJ84" s="37">
        <f t="shared" si="23"/>
        <v>4510.7128025402781</v>
      </c>
      <c r="CK84" s="37">
        <f t="shared" si="23"/>
        <v>4409.9179324418528</v>
      </c>
      <c r="CL84" s="37">
        <f t="shared" si="23"/>
        <v>4312.4641904780137</v>
      </c>
      <c r="CM84" s="37">
        <f t="shared" si="23"/>
        <v>4218.2055238343091</v>
      </c>
      <c r="CN84" s="37">
        <f t="shared" si="23"/>
        <v>4127.0037739687996</v>
      </c>
      <c r="CO84" s="37">
        <f t="shared" si="23"/>
        <v>4038.7281700626568</v>
      </c>
      <c r="CP84" s="37">
        <f t="shared" si="23"/>
        <v>3953.254859990031</v>
      </c>
      <c r="CQ84" s="37">
        <f t="shared" si="23"/>
        <v>3870.4664756644788</v>
      </c>
      <c r="CR84" s="37">
        <f t="shared" si="23"/>
        <v>3790.2517299123178</v>
      </c>
      <c r="CS84" s="37">
        <f t="shared" si="23"/>
        <v>3712.5050422863123</v>
      </c>
      <c r="CT84" s="37">
        <f t="shared" si="23"/>
        <v>3637.1261914693791</v>
      </c>
      <c r="CU84" s="37">
        <f t="shared" si="23"/>
        <v>3564.0199921305903</v>
      </c>
      <c r="CV84" s="37">
        <f t="shared" ref="CV84:EA84" si="24">$B$63*$B$55*$B$54*$B$56*$B$59*CV83*$B$58/($B$60*$B$61*$B$62)</f>
        <v>3493.0959942871918</v>
      </c>
      <c r="CW84" s="37">
        <f t="shared" si="24"/>
        <v>3424.2682033988744</v>
      </c>
      <c r="CX84" s="37">
        <f t="shared" si="24"/>
        <v>3357.4548195763086</v>
      </c>
      <c r="CY84" s="37">
        <f t="shared" si="24"/>
        <v>3292.5779944266105</v>
      </c>
      <c r="CZ84" s="37">
        <f t="shared" si="24"/>
        <v>3229.5636041856437</v>
      </c>
      <c r="DA84" s="37">
        <f t="shared" si="24"/>
        <v>3168.3410379022148</v>
      </c>
      <c r="DB84" s="37">
        <f t="shared" si="24"/>
        <v>3108.8429995436013</v>
      </c>
      <c r="DC84" s="37">
        <f t="shared" si="24"/>
        <v>3051.0053229864538</v>
      </c>
      <c r="DD84" s="37">
        <f t="shared" si="24"/>
        <v>2994.7667989430643</v>
      </c>
      <c r="DE84" s="37">
        <f t="shared" si="24"/>
        <v>2940.0690129510922</v>
      </c>
      <c r="DF84" s="37">
        <f t="shared" si="24"/>
        <v>2886.8561936257784</v>
      </c>
      <c r="DG84" s="37">
        <f t="shared" si="24"/>
        <v>2835.0750704384322</v>
      </c>
      <c r="DH84" s="37">
        <f t="shared" si="24"/>
        <v>2784.6747403437439</v>
      </c>
      <c r="DI84" s="37">
        <f t="shared" si="24"/>
        <v>2735.6065426323066</v>
      </c>
      <c r="DJ84" s="37">
        <f t="shared" si="24"/>
        <v>2687.8239414336658</v>
      </c>
      <c r="DK84" s="37">
        <f t="shared" si="24"/>
        <v>2641.2824153400311</v>
      </c>
      <c r="DL84" s="37">
        <f t="shared" si="24"/>
        <v>2595.9393536617067</v>
      </c>
      <c r="DM84" s="37">
        <f t="shared" si="24"/>
        <v>2551.753958862731</v>
      </c>
      <c r="DN84" s="37">
        <f t="shared" si="24"/>
        <v>2508.6871547595465</v>
      </c>
      <c r="DO84" s="37">
        <f t="shared" si="24"/>
        <v>2466.70150009688</v>
      </c>
      <c r="DP84" s="37">
        <f t="shared" si="24"/>
        <v>2425.7611071438828</v>
      </c>
      <c r="DQ84" s="37">
        <f t="shared" si="24"/>
        <v>2385.8315649799815</v>
      </c>
      <c r="DR84" s="37">
        <f t="shared" si="24"/>
        <v>2346.8798671641966</v>
      </c>
      <c r="DS84" s="37">
        <f t="shared" si="24"/>
        <v>2308.8743435039942</v>
      </c>
      <c r="DT84" s="37">
        <f t="shared" si="24"/>
        <v>2271.7845956602446</v>
      </c>
      <c r="DU84" s="37">
        <f t="shared" si="24"/>
        <v>2235.5814363438026</v>
      </c>
      <c r="DV84" s="37">
        <f t="shared" si="24"/>
        <v>2200.2368318765375</v>
      </c>
      <c r="DW84" s="37">
        <f t="shared" si="24"/>
        <v>2165.7238479057546</v>
      </c>
      <c r="DX84" s="37">
        <f t="shared" si="24"/>
        <v>2132.0165980756778</v>
      </c>
      <c r="DY84" s="37">
        <f t="shared" si="24"/>
        <v>2099.090195473344</v>
      </c>
      <c r="DZ84" s="37">
        <f t="shared" si="24"/>
        <v>2066.9207066788113</v>
      </c>
      <c r="EA84" s="37">
        <f t="shared" si="24"/>
        <v>2035.4851082612856</v>
      </c>
      <c r="EB84" s="37">
        <f t="shared" ref="EB84:FG84" si="25">$B$63*$B$55*$B$54*$B$56*$B$59*EB83*$B$58/($B$60*$B$61*$B$62)</f>
        <v>2004.7612455734566</v>
      </c>
      <c r="EC84" s="37">
        <f t="shared" si="25"/>
        <v>1974.7277937063664</v>
      </c>
      <c r="ED84" s="37">
        <f t="shared" si="25"/>
        <v>1945.36422047627</v>
      </c>
      <c r="EE84" s="37">
        <f t="shared" si="25"/>
        <v>1916.6507513235615</v>
      </c>
      <c r="EF84" s="37">
        <f t="shared" si="25"/>
        <v>1888.5683360116743</v>
      </c>
      <c r="EG84" s="37">
        <f t="shared" si="25"/>
        <v>1861.0986170212539</v>
      </c>
      <c r="EH84" s="37">
        <f t="shared" si="25"/>
        <v>1834.2238995416885</v>
      </c>
      <c r="EI84" s="37">
        <f t="shared" si="25"/>
        <v>1807.927122968372</v>
      </c>
      <c r="EJ84" s="37">
        <f t="shared" si="25"/>
        <v>1782.1918338199955</v>
      </c>
      <c r="EK84" s="37">
        <f t="shared" si="25"/>
        <v>1757.0021599955692</v>
      </c>
      <c r="EL84" s="37">
        <f t="shared" si="25"/>
        <v>1732.3427862959686</v>
      </c>
      <c r="EM84" s="37">
        <f t="shared" si="25"/>
        <v>1708.1989311395134</v>
      </c>
      <c r="EN84" s="37">
        <f t="shared" si="25"/>
        <v>1684.5563244054747</v>
      </c>
      <c r="EO84" s="37">
        <f t="shared" si="25"/>
        <v>1661.4011863434916</v>
      </c>
      <c r="EP84" s="37">
        <f t="shared" si="25"/>
        <v>1638.7202074907073</v>
      </c>
      <c r="EQ84" s="37">
        <f t="shared" si="25"/>
        <v>1616.5005295419467</v>
      </c>
      <c r="ER84" s="37">
        <f t="shared" si="25"/>
        <v>1594.7297271216173</v>
      </c>
      <c r="ES84" s="37">
        <f t="shared" si="25"/>
        <v>1573.3957904090773</v>
      </c>
      <c r="ET84" s="37">
        <f t="shared" si="25"/>
        <v>1552.4871085720854</v>
      </c>
      <c r="EU84" s="37">
        <f t="shared" si="25"/>
        <v>1531.9924539656995</v>
      </c>
      <c r="EV84" s="37">
        <f t="shared" si="25"/>
        <v>1511.9009670564367</v>
      </c>
      <c r="EW84" s="37">
        <f t="shared" si="25"/>
        <v>1492.2021420339147</v>
      </c>
      <c r="EX84" s="37">
        <f t="shared" si="25"/>
        <v>1472.8858130743765</v>
      </c>
      <c r="EY84" s="37">
        <f t="shared" si="25"/>
        <v>1453.9421412225561</v>
      </c>
      <c r="EZ84" s="37">
        <f t="shared" si="25"/>
        <v>1435.3616018602856</v>
      </c>
      <c r="FA84" s="37">
        <f t="shared" si="25"/>
        <v>1417.1349727320344</v>
      </c>
      <c r="FB84" s="37">
        <f t="shared" si="25"/>
        <v>1399.2533224992756</v>
      </c>
      <c r="FC84" s="37">
        <f t="shared" si="25"/>
        <v>1381.7079997971566</v>
      </c>
      <c r="FD84" s="37">
        <f t="shared" si="25"/>
        <v>1364.4906227684342</v>
      </c>
      <c r="FE84" s="37">
        <f t="shared" si="25"/>
        <v>1347.5930690510365</v>
      </c>
      <c r="FF84" s="37">
        <f t="shared" si="25"/>
        <v>1331.0074661969181</v>
      </c>
      <c r="FG84" s="37">
        <f t="shared" si="25"/>
        <v>1314.7261825011071</v>
      </c>
      <c r="FH84" s="37">
        <f t="shared" ref="FH84:GM84" si="26">$B$63*$B$55*$B$54*$B$56*$B$59*FH83*$B$58/($B$60*$B$61*$B$62)</f>
        <v>1298.7418182209965</v>
      </c>
      <c r="FI84" s="37">
        <f t="shared" si="26"/>
        <v>1283.0471971670127</v>
      </c>
      <c r="FJ84" s="37">
        <f t="shared" si="26"/>
        <v>1267.6353586468254</v>
      </c>
      <c r="FK84" s="37">
        <f t="shared" si="26"/>
        <v>1252.4995497462046</v>
      </c>
      <c r="FL84" s="37">
        <f t="shared" si="26"/>
        <v>1237.6332179305523</v>
      </c>
      <c r="FM84" s="37">
        <f t="shared" si="26"/>
        <v>1223.0300039519595</v>
      </c>
      <c r="FN84" s="37">
        <f t="shared" si="26"/>
        <v>1208.6837350474714</v>
      </c>
      <c r="FO84" s="37">
        <f t="shared" si="26"/>
        <v>1194.5884184149629</v>
      </c>
    </row>
    <row r="85" spans="1:171">
      <c r="D85" s="48">
        <f t="shared" ref="D85:AI85" si="27">10*LOG10(D84)-$B$53</f>
        <v>58.390905380565499</v>
      </c>
      <c r="E85" s="48">
        <f t="shared" si="27"/>
        <v>56.452705120404374</v>
      </c>
      <c r="F85" s="48">
        <f t="shared" si="27"/>
        <v>54.869080199451872</v>
      </c>
      <c r="G85" s="48">
        <f t="shared" si="27"/>
        <v>53.530144406839611</v>
      </c>
      <c r="H85" s="48">
        <f t="shared" si="27"/>
        <v>52.370305467285874</v>
      </c>
      <c r="I85" s="48">
        <f t="shared" si="27"/>
        <v>51.347255018338259</v>
      </c>
      <c r="J85" s="48">
        <f t="shared" si="27"/>
        <v>50.432105207124749</v>
      </c>
      <c r="K85" s="48">
        <f t="shared" si="27"/>
        <v>49.604251503960242</v>
      </c>
      <c r="L85" s="48">
        <f t="shared" si="27"/>
        <v>48.848480286172247</v>
      </c>
      <c r="M85" s="48">
        <f t="shared" si="27"/>
        <v>48.15323816098801</v>
      </c>
      <c r="N85" s="48">
        <f t="shared" si="27"/>
        <v>47.509544493559986</v>
      </c>
      <c r="O85" s="48">
        <f t="shared" si="27"/>
        <v>46.910280026011122</v>
      </c>
      <c r="P85" s="48">
        <f t="shared" si="27"/>
        <v>46.349705554006249</v>
      </c>
      <c r="Q85" s="48">
        <f t="shared" si="27"/>
        <v>45.823126779559267</v>
      </c>
      <c r="R85" s="48">
        <f t="shared" si="27"/>
        <v>45.326655105058634</v>
      </c>
      <c r="S85" s="48">
        <f t="shared" si="27"/>
        <v>44.857033188068165</v>
      </c>
      <c r="T85" s="48">
        <f t="shared" si="27"/>
        <v>44.411505293845124</v>
      </c>
      <c r="U85" s="48">
        <f t="shared" si="27"/>
        <v>43.987719312446359</v>
      </c>
      <c r="V85" s="48">
        <f t="shared" si="27"/>
        <v>43.583651590680631</v>
      </c>
      <c r="W85" s="48">
        <f t="shared" si="27"/>
        <v>43.197548486772888</v>
      </c>
      <c r="X85" s="48">
        <f t="shared" si="27"/>
        <v>42.827880372892636</v>
      </c>
      <c r="Y85" s="48">
        <f t="shared" si="27"/>
        <v>42.473305033683999</v>
      </c>
      <c r="Z85" s="48">
        <f t="shared" si="27"/>
        <v>42.132638247708385</v>
      </c>
      <c r="AA85" s="48">
        <f t="shared" si="27"/>
        <v>41.804829923945007</v>
      </c>
      <c r="AB85" s="48">
        <f t="shared" si="27"/>
        <v>41.488944580280361</v>
      </c>
      <c r="AC85" s="48">
        <f t="shared" si="27"/>
        <v>41.184145249145629</v>
      </c>
      <c r="AD85" s="48">
        <f t="shared" si="27"/>
        <v>40.889680112731497</v>
      </c>
      <c r="AE85" s="48">
        <f t="shared" si="27"/>
        <v>40.604871330439295</v>
      </c>
      <c r="AF85" s="48">
        <f t="shared" si="27"/>
        <v>40.329105640726624</v>
      </c>
      <c r="AG85" s="48">
        <f t="shared" si="27"/>
        <v>40.061826409567004</v>
      </c>
      <c r="AH85" s="48">
        <f t="shared" si="27"/>
        <v>39.802526866279642</v>
      </c>
      <c r="AI85" s="48">
        <f t="shared" si="27"/>
        <v>39.550744320119236</v>
      </c>
      <c r="AJ85" s="48">
        <f t="shared" ref="AJ85:BO85" si="28">10*LOG10(AJ84)-$B$53</f>
        <v>39.306055191779009</v>
      </c>
      <c r="AK85" s="48">
        <f t="shared" si="28"/>
        <v>39.06807072578485</v>
      </c>
      <c r="AL85" s="48">
        <f t="shared" si="28"/>
        <v>38.836433274788547</v>
      </c>
      <c r="AM85" s="48">
        <f t="shared" si="28"/>
        <v>38.610813066594758</v>
      </c>
      <c r="AN85" s="48">
        <f t="shared" si="28"/>
        <v>38.390905380565499</v>
      </c>
      <c r="AO85" s="48">
        <f t="shared" si="28"/>
        <v>38.17642807273004</v>
      </c>
      <c r="AP85" s="48">
        <f t="shared" si="28"/>
        <v>37.967119399166734</v>
      </c>
      <c r="AQ85" s="75">
        <f t="shared" si="28"/>
        <v>37.762736095533015</v>
      </c>
      <c r="AR85" s="48">
        <f t="shared" si="28"/>
        <v>37.563051677401006</v>
      </c>
      <c r="AS85" s="48">
        <f t="shared" si="28"/>
        <v>37.36785493161787</v>
      </c>
      <c r="AT85" s="48">
        <f t="shared" si="28"/>
        <v>37.176948573493263</v>
      </c>
      <c r="AU85" s="48">
        <f t="shared" si="28"/>
        <v>36.990148048410404</v>
      </c>
      <c r="AV85" s="48">
        <f t="shared" si="28"/>
        <v>36.807280459613011</v>
      </c>
      <c r="AW85" s="48">
        <f t="shared" si="28"/>
        <v>36.628183606554472</v>
      </c>
      <c r="AX85" s="48">
        <f t="shared" si="28"/>
        <v>36.452705120404374</v>
      </c>
      <c r="AY85" s="48">
        <f t="shared" si="28"/>
        <v>36.280701685166022</v>
      </c>
      <c r="AZ85" s="48">
        <f t="shared" si="28"/>
        <v>36.11203833442876</v>
      </c>
      <c r="BA85" s="48">
        <f t="shared" si="28"/>
        <v>35.94658781510897</v>
      </c>
      <c r="BB85" s="48">
        <f t="shared" si="28"/>
        <v>35.784230010665382</v>
      </c>
      <c r="BC85" s="48">
        <f t="shared" si="28"/>
        <v>35.624851417239867</v>
      </c>
      <c r="BD85" s="48">
        <f t="shared" si="28"/>
        <v>35.468344667000736</v>
      </c>
      <c r="BE85" s="48">
        <f t="shared" si="28"/>
        <v>35.31460809367492</v>
      </c>
      <c r="BF85" s="48">
        <f t="shared" si="28"/>
        <v>35.163545335866004</v>
      </c>
      <c r="BG85" s="48">
        <f t="shared" si="28"/>
        <v>35.01506497428187</v>
      </c>
      <c r="BH85" s="48">
        <f t="shared" si="28"/>
        <v>34.869080199451872</v>
      </c>
      <c r="BI85" s="48">
        <f t="shared" si="28"/>
        <v>34.725508506909406</v>
      </c>
      <c r="BJ85" s="48">
        <f t="shared" si="28"/>
        <v>34.58427141715967</v>
      </c>
      <c r="BK85" s="48">
        <f t="shared" si="28"/>
        <v>34.445294218053114</v>
      </c>
      <c r="BL85" s="48">
        <f t="shared" si="28"/>
        <v>34.308505727447006</v>
      </c>
      <c r="BM85" s="48">
        <f t="shared" si="28"/>
        <v>34.173838074267636</v>
      </c>
      <c r="BN85" s="48">
        <f t="shared" si="28"/>
        <v>34.041226496287379</v>
      </c>
      <c r="BO85" s="48">
        <f t="shared" si="28"/>
        <v>33.910609153108219</v>
      </c>
      <c r="BP85" s="48">
        <f t="shared" ref="BP85:CU85" si="29">10*LOG10(BP84)-$B$53</f>
        <v>33.781926953000024</v>
      </c>
      <c r="BQ85" s="48">
        <f t="shared" si="29"/>
        <v>33.655123392379643</v>
      </c>
      <c r="BR85" s="48">
        <f t="shared" si="29"/>
        <v>33.530144406839611</v>
      </c>
      <c r="BS85" s="48">
        <f t="shared" si="29"/>
        <v>33.406938232743244</v>
      </c>
      <c r="BT85" s="48">
        <f t="shared" si="29"/>
        <v>33.285455278499384</v>
      </c>
      <c r="BU85" s="48">
        <f t="shared" si="29"/>
        <v>33.165648004715628</v>
      </c>
      <c r="BV85" s="48">
        <f t="shared" si="29"/>
        <v>33.047470812505225</v>
      </c>
      <c r="BW85" s="48">
        <f t="shared" si="29"/>
        <v>32.930879939290747</v>
      </c>
      <c r="BX85" s="48">
        <f t="shared" si="29"/>
        <v>32.815833361508922</v>
      </c>
      <c r="BY85" s="48">
        <f t="shared" si="29"/>
        <v>32.702290703675111</v>
      </c>
      <c r="BZ85" s="48">
        <f t="shared" si="29"/>
        <v>32.59021315331514</v>
      </c>
      <c r="CA85" s="48">
        <f t="shared" si="29"/>
        <v>32.47956338131592</v>
      </c>
      <c r="CB85" s="48">
        <f t="shared" si="29"/>
        <v>32.370305467285874</v>
      </c>
      <c r="CC85" s="48">
        <f t="shared" si="29"/>
        <v>32.262404829551755</v>
      </c>
      <c r="CD85" s="48">
        <f t="shared" si="29"/>
        <v>32.155828159450415</v>
      </c>
      <c r="CE85" s="48">
        <f t="shared" si="29"/>
        <v>32.050543359603274</v>
      </c>
      <c r="CF85" s="48">
        <f t="shared" si="29"/>
        <v>31.946519485887116</v>
      </c>
      <c r="CG85" s="48">
        <f t="shared" si="29"/>
        <v>31.843726692838892</v>
      </c>
      <c r="CH85" s="48">
        <f t="shared" si="29"/>
        <v>31.74213618225339</v>
      </c>
      <c r="CI85" s="48">
        <f t="shared" si="29"/>
        <v>31.641720154752377</v>
      </c>
      <c r="CJ85" s="48">
        <f t="shared" si="29"/>
        <v>31.542451764121381</v>
      </c>
      <c r="CK85" s="48">
        <f t="shared" si="29"/>
        <v>31.444305074226492</v>
      </c>
      <c r="CL85" s="48">
        <f t="shared" si="29"/>
        <v>31.347255018338252</v>
      </c>
      <c r="CM85" s="48">
        <f t="shared" si="29"/>
        <v>31.251277360702879</v>
      </c>
      <c r="CN85" s="48">
        <f t="shared" si="29"/>
        <v>31.156348660213645</v>
      </c>
      <c r="CO85" s="48">
        <f t="shared" si="29"/>
        <v>31.062446236046043</v>
      </c>
      <c r="CP85" s="48">
        <f t="shared" si="29"/>
        <v>30.969548135130779</v>
      </c>
      <c r="CQ85" s="48">
        <f t="shared" si="29"/>
        <v>30.877633101347797</v>
      </c>
      <c r="CR85" s="48">
        <f t="shared" si="29"/>
        <v>30.786680546333386</v>
      </c>
      <c r="CS85" s="48">
        <f t="shared" si="29"/>
        <v>30.696670521799852</v>
      </c>
      <c r="CT85" s="48">
        <f t="shared" si="29"/>
        <v>30.607583693274854</v>
      </c>
      <c r="CU85" s="48">
        <f t="shared" si="29"/>
        <v>30.519401315173752</v>
      </c>
      <c r="CV85" s="48">
        <f t="shared" ref="CV85:EA85" si="30">10*LOG10(CV84)-$B$53</f>
        <v>30.432105207124749</v>
      </c>
      <c r="CW85" s="48">
        <f t="shared" si="30"/>
        <v>30.345677731471895</v>
      </c>
      <c r="CX85" s="48">
        <f t="shared" si="30"/>
        <v>30.260101771886397</v>
      </c>
      <c r="CY85" s="48">
        <f t="shared" si="30"/>
        <v>30.175360713021306</v>
      </c>
      <c r="CZ85" s="48">
        <f t="shared" si="30"/>
        <v>30.091438421149142</v>
      </c>
      <c r="DA85" s="48">
        <f t="shared" si="30"/>
        <v>30.008319225725984</v>
      </c>
      <c r="DB85" s="48">
        <f t="shared" si="30"/>
        <v>29.925987901829345</v>
      </c>
      <c r="DC85" s="48">
        <f t="shared" si="30"/>
        <v>29.844429653420555</v>
      </c>
      <c r="DD85" s="48">
        <f t="shared" si="30"/>
        <v>29.763630097385757</v>
      </c>
      <c r="DE85" s="48">
        <f t="shared" si="30"/>
        <v>29.68357524831228</v>
      </c>
      <c r="DF85" s="48">
        <f t="shared" si="30"/>
        <v>29.604251503960249</v>
      </c>
      <c r="DG85" s="48">
        <f t="shared" si="30"/>
        <v>29.525645631391598</v>
      </c>
      <c r="DH85" s="48">
        <f t="shared" si="30"/>
        <v>29.447744753721118</v>
      </c>
      <c r="DI85" s="48">
        <f t="shared" si="30"/>
        <v>29.370536337456358</v>
      </c>
      <c r="DJ85" s="48">
        <f t="shared" si="30"/>
        <v>29.294008180395295</v>
      </c>
      <c r="DK85" s="48">
        <f t="shared" si="30"/>
        <v>29.218148400052513</v>
      </c>
      <c r="DL85" s="48">
        <f t="shared" si="30"/>
        <v>29.142945422586379</v>
      </c>
      <c r="DM85" s="48">
        <f t="shared" si="30"/>
        <v>29.068387972201521</v>
      </c>
      <c r="DN85" s="48">
        <f t="shared" si="30"/>
        <v>28.994465061002245</v>
      </c>
      <c r="DO85" s="48">
        <f t="shared" si="30"/>
        <v>28.921165979274136</v>
      </c>
      <c r="DP85" s="48">
        <f t="shared" si="30"/>
        <v>28.848480286172254</v>
      </c>
      <c r="DQ85" s="48">
        <f t="shared" si="30"/>
        <v>28.776397800795749</v>
      </c>
      <c r="DR85" s="48">
        <f t="shared" si="30"/>
        <v>28.704908593629781</v>
      </c>
      <c r="DS85" s="48">
        <f t="shared" si="30"/>
        <v>28.634002978336788</v>
      </c>
      <c r="DT85" s="48">
        <f t="shared" si="30"/>
        <v>28.563671503880045</v>
      </c>
      <c r="DU85" s="48">
        <f t="shared" si="30"/>
        <v>28.493904946963625</v>
      </c>
      <c r="DV85" s="48">
        <f t="shared" si="30"/>
        <v>28.424694304773489</v>
      </c>
      <c r="DW85" s="48">
        <f t="shared" si="30"/>
        <v>28.356030788005611</v>
      </c>
      <c r="DX85" s="48">
        <f t="shared" si="30"/>
        <v>28.287905814167381</v>
      </c>
      <c r="DY85" s="48">
        <f t="shared" si="30"/>
        <v>28.22031100113977</v>
      </c>
      <c r="DZ85" s="48">
        <f t="shared" si="30"/>
        <v>28.15323816098801</v>
      </c>
      <c r="EA85" s="48">
        <f t="shared" si="30"/>
        <v>28.086679294009464</v>
      </c>
      <c r="EB85" s="48">
        <f t="shared" ref="EB85:FG85" si="31">10*LOG10(EB84)-$B$53</f>
        <v>28.020626583007754</v>
      </c>
      <c r="EC85" s="48">
        <f t="shared" si="31"/>
        <v>27.955072387783034</v>
      </c>
      <c r="ED85" s="48">
        <f t="shared" si="31"/>
        <v>27.890009239828593</v>
      </c>
      <c r="EE85" s="48">
        <f t="shared" si="31"/>
        <v>27.825429837224625</v>
      </c>
      <c r="EF85" s="48">
        <f t="shared" si="31"/>
        <v>27.761327039720399</v>
      </c>
      <c r="EG85" s="48">
        <f t="shared" si="31"/>
        <v>27.697693863996612</v>
      </c>
      <c r="EH85" s="48">
        <f t="shared" si="31"/>
        <v>27.634523479100018</v>
      </c>
      <c r="EI85" s="48">
        <f t="shared" si="31"/>
        <v>27.57180920204285</v>
      </c>
      <c r="EJ85" s="48">
        <f t="shared" si="31"/>
        <v>27.509544493559986</v>
      </c>
      <c r="EK85" s="48">
        <f t="shared" si="31"/>
        <v>27.447722954017152</v>
      </c>
      <c r="EL85" s="48">
        <f t="shared" si="31"/>
        <v>27.386338319463619</v>
      </c>
      <c r="EM85" s="48">
        <f t="shared" si="31"/>
        <v>27.325384457823517</v>
      </c>
      <c r="EN85" s="48">
        <f t="shared" si="31"/>
        <v>27.264855365219759</v>
      </c>
      <c r="EO85" s="48">
        <f t="shared" si="31"/>
        <v>27.204745162425247</v>
      </c>
      <c r="EP85" s="48">
        <f t="shared" si="31"/>
        <v>27.14504809143601</v>
      </c>
      <c r="EQ85" s="48">
        <f t="shared" si="31"/>
        <v>27.085758512161227</v>
      </c>
      <c r="ER85" s="48">
        <f t="shared" si="31"/>
        <v>27.026870899225599</v>
      </c>
      <c r="ES85" s="48">
        <f t="shared" si="31"/>
        <v>26.968379838879272</v>
      </c>
      <c r="ET85" s="48">
        <f t="shared" si="31"/>
        <v>26.910280026011122</v>
      </c>
      <c r="EU85" s="48">
        <f t="shared" si="31"/>
        <v>26.852566261261362</v>
      </c>
      <c r="EV85" s="48">
        <f t="shared" si="31"/>
        <v>26.795233448229297</v>
      </c>
      <c r="EW85" s="48">
        <f t="shared" si="31"/>
        <v>26.738276590772774</v>
      </c>
      <c r="EX85" s="48">
        <f t="shared" si="31"/>
        <v>26.681690790395489</v>
      </c>
      <c r="EY85" s="48">
        <f t="shared" si="31"/>
        <v>26.62547124371892</v>
      </c>
      <c r="EZ85" s="48">
        <f t="shared" si="31"/>
        <v>26.569613240035515</v>
      </c>
      <c r="FA85" s="48">
        <f t="shared" si="31"/>
        <v>26.514112158940076</v>
      </c>
      <c r="FB85" s="48">
        <f t="shared" si="31"/>
        <v>26.458963468036298</v>
      </c>
      <c r="FC85" s="48">
        <f t="shared" si="31"/>
        <v>26.404162720715721</v>
      </c>
      <c r="FD85" s="48">
        <f t="shared" si="31"/>
        <v>26.349705554006249</v>
      </c>
      <c r="FE85" s="48">
        <f t="shared" si="31"/>
        <v>26.295587686487757</v>
      </c>
      <c r="FF85" s="48">
        <f t="shared" si="31"/>
        <v>26.24180491627213</v>
      </c>
      <c r="FG85" s="48">
        <f t="shared" si="31"/>
        <v>26.188353119045594</v>
      </c>
      <c r="FH85" s="48">
        <f t="shared" ref="FH85:GM85" si="32">10*LOG10(FH84)-$B$53</f>
        <v>26.13522824617079</v>
      </c>
      <c r="FI85" s="48">
        <f t="shared" si="32"/>
        <v>26.082426322846626</v>
      </c>
      <c r="FJ85" s="48">
        <f t="shared" si="32"/>
        <v>26.029943446323646</v>
      </c>
      <c r="FK85" s="48">
        <f t="shared" si="32"/>
        <v>25.97777578417308</v>
      </c>
      <c r="FL85" s="48">
        <f t="shared" si="32"/>
        <v>25.925919572607491</v>
      </c>
      <c r="FM85" s="48">
        <f t="shared" si="32"/>
        <v>25.874371114851279</v>
      </c>
      <c r="FN85" s="48">
        <f t="shared" si="32"/>
        <v>25.823126779559267</v>
      </c>
      <c r="FO85" s="48">
        <f t="shared" si="32"/>
        <v>25.772182999281675</v>
      </c>
    </row>
    <row r="86" spans="1:171">
      <c r="AQ86" s="73"/>
    </row>
    <row r="87" spans="1:171">
      <c r="AQ87" s="73"/>
    </row>
    <row r="88" spans="1:171">
      <c r="AQ88" s="73"/>
    </row>
    <row r="89" spans="1:171">
      <c r="AQ89" s="73"/>
    </row>
    <row r="94" spans="1:171">
      <c r="B94" s="37" t="s">
        <v>253</v>
      </c>
      <c r="C94" s="37" t="s">
        <v>114</v>
      </c>
      <c r="D94" s="37" t="s">
        <v>488</v>
      </c>
      <c r="E94" s="37" t="s">
        <v>489</v>
      </c>
      <c r="F94" s="37" t="s">
        <v>490</v>
      </c>
      <c r="G94" s="37" t="s">
        <v>491</v>
      </c>
      <c r="H94" s="37" t="s">
        <v>102</v>
      </c>
    </row>
    <row r="95" spans="1:171" ht="28.8">
      <c r="A95" s="37" t="s">
        <v>492</v>
      </c>
      <c r="B95" s="37">
        <v>4</v>
      </c>
      <c r="C95" s="37">
        <v>20</v>
      </c>
      <c r="D95" s="37">
        <f>3*10^(-6)</f>
        <v>3.0000000000000001E-6</v>
      </c>
      <c r="E95" s="37">
        <f>270*10^(-3)*200*10^(-3)*70*10^(-3)</f>
        <v>3.7799999999999999E-3</v>
      </c>
      <c r="F95" s="37">
        <v>0.27</v>
      </c>
      <c r="G95" s="37">
        <v>0.2</v>
      </c>
      <c r="H95" s="37">
        <v>7.0000000000000007E-2</v>
      </c>
    </row>
    <row r="96" spans="1:171">
      <c r="A96" s="37" t="s">
        <v>493</v>
      </c>
      <c r="B96">
        <v>15.006</v>
      </c>
      <c r="C96">
        <v>43.24</v>
      </c>
      <c r="D96" s="37">
        <f>50*10^-3</f>
        <v>0.05</v>
      </c>
      <c r="E96" s="37">
        <v>4.4999999999999998E-2</v>
      </c>
      <c r="F96" s="37">
        <f>F95*(E96/E95)^(1/3)</f>
        <v>0.61650603953499716</v>
      </c>
      <c r="G96" s="37">
        <f>G95*(E96/E95)^(1/3)</f>
        <v>0.4566711403962942</v>
      </c>
      <c r="H96" s="37">
        <f>H95*(E96/E95)^(1/3)</f>
        <v>0.159834899138703</v>
      </c>
    </row>
    <row r="97" spans="1:13">
      <c r="A97" s="37" t="s">
        <v>494</v>
      </c>
      <c r="B97" s="37">
        <v>24</v>
      </c>
      <c r="C97" s="37">
        <v>51</v>
      </c>
      <c r="D97" s="37">
        <v>1.7000000000000001E-2</v>
      </c>
      <c r="E97" s="37">
        <v>5.7329999999999902E-2</v>
      </c>
    </row>
    <row r="98" spans="1:13" ht="15" thickBot="1">
      <c r="A98" s="37" t="s">
        <v>495</v>
      </c>
      <c r="B98" s="37">
        <v>26.18</v>
      </c>
      <c r="C98" s="37">
        <v>28.74</v>
      </c>
      <c r="D98" s="37">
        <f>30*10^-3</f>
        <v>0.03</v>
      </c>
      <c r="E98" s="37">
        <v>0.15</v>
      </c>
    </row>
    <row r="99" spans="1:13" ht="28.8">
      <c r="H99" s="79" t="s">
        <v>0</v>
      </c>
      <c r="I99" s="80" t="s">
        <v>226</v>
      </c>
      <c r="J99" s="81" t="s">
        <v>461</v>
      </c>
      <c r="K99" s="37" t="s">
        <v>490</v>
      </c>
      <c r="L99" s="37" t="s">
        <v>491</v>
      </c>
      <c r="M99" s="37" t="s">
        <v>102</v>
      </c>
    </row>
    <row r="100" spans="1:13" ht="28.8">
      <c r="A100" s="37" t="s">
        <v>496</v>
      </c>
      <c r="B100" s="37">
        <f>25*10^-5</f>
        <v>2.5000000000000001E-4</v>
      </c>
      <c r="G100" s="37" t="s">
        <v>497</v>
      </c>
      <c r="H100" s="82">
        <f>1.8374*LN(B100) +27.996</f>
        <v>12.756513191276534</v>
      </c>
      <c r="I100" s="78">
        <f>2.1923*LN(B100)+48.512</f>
        <v>30.328954974004326</v>
      </c>
      <c r="J100" s="83">
        <f>0.0084*LN(B100)+0.1115</f>
        <v>4.1829983023142975E-2</v>
      </c>
      <c r="K100" s="86">
        <f>F96*(J100/E96)^(1/3)</f>
        <v>0.60167559158893669</v>
      </c>
      <c r="L100" s="86">
        <f>G96*(J100/E96)^(1/3)</f>
        <v>0.44568562339921236</v>
      </c>
      <c r="M100" s="37">
        <f>H96*(J100/E96)^(1/3)</f>
        <v>0.15598996818972435</v>
      </c>
    </row>
  </sheetData>
  <hyperlinks>
    <hyperlink ref="M56" r:id="rId1" xr:uid="{675D98C6-F612-4B85-B5F8-D6BF8F56D610}"/>
  </hyperlinks>
  <pageMargins left="0.7" right="0.7" top="0.75" bottom="0.75" header="0.3" footer="0.3"/>
  <pageSetup paperSize="9" orientation="portrait" r:id="rId2"/>
  <drawing r:id="rId3"/>
  <legacyDrawing r:id="rId4"/>
  <tableParts count="2"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CD06F652B6BC46AC8D64402CEB0444" ma:contentTypeVersion="11" ma:contentTypeDescription="Een nieuw document maken." ma:contentTypeScope="" ma:versionID="4fb7d3430a1f9cc7b8f7972b7a688664">
  <xsd:schema xmlns:xsd="http://www.w3.org/2001/XMLSchema" xmlns:xs="http://www.w3.org/2001/XMLSchema" xmlns:p="http://schemas.microsoft.com/office/2006/metadata/properties" xmlns:ns2="6cc18823-851f-4ac5-944d-a441ffe74ee3" xmlns:ns3="03d0fe02-680f-4612-8dd0-2311c6ba531e" targetNamespace="http://schemas.microsoft.com/office/2006/metadata/properties" ma:root="true" ma:fieldsID="c18fffd61236a1ea899023d6e2dc683d" ns2:_="" ns3:_="">
    <xsd:import namespace="6cc18823-851f-4ac5-944d-a441ffe74ee3"/>
    <xsd:import namespace="03d0fe02-680f-4612-8dd0-2311c6ba53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18823-851f-4ac5-944d-a441ffe74e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0fe02-680f-4612-8dd0-2311c6ba531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c74d97c-42bf-4c8e-b7cc-dddee3d921ea}" ma:internalName="TaxCatchAll" ma:showField="CatchAllData" ma:web="03d0fe02-680f-4612-8dd0-2311c6ba53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c18823-851f-4ac5-944d-a441ffe74ee3">
      <Terms xmlns="http://schemas.microsoft.com/office/infopath/2007/PartnerControls"/>
    </lcf76f155ced4ddcb4097134ff3c332f>
    <TaxCatchAll xmlns="03d0fe02-680f-4612-8dd0-2311c6ba531e" xsi:nil="true"/>
  </documentManagement>
</p:properties>
</file>

<file path=customXml/itemProps1.xml><?xml version="1.0" encoding="utf-8"?>
<ds:datastoreItem xmlns:ds="http://schemas.openxmlformats.org/officeDocument/2006/customXml" ds:itemID="{1C220AD1-CC06-48F7-BA86-BA85A83CF6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C078EE-677F-46CC-893A-AF13B2B4D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c18823-851f-4ac5-944d-a441ffe74ee3"/>
    <ds:schemaRef ds:uri="03d0fe02-680f-4612-8dd0-2311c6ba53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EC05EE-20B8-4D41-A452-9F56D260949C}">
  <ds:schemaRefs>
    <ds:schemaRef ds:uri="http://purl.org/dc/dcmitype/"/>
    <ds:schemaRef ds:uri="6cc18823-851f-4ac5-944d-a441ffe74ee3"/>
    <ds:schemaRef ds:uri="http://schemas.microsoft.com/office/infopath/2007/PartnerControls"/>
    <ds:schemaRef ds:uri="http://schemas.openxmlformats.org/package/2006/metadata/core-properties"/>
    <ds:schemaRef ds:uri="03d0fe02-680f-4612-8dd0-2311c6ba531e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Mass</vt:lpstr>
      <vt:lpstr>Power</vt:lpstr>
      <vt:lpstr>payload</vt:lpstr>
      <vt:lpstr>Thermal</vt:lpstr>
      <vt:lpstr>ADCS</vt:lpstr>
      <vt:lpstr>CDH</vt:lpstr>
      <vt:lpstr>TT&amp;C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 D</cp:lastModifiedBy>
  <cp:revision/>
  <dcterms:created xsi:type="dcterms:W3CDTF">2006-09-16T00:00:00Z</dcterms:created>
  <dcterms:modified xsi:type="dcterms:W3CDTF">2023-06-20T23:31:26Z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0x01010014CD06F652B6BC46AC8D64402CEB0444</vt:lpwstr>
  </property>
  <property fmtid="{D5CDD505-2E9C-101B-9397-08002B2CF9AE}" pid="3" name="MediaServiceImageTags">
    <vt:lpwstr/>
  </property>
</Properties>
</file>