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ke\Desktop\"/>
    </mc:Choice>
  </mc:AlternateContent>
  <xr:revisionPtr revIDLastSave="0" documentId="8_{43E13252-1D52-4200-855F-F25C65D00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onents Iteration" sheetId="4" r:id="rId1"/>
    <sheet name="Power Budget" sheetId="8" r:id="rId2"/>
    <sheet name="Components (first)" sheetId="1" r:id="rId3"/>
    <sheet name="Orbits" sheetId="2" r:id="rId4"/>
    <sheet name="Cost estimation" sheetId="5" r:id="rId5"/>
    <sheet name="Launch vehicle" sheetId="7" r:id="rId6"/>
    <sheet name="cadre cost" sheetId="6" r:id="rId7"/>
    <sheet name="Pollution costs" sheetId="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6" l="1"/>
  <c r="I24" i="6"/>
  <c r="H24" i="6"/>
  <c r="H9" i="6" s="1"/>
  <c r="J9" i="6"/>
  <c r="I9" i="6"/>
  <c r="G9" i="6"/>
  <c r="U26" i="9"/>
  <c r="Q26" i="9"/>
  <c r="P26" i="9"/>
  <c r="T26" i="9"/>
  <c r="L27" i="9"/>
  <c r="L26" i="9"/>
  <c r="A18" i="9"/>
  <c r="A19" i="9" s="1"/>
  <c r="D8" i="9"/>
  <c r="D7" i="9"/>
  <c r="D12" i="9" s="1"/>
  <c r="D6" i="9"/>
  <c r="D11" i="9" s="1"/>
  <c r="L11" i="9" s="1"/>
  <c r="I13" i="6"/>
  <c r="I14" i="6"/>
  <c r="E9" i="7"/>
  <c r="G22" i="6"/>
  <c r="C38" i="4"/>
  <c r="C36" i="4"/>
  <c r="H21" i="5"/>
  <c r="B20" i="7"/>
  <c r="H9" i="7"/>
  <c r="J28" i="5"/>
  <c r="Q27" i="5"/>
  <c r="M11" i="5"/>
  <c r="K7" i="5"/>
  <c r="K3" i="5"/>
  <c r="R30" i="5" s="1"/>
  <c r="R22" i="5"/>
  <c r="Q23" i="5" s="1"/>
  <c r="R23" i="5" s="1"/>
  <c r="H49" i="5"/>
  <c r="C8" i="8"/>
  <c r="B9" i="8"/>
  <c r="F5" i="8"/>
  <c r="F8" i="8"/>
  <c r="G3" i="8"/>
  <c r="E28" i="4"/>
  <c r="G54" i="5" s="1"/>
  <c r="F9" i="7"/>
  <c r="H22" i="6" s="1"/>
  <c r="E11" i="7"/>
  <c r="F3" i="7"/>
  <c r="F5" i="7"/>
  <c r="F2" i="7"/>
  <c r="G64" i="5"/>
  <c r="G49" i="5"/>
  <c r="D15" i="4"/>
  <c r="P31" i="2"/>
  <c r="P58" i="5"/>
  <c r="R40" i="5" s="1"/>
  <c r="L14" i="9" l="1"/>
  <c r="L16" i="9" s="1"/>
  <c r="G6" i="8"/>
  <c r="G4" i="8"/>
  <c r="G2" i="8"/>
  <c r="C2" i="8"/>
  <c r="C7" i="8"/>
  <c r="G5" i="8"/>
  <c r="C6" i="8"/>
  <c r="C5" i="8"/>
  <c r="C4" i="8"/>
  <c r="C3" i="8"/>
  <c r="G7" i="8"/>
  <c r="J17" i="5"/>
  <c r="H16" i="6" s="1"/>
  <c r="J22" i="6"/>
  <c r="I22" i="6"/>
  <c r="R44" i="5"/>
  <c r="R43" i="5"/>
  <c r="S44" i="5"/>
  <c r="S43" i="5"/>
  <c r="S42" i="5"/>
  <c r="R42" i="5"/>
  <c r="S45" i="5"/>
  <c r="R45" i="5"/>
  <c r="R41" i="5"/>
  <c r="S40" i="5"/>
  <c r="S41" i="5"/>
  <c r="U27" i="5"/>
  <c r="J21" i="5" l="1"/>
  <c r="H19" i="6" s="1"/>
  <c r="G19" i="6"/>
  <c r="K28" i="5"/>
  <c r="H21" i="6" s="1"/>
  <c r="G21" i="6"/>
  <c r="J74" i="5"/>
  <c r="H74" i="5"/>
  <c r="G74" i="5"/>
  <c r="E74" i="5"/>
  <c r="J21" i="6" l="1"/>
  <c r="I21" i="6"/>
  <c r="J19" i="6"/>
  <c r="I19" i="6"/>
  <c r="P5" i="5"/>
  <c r="M7" i="5"/>
  <c r="C49" i="5"/>
  <c r="B49" i="5"/>
  <c r="B38" i="5"/>
  <c r="D31" i="5"/>
  <c r="C31" i="5"/>
  <c r="D30" i="5"/>
  <c r="C30" i="5"/>
  <c r="K16" i="6"/>
  <c r="K17" i="6"/>
  <c r="K9" i="6"/>
  <c r="K252" i="6"/>
  <c r="K249" i="6"/>
  <c r="K250" i="6"/>
  <c r="K246" i="6"/>
  <c r="K247" i="6"/>
  <c r="K24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10" i="6"/>
  <c r="K11" i="6"/>
  <c r="K12" i="6"/>
  <c r="K13" i="6"/>
  <c r="K14" i="6"/>
  <c r="K15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J237" i="6"/>
  <c r="J233" i="6"/>
  <c r="J228" i="6"/>
  <c r="J224" i="6"/>
  <c r="J220" i="6"/>
  <c r="J216" i="6"/>
  <c r="J197" i="6"/>
  <c r="J179" i="6"/>
  <c r="J166" i="6"/>
  <c r="J157" i="6"/>
  <c r="J151" i="6"/>
  <c r="J139" i="6"/>
  <c r="J131" i="6"/>
  <c r="J125" i="6"/>
  <c r="J113" i="6"/>
  <c r="J101" i="6"/>
  <c r="J94" i="6"/>
  <c r="J89" i="6"/>
  <c r="J83" i="6"/>
  <c r="J70" i="6"/>
  <c r="J64" i="6"/>
  <c r="J55" i="6"/>
  <c r="J52" i="6"/>
  <c r="J47" i="6"/>
  <c r="Q18" i="5"/>
  <c r="Q19" i="5"/>
  <c r="Q16" i="5"/>
  <c r="Q20" i="5"/>
  <c r="R20" i="5" s="1"/>
  <c r="Q17" i="5"/>
  <c r="E17" i="4"/>
  <c r="G42" i="5" s="1"/>
  <c r="Q26" i="5" l="1"/>
  <c r="J122" i="6"/>
  <c r="J44" i="6"/>
  <c r="J61" i="6"/>
  <c r="J217" i="6"/>
  <c r="J80" i="6"/>
  <c r="J98" i="6"/>
  <c r="J148" i="6"/>
  <c r="G13" i="6" l="1"/>
  <c r="O24" i="5"/>
  <c r="B4" i="5"/>
  <c r="U2" i="5" s="1"/>
  <c r="J40" i="6"/>
  <c r="J36" i="6" s="1"/>
  <c r="E34" i="4"/>
  <c r="G63" i="5" s="1"/>
  <c r="E33" i="4"/>
  <c r="G62" i="5" s="1"/>
  <c r="G65" i="5" l="1"/>
  <c r="E27" i="4"/>
  <c r="G55" i="5" s="1"/>
  <c r="E26" i="4"/>
  <c r="G53" i="5" s="1"/>
  <c r="K45" i="5" l="1"/>
  <c r="N45" i="5" s="1"/>
  <c r="H65" i="5"/>
  <c r="H13" i="4"/>
  <c r="E13" i="4"/>
  <c r="G37" i="5" s="1"/>
  <c r="F30" i="4"/>
  <c r="H30" i="4" s="1"/>
  <c r="F29" i="4"/>
  <c r="H29" i="4" s="1"/>
  <c r="G10" i="4"/>
  <c r="G11" i="4"/>
  <c r="G13" i="4"/>
  <c r="G14" i="4"/>
  <c r="G16" i="4"/>
  <c r="G17" i="4"/>
  <c r="G18" i="4"/>
  <c r="G19" i="4"/>
  <c r="G31" i="4"/>
  <c r="G32" i="4"/>
  <c r="H24" i="4"/>
  <c r="F9" i="4"/>
  <c r="H9" i="4" s="1"/>
  <c r="F8" i="4"/>
  <c r="H8" i="4" s="1"/>
  <c r="E31" i="4"/>
  <c r="G59" i="5" s="1"/>
  <c r="E15" i="4"/>
  <c r="G39" i="5" s="1"/>
  <c r="E8" i="4"/>
  <c r="G30" i="5" s="1"/>
  <c r="J8" i="4"/>
  <c r="E9" i="4"/>
  <c r="G31" i="5" s="1"/>
  <c r="J9" i="4"/>
  <c r="E5" i="1"/>
  <c r="G5" i="1"/>
  <c r="I5" i="1"/>
  <c r="E6" i="1"/>
  <c r="H6" i="1"/>
  <c r="E7" i="1"/>
  <c r="H7" i="1"/>
  <c r="F20" i="4"/>
  <c r="H20" i="4" s="1"/>
  <c r="H14" i="4"/>
  <c r="B13" i="2"/>
  <c r="H20" i="1"/>
  <c r="H19" i="1"/>
  <c r="E19" i="1"/>
  <c r="E20" i="1"/>
  <c r="J21" i="4"/>
  <c r="J22" i="4"/>
  <c r="C26" i="2"/>
  <c r="D26" i="2" s="1"/>
  <c r="C22" i="2"/>
  <c r="P32" i="2"/>
  <c r="F14" i="2"/>
  <c r="H7" i="4"/>
  <c r="H10" i="4"/>
  <c r="H11" i="4"/>
  <c r="H16" i="4"/>
  <c r="H17" i="4"/>
  <c r="H18" i="4"/>
  <c r="H19" i="4"/>
  <c r="H21" i="4"/>
  <c r="H22" i="4"/>
  <c r="H23" i="4"/>
  <c r="H25" i="4"/>
  <c r="H32" i="4"/>
  <c r="E14" i="2"/>
  <c r="D14" i="2"/>
  <c r="C20" i="2"/>
  <c r="C21" i="2"/>
  <c r="C18" i="2"/>
  <c r="F12" i="4"/>
  <c r="H12" i="4" s="1"/>
  <c r="E12" i="4"/>
  <c r="G36" i="5" s="1"/>
  <c r="E51" i="4"/>
  <c r="E52" i="4"/>
  <c r="E20" i="4"/>
  <c r="G46" i="5" s="1"/>
  <c r="E25" i="4"/>
  <c r="G52" i="5" s="1"/>
  <c r="E22" i="4"/>
  <c r="G48" i="5" s="1"/>
  <c r="H48" i="5" s="1"/>
  <c r="E21" i="4"/>
  <c r="G47" i="5" s="1"/>
  <c r="H47" i="5" s="1"/>
  <c r="F6" i="4"/>
  <c r="H6" i="4" s="1"/>
  <c r="E6" i="4"/>
  <c r="G28" i="5" s="1"/>
  <c r="J6" i="4"/>
  <c r="E7" i="4"/>
  <c r="G29" i="5" s="1"/>
  <c r="J7" i="4"/>
  <c r="E10" i="4"/>
  <c r="G33" i="5" s="1"/>
  <c r="G34" i="5" s="1"/>
  <c r="H34" i="5" s="1"/>
  <c r="J10" i="4"/>
  <c r="E11" i="4"/>
  <c r="G35" i="5" s="1"/>
  <c r="J11" i="4"/>
  <c r="E16" i="4"/>
  <c r="G41" i="5" s="1"/>
  <c r="J16" i="4"/>
  <c r="J17" i="4"/>
  <c r="E18" i="4"/>
  <c r="G43" i="5" s="1"/>
  <c r="J18" i="4"/>
  <c r="E19" i="4"/>
  <c r="G44" i="5" s="1"/>
  <c r="J19" i="4"/>
  <c r="E14" i="4"/>
  <c r="G38" i="5" s="1"/>
  <c r="J14" i="4"/>
  <c r="E24" i="4"/>
  <c r="G51" i="5" s="1"/>
  <c r="E29" i="4"/>
  <c r="G57" i="5" s="1"/>
  <c r="J29" i="4"/>
  <c r="E30" i="4"/>
  <c r="G58" i="5" s="1"/>
  <c r="J30" i="4"/>
  <c r="J31" i="4"/>
  <c r="E32" i="4"/>
  <c r="G60" i="5" s="1"/>
  <c r="G61" i="5" s="1"/>
  <c r="H61" i="5" s="1"/>
  <c r="J32" i="4"/>
  <c r="J12" i="4"/>
  <c r="E22" i="1"/>
  <c r="E23" i="1"/>
  <c r="H27" i="1"/>
  <c r="E27" i="1"/>
  <c r="E26" i="1"/>
  <c r="F18" i="1"/>
  <c r="E18" i="1"/>
  <c r="H15" i="1"/>
  <c r="H4" i="1"/>
  <c r="H11" i="1"/>
  <c r="H12" i="1"/>
  <c r="H13" i="1"/>
  <c r="H14" i="1"/>
  <c r="H28" i="1"/>
  <c r="H24" i="1"/>
  <c r="H32" i="1" s="1"/>
  <c r="H25" i="1"/>
  <c r="H26" i="1"/>
  <c r="H9" i="1"/>
  <c r="H10" i="1"/>
  <c r="E15" i="1"/>
  <c r="E16" i="1"/>
  <c r="E4" i="1"/>
  <c r="E11" i="1"/>
  <c r="E12" i="1"/>
  <c r="E13" i="1"/>
  <c r="E14" i="1"/>
  <c r="E24" i="1"/>
  <c r="E25" i="1"/>
  <c r="E9" i="1"/>
  <c r="E10" i="1"/>
  <c r="E17" i="1"/>
  <c r="E8" i="1"/>
  <c r="E21" i="1"/>
  <c r="F8" i="1"/>
  <c r="F17" i="1"/>
  <c r="M30" i="2"/>
  <c r="M31" i="2"/>
  <c r="M28" i="2"/>
  <c r="G56" i="5" l="1"/>
  <c r="H56" i="5" s="1"/>
  <c r="J36" i="4"/>
  <c r="K41" i="5"/>
  <c r="N41" i="5" s="1"/>
  <c r="G17" i="5"/>
  <c r="H17" i="5" s="1"/>
  <c r="G16" i="6" s="1"/>
  <c r="G32" i="5"/>
  <c r="H32" i="5" s="1"/>
  <c r="H67" i="5" s="1"/>
  <c r="G22" i="5"/>
  <c r="G45" i="5"/>
  <c r="H45" i="5" s="1"/>
  <c r="G40" i="5"/>
  <c r="H40" i="5" s="1"/>
  <c r="G20" i="5"/>
  <c r="H20" i="5" s="1"/>
  <c r="K46" i="5"/>
  <c r="N46" i="5" s="1"/>
  <c r="G50" i="5"/>
  <c r="G67" i="5" s="1"/>
  <c r="G21" i="5"/>
  <c r="K43" i="5" s="1"/>
  <c r="N43" i="5" s="1"/>
  <c r="J1" i="4"/>
  <c r="G30" i="4"/>
  <c r="G29" i="4"/>
  <c r="G12" i="4"/>
  <c r="G6" i="4"/>
  <c r="G9" i="4"/>
  <c r="G24" i="4"/>
  <c r="H15" i="4"/>
  <c r="H31" i="4"/>
  <c r="F1" i="1"/>
  <c r="F1" i="4"/>
  <c r="N1" i="4" s="1"/>
  <c r="H1" i="1"/>
  <c r="E1" i="1"/>
  <c r="E1" i="4"/>
  <c r="K44" i="5" l="1"/>
  <c r="N44" i="5" s="1"/>
  <c r="M12" i="5"/>
  <c r="J22" i="5"/>
  <c r="G16" i="5"/>
  <c r="J16" i="6"/>
  <c r="I16" i="6"/>
  <c r="K40" i="5"/>
  <c r="N40" i="5" s="1"/>
  <c r="G18" i="5"/>
  <c r="H18" i="5" s="1"/>
  <c r="K42" i="5"/>
  <c r="N42" i="5" s="1"/>
  <c r="G19" i="5"/>
  <c r="H19" i="5" s="1"/>
  <c r="H12" i="6"/>
  <c r="U46" i="5"/>
  <c r="G11" i="6"/>
  <c r="J20" i="5"/>
  <c r="H11" i="6" s="1"/>
  <c r="E2" i="4"/>
  <c r="G11" i="5"/>
  <c r="G1" i="4"/>
  <c r="G3" i="4" s="1"/>
  <c r="B57" i="4"/>
  <c r="J16" i="5" l="1"/>
  <c r="H17" i="6" s="1"/>
  <c r="H16" i="5"/>
  <c r="K23" i="5" s="1"/>
  <c r="T46" i="5"/>
  <c r="H22" i="5"/>
  <c r="H23" i="5" s="1"/>
  <c r="G26" i="5" s="1"/>
  <c r="H26" i="5" s="1"/>
  <c r="I26" i="5" s="1"/>
  <c r="J25" i="5"/>
  <c r="G17" i="6"/>
  <c r="G14" i="6"/>
  <c r="J18" i="5"/>
  <c r="H18" i="6" s="1"/>
  <c r="G18" i="6"/>
  <c r="J19" i="5"/>
  <c r="H15" i="6" s="1"/>
  <c r="G15" i="6"/>
  <c r="I11" i="6"/>
  <c r="J11" i="6"/>
  <c r="E3" i="4"/>
  <c r="G12" i="5"/>
  <c r="H10" i="6" l="1"/>
  <c r="J17" i="6"/>
  <c r="G13" i="5"/>
  <c r="G27" i="5" s="1"/>
  <c r="H27" i="5" s="1"/>
  <c r="K37" i="5"/>
  <c r="I17" i="6"/>
  <c r="J15" i="6"/>
  <c r="I15" i="6"/>
  <c r="I23" i="5"/>
  <c r="J23" i="5" s="1"/>
  <c r="G12" i="6"/>
  <c r="J18" i="6"/>
  <c r="I18" i="6"/>
  <c r="L37" i="5"/>
  <c r="L38" i="5" s="1"/>
  <c r="E4" i="4"/>
  <c r="B18" i="7" s="1"/>
  <c r="O35" i="5" l="1"/>
  <c r="K38" i="5"/>
  <c r="T40" i="5" s="1"/>
  <c r="G23" i="6"/>
  <c r="H23" i="6"/>
  <c r="L26" i="5"/>
  <c r="I12" i="6"/>
  <c r="I10" i="6" s="1"/>
  <c r="J12" i="6"/>
  <c r="J10" i="6" s="1"/>
  <c r="G10" i="6"/>
  <c r="I23" i="6"/>
  <c r="J23" i="6"/>
  <c r="K4" i="5"/>
  <c r="K5" i="5" s="1"/>
  <c r="K6" i="5"/>
  <c r="U41" i="5"/>
  <c r="T44" i="5"/>
  <c r="T42" i="5"/>
  <c r="U40" i="5"/>
  <c r="U42" i="5"/>
  <c r="U44" i="5"/>
  <c r="T41" i="5"/>
  <c r="T45" i="5"/>
  <c r="U43" i="5"/>
  <c r="U45" i="5"/>
  <c r="B15" i="7"/>
  <c r="T43" i="5" l="1"/>
  <c r="G20" i="6"/>
  <c r="I27" i="5"/>
  <c r="T47" i="5"/>
  <c r="J24" i="5" s="1"/>
  <c r="U47" i="5"/>
  <c r="H20" i="6" l="1"/>
  <c r="I20" i="6" s="1"/>
  <c r="M26" i="5"/>
  <c r="G252" i="6"/>
  <c r="U49" i="5"/>
  <c r="U48" i="5"/>
  <c r="T48" i="5"/>
  <c r="T49" i="5"/>
  <c r="J20" i="6" l="1"/>
  <c r="J25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tc={566162C3-8483-43E6-9138-99F0F5B0AB91}</author>
  </authors>
  <commentList>
    <comment ref="A3" authorId="0" shapeId="0" xr:uid="{566162C3-8483-43E6-9138-99F0F5B0AB91}">
      <text>
        <t>[Threaded comment]
Your version of Excel allows you to read this threaded comment; however, any edits to it will get removed if the file is opened in a newer version of Excel. Learn more: https://go.microsoft.com/fwlink/?linkid=870924
Comment:
    P80 in Understanding GNSS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tc={6D3AC771-0B6F-443D-B179-A8FBC4250DCF}</author>
  </authors>
  <commentList>
    <comment ref="E11" authorId="0" shapeId="0" xr:uid="{6D3AC771-0B6F-443D-B179-A8FBC4250DCF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in the document that if it turns out our spacecraft mass is lower when built, it might be feasible to use falcon 9 for 1 launch.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tc={B0AB1353-5771-48CA-88D1-A74AAE020B16}</author>
    <author>charmon</author>
    <author>tcoonce</author>
  </authors>
  <commentList>
    <comment ref="G23" authorId="0" shapeId="0" xr:uid="{B0AB1353-5771-48CA-88D1-A74AAE020B16}">
      <text>
        <t>[Threaded comment]
Your version of Excel allows you to read this threaded comment; however, any edits to it will get removed if the file is opened in a newer version of Excel. Learn more: https://go.microsoft.com/fwlink/?linkid=870924
Comment:
    Zandbergen says cable harness is low-cost</t>
      </text>
    </comment>
    <comment ref="D197" authorId="1" shapeId="0" xr:uid="{7B975378-E70E-4336-B9B8-C71EE8032D80}">
      <text>
        <r>
          <rPr>
            <b/>
            <sz val="8"/>
            <color indexed="81"/>
            <rFont val="Tahoma"/>
            <family val="2"/>
          </rPr>
          <t>Only include SW Subsystem if SW is carried on Orbiter. If carried on anther element (e.g. rover), include there.</t>
        </r>
      </text>
    </comment>
    <comment ref="D205" authorId="2" shapeId="0" xr:uid="{EBEE1E35-7C3B-462E-809E-A7D4AAA3743A}">
      <text>
        <r>
          <rPr>
            <sz val="8"/>
            <color indexed="81"/>
            <rFont val="Tahoma"/>
            <family val="2"/>
          </rPr>
          <t>Expand if applicable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06" authorId="1" shapeId="0" xr:uid="{BCC2D311-52F7-4AF8-897D-42CD6BB24239}">
      <text>
        <r>
          <rPr>
            <sz val="8"/>
            <color indexed="81"/>
            <rFont val="Tahoma"/>
            <family val="2"/>
          </rPr>
          <t>Expand if applicable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tc={996554BD-9DAD-41A4-BEA0-4894C3BE3B5F}</author>
    <author>tc={FCDDC51F-7927-41F6-B6A4-53BE5AC5ECD7}</author>
  </authors>
  <commentList>
    <comment ref="R26" authorId="0" shapeId="0" xr:uid="{996554BD-9DAD-41A4-BEA0-4894C3BE3B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https://ember-climate.org/data/data-tools/carbon-price-viewer/
</t>
      </text>
    </comment>
    <comment ref="S26" authorId="1" shapeId="0" xr:uid="{FCDDC51F-7927-41F6-B6A4-53BE5AC5ECD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https://www.xe.com/currencyconverter/convert/?Amount=1&amp;From=EUR&amp;To=USD</t>
      </text>
    </comment>
  </commentList>
</comments>
</file>

<file path=xl/sharedStrings.xml><?xml version="1.0" encoding="utf-8"?>
<sst xmlns="http://schemas.openxmlformats.org/spreadsheetml/2006/main" count="751" uniqueCount="386">
  <si>
    <t>TOTAL</t>
  </si>
  <si>
    <t>DRY</t>
  </si>
  <si>
    <t>DRY + 20% Margin</t>
  </si>
  <si>
    <t>TOTAL w/Margin</t>
  </si>
  <si>
    <t>SUBSYSTEM</t>
  </si>
  <si>
    <t>Component/Part</t>
  </si>
  <si>
    <t>Units Required</t>
  </si>
  <si>
    <t>Mass [kg]</t>
  </si>
  <si>
    <t>Total Mass [kg]</t>
  </si>
  <si>
    <t>Volume per element [m^3]</t>
  </si>
  <si>
    <t>Volume Inside</t>
  </si>
  <si>
    <t>Density</t>
  </si>
  <si>
    <t>Power [W]</t>
  </si>
  <si>
    <t>Total Power [W]</t>
  </si>
  <si>
    <t>Input voltage [V]</t>
  </si>
  <si>
    <t>Operating temperature [min, max]</t>
  </si>
  <si>
    <t>Cost</t>
  </si>
  <si>
    <t>Dimensions</t>
  </si>
  <si>
    <t>Source</t>
  </si>
  <si>
    <t>Notes</t>
  </si>
  <si>
    <t>ADCS</t>
  </si>
  <si>
    <t>CMG</t>
  </si>
  <si>
    <t>220 x 220 x 300 mm</t>
  </si>
  <si>
    <t>https://www.satnow.com/products/control-moment-gyroscopes/blue-canyon-technologies/43-1186-cmg8</t>
  </si>
  <si>
    <t>Star sensor</t>
  </si>
  <si>
    <t>9 to 40</t>
  </si>
  <si>
    <t>[-20, 65]</t>
  </si>
  <si>
    <t>60 x 60 x 138 mm</t>
  </si>
  <si>
    <t xml:space="preserve">https://www.vectronic-aerospace.com/wp-content/uploads/2020/03/VAS-VST68M-DS2.pdf </t>
  </si>
  <si>
    <t>Place them in such a way the planes they observe are non parallel.</t>
  </si>
  <si>
    <t>Sun sensor</t>
  </si>
  <si>
    <t>[-50,80]</t>
  </si>
  <si>
    <t>50 x 46 x 17 mm</t>
  </si>
  <si>
    <t xml:space="preserve">https://satsearch.co/products/bradford-mini-fine-sun-sensor </t>
  </si>
  <si>
    <t>3 on each surface except moon pointing one. They lso have to be non parallel.</t>
  </si>
  <si>
    <t>Ring laser gyroscopes</t>
  </si>
  <si>
    <t>[-54, 85]</t>
  </si>
  <si>
    <t xml:space="preserve">88 x 45 mm (Dia x H) </t>
  </si>
  <si>
    <t xml:space="preserve">https://aerospace.honeywell.com/us/en/products-and-services/product/hardware-and-systems/sensors/gg1320an-digital-ring-laser-gyroscope </t>
  </si>
  <si>
    <t>Place them in a pyramid formation such that their vectors are non parralel. Look at ADSEE 2 slides</t>
  </si>
  <si>
    <t>CDH</t>
  </si>
  <si>
    <t>Computer</t>
  </si>
  <si>
    <t>https://products.beyondgravity.com/d/SVq1aavsDmtE/library/show/eyJpZCI6MTM5NywidGltZXN0YW1wIjoiMTY4NjY2OTY3OCJ9:beyond-gravity:XhxYPso6HlA66Xalk-rVWbqO-koFKmh3eVIgYHLdeEU</t>
  </si>
  <si>
    <t>EPS</t>
  </si>
  <si>
    <t>Galileo PCDU</t>
  </si>
  <si>
    <t>508x235x156</t>
  </si>
  <si>
    <t>https://www.terma.com/media/fpfjapsa/terma-space-power-system-a4-v9-cleaned.pdf</t>
  </si>
  <si>
    <t>Has shunts in there</t>
  </si>
  <si>
    <t>Cable Harness</t>
  </si>
  <si>
    <t>https://www.google.com/url?sa=t&amp;rct=j&amp;q=&amp;esrc=s&amp;source=web&amp;cd=&amp;cad=rja&amp;uact=8&amp;ved=2ahUKEwjPlo6Yx7P_AhVjgv0HHQfRA8UQFnoECBQQAQ&amp;url=https%3A%2F%2Fwww.nasa.gov%2Fsites%2Fdefault%2Ffiles%2Fatoms%2Ffiles%2Fsoa_2021_0.pdf&amp;usg=AOvVaw0XNKnCY6Jz35vPPj2eY-Py</t>
  </si>
  <si>
    <t>Random number for large satellites, can't find a good value</t>
  </si>
  <si>
    <t>Battery 1</t>
  </si>
  <si>
    <t>/</t>
  </si>
  <si>
    <t>DoD of 40%</t>
  </si>
  <si>
    <t>Battery 2</t>
  </si>
  <si>
    <t>DoD of 80%</t>
  </si>
  <si>
    <t>Solar array</t>
  </si>
  <si>
    <t>6.8 m^2</t>
  </si>
  <si>
    <t>Conservative, 32% efficiency</t>
  </si>
  <si>
    <t>Navigation</t>
  </si>
  <si>
    <t xml:space="preserve">Navigation Signal Generation Unit </t>
  </si>
  <si>
    <t>[-10,40]</t>
  </si>
  <si>
    <t>267 x 320 x 280 mm</t>
  </si>
  <si>
    <t>https://www.thalesgroup.com/sites/default/files/database/d7/asset/document/TRIS_NSGU-092012.pdf</t>
  </si>
  <si>
    <t>.</t>
  </si>
  <si>
    <t>frequency generator and upconverter unit</t>
  </si>
  <si>
    <t>270x280x116 mm</t>
  </si>
  <si>
    <t>https://www.kongsberg.com/kmagazine/2014/9/board-galileo/</t>
  </si>
  <si>
    <t>Clock Monitoring and Control Unit</t>
  </si>
  <si>
    <t>[-15,45]</t>
  </si>
  <si>
    <t>270x216x137 mm</t>
  </si>
  <si>
    <t>https://www.airbus.com/sites/g/files/jlcbta136/files/2021-11/Publication-sce-PP-NAV-CMCU-old.pdf</t>
  </si>
  <si>
    <t>clocks</t>
  </si>
  <si>
    <t>300x275x230mm</t>
  </si>
  <si>
    <t>https://www.nasa.gov/mission_pages/tdm/clock/index.html</t>
  </si>
  <si>
    <t>p267 GNSS Handbook</t>
  </si>
  <si>
    <t>Propulsion</t>
  </si>
  <si>
    <t>Propellant</t>
  </si>
  <si>
    <t>Thrusters GR1</t>
  </si>
  <si>
    <t>Thruster GR22</t>
  </si>
  <si>
    <t>Filters &amp; Valves</t>
  </si>
  <si>
    <t>Spacecraft &amp; Sizing reader</t>
  </si>
  <si>
    <t>Structure</t>
  </si>
  <si>
    <t>Propellant Tank</t>
  </si>
  <si>
    <t>0.33^3</t>
  </si>
  <si>
    <t>Antenna support</t>
  </si>
  <si>
    <t>Mechanisms</t>
  </si>
  <si>
    <t>Skeleton</t>
  </si>
  <si>
    <t>Propellant Tank Support</t>
  </si>
  <si>
    <t>TT&amp;C</t>
  </si>
  <si>
    <t>TT&amp;C to User</t>
  </si>
  <si>
    <t>200x200x5 mm</t>
  </si>
  <si>
    <t>https://www-ncbi-nlm-nih-gov.tudelft.idm.oclc.org/pmc/articles/PMC6631366/</t>
  </si>
  <si>
    <t>TT&amp;C to Relay</t>
  </si>
  <si>
    <t>5.5-19</t>
  </si>
  <si>
    <t>89.3x93.8x23.3 mm</t>
  </si>
  <si>
    <t>https://www.endurosat.com/cubesat-store/cubesat-communication-modules/s-band-transceiver/</t>
  </si>
  <si>
    <t xml:space="preserve">TT&amp;C </t>
  </si>
  <si>
    <t>TT&amp;C laser (ISL)</t>
  </si>
  <si>
    <t>270x200x70 mm</t>
  </si>
  <si>
    <t>https://www-sciencedirect-com.tudelft.idm.oclc.org/science/article/pii/S0273117715004767?casa_token=7g-dqlS32OwAAAAA:HFBll5F0rdsTygwicViANuruBO5If62UyTBy-wRyFWlgNSFZfDLCs-DTgglUGX8G8fGrcHncBE8</t>
  </si>
  <si>
    <t>TT&amp;C laser (Moon retroreflector)</t>
  </si>
  <si>
    <t>TCS</t>
  </si>
  <si>
    <t>radiator with fluids system</t>
  </si>
  <si>
    <t>2.02m^2 (you can choose dimensions</t>
  </si>
  <si>
    <t>heaters</t>
  </si>
  <si>
    <t>mass phase change material</t>
  </si>
  <si>
    <t>Need 2 of them for redundancy</t>
  </si>
  <si>
    <t>End of Life fuel (OG orbit)</t>
  </si>
  <si>
    <t>OR Propulsion</t>
  </si>
  <si>
    <t>End of Life fuel (Low inclination orbit)</t>
  </si>
  <si>
    <t>Subsystem</t>
  </si>
  <si>
    <t>Percentage</t>
  </si>
  <si>
    <t>Eclipse</t>
  </si>
  <si>
    <t>Total</t>
  </si>
  <si>
    <t>Volume [m^3]</t>
  </si>
  <si>
    <t>195.58x714.25x447.04</t>
  </si>
  <si>
    <t>https://satcatalog.s3.amazonaws.com/components/6/SatCatalog_-_Honeywell_-_M50_CMG_-_Datasheet.pdf?lastmod=20210708012029</t>
  </si>
  <si>
    <t>[-10,60]</t>
  </si>
  <si>
    <t>Inertial Measurement Unit (multiple gyroscopes)</t>
  </si>
  <si>
    <t>22 to 50</t>
  </si>
  <si>
    <t>[-20, 60]</t>
  </si>
  <si>
    <t>215 x 180 mm (Dia x H) ICU, 270 x 150 x 145 mm3 (GEU)</t>
  </si>
  <si>
    <t xml:space="preserve">https://www.airbus.com/sites/g/files/jlcbta136/files/2022-02/ScE-AVIONICS-ASTRIX120v3_2022.pdf </t>
  </si>
  <si>
    <t>ADCS Fuel</t>
  </si>
  <si>
    <t>main clock (DSAC)</t>
  </si>
  <si>
    <t>Power</t>
  </si>
  <si>
    <t>Battery</t>
  </si>
  <si>
    <t>4 m^2</t>
  </si>
  <si>
    <t>Insertion Fuel</t>
  </si>
  <si>
    <t>Orbit Maintenance Fuel</t>
  </si>
  <si>
    <t>GR-1</t>
  </si>
  <si>
    <t>GR-22</t>
  </si>
  <si>
    <t>[-120,130]</t>
  </si>
  <si>
    <t>2x2x2</t>
  </si>
  <si>
    <t>Preliminary</t>
  </si>
  <si>
    <t>Support System</t>
  </si>
  <si>
    <t>270 × 200 × 70 mm</t>
  </si>
  <si>
    <t>Sources</t>
  </si>
  <si>
    <t>Data</t>
  </si>
  <si>
    <t>Rate</t>
  </si>
  <si>
    <t>Orbit</t>
  </si>
  <si>
    <t>Characteristic</t>
  </si>
  <si>
    <t>Value</t>
  </si>
  <si>
    <t>Unit</t>
  </si>
  <si>
    <t>https://www.gps.gov/technical/icwg/IS-GPS-200D.pdf</t>
  </si>
  <si>
    <t>GPS</t>
  </si>
  <si>
    <t>L5 CNAV</t>
  </si>
  <si>
    <t>50 bps</t>
  </si>
  <si>
    <t>Original Orbit Constellation</t>
  </si>
  <si>
    <t>Orbit plane #</t>
  </si>
  <si>
    <t>[-]</t>
  </si>
  <si>
    <t>&lt;--</t>
  </si>
  <si>
    <t>Omega = 360/n</t>
  </si>
  <si>
    <t>n = 0, 1, 2, 3</t>
  </si>
  <si>
    <t>Understanding GNSS</t>
  </si>
  <si>
    <t>L2C CNAV</t>
  </si>
  <si>
    <t>25 bps</t>
  </si>
  <si>
    <t>Bc 1/2 convolutional rate --&gt; FEC encoding</t>
  </si>
  <si>
    <t>Sat #</t>
  </si>
  <si>
    <t>L1C CNAV</t>
  </si>
  <si>
    <t>Semi-major axis</t>
  </si>
  <si>
    <t>[km]</t>
  </si>
  <si>
    <t>Galileo</t>
  </si>
  <si>
    <t>E6-B</t>
  </si>
  <si>
    <t>1000 bps</t>
  </si>
  <si>
    <t>Eccentricity</t>
  </si>
  <si>
    <t>BeiDou</t>
  </si>
  <si>
    <t>D1</t>
  </si>
  <si>
    <t>Inclination</t>
  </si>
  <si>
    <t>[deg]</t>
  </si>
  <si>
    <t>D2</t>
  </si>
  <si>
    <t>500 bps</t>
  </si>
  <si>
    <t>Bc D1 +  differential information, integrity
information, and grid ionosphere correction information</t>
  </si>
  <si>
    <t>Argument of Periapsis</t>
  </si>
  <si>
    <t>Starting true Anomaly</t>
  </si>
  <si>
    <t>Then steps of 360/n</t>
  </si>
  <si>
    <t>n = 0, 1, 2, 3, 4 ,5</t>
  </si>
  <si>
    <t>Delta V</t>
  </si>
  <si>
    <t>[m/s]</t>
  </si>
  <si>
    <t>Low Inclination Orbit</t>
  </si>
  <si>
    <t>Omega = 0</t>
  </si>
  <si>
    <t>max</t>
  </si>
  <si>
    <t>min</t>
  </si>
  <si>
    <t>area</t>
  </si>
  <si>
    <t>solar flux</t>
  </si>
  <si>
    <t>a</t>
  </si>
  <si>
    <t>Then steps of 30+360/n</t>
  </si>
  <si>
    <t>n = 0, 1, 2</t>
  </si>
  <si>
    <t xml:space="preserve">South/North Pole Orbits </t>
  </si>
  <si>
    <t>W/m^2</t>
  </si>
  <si>
    <t>km</t>
  </si>
  <si>
    <t>90/270</t>
  </si>
  <si>
    <t xml:space="preserve">n = </t>
  </si>
  <si>
    <t>All</t>
  </si>
  <si>
    <t>Tot Orbit plane #</t>
  </si>
  <si>
    <t>Tot Sat #</t>
  </si>
  <si>
    <t>Min Distance to Moon</t>
  </si>
  <si>
    <t>Max Distance to Moon</t>
  </si>
  <si>
    <t>Cost estimator</t>
  </si>
  <si>
    <t>spacecraft subsystem</t>
  </si>
  <si>
    <t>FY2010 $K/kg</t>
  </si>
  <si>
    <t>175 kg SC</t>
  </si>
  <si>
    <t>From PAPER from SMAD</t>
  </si>
  <si>
    <t>From ADSEE 1 Reader</t>
  </si>
  <si>
    <t>NAV</t>
  </si>
  <si>
    <t>max 10 billion</t>
  </si>
  <si>
    <t>fiscal year</t>
  </si>
  <si>
    <t>Cost in 2023 may</t>
  </si>
  <si>
    <t>learning curve</t>
  </si>
  <si>
    <t>Clocks per s/c</t>
  </si>
  <si>
    <t>oscillators</t>
  </si>
  <si>
    <t>Thermal</t>
  </si>
  <si>
    <t>N^…</t>
  </si>
  <si>
    <t>Development</t>
  </si>
  <si>
    <t>Clocks</t>
  </si>
  <si>
    <t>total for 105 clocks</t>
  </si>
  <si>
    <t>T1 (20% margin)</t>
  </si>
  <si>
    <t>Production</t>
  </si>
  <si>
    <t>cost_prod 20 %</t>
  </si>
  <si>
    <t>2010 millions</t>
  </si>
  <si>
    <t>Cost_dev 20 %</t>
  </si>
  <si>
    <t>C&amp;DH</t>
  </si>
  <si>
    <t>MASS [kg]</t>
  </si>
  <si>
    <t>WET [kg]</t>
  </si>
  <si>
    <t>DRY [kg]</t>
  </si>
  <si>
    <t>other</t>
  </si>
  <si>
    <t>https://www.bls.gov/data/inflation_calculator.htm</t>
  </si>
  <si>
    <t>FY2023 M$</t>
  </si>
  <si>
    <t>SSD</t>
  </si>
  <si>
    <t>From the RAND paper</t>
  </si>
  <si>
    <t>Structure &amp; Thermal</t>
  </si>
  <si>
    <t>TCXO</t>
  </si>
  <si>
    <t>OCXO</t>
  </si>
  <si>
    <t>rubidium</t>
  </si>
  <si>
    <t>1.8 nanosecond in 12h</t>
  </si>
  <si>
    <t>Cesium</t>
  </si>
  <si>
    <t>2 nanoseconds per day</t>
  </si>
  <si>
    <t>FY 2023 $</t>
  </si>
  <si>
    <t>DSAC</t>
  </si>
  <si>
    <t>1 nanosecond in 10 days</t>
  </si>
  <si>
    <t>IA&amp;T</t>
  </si>
  <si>
    <t>SE/PM</t>
  </si>
  <si>
    <t>2010-2023</t>
  </si>
  <si>
    <t>Integration assembly and test</t>
  </si>
  <si>
    <t>FY2010 M$</t>
  </si>
  <si>
    <t>FY 2023 M$</t>
  </si>
  <si>
    <t>Margin</t>
  </si>
  <si>
    <t xml:space="preserve">Total cost </t>
  </si>
  <si>
    <t>SD</t>
  </si>
  <si>
    <t xml:space="preserve">Development </t>
  </si>
  <si>
    <t>Operating cost</t>
  </si>
  <si>
    <t>Battery cost estimation</t>
  </si>
  <si>
    <t>Battery 1 (Wh)</t>
  </si>
  <si>
    <t>2000-2023</t>
  </si>
  <si>
    <t>Battery 2 (Wh)</t>
  </si>
  <si>
    <t>kg to lbs</t>
  </si>
  <si>
    <t>cost ($) per kWh</t>
  </si>
  <si>
    <t>235-1179</t>
  </si>
  <si>
    <t>ADCS total</t>
  </si>
  <si>
    <t xml:space="preserve">Paper </t>
  </si>
  <si>
    <t>https://www.rand.org/content/dam/rand/pubs/technical_reports/2008/RAND_TR418.pdf</t>
  </si>
  <si>
    <t>CDH total</t>
  </si>
  <si>
    <t>Mean</t>
  </si>
  <si>
    <t>cable harness eps</t>
  </si>
  <si>
    <t>$k/lb</t>
  </si>
  <si>
    <t>solar cell Total cost</t>
  </si>
  <si>
    <t>150$/W</t>
  </si>
  <si>
    <t>T1 satellite cost</t>
  </si>
  <si>
    <t>https://www.nrel.gov/docs/fy19osti/72103.pdf</t>
  </si>
  <si>
    <t>Total satellite cost (35)</t>
  </si>
  <si>
    <t>Power used</t>
  </si>
  <si>
    <t>Subsystems</t>
  </si>
  <si>
    <t>mass [kg]</t>
  </si>
  <si>
    <t>FY2023</t>
  </si>
  <si>
    <t>EPS total</t>
  </si>
  <si>
    <t>Communication</t>
  </si>
  <si>
    <t>Prop</t>
  </si>
  <si>
    <t>to user</t>
  </si>
  <si>
    <t>endurosat</t>
  </si>
  <si>
    <t>EURO</t>
  </si>
  <si>
    <t>NAV total</t>
  </si>
  <si>
    <t>Propulsion propellant</t>
  </si>
  <si>
    <t>Subsystem Total</t>
  </si>
  <si>
    <t xml:space="preserve">1-2K $ per liter </t>
  </si>
  <si>
    <t>0.174 m3 fuel used</t>
  </si>
  <si>
    <t>Prop total</t>
  </si>
  <si>
    <t>R&amp;D</t>
  </si>
  <si>
    <t>Launch</t>
  </si>
  <si>
    <t>Operations</t>
  </si>
  <si>
    <t>Struc total</t>
  </si>
  <si>
    <t>TT&amp;C total</t>
  </si>
  <si>
    <t>TCS total</t>
  </si>
  <si>
    <t>crosscheck final mass</t>
  </si>
  <si>
    <t>margin</t>
  </si>
  <si>
    <t>Falcon Heavy (to mars)</t>
  </si>
  <si>
    <t>Falcon 9 (to mars)</t>
  </si>
  <si>
    <t>Long March 5</t>
  </si>
  <si>
    <t>Ariane 6</t>
  </si>
  <si>
    <t>fy 2023 cost</t>
  </si>
  <si>
    <t>amount of launches</t>
  </si>
  <si>
    <t>with only falcon heavy</t>
  </si>
  <si>
    <t>max amount satellites in one plane</t>
  </si>
  <si>
    <t>max kg per launch</t>
  </si>
  <si>
    <t>this 5x</t>
  </si>
  <si>
    <t>min amount satellites in one plane</t>
  </si>
  <si>
    <t>this 1 launch</t>
  </si>
  <si>
    <t>max kg (total +margin)this launch</t>
  </si>
  <si>
    <t>Report As of Date:</t>
  </si>
  <si>
    <t>Summary Costs (Thousands of Then-Year Dollars)</t>
  </si>
  <si>
    <t>Phase A</t>
  </si>
  <si>
    <t>Total (RY$)</t>
  </si>
  <si>
    <t>(Oct 20XX - Sept 20XX)</t>
  </si>
  <si>
    <t>FY 2023 (Millions)</t>
  </si>
  <si>
    <t>Actual</t>
  </si>
  <si>
    <t>Project WBS Element</t>
  </si>
  <si>
    <t>% Allocation to NASA WBS</t>
  </si>
  <si>
    <t>ID</t>
  </si>
  <si>
    <t>Item section</t>
  </si>
  <si>
    <t>Fiscal Year</t>
  </si>
  <si>
    <t>Level</t>
  </si>
  <si>
    <t>Spacecraft</t>
  </si>
  <si>
    <t>1.1.2</t>
  </si>
  <si>
    <t>1.1.3</t>
  </si>
  <si>
    <t>1.1.3.1</t>
  </si>
  <si>
    <t>1.1.3.2</t>
  </si>
  <si>
    <t>Other</t>
  </si>
  <si>
    <t>1.1.4</t>
  </si>
  <si>
    <t>1.1.5</t>
  </si>
  <si>
    <t>1.1.6</t>
  </si>
  <si>
    <t>Thermal Control + structures</t>
  </si>
  <si>
    <t>1.1.7</t>
  </si>
  <si>
    <t>1.1.8</t>
  </si>
  <si>
    <t>Launch (only falcon heavy)</t>
  </si>
  <si>
    <t xml:space="preserve">  GRAND TOTAL</t>
  </si>
  <si>
    <t>Cost with margin</t>
  </si>
  <si>
    <t>Cost per launch in millions FY2023</t>
  </si>
  <si>
    <t>Launch vehicle</t>
  </si>
  <si>
    <t>Mass possible [kg]</t>
  </si>
  <si>
    <t>Height [m]</t>
  </si>
  <si>
    <t>Diameter [m]</t>
  </si>
  <si>
    <t>\</t>
  </si>
  <si>
    <t>FY2023  + 2 SSD (millions)</t>
  </si>
  <si>
    <t>FY2023  + SSD (millions)</t>
  </si>
  <si>
    <t>cost with 5 falcon heavy 1 falcon 9 and another falcon 9 prototype</t>
  </si>
  <si>
    <t>Mission total</t>
  </si>
  <si>
    <t>22-26V</t>
  </si>
  <si>
    <t>3.3-5V</t>
  </si>
  <si>
    <t>-</t>
  </si>
  <si>
    <t>41.4V output</t>
  </si>
  <si>
    <t>26-28V</t>
  </si>
  <si>
    <t>12V</t>
  </si>
  <si>
    <t>3.3V</t>
  </si>
  <si>
    <t>28V</t>
  </si>
  <si>
    <t>5V</t>
  </si>
  <si>
    <t>Titanium</t>
  </si>
  <si>
    <t>Aluminium</t>
  </si>
  <si>
    <t>Material</t>
  </si>
  <si>
    <t>Carbon [kg/kg]</t>
  </si>
  <si>
    <t>kg</t>
  </si>
  <si>
    <t xml:space="preserve">Titanium </t>
  </si>
  <si>
    <t>Final (with al +3 kg)</t>
  </si>
  <si>
    <t>Carbon Spacecraft</t>
  </si>
  <si>
    <t>eur/1000 kg</t>
  </si>
  <si>
    <t>dollars/1000 kg</t>
  </si>
  <si>
    <t>Two Falcon 9 launches</t>
  </si>
  <si>
    <t>Five Falcon Heavy launches</t>
  </si>
  <si>
    <t>amount of kg co2 per RP-1</t>
  </si>
  <si>
    <t>Total carbon emissions</t>
  </si>
  <si>
    <t>co2</t>
  </si>
  <si>
    <t>totaal dollar</t>
  </si>
  <si>
    <t>dollars/kg</t>
  </si>
  <si>
    <t>Dollar</t>
  </si>
  <si>
    <t>kg carbon</t>
  </si>
  <si>
    <t>10x  margin</t>
  </si>
  <si>
    <t>Total amount of carbon [kg]</t>
  </si>
  <si>
    <t>Mass in Spacecraft [kg]</t>
  </si>
  <si>
    <t>Total Amount of Carbon [kg]</t>
  </si>
  <si>
    <t>Two Falcon 9 Launches [kg]</t>
  </si>
  <si>
    <t>Five Falcon Heavy Launches [kg]</t>
  </si>
  <si>
    <t>Euros per tonne [€] (17 juni)</t>
  </si>
  <si>
    <t>Dollar [$] per Euro [€]</t>
  </si>
  <si>
    <t>Dollars per kg</t>
  </si>
  <si>
    <t>Total cost + 1000%</t>
  </si>
  <si>
    <t>Carbon spacecraft [kg]</t>
  </si>
  <si>
    <t>Carbon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</si>
</sst>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00000000E+00"/>
    <numFmt numFmtId="168" formatCode="0#.##"/>
    <numFmt numFmtId="169" formatCode="0.0%"/>
    <numFmt numFmtId="170" formatCode="m/d/yy;@"/>
    <numFmt numFmtId="171" formatCode="_(* #,##0.0_);_(* \(#,##0.0\);_(* &quot;-&quot;??_);_(@_)"/>
    <numFmt numFmtId="172" formatCode="_(&quot;$&quot;* #,##0_);_(&quot;$&quot;* \(#,##0\);_(&quot;$&quot;* &quot;-&quot;??_);_(@_)"/>
    <numFmt numFmtId="173" formatCode="_ [$€-413]\ * #,##0.00_ ;_ [$€-413]\ * \-#,##0.00_ ;_ [$€-413]\ * &quot;-&quot;??_ ;_ @_ "/>
    <numFmt numFmtId="174" formatCode="_(&quot;$&quot;* #,##0.000_);_(&quot;$&quot;* \(#,##0.000\);_(&quot;$&quot;* &quot;-&quot;??_);_(@_)"/>
    <numFmt numFmtId="175" formatCode="_(&quot;$&quot;* #,##0.0000_);_(&quot;$&quot;* \(#,##0.0000\);_(&quot;$&quot;* &quot;-&quot;??_);_(@_)"/>
    <numFmt numFmtId="176" formatCode="0.0"/>
    <numFmt numFmtId="177" formatCode="0.00.E+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202124"/>
      <name val="Google Sans"/>
      <charset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u/>
      <sz val="12"/>
      <name val="Times New Roman"/>
      <family val="1"/>
    </font>
    <font>
      <b/>
      <u/>
      <sz val="18"/>
      <name val="Times New Roman"/>
      <family val="1"/>
    </font>
    <font>
      <u/>
      <sz val="12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33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4" fillId="0" borderId="0" xfId="0" applyFont="1" applyAlignment="1">
      <alignment wrapText="1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/>
    <xf numFmtId="0" fontId="0" fillId="0" borderId="12" xfId="0" applyBorder="1"/>
    <xf numFmtId="0" fontId="0" fillId="0" borderId="13" xfId="0" applyBorder="1"/>
    <xf numFmtId="0" fontId="2" fillId="0" borderId="0" xfId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3" fontId="0" fillId="0" borderId="0" xfId="0" quotePrefix="1" applyNumberFormat="1"/>
    <xf numFmtId="0" fontId="1" fillId="0" borderId="12" xfId="0" applyFont="1" applyBorder="1"/>
    <xf numFmtId="0" fontId="1" fillId="0" borderId="0" xfId="0" applyFont="1"/>
    <xf numFmtId="166" fontId="0" fillId="3" borderId="0" xfId="0" applyNumberFormat="1" applyFill="1"/>
    <xf numFmtId="166" fontId="0" fillId="0" borderId="0" xfId="0" applyNumberFormat="1"/>
    <xf numFmtId="0" fontId="5" fillId="0" borderId="0" xfId="0" applyFont="1"/>
    <xf numFmtId="0" fontId="0" fillId="4" borderId="0" xfId="0" applyFill="1"/>
    <xf numFmtId="3" fontId="0" fillId="0" borderId="0" xfId="0" applyNumberFormat="1"/>
    <xf numFmtId="0" fontId="0" fillId="5" borderId="12" xfId="0" applyFill="1" applyBorder="1"/>
    <xf numFmtId="0" fontId="0" fillId="6" borderId="12" xfId="0" applyFill="1" applyBorder="1"/>
    <xf numFmtId="0" fontId="1" fillId="7" borderId="12" xfId="0" applyFont="1" applyFill="1" applyBorder="1"/>
    <xf numFmtId="0" fontId="0" fillId="0" borderId="13" xfId="0" applyBorder="1" applyAlignment="1">
      <alignment wrapText="1"/>
    </xf>
    <xf numFmtId="0" fontId="0" fillId="8" borderId="0" xfId="0" applyFill="1"/>
    <xf numFmtId="0" fontId="6" fillId="0" borderId="0" xfId="0" applyFont="1"/>
    <xf numFmtId="0" fontId="3" fillId="9" borderId="0" xfId="0" applyFont="1" applyFill="1"/>
    <xf numFmtId="0" fontId="3" fillId="8" borderId="0" xfId="0" applyFont="1" applyFill="1"/>
    <xf numFmtId="0" fontId="3" fillId="10" borderId="0" xfId="0" applyFont="1" applyFill="1"/>
    <xf numFmtId="0" fontId="0" fillId="3" borderId="12" xfId="0" applyFill="1" applyBorder="1"/>
    <xf numFmtId="0" fontId="0" fillId="10" borderId="0" xfId="0" applyFill="1"/>
    <xf numFmtId="0" fontId="0" fillId="11" borderId="0" xfId="0" applyFill="1"/>
    <xf numFmtId="0" fontId="3" fillId="11" borderId="0" xfId="0" applyFont="1" applyFill="1"/>
    <xf numFmtId="0" fontId="0" fillId="12" borderId="0" xfId="0" applyFill="1"/>
    <xf numFmtId="164" fontId="0" fillId="0" borderId="0" xfId="2" applyFont="1"/>
    <xf numFmtId="167" fontId="0" fillId="0" borderId="0" xfId="0" applyNumberFormat="1"/>
    <xf numFmtId="164" fontId="0" fillId="0" borderId="0" xfId="0" applyNumberFormat="1"/>
    <xf numFmtId="168" fontId="8" fillId="0" borderId="0" xfId="0" applyNumberFormat="1" applyFont="1" applyAlignment="1">
      <alignment horizontal="left"/>
    </xf>
    <xf numFmtId="169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168" fontId="9" fillId="0" borderId="0" xfId="0" applyNumberFormat="1" applyFont="1" applyAlignment="1">
      <alignment horizontal="left"/>
    </xf>
    <xf numFmtId="169" fontId="8" fillId="0" borderId="0" xfId="0" applyNumberFormat="1" applyFont="1" applyAlignment="1">
      <alignment horizontal="center" wrapText="1"/>
    </xf>
    <xf numFmtId="169" fontId="8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170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168" fontId="8" fillId="0" borderId="0" xfId="0" applyNumberFormat="1" applyFont="1" applyAlignment="1">
      <alignment horizontal="left" wrapText="1"/>
    </xf>
    <xf numFmtId="0" fontId="9" fillId="0" borderId="0" xfId="0" applyFont="1" applyAlignment="1">
      <alignment wrapText="1"/>
    </xf>
    <xf numFmtId="0" fontId="14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168" fontId="9" fillId="0" borderId="0" xfId="0" applyNumberFormat="1" applyFont="1" applyAlignment="1">
      <alignment horizontal="right" wrapText="1"/>
    </xf>
    <xf numFmtId="169" fontId="9" fillId="0" borderId="0" xfId="0" applyNumberFormat="1" applyFont="1" applyAlignment="1">
      <alignment horizontal="center" wrapText="1"/>
    </xf>
    <xf numFmtId="169" fontId="9" fillId="0" borderId="0" xfId="0" applyNumberFormat="1" applyFont="1" applyAlignment="1">
      <alignment horizontal="right" wrapText="1"/>
    </xf>
    <xf numFmtId="0" fontId="11" fillId="13" borderId="24" xfId="0" applyFont="1" applyFill="1" applyBorder="1" applyAlignment="1">
      <alignment horizontal="center" wrapText="1"/>
    </xf>
    <xf numFmtId="171" fontId="8" fillId="0" borderId="0" xfId="3" applyNumberFormat="1" applyFont="1" applyFill="1" applyAlignment="1">
      <alignment horizontal="right"/>
    </xf>
    <xf numFmtId="172" fontId="8" fillId="0" borderId="23" xfId="2" applyNumberFormat="1" applyFont="1" applyFill="1" applyBorder="1" applyAlignment="1">
      <alignment horizontal="right" wrapText="1"/>
    </xf>
    <xf numFmtId="172" fontId="8" fillId="0" borderId="23" xfId="2" applyNumberFormat="1" applyFont="1" applyFill="1" applyBorder="1" applyAlignment="1">
      <alignment horizontal="right"/>
    </xf>
    <xf numFmtId="0" fontId="16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172" fontId="8" fillId="0" borderId="23" xfId="2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indent="3"/>
    </xf>
    <xf numFmtId="168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 wrapText="1" indent="1"/>
    </xf>
    <xf numFmtId="0" fontId="16" fillId="0" borderId="0" xfId="0" applyFont="1" applyAlignment="1">
      <alignment horizontal="left" wrapText="1" indent="1"/>
    </xf>
    <xf numFmtId="0" fontId="16" fillId="0" borderId="0" xfId="0" applyFont="1" applyAlignment="1">
      <alignment horizontal="left" vertical="center" wrapText="1" indent="2"/>
    </xf>
    <xf numFmtId="0" fontId="16" fillId="0" borderId="0" xfId="0" applyFont="1" applyAlignment="1">
      <alignment horizontal="left" wrapText="1" indent="4"/>
    </xf>
    <xf numFmtId="0" fontId="16" fillId="0" borderId="0" xfId="0" applyFont="1"/>
    <xf numFmtId="16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72" fontId="16" fillId="0" borderId="23" xfId="2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 indent="4"/>
    </xf>
    <xf numFmtId="172" fontId="8" fillId="0" borderId="23" xfId="2" applyNumberFormat="1" applyFont="1" applyFill="1" applyBorder="1" applyAlignment="1">
      <alignment horizontal="right" wrapText="1" indent="4"/>
    </xf>
    <xf numFmtId="0" fontId="16" fillId="0" borderId="0" xfId="0" applyFont="1" applyAlignment="1">
      <alignment horizontal="left" wrapText="1" indent="3"/>
    </xf>
    <xf numFmtId="0" fontId="16" fillId="0" borderId="0" xfId="0" applyFont="1" applyAlignment="1">
      <alignment horizontal="left" wrapText="1" indent="2"/>
    </xf>
    <xf numFmtId="0" fontId="8" fillId="0" borderId="0" xfId="0" applyFont="1" applyAlignment="1">
      <alignment horizontal="left" indent="1"/>
    </xf>
    <xf numFmtId="0" fontId="16" fillId="0" borderId="0" xfId="0" applyFont="1" applyAlignment="1">
      <alignment horizontal="left" indent="4"/>
    </xf>
    <xf numFmtId="172" fontId="8" fillId="0" borderId="23" xfId="2" applyNumberFormat="1" applyFont="1" applyFill="1" applyBorder="1" applyAlignment="1">
      <alignment horizontal="right" wrapText="1" indent="1"/>
    </xf>
    <xf numFmtId="0" fontId="16" fillId="0" borderId="0" xfId="0" applyFont="1" applyAlignment="1">
      <alignment horizontal="left" indent="3"/>
    </xf>
    <xf numFmtId="172" fontId="8" fillId="0" borderId="23" xfId="2" applyNumberFormat="1" applyFont="1" applyFill="1" applyBorder="1" applyAlignment="1">
      <alignment horizontal="right" wrapText="1" indent="3"/>
    </xf>
    <xf numFmtId="0" fontId="16" fillId="0" borderId="0" xfId="0" applyFont="1" applyAlignment="1">
      <alignment horizontal="left" indent="5"/>
    </xf>
    <xf numFmtId="0" fontId="16" fillId="0" borderId="0" xfId="0" applyFont="1" applyAlignment="1">
      <alignment horizontal="left" wrapText="1" indent="5"/>
    </xf>
    <xf numFmtId="0" fontId="16" fillId="0" borderId="0" xfId="0" applyFont="1" applyAlignment="1">
      <alignment horizontal="left" indent="6"/>
    </xf>
    <xf numFmtId="0" fontId="8" fillId="0" borderId="0" xfId="0" applyFont="1" applyAlignment="1">
      <alignment horizontal="left" wrapText="1" indent="2"/>
    </xf>
    <xf numFmtId="172" fontId="8" fillId="0" borderId="23" xfId="2" applyNumberFormat="1" applyFont="1" applyBorder="1" applyAlignment="1">
      <alignment horizontal="right" wrapText="1"/>
    </xf>
    <xf numFmtId="172" fontId="8" fillId="0" borderId="23" xfId="2" applyNumberFormat="1" applyFont="1" applyBorder="1" applyAlignment="1">
      <alignment horizontal="right" wrapText="1" indent="2"/>
    </xf>
    <xf numFmtId="49" fontId="8" fillId="0" borderId="0" xfId="3" applyNumberFormat="1" applyFont="1" applyFill="1" applyAlignment="1">
      <alignment horizontal="right"/>
    </xf>
    <xf numFmtId="171" fontId="17" fillId="0" borderId="0" xfId="3" applyNumberFormat="1" applyFont="1" applyFill="1" applyAlignment="1">
      <alignment horizontal="left"/>
    </xf>
    <xf numFmtId="172" fontId="18" fillId="0" borderId="23" xfId="2" applyNumberFormat="1" applyFont="1" applyFill="1" applyBorder="1" applyAlignment="1">
      <alignment horizontal="right" wrapText="1"/>
    </xf>
    <xf numFmtId="0" fontId="14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1" fillId="13" borderId="0" xfId="0" applyFont="1" applyFill="1" applyAlignment="1">
      <alignment horizontal="center" wrapText="1"/>
    </xf>
    <xf numFmtId="172" fontId="8" fillId="0" borderId="26" xfId="2" applyNumberFormat="1" applyFont="1" applyFill="1" applyBorder="1" applyAlignment="1">
      <alignment horizontal="right" wrapText="1"/>
    </xf>
    <xf numFmtId="172" fontId="8" fillId="0" borderId="26" xfId="2" applyNumberFormat="1" applyFont="1" applyFill="1" applyBorder="1" applyAlignment="1">
      <alignment horizontal="right" vertical="center" wrapText="1"/>
    </xf>
    <xf numFmtId="172" fontId="8" fillId="0" borderId="26" xfId="2" applyNumberFormat="1" applyFont="1" applyFill="1" applyBorder="1" applyAlignment="1">
      <alignment horizontal="right"/>
    </xf>
    <xf numFmtId="172" fontId="16" fillId="0" borderId="26" xfId="2" applyNumberFormat="1" applyFont="1" applyFill="1" applyBorder="1" applyAlignment="1">
      <alignment horizontal="right" wrapText="1"/>
    </xf>
    <xf numFmtId="172" fontId="8" fillId="0" borderId="26" xfId="2" applyNumberFormat="1" applyFont="1" applyFill="1" applyBorder="1" applyAlignment="1">
      <alignment horizontal="right" wrapText="1" indent="4"/>
    </xf>
    <xf numFmtId="172" fontId="8" fillId="0" borderId="26" xfId="2" applyNumberFormat="1" applyFont="1" applyFill="1" applyBorder="1" applyAlignment="1">
      <alignment horizontal="right" wrapText="1" indent="1"/>
    </xf>
    <xf numFmtId="172" fontId="8" fillId="0" borderId="26" xfId="2" applyNumberFormat="1" applyFont="1" applyFill="1" applyBorder="1" applyAlignment="1">
      <alignment horizontal="right" wrapText="1" indent="3"/>
    </xf>
    <xf numFmtId="172" fontId="8" fillId="0" borderId="26" xfId="2" applyNumberFormat="1" applyFont="1" applyBorder="1" applyAlignment="1">
      <alignment horizontal="right" wrapText="1"/>
    </xf>
    <xf numFmtId="172" fontId="8" fillId="0" borderId="26" xfId="2" applyNumberFormat="1" applyFont="1" applyBorder="1" applyAlignment="1">
      <alignment horizontal="right" wrapText="1" indent="2"/>
    </xf>
    <xf numFmtId="172" fontId="18" fillId="0" borderId="26" xfId="2" applyNumberFormat="1" applyFont="1" applyFill="1" applyBorder="1" applyAlignment="1">
      <alignment horizontal="right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13" borderId="0" xfId="0" applyFont="1" applyFill="1" applyAlignment="1">
      <alignment wrapText="1"/>
    </xf>
    <xf numFmtId="172" fontId="8" fillId="0" borderId="0" xfId="2" applyNumberFormat="1" applyFont="1" applyFill="1" applyBorder="1" applyAlignment="1">
      <alignment horizontal="right" wrapText="1"/>
    </xf>
    <xf numFmtId="172" fontId="8" fillId="0" borderId="0" xfId="2" applyNumberFormat="1" applyFont="1" applyFill="1" applyBorder="1" applyAlignment="1">
      <alignment horizontal="right" vertical="center" wrapText="1"/>
    </xf>
    <xf numFmtId="172" fontId="8" fillId="0" borderId="0" xfId="2" applyNumberFormat="1" applyFont="1" applyFill="1" applyBorder="1" applyAlignment="1">
      <alignment horizontal="right"/>
    </xf>
    <xf numFmtId="172" fontId="16" fillId="0" borderId="0" xfId="2" applyNumberFormat="1" applyFont="1" applyFill="1" applyBorder="1" applyAlignment="1">
      <alignment horizontal="right" wrapText="1"/>
    </xf>
    <xf numFmtId="172" fontId="8" fillId="0" borderId="0" xfId="2" applyNumberFormat="1" applyFont="1" applyFill="1" applyBorder="1" applyAlignment="1">
      <alignment horizontal="right" wrapText="1" indent="4"/>
    </xf>
    <xf numFmtId="172" fontId="8" fillId="0" borderId="0" xfId="2" applyNumberFormat="1" applyFont="1" applyFill="1" applyBorder="1" applyAlignment="1">
      <alignment horizontal="right" wrapText="1" indent="1"/>
    </xf>
    <xf numFmtId="172" fontId="8" fillId="0" borderId="0" xfId="2" applyNumberFormat="1" applyFont="1" applyFill="1" applyBorder="1" applyAlignment="1">
      <alignment horizontal="right" wrapText="1" indent="3"/>
    </xf>
    <xf numFmtId="172" fontId="8" fillId="0" borderId="0" xfId="2" applyNumberFormat="1" applyFont="1" applyBorder="1" applyAlignment="1">
      <alignment horizontal="right" wrapText="1"/>
    </xf>
    <xf numFmtId="172" fontId="8" fillId="0" borderId="0" xfId="2" applyNumberFormat="1" applyFont="1" applyBorder="1" applyAlignment="1">
      <alignment horizontal="right" wrapText="1" indent="2"/>
    </xf>
    <xf numFmtId="172" fontId="18" fillId="0" borderId="0" xfId="2" applyNumberFormat="1" applyFont="1" applyFill="1" applyBorder="1" applyAlignment="1">
      <alignment horizontal="right" wrapText="1"/>
    </xf>
    <xf numFmtId="0" fontId="12" fillId="0" borderId="0" xfId="0" applyFont="1" applyAlignment="1">
      <alignment horizontal="center" vertical="center" wrapText="1"/>
    </xf>
    <xf numFmtId="172" fontId="8" fillId="0" borderId="28" xfId="2" applyNumberFormat="1" applyFont="1" applyBorder="1" applyAlignment="1">
      <alignment horizontal="right"/>
    </xf>
    <xf numFmtId="172" fontId="8" fillId="0" borderId="0" xfId="2" applyNumberFormat="1" applyFont="1" applyBorder="1" applyAlignment="1">
      <alignment horizontal="right"/>
    </xf>
    <xf numFmtId="0" fontId="8" fillId="7" borderId="0" xfId="0" applyFont="1" applyFill="1" applyAlignment="1">
      <alignment wrapText="1"/>
    </xf>
    <xf numFmtId="0" fontId="11" fillId="7" borderId="0" xfId="0" applyFont="1" applyFill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172" fontId="8" fillId="0" borderId="29" xfId="2" applyNumberFormat="1" applyFont="1" applyFill="1" applyBorder="1" applyAlignment="1">
      <alignment horizontal="right" vertical="center" wrapText="1"/>
    </xf>
    <xf numFmtId="172" fontId="8" fillId="0" borderId="29" xfId="2" applyNumberFormat="1" applyFont="1" applyBorder="1" applyAlignment="1">
      <alignment horizontal="right"/>
    </xf>
    <xf numFmtId="0" fontId="17" fillId="0" borderId="0" xfId="0" applyFont="1" applyAlignment="1">
      <alignment wrapText="1"/>
    </xf>
    <xf numFmtId="0" fontId="1" fillId="14" borderId="0" xfId="0" applyFont="1" applyFill="1"/>
    <xf numFmtId="173" fontId="8" fillId="0" borderId="29" xfId="2" applyNumberFormat="1" applyFont="1" applyFill="1" applyBorder="1" applyAlignment="1">
      <alignment horizontal="right" vertical="center" wrapText="1"/>
    </xf>
    <xf numFmtId="0" fontId="0" fillId="14" borderId="0" xfId="0" applyFill="1"/>
    <xf numFmtId="164" fontId="8" fillId="0" borderId="0" xfId="2" applyFont="1" applyAlignment="1">
      <alignment horizontal="left" vertical="center" wrapText="1" indent="2"/>
    </xf>
    <xf numFmtId="164" fontId="8" fillId="0" borderId="23" xfId="2" applyFont="1" applyFill="1" applyBorder="1" applyAlignment="1">
      <alignment horizontal="right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171" fontId="8" fillId="0" borderId="0" xfId="3" applyNumberFormat="1" applyFont="1" applyFill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15" borderId="32" xfId="0" applyFont="1" applyFill="1" applyBorder="1"/>
    <xf numFmtId="0" fontId="1" fillId="15" borderId="33" xfId="0" applyFont="1" applyFill="1" applyBorder="1"/>
    <xf numFmtId="0" fontId="1" fillId="15" borderId="34" xfId="0" applyFont="1" applyFill="1" applyBorder="1"/>
    <xf numFmtId="0" fontId="1" fillId="15" borderId="35" xfId="0" applyFont="1" applyFill="1" applyBorder="1"/>
    <xf numFmtId="4" fontId="0" fillId="0" borderId="0" xfId="0" applyNumberFormat="1"/>
    <xf numFmtId="9" fontId="0" fillId="0" borderId="0" xfId="0" applyNumberFormat="1"/>
    <xf numFmtId="0" fontId="3" fillId="8" borderId="0" xfId="0" applyFont="1" applyFill="1" applyAlignment="1">
      <alignment wrapText="1"/>
    </xf>
    <xf numFmtId="4" fontId="1" fillId="0" borderId="0" xfId="0" applyNumberFormat="1" applyFont="1"/>
    <xf numFmtId="164" fontId="1" fillId="0" borderId="0" xfId="2" applyFont="1"/>
    <xf numFmtId="0" fontId="0" fillId="16" borderId="0" xfId="0" applyFill="1"/>
    <xf numFmtId="0" fontId="0" fillId="0" borderId="0" xfId="3" applyNumberFormat="1" applyFont="1"/>
    <xf numFmtId="10" fontId="0" fillId="0" borderId="0" xfId="0" applyNumberFormat="1"/>
    <xf numFmtId="0" fontId="1" fillId="11" borderId="0" xfId="0" applyFont="1" applyFill="1"/>
    <xf numFmtId="10" fontId="0" fillId="11" borderId="0" xfId="0" applyNumberFormat="1" applyFill="1"/>
    <xf numFmtId="0" fontId="1" fillId="11" borderId="29" xfId="0" applyFont="1" applyFill="1" applyBorder="1"/>
    <xf numFmtId="10" fontId="0" fillId="11" borderId="29" xfId="0" applyNumberFormat="1" applyFill="1" applyBorder="1"/>
    <xf numFmtId="0" fontId="0" fillId="11" borderId="29" xfId="0" applyFill="1" applyBorder="1"/>
    <xf numFmtId="0" fontId="0" fillId="11" borderId="36" xfId="0" applyFill="1" applyBorder="1"/>
    <xf numFmtId="164" fontId="0" fillId="11" borderId="0" xfId="0" applyNumberFormat="1" applyFill="1"/>
    <xf numFmtId="174" fontId="8" fillId="0" borderId="23" xfId="2" applyNumberFormat="1" applyFont="1" applyFill="1" applyBorder="1" applyAlignment="1">
      <alignment horizontal="right" vertical="center" wrapText="1"/>
    </xf>
    <xf numFmtId="174" fontId="8" fillId="0" borderId="26" xfId="2" applyNumberFormat="1" applyFont="1" applyFill="1" applyBorder="1" applyAlignment="1">
      <alignment horizontal="right" vertical="center" wrapText="1"/>
    </xf>
    <xf numFmtId="164" fontId="8" fillId="0" borderId="26" xfId="2" applyFont="1" applyFill="1" applyBorder="1" applyAlignment="1">
      <alignment horizontal="right" wrapText="1"/>
    </xf>
    <xf numFmtId="175" fontId="8" fillId="0" borderId="23" xfId="2" applyNumberFormat="1" applyFont="1" applyFill="1" applyBorder="1" applyAlignment="1">
      <alignment horizontal="right" vertical="center" wrapText="1"/>
    </xf>
    <xf numFmtId="174" fontId="8" fillId="0" borderId="29" xfId="2" applyNumberFormat="1" applyFont="1" applyFill="1" applyBorder="1" applyAlignment="1">
      <alignment horizontal="right" vertical="center" wrapText="1"/>
    </xf>
    <xf numFmtId="164" fontId="8" fillId="0" borderId="29" xfId="2" applyFont="1" applyFill="1" applyBorder="1" applyAlignment="1">
      <alignment horizontal="right" vertical="center" wrapText="1"/>
    </xf>
    <xf numFmtId="171" fontId="8" fillId="0" borderId="0" xfId="3" applyNumberFormat="1" applyFont="1" applyAlignment="1">
      <alignment horizontal="right"/>
    </xf>
    <xf numFmtId="172" fontId="17" fillId="17" borderId="23" xfId="2" applyNumberFormat="1" applyFont="1" applyFill="1" applyBorder="1" applyAlignment="1">
      <alignment horizontal="right" wrapText="1"/>
    </xf>
    <xf numFmtId="172" fontId="17" fillId="17" borderId="26" xfId="2" applyNumberFormat="1" applyFont="1" applyFill="1" applyBorder="1" applyAlignment="1">
      <alignment horizontal="right" wrapText="1"/>
    </xf>
    <xf numFmtId="176" fontId="0" fillId="0" borderId="0" xfId="0" applyNumberFormat="1"/>
    <xf numFmtId="0" fontId="22" fillId="0" borderId="0" xfId="0" applyFont="1"/>
    <xf numFmtId="172" fontId="0" fillId="0" borderId="0" xfId="0" applyNumberFormat="1"/>
    <xf numFmtId="177" fontId="0" fillId="0" borderId="0" xfId="3" applyNumberFormat="1" applyFont="1"/>
    <xf numFmtId="11" fontId="0" fillId="0" borderId="0" xfId="0" applyNumberFormat="1"/>
    <xf numFmtId="0" fontId="1" fillId="16" borderId="0" xfId="0" applyFont="1" applyFill="1"/>
    <xf numFmtId="0" fontId="0" fillId="18" borderId="0" xfId="0" applyFill="1"/>
    <xf numFmtId="0" fontId="0" fillId="17" borderId="0" xfId="0" applyFill="1"/>
    <xf numFmtId="0" fontId="0" fillId="17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30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1" xfId="0" applyBorder="1" applyAlignment="1">
      <alignment wrapText="1"/>
    </xf>
    <xf numFmtId="0" fontId="1" fillId="0" borderId="32" xfId="0" applyFont="1" applyBorder="1" applyAlignment="1">
      <alignment wrapText="1"/>
    </xf>
    <xf numFmtId="0" fontId="0" fillId="0" borderId="33" xfId="0" applyBorder="1" applyAlignment="1">
      <alignment wrapText="1"/>
    </xf>
    <xf numFmtId="0" fontId="1" fillId="0" borderId="34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5" xfId="0" applyBorder="1" applyAlignment="1">
      <alignment wrapText="1"/>
    </xf>
    <xf numFmtId="0" fontId="0" fillId="18" borderId="0" xfId="0" applyFill="1" applyAlignment="1">
      <alignment wrapText="1"/>
    </xf>
    <xf numFmtId="0" fontId="0" fillId="14" borderId="39" xfId="0" applyFill="1" applyBorder="1" applyAlignment="1">
      <alignment wrapText="1"/>
    </xf>
    <xf numFmtId="0" fontId="1" fillId="14" borderId="40" xfId="0" applyFont="1" applyFill="1" applyBorder="1" applyAlignment="1">
      <alignment wrapText="1"/>
    </xf>
    <xf numFmtId="0" fontId="0" fillId="14" borderId="41" xfId="0" applyFill="1" applyBorder="1" applyAlignment="1">
      <alignment wrapText="1"/>
    </xf>
    <xf numFmtId="0" fontId="0" fillId="0" borderId="1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 textRotation="45"/>
    </xf>
    <xf numFmtId="0" fontId="0" fillId="0" borderId="6" xfId="0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7" borderId="0" xfId="0" applyFont="1" applyFill="1" applyAlignment="1">
      <alignment horizont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4">
    <cellStyle name="Comma" xfId="3" builtinId="3"/>
    <cellStyle name="Currency" xfId="2" builtinId="4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Clock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'Cost estimation'!$Q$16:$Q$19</c:f>
              <c:numCache>
                <c:formatCode>0.00.E+00</c:formatCode>
                <c:ptCount val="4"/>
                <c:pt idx="0" formatCode="0.00E+00">
                  <c:v>10000000</c:v>
                </c:pt>
                <c:pt idx="1">
                  <c:v>666666666.66666663</c:v>
                </c:pt>
                <c:pt idx="2" formatCode="0.00E+00">
                  <c:v>23999999999999.996</c:v>
                </c:pt>
                <c:pt idx="3" formatCode="General">
                  <c:v>43199999999999.992</c:v>
                </c:pt>
              </c:numCache>
            </c:numRef>
          </c:xVal>
          <c:yVal>
            <c:numRef>
              <c:f>'Cost estimation'!$R$16:$R$19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C-4830-BF6A-57A932AA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29920"/>
        <c:axId val="1202727520"/>
      </c:scatterChart>
      <c:valAx>
        <c:axId val="12027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727520"/>
        <c:crosses val="autoZero"/>
        <c:crossBetween val="midCat"/>
      </c:valAx>
      <c:valAx>
        <c:axId val="1202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7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915612</xdr:colOff>
      <xdr:row>3</xdr:row>
      <xdr:rowOff>335039</xdr:rowOff>
    </xdr:from>
    <xdr:to>
      <xdr:col>3</xdr:col>
      <xdr:colOff>1206254</xdr:colOff>
      <xdr:row>17</xdr:row>
      <xdr:rowOff>105123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65873D16-AB58-38F1-9EC9-8A81B032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1403405</xdr:colOff>
      <xdr:row>15</xdr:row>
      <xdr:rowOff>17973</xdr:rowOff>
    </xdr:from>
    <xdr:to>
      <xdr:col>10</xdr:col>
      <xdr:colOff>470038</xdr:colOff>
      <xdr:row>47</xdr:row>
      <xdr:rowOff>8531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E0D36A-4C2B-7927-A912-593FE32C7289}"/>
            </a:ext>
          </a:extLst>
        </xdr:cNvPr>
        <xdr:cNvSpPr/>
      </xdr:nvSpPr>
      <xdr:spPr>
        <a:xfrm>
          <a:off x="5289605" y="2732598"/>
          <a:ext cx="6124658" cy="57817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1789043</xdr:colOff>
      <xdr:row>19</xdr:row>
      <xdr:rowOff>66260</xdr:rowOff>
    </xdr:from>
    <xdr:to>
      <xdr:col>9</xdr:col>
      <xdr:colOff>96740</xdr:colOff>
      <xdr:row>44</xdr:row>
      <xdr:rowOff>182879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EBEC10F-2A35-A5C7-2A28-7782DD0058D3}"/>
            </a:ext>
          </a:extLst>
        </xdr:cNvPr>
        <xdr:cNvSpPr/>
      </xdr:nvSpPr>
      <xdr:spPr>
        <a:xfrm>
          <a:off x="5671930" y="3591338"/>
          <a:ext cx="4754880" cy="47548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1046920</xdr:colOff>
      <xdr:row>21</xdr:row>
      <xdr:rowOff>53008</xdr:rowOff>
    </xdr:from>
    <xdr:to>
      <xdr:col>6</xdr:col>
      <xdr:colOff>443946</xdr:colOff>
      <xdr:row>26</xdr:row>
      <xdr:rowOff>39756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031FB36-686F-C9EA-248A-46C33A86ABB0}"/>
            </a:ext>
          </a:extLst>
        </xdr:cNvPr>
        <xdr:cNvSpPr/>
      </xdr:nvSpPr>
      <xdr:spPr>
        <a:xfrm>
          <a:off x="7116416" y="3949147"/>
          <a:ext cx="1828800" cy="914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3</xdr:col>
      <xdr:colOff>2173356</xdr:colOff>
      <xdr:row>26</xdr:row>
      <xdr:rowOff>165651</xdr:rowOff>
    </xdr:from>
    <xdr:to>
      <xdr:col>4</xdr:col>
      <xdr:colOff>901147</xdr:colOff>
      <xdr:row>36</xdr:row>
      <xdr:rowOff>139146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CAB0436-EB56-4891-8F93-0C9E80918893}"/>
            </a:ext>
          </a:extLst>
        </xdr:cNvPr>
        <xdr:cNvSpPr/>
      </xdr:nvSpPr>
      <xdr:spPr>
        <a:xfrm rot="5400000">
          <a:off x="5599043" y="5446642"/>
          <a:ext cx="1828800" cy="914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1053547</xdr:colOff>
      <xdr:row>26</xdr:row>
      <xdr:rowOff>132521</xdr:rowOff>
    </xdr:from>
    <xdr:to>
      <xdr:col>6</xdr:col>
      <xdr:colOff>450573</xdr:colOff>
      <xdr:row>31</xdr:row>
      <xdr:rowOff>119269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21A02E4-E9F5-4739-A16C-ED1B42E2AE55}"/>
            </a:ext>
          </a:extLst>
        </xdr:cNvPr>
        <xdr:cNvSpPr/>
      </xdr:nvSpPr>
      <xdr:spPr>
        <a:xfrm>
          <a:off x="7123043" y="4956312"/>
          <a:ext cx="1828800" cy="914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1053546</xdr:colOff>
      <xdr:row>32</xdr:row>
      <xdr:rowOff>72887</xdr:rowOff>
    </xdr:from>
    <xdr:to>
      <xdr:col>6</xdr:col>
      <xdr:colOff>450572</xdr:colOff>
      <xdr:row>37</xdr:row>
      <xdr:rowOff>59635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4DF8F48-A804-4C2C-AC34-9CDF1898302F}"/>
            </a:ext>
          </a:extLst>
        </xdr:cNvPr>
        <xdr:cNvSpPr/>
      </xdr:nvSpPr>
      <xdr:spPr>
        <a:xfrm>
          <a:off x="7123042" y="6009861"/>
          <a:ext cx="1828800" cy="914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1033666</xdr:colOff>
      <xdr:row>38</xdr:row>
      <xdr:rowOff>6626</xdr:rowOff>
    </xdr:from>
    <xdr:to>
      <xdr:col>6</xdr:col>
      <xdr:colOff>430692</xdr:colOff>
      <xdr:row>42</xdr:row>
      <xdr:rowOff>178905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57D2E60-290E-4C91-8DE3-E6A3AE619615}"/>
            </a:ext>
          </a:extLst>
        </xdr:cNvPr>
        <xdr:cNvSpPr/>
      </xdr:nvSpPr>
      <xdr:spPr>
        <a:xfrm>
          <a:off x="7103162" y="7056783"/>
          <a:ext cx="1828800" cy="914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6</xdr:col>
      <xdr:colOff>569841</xdr:colOff>
      <xdr:row>26</xdr:row>
      <xdr:rowOff>152400</xdr:rowOff>
    </xdr:from>
    <xdr:to>
      <xdr:col>8</xdr:col>
      <xdr:colOff>265041</xdr:colOff>
      <xdr:row>36</xdr:row>
      <xdr:rowOff>125895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DBBD377-9EEA-4293-88A2-F75E1A9C8B8F}"/>
            </a:ext>
          </a:extLst>
        </xdr:cNvPr>
        <xdr:cNvSpPr/>
      </xdr:nvSpPr>
      <xdr:spPr>
        <a:xfrm rot="5400000">
          <a:off x="8613911" y="5433391"/>
          <a:ext cx="1828800" cy="914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3</xdr:col>
      <xdr:colOff>1806973</xdr:colOff>
      <xdr:row>17</xdr:row>
      <xdr:rowOff>133534</xdr:rowOff>
    </xdr:from>
    <xdr:to>
      <xdr:col>9</xdr:col>
      <xdr:colOff>114670</xdr:colOff>
      <xdr:row>17</xdr:row>
      <xdr:rowOff>133534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5AA49C2-DA49-E112-CB4E-A4CB4C769A82}"/>
            </a:ext>
          </a:extLst>
        </xdr:cNvPr>
        <xdr:cNvCxnSpPr/>
      </xdr:nvCxnSpPr>
      <xdr:spPr>
        <a:xfrm>
          <a:off x="5697655" y="3181534"/>
          <a:ext cx="475332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1559859</xdr:colOff>
      <xdr:row>16</xdr:row>
      <xdr:rowOff>62753</xdr:rowOff>
    </xdr:from>
    <xdr:to>
      <xdr:col>5</xdr:col>
      <xdr:colOff>537882</xdr:colOff>
      <xdr:row>17</xdr:row>
      <xdr:rowOff>116541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764870-6EFB-47FF-4F89-A0416668FC26}"/>
            </a:ext>
          </a:extLst>
        </xdr:cNvPr>
        <xdr:cNvSpPr txBox="1"/>
      </xdr:nvSpPr>
      <xdr:spPr>
        <a:xfrm>
          <a:off x="7637930" y="2931459"/>
          <a:ext cx="797858" cy="23308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5.2 meters</a:t>
          </a:r>
        </a:p>
      </xdr:txBody>
    </xdr:sp>
    <xdr:clientData/>
  </xdr:twoCellAnchor>
  <xdr:twoCellAnchor>
    <xdr:from>
      <xdr:col>4</xdr:col>
      <xdr:colOff>1039905</xdr:colOff>
      <xdr:row>24</xdr:row>
      <xdr:rowOff>170329</xdr:rowOff>
    </xdr:from>
    <xdr:to>
      <xdr:col>6</xdr:col>
      <xdr:colOff>448235</xdr:colOff>
      <xdr:row>25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0570904-50A3-4EA4-9649-FF5BB05B36B1}"/>
            </a:ext>
          </a:extLst>
        </xdr:cNvPr>
        <xdr:cNvCxnSpPr/>
      </xdr:nvCxnSpPr>
      <xdr:spPr>
        <a:xfrm>
          <a:off x="7117976" y="4473388"/>
          <a:ext cx="1837765" cy="89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1631577</xdr:colOff>
      <xdr:row>23</xdr:row>
      <xdr:rowOff>116540</xdr:rowOff>
    </xdr:from>
    <xdr:to>
      <xdr:col>5</xdr:col>
      <xdr:colOff>528918</xdr:colOff>
      <xdr:row>24</xdr:row>
      <xdr:rowOff>152399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FE14DD0-4E23-495D-BCCA-B84E988020EF}"/>
            </a:ext>
          </a:extLst>
        </xdr:cNvPr>
        <xdr:cNvSpPr txBox="1"/>
      </xdr:nvSpPr>
      <xdr:spPr>
        <a:xfrm>
          <a:off x="7709648" y="4240305"/>
          <a:ext cx="717176" cy="215153"/>
        </a:xfrm>
        <a:prstGeom prst="rect">
          <a:avLst/>
        </a:prstGeom>
        <a:solidFill>
          <a:srgbClr val="FF000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2</a:t>
          </a:r>
          <a:r>
            <a:rPr lang="nl-NL" sz="1100" baseline="0"/>
            <a:t> meters</a:t>
          </a:r>
          <a:endParaRPr lang="nl-NL" sz="1100"/>
        </a:p>
      </xdr:txBody>
    </xdr:sp>
    <xdr:clientData/>
  </xdr:twoCellAnchor>
  <xdr:twoCellAnchor>
    <xdr:from>
      <xdr:col>6</xdr:col>
      <xdr:colOff>26894</xdr:colOff>
      <xdr:row>26</xdr:row>
      <xdr:rowOff>143435</xdr:rowOff>
    </xdr:from>
    <xdr:to>
      <xdr:col>6</xdr:col>
      <xdr:colOff>35859</xdr:colOff>
      <xdr:row>31</xdr:row>
      <xdr:rowOff>62753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96C74CE-005F-4CB9-87EA-072EE59E278E}"/>
            </a:ext>
          </a:extLst>
        </xdr:cNvPr>
        <xdr:cNvCxnSpPr/>
      </xdr:nvCxnSpPr>
      <xdr:spPr>
        <a:xfrm flipH="1">
          <a:off x="8534400" y="4805082"/>
          <a:ext cx="8965" cy="81578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1792941</xdr:colOff>
      <xdr:row>28</xdr:row>
      <xdr:rowOff>89647</xdr:rowOff>
    </xdr:from>
    <xdr:to>
      <xdr:col>5</xdr:col>
      <xdr:colOff>609599</xdr:colOff>
      <xdr:row>29</xdr:row>
      <xdr:rowOff>161365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6388654-8C02-4675-B46F-640819BF27E1}"/>
            </a:ext>
          </a:extLst>
        </xdr:cNvPr>
        <xdr:cNvSpPr txBox="1"/>
      </xdr:nvSpPr>
      <xdr:spPr>
        <a:xfrm>
          <a:off x="7871012" y="5109882"/>
          <a:ext cx="636493" cy="251012"/>
        </a:xfrm>
        <a:prstGeom prst="rect">
          <a:avLst/>
        </a:prstGeom>
        <a:solidFill>
          <a:srgbClr val="FF000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1 meter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per Geijsberts" id="{DCCF3A8D-4273-486C-B81C-7CD9B6F00327}" userId="S::jkgeijsberts@tudelft.nl::4b6578d8-8c61-4f6a-8943-179185049ca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6-13T12:02:39.36" personId="{DCCF3A8D-4273-486C-B81C-7CD9B6F00327}" id="{566162C3-8483-43E6-9138-99F0F5B0AB91}">
    <text>P80 in Understanding GNSS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1" dT="2023-06-15T07:36:08.65" personId="{DCCF3A8D-4273-486C-B81C-7CD9B6F00327}" id="{6D3AC771-0B6F-443D-B179-A8FBC4250DCF}">
    <text>Write in the document that if it turns out our spacecraft mass is lower when built, it might be feasible to use falcon 9 for 1 launch.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3" dT="2023-06-13T14:52:33.82" personId="{DCCF3A8D-4273-486C-B81C-7CD9B6F00327}" id="{B0AB1353-5771-48CA-88D1-A74AAE020B16}" done="1">
    <text>Zandbergen says cable harness is low-cost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R26" dT="2023-06-20T15:14:12.07" personId="{DCCF3A8D-4273-486C-B81C-7CD9B6F00327}" id="{996554BD-9DAD-41A4-BEA0-4894C3BE3B5F}">
    <text xml:space="preserve">https://ember-climate.org/data/data-tools/carbon-price-viewer/
</text>
    <extLst>
      <x:ext xmlns:xltc2="http://schemas.microsoft.com/office/spreadsheetml/2020/threadedcomments2" uri="{F7C98A9C-CBB3-438F-8F68-D28B6AF4A901}">
        <xltc2:checksum>3527328632</xltc2:checksum>
        <xltc2:hyperlink startIndex="0" length="62" url="https://ember-climate.org/data/data-tools/carbon-price-viewer/"/>
      </x:ext>
    </extLst>
  </threadedComment>
  <threadedComment ref="S26" dT="2023-06-21T07:09:45.25" personId="{DCCF3A8D-4273-486C-B81C-7CD9B6F00327}" id="{FCDDC51F-7927-41F6-B6A4-53BE5AC5ECD7}">
    <text>https://www.xe.com/currencyconverter/convert/?Amount=1&amp;From=EUR&amp;To=USD</text>
    <extLst>
      <x:ext xmlns:xltc2="http://schemas.microsoft.com/office/spreadsheetml/2020/threadedcomments2" uri="{F7C98A9C-CBB3-438F-8F68-D28B6AF4A901}">
        <xltc2:checksum>962705876</xltc2:checksum>
        <xltc2:hyperlink startIndex="0" length="70" url="https://www.xe.com/currencyconverter/convert/?Amount=1&amp;From=EUR&amp;To=USD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-sciencedirect-com.tudelft.idm.oclc.org/science/article/pii/S0273117715004767?casa_token=7g-dqlS32OwAAAAA:HFBll5F0rdsTygwicViANuruBO5If62UyTBy-wRyFWlgNSFZfDLCs-DTgglUGX8G8fGrcHncBE8" TargetMode="External"/><Relationship Id="rId13" Type="http://schemas.openxmlformats.org/officeDocument/2006/relationships/hyperlink" Target="https://www.thalesgroup.com/sites/default/files/database/d7/asset/document/TRIS_NSGU-092012.pdf" TargetMode="External"/><Relationship Id="rId3" Type="http://schemas.openxmlformats.org/officeDocument/2006/relationships/hyperlink" Target="https://www.terma.com/media/fpfjapsa/terma-space-power-system-a4-v9-cleaned.pdf" TargetMode="External"/><Relationship Id="rId7" Type="http://schemas.openxmlformats.org/officeDocument/2006/relationships/hyperlink" Target="https://www-sciencedirect-com.tudelft.idm.oclc.org/science/article/pii/S0273117715004767?casa_token=7g-dqlS32OwAAAAA:HFBll5F0rdsTygwicViANuruBO5If62UyTBy-wRyFWlgNSFZfDLCs-DTgglUGX8G8fGrcHncBE8" TargetMode="External"/><Relationship Id="rId12" Type="http://schemas.openxmlformats.org/officeDocument/2006/relationships/hyperlink" Target="https://www.endurosat.com/cubesat-store/cubesat-communication-modules/s-band-transceiver/" TargetMode="External"/><Relationship Id="rId2" Type="http://schemas.openxmlformats.org/officeDocument/2006/relationships/hyperlink" Target="https://www.vectronic-aerospace.com/wp-content/uploads/2020/03/VAS-VST68M-DS2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atnow.com/products/control-moment-gyroscopes/blue-canyon-technologies/43-1186-cmg8" TargetMode="External"/><Relationship Id="rId6" Type="http://schemas.openxmlformats.org/officeDocument/2006/relationships/hyperlink" Target="https://aerospace.honeywell.com/us/en/products-and-services/product/hardware-and-systems/sensors/gg1320an-digital-ring-laser-gyroscope" TargetMode="External"/><Relationship Id="rId11" Type="http://schemas.openxmlformats.org/officeDocument/2006/relationships/hyperlink" Target="https://www-ncbi-nlm-nih-gov.tudelft.idm.oclc.org/pmc/articles/PMC6631366/" TargetMode="External"/><Relationship Id="rId5" Type="http://schemas.openxmlformats.org/officeDocument/2006/relationships/hyperlink" Target="https://satsearch.co/products/bradford-mini-fine-sun-sensor" TargetMode="External"/><Relationship Id="rId15" Type="http://schemas.openxmlformats.org/officeDocument/2006/relationships/hyperlink" Target="https://www.airbus.com/sites/g/files/jlcbta136/files/2021-11/Publication-sce-PP-NAV-CMCU-old.pdf" TargetMode="External"/><Relationship Id="rId10" Type="http://schemas.openxmlformats.org/officeDocument/2006/relationships/hyperlink" Target="https://products.beyondgravity.com/d/SVq1aavsDmtE/library/show/eyJpZCI6MTM5NywidGltZXN0YW1wIjoiMTY4NjY2OTY3OCJ9:beyond-gravity:XhxYPso6HlA66Xalk-rVWbqO-koFKmh3eVIgYHLdeEU" TargetMode="External"/><Relationship Id="rId4" Type="http://schemas.openxmlformats.org/officeDocument/2006/relationships/hyperlink" Target="https://www.google.com/url?sa=t&amp;rct=j&amp;q=&amp;esrc=s&amp;source=web&amp;cd=&amp;cad=rja&amp;uact=8&amp;ved=2ahUKEwjPlo6Yx7P_AhVjgv0HHQfRA8UQFnoECBQQAQ&amp;url=https%3A%2F%2Fwww.nasa.gov%2Fsites%2Fdefault%2Ffiles%2Fatoms%2Ffiles%2Fsoa_2021_0.pdf&amp;usg=AOvVaw0XNKnCY6Jz35vPPj2eY-Py" TargetMode="External"/><Relationship Id="rId9" Type="http://schemas.openxmlformats.org/officeDocument/2006/relationships/hyperlink" Target="https://www.nasa.gov/mission_pages/tdm/clock/index.html" TargetMode="External"/><Relationship Id="rId14" Type="http://schemas.openxmlformats.org/officeDocument/2006/relationships/hyperlink" Target="https://www.kongsberg.com/kmagazine/2014/9/board-galile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ctronic-aerospace.com/wp-content/uploads/2020/03/VAS-VST68M-DS2.pdf" TargetMode="External"/><Relationship Id="rId2" Type="http://schemas.openxmlformats.org/officeDocument/2006/relationships/hyperlink" Target="https://www.terma.com/media/fpfjapsa/terma-space-power-system-a4-v9-cleaned.pdf" TargetMode="External"/><Relationship Id="rId1" Type="http://schemas.openxmlformats.org/officeDocument/2006/relationships/hyperlink" Target="https://satcatalog.s3.amazonaws.com/components/6/SatCatalog_-_Honeywell_-_M50_CMG_-_Datasheet.pdf?lastmod=2021070801202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irbus.com/sites/g/files/jlcbta136/files/2022-02/ScE-AVIONICS-ASTRIX120v3_2022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ps.gov/technical/icwg/IS-GPS-200D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bls.gov/data/inflation_calculator.ht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rand.org/content/dam/rand/pubs/technical_reports/2008/RAND_TR418.pdf" TargetMode="External"/><Relationship Id="rId1" Type="http://schemas.openxmlformats.org/officeDocument/2006/relationships/hyperlink" Target="https://www.nrel.gov/docs/fy19osti/72103.pdf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E04F-A9A9-48A5-87BF-ED53C6D5E54A}">
  <sheetPr codeName="Sheet1"/>
  <dimension ref="A1:P104"/>
  <sheetViews>
    <sheetView tabSelected="1" topLeftCell="A7" zoomScaleNormal="100" workbookViewId="0">
      <selection activeCell="B10" sqref="B10"/>
    </sheetView>
  </sheetViews>
  <sheetFormatPr defaultRowHeight="15" customHeight="1"/>
  <cols>
    <col min="1" max="1" width="26.109375" customWidth="1"/>
    <col min="2" max="2" width="40.33203125" bestFit="1" customWidth="1"/>
    <col min="3" max="3" width="24.88671875" customWidth="1"/>
    <col min="4" max="8" width="26.109375" customWidth="1"/>
    <col min="9" max="9" width="10" bestFit="1" customWidth="1"/>
    <col min="10" max="10" width="14.6640625" bestFit="1" customWidth="1"/>
    <col min="11" max="11" width="15.33203125" bestFit="1" customWidth="1"/>
    <col min="12" max="12" width="30.44140625" bestFit="1" customWidth="1"/>
    <col min="13" max="13" width="4.6640625" bestFit="1" customWidth="1"/>
    <col min="14" max="14" width="29.6640625" customWidth="1"/>
    <col min="15" max="15" width="52.6640625" style="13" customWidth="1"/>
    <col min="16" max="16" width="26.109375" customWidth="1"/>
  </cols>
  <sheetData>
    <row r="1" spans="1:16" ht="15" customHeight="1">
      <c r="A1" s="30" t="s">
        <v>0</v>
      </c>
      <c r="E1" s="31">
        <f>SUM(E6:E39)</f>
        <v>913.93425339719988</v>
      </c>
      <c r="F1" s="31">
        <f>SUM(F6:F39)</f>
        <v>0.62720935083180385</v>
      </c>
      <c r="G1" s="31">
        <f>SUM(G6:G32)</f>
        <v>0.46920814292992291</v>
      </c>
      <c r="H1" s="31"/>
      <c r="I1" s="32"/>
      <c r="J1" s="31">
        <f>SUM(J6:J39)</f>
        <v>1963.3931974299999</v>
      </c>
      <c r="N1">
        <f>F1^(1/3)</f>
        <v>0.85599423837350963</v>
      </c>
    </row>
    <row r="2" spans="1:16" ht="15" customHeight="1">
      <c r="A2" s="30"/>
      <c r="D2" t="s">
        <v>1</v>
      </c>
      <c r="E2" s="31">
        <f>E1-E20</f>
        <v>669.93425339719988</v>
      </c>
      <c r="F2" s="31"/>
      <c r="G2" s="31"/>
      <c r="H2" s="31"/>
      <c r="I2" s="32"/>
      <c r="J2" s="31"/>
    </row>
    <row r="3" spans="1:16" ht="15" customHeight="1">
      <c r="D3" t="s">
        <v>2</v>
      </c>
      <c r="E3" s="31">
        <f>E2*1.2</f>
        <v>803.92110407663984</v>
      </c>
      <c r="G3">
        <f>G1*1.2</f>
        <v>0.56304977151590752</v>
      </c>
    </row>
    <row r="4" spans="1:16" ht="15" customHeight="1" thickBot="1">
      <c r="D4" t="s">
        <v>3</v>
      </c>
      <c r="E4" s="31">
        <f>E3+E20</f>
        <v>1047.9211040766399</v>
      </c>
    </row>
    <row r="5" spans="1:16" ht="14.4">
      <c r="A5" s="16" t="s">
        <v>4</v>
      </c>
      <c r="B5" s="17" t="s">
        <v>5</v>
      </c>
      <c r="C5" s="17" t="s">
        <v>6</v>
      </c>
      <c r="D5" s="17" t="s">
        <v>7</v>
      </c>
      <c r="E5" s="17" t="s">
        <v>8</v>
      </c>
      <c r="F5" s="17" t="s">
        <v>9</v>
      </c>
      <c r="G5" s="17" t="s">
        <v>10</v>
      </c>
      <c r="H5" s="17" t="s">
        <v>11</v>
      </c>
      <c r="I5" s="17" t="s">
        <v>12</v>
      </c>
      <c r="J5" s="17" t="s">
        <v>13</v>
      </c>
      <c r="K5" s="17" t="s">
        <v>14</v>
      </c>
      <c r="L5" s="17" t="s">
        <v>15</v>
      </c>
      <c r="M5" s="17" t="s">
        <v>16</v>
      </c>
      <c r="N5" s="17" t="s">
        <v>17</v>
      </c>
      <c r="O5" s="18" t="s">
        <v>18</v>
      </c>
      <c r="P5" s="19" t="s">
        <v>19</v>
      </c>
    </row>
    <row r="6" spans="1:16" ht="28.8">
      <c r="A6" s="45" t="s">
        <v>20</v>
      </c>
      <c r="B6" s="40" t="s">
        <v>21</v>
      </c>
      <c r="C6">
        <v>2</v>
      </c>
      <c r="D6">
        <v>10</v>
      </c>
      <c r="E6">
        <f t="shared" ref="E6:E12" si="0">C6*D6</f>
        <v>20</v>
      </c>
      <c r="F6">
        <f>0.22*0.22*0.3</f>
        <v>1.4519999999999998E-2</v>
      </c>
      <c r="G6">
        <f>F6*C6</f>
        <v>2.9039999999999996E-2</v>
      </c>
      <c r="H6">
        <f t="shared" ref="H6:H25" si="1">D6/F6</f>
        <v>688.70523415977971</v>
      </c>
      <c r="I6">
        <v>35</v>
      </c>
      <c r="J6">
        <f t="shared" ref="J6:J12" si="2">I6*C6</f>
        <v>70</v>
      </c>
      <c r="K6" s="195" t="s">
        <v>346</v>
      </c>
      <c r="N6" t="s">
        <v>22</v>
      </c>
      <c r="O6" s="14" t="s">
        <v>23</v>
      </c>
      <c r="P6" s="21"/>
    </row>
    <row r="7" spans="1:16" ht="43.2">
      <c r="A7" s="45" t="s">
        <v>20</v>
      </c>
      <c r="B7" s="44" t="s">
        <v>24</v>
      </c>
      <c r="C7" s="2">
        <v>4</v>
      </c>
      <c r="D7">
        <v>0.47</v>
      </c>
      <c r="E7">
        <f t="shared" si="0"/>
        <v>1.88</v>
      </c>
      <c r="F7">
        <v>4.9680000000000004E-4</v>
      </c>
      <c r="H7">
        <f t="shared" si="1"/>
        <v>946.05475040257636</v>
      </c>
      <c r="I7">
        <v>3</v>
      </c>
      <c r="J7">
        <f t="shared" si="2"/>
        <v>12</v>
      </c>
      <c r="K7" s="196" t="s">
        <v>354</v>
      </c>
      <c r="L7" t="s">
        <v>26</v>
      </c>
      <c r="N7" t="s">
        <v>27</v>
      </c>
      <c r="O7" s="14" t="s">
        <v>28</v>
      </c>
      <c r="P7" s="39" t="s">
        <v>29</v>
      </c>
    </row>
    <row r="8" spans="1:16" ht="43.2">
      <c r="A8" s="36" t="s">
        <v>20</v>
      </c>
      <c r="B8" s="44" t="s">
        <v>30</v>
      </c>
      <c r="C8" s="2">
        <v>15</v>
      </c>
      <c r="D8">
        <v>0.05</v>
      </c>
      <c r="E8">
        <f t="shared" si="0"/>
        <v>0.75</v>
      </c>
      <c r="F8">
        <f>0.05*0.046*0.017</f>
        <v>3.9100000000000002E-5</v>
      </c>
      <c r="H8">
        <f t="shared" si="1"/>
        <v>1278.772378516624</v>
      </c>
      <c r="I8">
        <v>0</v>
      </c>
      <c r="J8">
        <f t="shared" si="2"/>
        <v>0</v>
      </c>
      <c r="K8" s="197" t="s">
        <v>347</v>
      </c>
      <c r="L8" t="s">
        <v>31</v>
      </c>
      <c r="N8" t="s">
        <v>32</v>
      </c>
      <c r="O8" s="14" t="s">
        <v>33</v>
      </c>
      <c r="P8" s="39" t="s">
        <v>34</v>
      </c>
    </row>
    <row r="9" spans="1:16" ht="57.6">
      <c r="A9" s="45" t="s">
        <v>20</v>
      </c>
      <c r="B9" s="43" t="s">
        <v>35</v>
      </c>
      <c r="C9" s="2">
        <v>4</v>
      </c>
      <c r="D9">
        <v>0.45400000000000001</v>
      </c>
      <c r="E9">
        <f t="shared" si="0"/>
        <v>1.8160000000000001</v>
      </c>
      <c r="F9">
        <f>PI()*0.088^2/4*0.045</f>
        <v>2.7369555198074276E-4</v>
      </c>
      <c r="G9">
        <f t="shared" ref="G9:G32" si="3">F9*C9</f>
        <v>1.094782207922971E-3</v>
      </c>
      <c r="H9">
        <f t="shared" si="1"/>
        <v>1658.7774142268249</v>
      </c>
      <c r="I9">
        <v>0.47</v>
      </c>
      <c r="J9">
        <f t="shared" si="2"/>
        <v>1.88</v>
      </c>
      <c r="K9" s="197">
        <v>15</v>
      </c>
      <c r="L9" t="s">
        <v>36</v>
      </c>
      <c r="N9" t="s">
        <v>37</v>
      </c>
      <c r="O9" s="14" t="s">
        <v>38</v>
      </c>
      <c r="P9" s="39" t="s">
        <v>39</v>
      </c>
    </row>
    <row r="10" spans="1:16" ht="57.6">
      <c r="A10" s="45" t="s">
        <v>40</v>
      </c>
      <c r="B10" s="43" t="s">
        <v>41</v>
      </c>
      <c r="C10" s="2">
        <v>1</v>
      </c>
      <c r="D10">
        <v>9</v>
      </c>
      <c r="E10">
        <f t="shared" si="0"/>
        <v>9</v>
      </c>
      <c r="F10">
        <v>1.8628191999999998E-2</v>
      </c>
      <c r="G10">
        <f t="shared" si="3"/>
        <v>1.8628191999999998E-2</v>
      </c>
      <c r="H10">
        <f t="shared" si="1"/>
        <v>483.13867497178472</v>
      </c>
      <c r="I10">
        <v>38</v>
      </c>
      <c r="J10">
        <f t="shared" si="2"/>
        <v>38</v>
      </c>
      <c r="K10" s="195" t="s">
        <v>353</v>
      </c>
      <c r="O10" s="14" t="s">
        <v>42</v>
      </c>
      <c r="P10" s="21"/>
    </row>
    <row r="11" spans="1:16" ht="28.8">
      <c r="A11" s="45" t="s">
        <v>43</v>
      </c>
      <c r="B11" s="40" t="s">
        <v>44</v>
      </c>
      <c r="C11" s="2">
        <v>1</v>
      </c>
      <c r="D11">
        <v>18.2</v>
      </c>
      <c r="E11">
        <f t="shared" si="0"/>
        <v>18.2</v>
      </c>
      <c r="F11">
        <v>4.4999999999999998E-2</v>
      </c>
      <c r="G11">
        <f t="shared" si="3"/>
        <v>4.4999999999999998E-2</v>
      </c>
      <c r="H11">
        <f t="shared" si="1"/>
        <v>404.44444444444446</v>
      </c>
      <c r="I11">
        <v>0</v>
      </c>
      <c r="J11">
        <f t="shared" si="2"/>
        <v>0</v>
      </c>
      <c r="K11" s="196" t="s">
        <v>52</v>
      </c>
      <c r="N11" t="s">
        <v>45</v>
      </c>
      <c r="O11" s="14" t="s">
        <v>46</v>
      </c>
      <c r="P11" s="21" t="s">
        <v>47</v>
      </c>
    </row>
    <row r="12" spans="1:16" ht="72">
      <c r="A12" s="36" t="s">
        <v>43</v>
      </c>
      <c r="B12" s="47" t="s">
        <v>48</v>
      </c>
      <c r="C12">
        <v>1</v>
      </c>
      <c r="D12">
        <v>100</v>
      </c>
      <c r="E12">
        <f t="shared" si="0"/>
        <v>100</v>
      </c>
      <c r="F12">
        <f>3.14*10^(-6)*N12</f>
        <v>6.2799999999999995E-2</v>
      </c>
      <c r="G12">
        <f t="shared" si="3"/>
        <v>6.2799999999999995E-2</v>
      </c>
      <c r="H12">
        <f t="shared" si="1"/>
        <v>1592.3566878980894</v>
      </c>
      <c r="J12">
        <f t="shared" si="2"/>
        <v>0</v>
      </c>
      <c r="K12" t="s">
        <v>348</v>
      </c>
      <c r="N12">
        <v>20000</v>
      </c>
      <c r="O12" s="14" t="s">
        <v>49</v>
      </c>
      <c r="P12" s="21" t="s">
        <v>50</v>
      </c>
    </row>
    <row r="13" spans="1:16" ht="14.4">
      <c r="A13" s="45" t="s">
        <v>43</v>
      </c>
      <c r="B13" s="40" t="s">
        <v>51</v>
      </c>
      <c r="C13">
        <v>1</v>
      </c>
      <c r="D13">
        <v>48</v>
      </c>
      <c r="E13">
        <f>D13*C13</f>
        <v>48</v>
      </c>
      <c r="F13">
        <v>1.6E-2</v>
      </c>
      <c r="G13">
        <f t="shared" si="3"/>
        <v>1.6E-2</v>
      </c>
      <c r="H13">
        <f t="shared" si="1"/>
        <v>3000</v>
      </c>
      <c r="I13" t="s">
        <v>52</v>
      </c>
      <c r="J13">
        <v>0</v>
      </c>
      <c r="K13" s="196" t="s">
        <v>349</v>
      </c>
      <c r="P13" s="21" t="s">
        <v>53</v>
      </c>
    </row>
    <row r="14" spans="1:16" ht="14.4">
      <c r="A14" s="45" t="s">
        <v>43</v>
      </c>
      <c r="B14" s="40" t="s">
        <v>54</v>
      </c>
      <c r="C14">
        <v>1</v>
      </c>
      <c r="D14">
        <v>29.64</v>
      </c>
      <c r="E14">
        <f>C14*D14</f>
        <v>29.64</v>
      </c>
      <c r="F14">
        <v>7.6E-3</v>
      </c>
      <c r="G14">
        <f t="shared" si="3"/>
        <v>7.6E-3</v>
      </c>
      <c r="H14">
        <f t="shared" si="1"/>
        <v>3900</v>
      </c>
      <c r="I14">
        <v>0</v>
      </c>
      <c r="J14">
        <f>I14*C14</f>
        <v>0</v>
      </c>
      <c r="K14" s="196" t="s">
        <v>349</v>
      </c>
      <c r="P14" s="21" t="s">
        <v>55</v>
      </c>
    </row>
    <row r="15" spans="1:16" ht="12.75" customHeight="1">
      <c r="A15" s="45" t="s">
        <v>43</v>
      </c>
      <c r="B15" s="46" t="s">
        <v>56</v>
      </c>
      <c r="C15">
        <v>2</v>
      </c>
      <c r="D15">
        <f>4*6.84155/2</f>
        <v>13.6831</v>
      </c>
      <c r="E15">
        <f>C15*D15</f>
        <v>27.366199999999999</v>
      </c>
      <c r="F15" t="s">
        <v>52</v>
      </c>
      <c r="H15" t="e">
        <f t="shared" si="1"/>
        <v>#VALUE!</v>
      </c>
      <c r="I15" t="s">
        <v>52</v>
      </c>
      <c r="J15" t="s">
        <v>52</v>
      </c>
      <c r="K15" s="196" t="s">
        <v>52</v>
      </c>
      <c r="N15" t="s">
        <v>57</v>
      </c>
      <c r="P15" t="s">
        <v>58</v>
      </c>
    </row>
    <row r="16" spans="1:16" ht="28.8">
      <c r="A16" s="45" t="s">
        <v>59</v>
      </c>
      <c r="B16" s="43" t="s">
        <v>60</v>
      </c>
      <c r="C16" s="2">
        <v>1</v>
      </c>
      <c r="D16">
        <v>12</v>
      </c>
      <c r="E16">
        <f>C16*D16</f>
        <v>12</v>
      </c>
      <c r="F16">
        <v>2.4E-2</v>
      </c>
      <c r="G16">
        <f t="shared" si="3"/>
        <v>2.4E-2</v>
      </c>
      <c r="H16">
        <f t="shared" si="1"/>
        <v>500</v>
      </c>
      <c r="I16">
        <v>35</v>
      </c>
      <c r="J16">
        <f>I16*C16</f>
        <v>35</v>
      </c>
      <c r="K16">
        <v>50</v>
      </c>
      <c r="L16" t="s">
        <v>61</v>
      </c>
      <c r="M16" t="s">
        <v>52</v>
      </c>
      <c r="N16" t="s">
        <v>62</v>
      </c>
      <c r="O16" s="14" t="s">
        <v>63</v>
      </c>
      <c r="P16" s="21" t="s">
        <v>64</v>
      </c>
    </row>
    <row r="17" spans="1:16" ht="28.8">
      <c r="A17" s="45" t="s">
        <v>59</v>
      </c>
      <c r="B17" s="43" t="s">
        <v>65</v>
      </c>
      <c r="C17" s="2">
        <v>1</v>
      </c>
      <c r="D17">
        <v>7.6</v>
      </c>
      <c r="E17">
        <f>D17*C17</f>
        <v>7.6</v>
      </c>
      <c r="F17">
        <v>8.8000000000000005E-3</v>
      </c>
      <c r="G17">
        <f t="shared" si="3"/>
        <v>8.8000000000000005E-3</v>
      </c>
      <c r="H17">
        <f t="shared" si="1"/>
        <v>863.63636363636351</v>
      </c>
      <c r="I17">
        <v>22</v>
      </c>
      <c r="J17">
        <f>I17*C17</f>
        <v>22</v>
      </c>
      <c r="K17" s="195">
        <v>24</v>
      </c>
      <c r="L17" t="s">
        <v>52</v>
      </c>
      <c r="M17" t="s">
        <v>52</v>
      </c>
      <c r="N17" t="s">
        <v>66</v>
      </c>
      <c r="O17" s="14" t="s">
        <v>67</v>
      </c>
      <c r="P17" s="21" t="s">
        <v>64</v>
      </c>
    </row>
    <row r="18" spans="1:16" ht="28.8">
      <c r="A18" s="45" t="s">
        <v>59</v>
      </c>
      <c r="B18" s="43" t="s">
        <v>68</v>
      </c>
      <c r="C18" s="2">
        <v>1</v>
      </c>
      <c r="D18">
        <v>5.2</v>
      </c>
      <c r="E18">
        <f>C18*D18</f>
        <v>5.2</v>
      </c>
      <c r="F18">
        <v>7.9900000000000006E-3</v>
      </c>
      <c r="G18">
        <f t="shared" si="3"/>
        <v>7.9900000000000006E-3</v>
      </c>
      <c r="H18">
        <f t="shared" si="1"/>
        <v>650.81351689612018</v>
      </c>
      <c r="I18">
        <v>21</v>
      </c>
      <c r="J18">
        <f>I18*C18</f>
        <v>21</v>
      </c>
      <c r="K18" s="196">
        <v>24</v>
      </c>
      <c r="L18" t="s">
        <v>69</v>
      </c>
      <c r="M18" t="s">
        <v>52</v>
      </c>
      <c r="N18" t="s">
        <v>70</v>
      </c>
      <c r="O18" s="14" t="s">
        <v>71</v>
      </c>
      <c r="P18" s="21" t="s">
        <v>64</v>
      </c>
    </row>
    <row r="19" spans="1:16" ht="14.4">
      <c r="A19" s="45" t="s">
        <v>59</v>
      </c>
      <c r="B19" s="43" t="s">
        <v>72</v>
      </c>
      <c r="C19" s="2">
        <v>3</v>
      </c>
      <c r="D19">
        <v>15.9</v>
      </c>
      <c r="E19">
        <f>C19*D19</f>
        <v>47.7</v>
      </c>
      <c r="F19">
        <v>1.89E-2</v>
      </c>
      <c r="G19">
        <f t="shared" si="3"/>
        <v>5.67E-2</v>
      </c>
      <c r="H19">
        <f t="shared" si="1"/>
        <v>841.26984126984132</v>
      </c>
      <c r="I19">
        <v>44</v>
      </c>
      <c r="J19">
        <f>I19*C19</f>
        <v>132</v>
      </c>
      <c r="K19" s="196" t="s">
        <v>350</v>
      </c>
      <c r="L19" t="s">
        <v>52</v>
      </c>
      <c r="M19" t="s">
        <v>52</v>
      </c>
      <c r="N19" t="s">
        <v>73</v>
      </c>
      <c r="O19" s="14" t="s">
        <v>74</v>
      </c>
      <c r="P19" s="39" t="s">
        <v>75</v>
      </c>
    </row>
    <row r="20" spans="1:16" ht="14.4">
      <c r="A20" s="37" t="s">
        <v>76</v>
      </c>
      <c r="B20" s="42" t="s">
        <v>77</v>
      </c>
      <c r="C20" s="2">
        <v>1</v>
      </c>
      <c r="D20">
        <v>244</v>
      </c>
      <c r="E20" s="34">
        <f>C20*D20</f>
        <v>244</v>
      </c>
      <c r="F20">
        <f>D20/(1.47*1000)</f>
        <v>0.16598639455782313</v>
      </c>
      <c r="H20">
        <f t="shared" si="1"/>
        <v>1470</v>
      </c>
      <c r="K20" t="s">
        <v>52</v>
      </c>
      <c r="P20" s="21"/>
    </row>
    <row r="21" spans="1:16" ht="14.4">
      <c r="A21" s="45" t="s">
        <v>76</v>
      </c>
      <c r="B21" s="44" t="s">
        <v>78</v>
      </c>
      <c r="C21" s="2">
        <v>12</v>
      </c>
      <c r="D21">
        <v>0.28999999999999998</v>
      </c>
      <c r="E21">
        <f>C21*D21</f>
        <v>3.4799999999999995</v>
      </c>
      <c r="F21" t="s">
        <v>52</v>
      </c>
      <c r="H21" t="e">
        <f t="shared" si="1"/>
        <v>#VALUE!</v>
      </c>
      <c r="I21">
        <v>22.4</v>
      </c>
      <c r="J21">
        <f>I21*C21</f>
        <v>268.79999999999995</v>
      </c>
      <c r="K21" s="195" t="s">
        <v>353</v>
      </c>
      <c r="P21" s="21"/>
    </row>
    <row r="22" spans="1:16" ht="14.4">
      <c r="A22" s="45" t="s">
        <v>76</v>
      </c>
      <c r="B22" s="44" t="s">
        <v>79</v>
      </c>
      <c r="C22" s="2">
        <v>2</v>
      </c>
      <c r="D22">
        <v>0.59</v>
      </c>
      <c r="E22">
        <f>C22*D22</f>
        <v>1.18</v>
      </c>
      <c r="H22" t="e">
        <f t="shared" si="1"/>
        <v>#DIV/0!</v>
      </c>
      <c r="I22">
        <v>52.9</v>
      </c>
      <c r="J22">
        <f>I22*C22</f>
        <v>105.8</v>
      </c>
      <c r="K22" s="195" t="s">
        <v>353</v>
      </c>
      <c r="P22" s="21"/>
    </row>
    <row r="23" spans="1:16" ht="14.4">
      <c r="A23" s="37" t="s">
        <v>76</v>
      </c>
      <c r="B23" s="48" t="s">
        <v>80</v>
      </c>
      <c r="C23" s="2">
        <v>1</v>
      </c>
      <c r="D23">
        <v>4.4000000000000004</v>
      </c>
      <c r="E23">
        <v>4.4000000000000004</v>
      </c>
      <c r="H23" t="e">
        <f t="shared" si="1"/>
        <v>#DIV/0!</v>
      </c>
      <c r="K23" s="170" t="s">
        <v>351</v>
      </c>
      <c r="O23" s="13" t="s">
        <v>81</v>
      </c>
      <c r="P23" s="21"/>
    </row>
    <row r="24" spans="1:16" ht="14.4">
      <c r="A24" s="45" t="s">
        <v>82</v>
      </c>
      <c r="B24" s="40" t="s">
        <v>83</v>
      </c>
      <c r="C24">
        <v>1</v>
      </c>
      <c r="D24">
        <v>14.87</v>
      </c>
      <c r="E24" s="33">
        <f t="shared" ref="E24:E32" si="4">C24*D24</f>
        <v>14.87</v>
      </c>
      <c r="F24">
        <v>0.183</v>
      </c>
      <c r="G24">
        <f>F24*C24</f>
        <v>0.183</v>
      </c>
      <c r="H24">
        <f t="shared" si="1"/>
        <v>81.256830601092901</v>
      </c>
      <c r="I24" t="s">
        <v>52</v>
      </c>
      <c r="J24" t="s">
        <v>52</v>
      </c>
      <c r="K24" t="s">
        <v>52</v>
      </c>
      <c r="L24" s="35"/>
      <c r="N24" t="s">
        <v>84</v>
      </c>
      <c r="P24" s="21"/>
    </row>
    <row r="25" spans="1:16" ht="14.4">
      <c r="A25" s="45" t="s">
        <v>82</v>
      </c>
      <c r="B25" s="44" t="s">
        <v>85</v>
      </c>
      <c r="C25" s="2">
        <v>1</v>
      </c>
      <c r="D25">
        <v>3</v>
      </c>
      <c r="E25" s="33">
        <f t="shared" si="4"/>
        <v>3</v>
      </c>
      <c r="F25" t="s">
        <v>52</v>
      </c>
      <c r="H25" t="e">
        <f t="shared" si="1"/>
        <v>#VALUE!</v>
      </c>
      <c r="K25" t="s">
        <v>52</v>
      </c>
      <c r="P25" s="21"/>
    </row>
    <row r="26" spans="1:16" ht="14.4">
      <c r="A26" s="37" t="s">
        <v>82</v>
      </c>
      <c r="B26" s="48" t="s">
        <v>86</v>
      </c>
      <c r="C26" s="2">
        <v>1</v>
      </c>
      <c r="D26">
        <v>10</v>
      </c>
      <c r="E26">
        <f t="shared" si="4"/>
        <v>10</v>
      </c>
      <c r="K26" s="47" t="s">
        <v>352</v>
      </c>
      <c r="P26" s="21"/>
    </row>
    <row r="27" spans="1:16" ht="14.4">
      <c r="A27" s="45" t="s">
        <v>82</v>
      </c>
      <c r="B27" s="48" t="s">
        <v>87</v>
      </c>
      <c r="C27" s="2">
        <v>1</v>
      </c>
      <c r="D27" s="49">
        <v>235.2</v>
      </c>
      <c r="E27">
        <f t="shared" si="4"/>
        <v>235.2</v>
      </c>
      <c r="K27" t="s">
        <v>52</v>
      </c>
      <c r="P27" s="21"/>
    </row>
    <row r="28" spans="1:16" ht="14.4">
      <c r="A28" s="45" t="s">
        <v>82</v>
      </c>
      <c r="B28" s="48" t="s">
        <v>88</v>
      </c>
      <c r="C28" s="2">
        <v>1</v>
      </c>
      <c r="D28" s="49">
        <v>10</v>
      </c>
      <c r="E28">
        <f>C28*D28</f>
        <v>10</v>
      </c>
      <c r="K28" t="s">
        <v>52</v>
      </c>
      <c r="P28" s="21"/>
    </row>
    <row r="29" spans="1:16" ht="28.8">
      <c r="A29" s="45" t="s">
        <v>89</v>
      </c>
      <c r="B29" s="44" t="s">
        <v>90</v>
      </c>
      <c r="C29" s="2">
        <v>4</v>
      </c>
      <c r="D29">
        <v>0.62780084930000002</v>
      </c>
      <c r="E29">
        <f t="shared" si="4"/>
        <v>2.5112033972000001</v>
      </c>
      <c r="F29" s="13">
        <f>200*10^(-3)*200*10^(-3)*5*10^(-3)</f>
        <v>2.0000000000000001E-4</v>
      </c>
      <c r="G29">
        <f>F29*C29</f>
        <v>8.0000000000000004E-4</v>
      </c>
      <c r="H29">
        <f>D29/F29</f>
        <v>3139.0042465000001</v>
      </c>
      <c r="I29">
        <v>13.3053341</v>
      </c>
      <c r="J29">
        <f>I29*C29</f>
        <v>53.221336399999998</v>
      </c>
      <c r="K29" s="170" t="s">
        <v>94</v>
      </c>
      <c r="N29" t="s">
        <v>91</v>
      </c>
      <c r="O29" s="14" t="s">
        <v>92</v>
      </c>
      <c r="P29" s="21"/>
    </row>
    <row r="30" spans="1:16" ht="28.8">
      <c r="A30" s="45" t="s">
        <v>89</v>
      </c>
      <c r="B30" s="44" t="s">
        <v>93</v>
      </c>
      <c r="C30" s="2">
        <v>1</v>
      </c>
      <c r="D30">
        <v>0.19084999999999999</v>
      </c>
      <c r="E30">
        <f t="shared" si="4"/>
        <v>0.19084999999999999</v>
      </c>
      <c r="F30">
        <f>93.8*89.3*23.3*10^-9</f>
        <v>1.9516872200000003E-4</v>
      </c>
      <c r="G30">
        <f>F30*C30</f>
        <v>1.9516872200000003E-4</v>
      </c>
      <c r="H30">
        <f>D30/F30</f>
        <v>977.87185387215868</v>
      </c>
      <c r="I30">
        <v>1.995262315</v>
      </c>
      <c r="J30">
        <f>I30*C30</f>
        <v>1.995262315</v>
      </c>
      <c r="K30" s="170" t="s">
        <v>94</v>
      </c>
      <c r="N30" t="s">
        <v>95</v>
      </c>
      <c r="O30" s="14" t="s">
        <v>96</v>
      </c>
      <c r="P30" s="21"/>
    </row>
    <row r="31" spans="1:16" ht="72">
      <c r="A31" s="45" t="s">
        <v>97</v>
      </c>
      <c r="B31" s="44" t="s">
        <v>98</v>
      </c>
      <c r="C31" s="2">
        <v>1</v>
      </c>
      <c r="D31">
        <v>4</v>
      </c>
      <c r="E31">
        <f t="shared" si="4"/>
        <v>4</v>
      </c>
      <c r="F31">
        <v>3.7799999999999999E-3</v>
      </c>
      <c r="G31">
        <f t="shared" si="3"/>
        <v>3.7799999999999999E-3</v>
      </c>
      <c r="H31">
        <f>D31/F31</f>
        <v>1058.2010582010582</v>
      </c>
      <c r="I31">
        <v>20</v>
      </c>
      <c r="J31">
        <f>I31*C31</f>
        <v>20</v>
      </c>
      <c r="K31" s="170" t="s">
        <v>94</v>
      </c>
      <c r="N31" t="s">
        <v>99</v>
      </c>
      <c r="O31" s="14" t="s">
        <v>100</v>
      </c>
      <c r="P31" s="21"/>
    </row>
    <row r="32" spans="1:16" ht="72">
      <c r="A32" s="45" t="s">
        <v>97</v>
      </c>
      <c r="B32" s="44" t="s">
        <v>101</v>
      </c>
      <c r="C32" s="2">
        <v>1</v>
      </c>
      <c r="D32" s="30">
        <v>4</v>
      </c>
      <c r="E32" s="30">
        <f t="shared" si="4"/>
        <v>4</v>
      </c>
      <c r="F32" s="30">
        <v>3.7799999999999999E-3</v>
      </c>
      <c r="G32" s="30">
        <f t="shared" si="3"/>
        <v>3.7799999999999999E-3</v>
      </c>
      <c r="H32" s="30">
        <f>D32/F32</f>
        <v>1058.2010582010582</v>
      </c>
      <c r="I32" s="30">
        <v>20</v>
      </c>
      <c r="J32" s="30">
        <f>C32*I32</f>
        <v>20</v>
      </c>
      <c r="K32" s="194" t="s">
        <v>94</v>
      </c>
      <c r="L32" s="30"/>
      <c r="M32" s="30"/>
      <c r="N32" s="30" t="s">
        <v>99</v>
      </c>
      <c r="O32" s="14" t="s">
        <v>100</v>
      </c>
      <c r="P32" s="21"/>
    </row>
    <row r="33" spans="1:16" ht="14.4">
      <c r="A33" s="20" t="s">
        <v>102</v>
      </c>
      <c r="B33" t="s">
        <v>103</v>
      </c>
      <c r="C33">
        <v>1</v>
      </c>
      <c r="D33">
        <v>11.85</v>
      </c>
      <c r="E33">
        <f>D33*C33</f>
        <v>11.85</v>
      </c>
      <c r="I33">
        <v>30</v>
      </c>
      <c r="J33">
        <v>30</v>
      </c>
      <c r="K33" s="170">
        <v>12</v>
      </c>
      <c r="N33" t="s">
        <v>104</v>
      </c>
      <c r="P33" s="21"/>
    </row>
    <row r="34" spans="1:16" ht="14.4">
      <c r="A34" s="20" t="s">
        <v>102</v>
      </c>
      <c r="B34" t="s">
        <v>105</v>
      </c>
      <c r="C34">
        <v>22</v>
      </c>
      <c r="D34">
        <v>0.05</v>
      </c>
      <c r="E34" s="32">
        <f>C34*D34</f>
        <v>1.1000000000000001</v>
      </c>
      <c r="J34">
        <v>300</v>
      </c>
      <c r="K34" s="195">
        <v>28</v>
      </c>
      <c r="P34" s="21"/>
    </row>
    <row r="35" spans="1:16" ht="14.4">
      <c r="A35" s="20" t="s">
        <v>102</v>
      </c>
      <c r="B35" t="s">
        <v>106</v>
      </c>
      <c r="C35" s="2">
        <v>1</v>
      </c>
      <c r="D35">
        <v>35</v>
      </c>
      <c r="E35" s="32">
        <v>35</v>
      </c>
      <c r="F35">
        <v>4.5220000000000003E-2</v>
      </c>
      <c r="I35">
        <v>0</v>
      </c>
      <c r="K35" t="s">
        <v>52</v>
      </c>
      <c r="P35" s="21"/>
    </row>
    <row r="36" spans="1:16" ht="14.4">
      <c r="C36">
        <f>SUM(C6:C35)-SUM(C21,C22,C25,C23,C26,C28,C27,C12,C8,C24,C34)-3</f>
        <v>29</v>
      </c>
      <c r="J36">
        <f>SUM(J6:J34)-300</f>
        <v>831.69659871499994</v>
      </c>
      <c r="P36" s="21"/>
    </row>
    <row r="37" spans="1:16" ht="14.4">
      <c r="A37" s="20"/>
      <c r="P37" s="21"/>
    </row>
    <row r="38" spans="1:16" ht="14.4">
      <c r="A38" s="20"/>
      <c r="C38">
        <f>C6+C9+C10+C11+C13+C14+C15+SUM(C16:C20)+C24+1+C30+C31+C32+C33+C35</f>
        <v>26</v>
      </c>
      <c r="P38" s="21"/>
    </row>
    <row r="39" spans="1:16" ht="14.4">
      <c r="A39" s="20"/>
      <c r="P39" s="21"/>
    </row>
    <row r="40" spans="1:16" ht="14.4">
      <c r="A40" s="20"/>
      <c r="P40" s="21"/>
    </row>
    <row r="41" spans="1:16" ht="14.4">
      <c r="A41" s="20"/>
      <c r="P41" s="21"/>
    </row>
    <row r="42" spans="1:16" ht="14.4">
      <c r="A42" s="20"/>
      <c r="P42" s="21"/>
    </row>
    <row r="43" spans="1:16" ht="14.4">
      <c r="A43" s="20"/>
      <c r="P43" s="21"/>
    </row>
    <row r="44" spans="1:16" ht="14.4">
      <c r="A44" s="29"/>
      <c r="P44" s="21"/>
    </row>
    <row r="45" spans="1:16" ht="14.4">
      <c r="A45" s="20"/>
      <c r="P45" s="21"/>
    </row>
    <row r="46" spans="1:16" ht="14.4">
      <c r="A46" s="20"/>
      <c r="B46" s="2"/>
      <c r="C46" s="2"/>
      <c r="P46" s="21" t="s">
        <v>107</v>
      </c>
    </row>
    <row r="47" spans="1:16" ht="14.4">
      <c r="A47" s="20"/>
      <c r="P47" s="21"/>
    </row>
    <row r="48" spans="1:16" ht="14.4">
      <c r="A48" s="20"/>
      <c r="P48" s="21"/>
    </row>
    <row r="49" spans="1:16" ht="14.4">
      <c r="A49" s="20"/>
      <c r="P49" s="21"/>
    </row>
    <row r="50" spans="1:16" ht="14.4">
      <c r="A50" s="20"/>
      <c r="P50" s="21"/>
    </row>
    <row r="51" spans="1:16" ht="14.4">
      <c r="A51" s="38" t="s">
        <v>76</v>
      </c>
      <c r="B51" s="2" t="s">
        <v>108</v>
      </c>
      <c r="C51" s="2">
        <v>1</v>
      </c>
      <c r="D51">
        <v>21.7</v>
      </c>
      <c r="E51" s="34">
        <f>C51*D51</f>
        <v>21.7</v>
      </c>
      <c r="P51" s="21"/>
    </row>
    <row r="52" spans="1:16" ht="14.4">
      <c r="A52" s="38" t="s">
        <v>109</v>
      </c>
      <c r="B52" s="2" t="s">
        <v>110</v>
      </c>
      <c r="C52" s="2">
        <v>1</v>
      </c>
      <c r="D52">
        <v>99.5</v>
      </c>
      <c r="E52" s="34">
        <f>C52*D52</f>
        <v>99.5</v>
      </c>
      <c r="P52" s="21"/>
    </row>
    <row r="53" spans="1:16" ht="14.4">
      <c r="A53" s="20"/>
      <c r="P53" s="21"/>
    </row>
    <row r="54" spans="1:16" ht="14.4">
      <c r="A54" s="20"/>
      <c r="P54" s="21"/>
    </row>
    <row r="55" spans="1:16" ht="14.4">
      <c r="A55" s="20"/>
      <c r="P55" s="21"/>
    </row>
    <row r="56" spans="1:16" ht="14.4">
      <c r="A56" s="20"/>
      <c r="P56" s="21"/>
    </row>
    <row r="57" spans="1:16" ht="14.4">
      <c r="A57" s="20"/>
      <c r="B57" s="32" t="e">
        <f>E1-E18-E19-#REF!-#REF!</f>
        <v>#REF!</v>
      </c>
      <c r="P57" s="21"/>
    </row>
    <row r="58" spans="1:16" ht="14.4">
      <c r="A58" s="20"/>
      <c r="P58" s="21"/>
    </row>
    <row r="59" spans="1:16" ht="14.4">
      <c r="A59" s="20"/>
      <c r="P59" s="21"/>
    </row>
    <row r="60" spans="1:16" ht="14.4">
      <c r="A60" s="20"/>
      <c r="P60" s="21"/>
    </row>
    <row r="61" spans="1:16" ht="14.4">
      <c r="A61" s="20"/>
      <c r="P61" s="21"/>
    </row>
    <row r="62" spans="1:16" ht="14.4">
      <c r="A62" s="20"/>
      <c r="P62" s="21"/>
    </row>
    <row r="63" spans="1:16" ht="14.4">
      <c r="A63" s="20"/>
      <c r="P63" s="21"/>
    </row>
    <row r="64" spans="1:16" ht="14.4">
      <c r="A64" s="20"/>
      <c r="P64" s="21"/>
    </row>
    <row r="65" spans="1:16" ht="14.4">
      <c r="A65" s="20"/>
      <c r="P65" s="21"/>
    </row>
    <row r="66" spans="1:16" ht="14.4">
      <c r="A66" s="20"/>
      <c r="P66" s="21"/>
    </row>
    <row r="67" spans="1:16" ht="14.4">
      <c r="A67" s="20"/>
      <c r="P67" s="21"/>
    </row>
    <row r="68" spans="1:16" ht="14.4">
      <c r="A68" s="20"/>
      <c r="P68" s="21"/>
    </row>
    <row r="69" spans="1:16" ht="14.4">
      <c r="A69" s="20"/>
      <c r="P69" s="21"/>
    </row>
    <row r="70" spans="1:16" ht="14.4">
      <c r="A70" s="20"/>
      <c r="P70" s="21"/>
    </row>
    <row r="71" spans="1:16" ht="14.4">
      <c r="A71" s="20"/>
      <c r="P71" s="21"/>
    </row>
    <row r="72" spans="1:16" ht="14.4">
      <c r="A72" s="20"/>
      <c r="P72" s="21"/>
    </row>
    <row r="73" spans="1:16" ht="14.4">
      <c r="A73" s="20"/>
      <c r="P73" s="21"/>
    </row>
    <row r="74" spans="1:16" ht="14.4">
      <c r="A74" s="20"/>
      <c r="P74" s="21"/>
    </row>
    <row r="75" spans="1:16" ht="14.4">
      <c r="A75" s="20"/>
      <c r="P75" s="21"/>
    </row>
    <row r="76" spans="1:16" ht="14.4">
      <c r="A76" s="20"/>
      <c r="P76" s="21"/>
    </row>
    <row r="77" spans="1:16" ht="14.4">
      <c r="A77" s="20"/>
      <c r="P77" s="21"/>
    </row>
    <row r="78" spans="1:16" ht="14.4">
      <c r="A78" s="20"/>
      <c r="P78" s="21"/>
    </row>
    <row r="79" spans="1:16" ht="14.4">
      <c r="A79" s="20"/>
      <c r="P79" s="21"/>
    </row>
    <row r="80" spans="1:16" ht="14.4">
      <c r="A80" s="20"/>
      <c r="P80" s="21"/>
    </row>
    <row r="81" spans="1:16" ht="14.4">
      <c r="A81" s="20"/>
      <c r="P81" s="21"/>
    </row>
    <row r="82" spans="1:16" ht="14.4">
      <c r="A82" s="20"/>
      <c r="P82" s="21"/>
    </row>
    <row r="83" spans="1:16" ht="14.4">
      <c r="A83" s="20"/>
      <c r="P83" s="21"/>
    </row>
    <row r="84" spans="1:16" ht="14.4">
      <c r="A84" s="20"/>
      <c r="P84" s="21"/>
    </row>
    <row r="85" spans="1:16" ht="14.4">
      <c r="A85" s="20"/>
      <c r="P85" s="21"/>
    </row>
    <row r="86" spans="1:16" ht="14.4">
      <c r="A86" s="20"/>
      <c r="P86" s="21"/>
    </row>
    <row r="87" spans="1:16" ht="14.4">
      <c r="A87" s="20"/>
      <c r="P87" s="21"/>
    </row>
    <row r="88" spans="1:16" ht="14.4">
      <c r="A88" s="20"/>
      <c r="P88" s="21"/>
    </row>
    <row r="89" spans="1:16" ht="14.4">
      <c r="A89" s="20"/>
      <c r="P89" s="21"/>
    </row>
    <row r="90" spans="1:16" ht="14.4">
      <c r="A90" s="20"/>
      <c r="P90" s="21"/>
    </row>
    <row r="91" spans="1:16" ht="14.4">
      <c r="A91" s="20"/>
      <c r="P91" s="21"/>
    </row>
    <row r="92" spans="1:16" ht="14.4">
      <c r="A92" s="20"/>
      <c r="P92" s="21"/>
    </row>
    <row r="93" spans="1:16" ht="14.4">
      <c r="A93" s="20"/>
      <c r="P93" s="21"/>
    </row>
    <row r="94" spans="1:16" ht="14.4">
      <c r="A94" s="20"/>
      <c r="P94" s="21"/>
    </row>
    <row r="95" spans="1:16" ht="14.4">
      <c r="A95" s="20"/>
      <c r="P95" s="21"/>
    </row>
    <row r="96" spans="1:16" ht="14.4">
      <c r="A96" s="20"/>
      <c r="P96" s="21"/>
    </row>
    <row r="97" spans="1:16" ht="14.4">
      <c r="A97" s="20"/>
      <c r="P97" s="21"/>
    </row>
    <row r="98" spans="1:16" ht="14.4">
      <c r="A98" s="20"/>
      <c r="P98" s="21"/>
    </row>
    <row r="99" spans="1:16" ht="14.4">
      <c r="A99" s="20"/>
      <c r="P99" s="21"/>
    </row>
    <row r="100" spans="1:16" ht="14.4">
      <c r="A100" s="20"/>
      <c r="P100" s="21"/>
    </row>
    <row r="101" spans="1:16" ht="14.4">
      <c r="A101" s="20"/>
      <c r="P101" s="21"/>
    </row>
    <row r="102" spans="1:16" ht="14.4">
      <c r="A102" s="20"/>
      <c r="P102" s="21"/>
    </row>
    <row r="103" spans="1:16" ht="14.4">
      <c r="A103" s="20"/>
      <c r="P103" s="21"/>
    </row>
    <row r="104" spans="1:16" thickBot="1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5"/>
      <c r="P104" s="26"/>
    </row>
  </sheetData>
  <sortState xmlns:xlrd2="http://schemas.microsoft.com/office/spreadsheetml/2017/richdata2" ref="A6:P36">
    <sortCondition ref="A6:A36"/>
  </sortState>
  <hyperlinks>
    <hyperlink ref="O6" r:id="rId1" xr:uid="{95FF550B-6DFC-41DA-8FD5-B9ACB0D955D0}"/>
    <hyperlink ref="O7" r:id="rId2" display="https://www.vectronic-aerospace.com/wp-content/uploads/2020/03/VAS-VST68M-DS2.pdf" xr:uid="{30835645-4E30-491D-B336-A0629A6100B7}"/>
    <hyperlink ref="O11" r:id="rId3" xr:uid="{FC57E8BC-1FF5-47DC-9EF0-70CFBAE29B12}"/>
    <hyperlink ref="O12" r:id="rId4" xr:uid="{E90D2236-093A-46B0-8CE7-D1C7E9759E99}"/>
    <hyperlink ref="O8" r:id="rId5" xr:uid="{D9CDA606-CD40-40FA-9422-BB83A45E9E60}"/>
    <hyperlink ref="O9" r:id="rId6" xr:uid="{F1C4D0B5-C3A9-4719-AF8D-7884D7B7BFC2}"/>
    <hyperlink ref="O32" r:id="rId7" xr:uid="{5008A099-CEB5-46F6-99AE-FC71E1A93385}"/>
    <hyperlink ref="O31" r:id="rId8" xr:uid="{907DCCEC-BEF9-4FFC-A4A4-3BF570E31200}"/>
    <hyperlink ref="O19" r:id="rId9" xr:uid="{149E5724-CFF3-4A31-96C6-76E7980F1434}"/>
    <hyperlink ref="O10" r:id="rId10" xr:uid="{73BE7B7E-04DD-49F1-9E80-0AAD2E7F5586}"/>
    <hyperlink ref="O29" r:id="rId11" xr:uid="{5283F2A4-1151-4ABF-8D42-E130149EC032}"/>
    <hyperlink ref="O30" r:id="rId12" xr:uid="{9D9DF5BB-889C-4BB5-9652-CB26FAFD7402}"/>
    <hyperlink ref="O16" r:id="rId13" xr:uid="{D81A3706-9474-496E-B7FD-4B665DAF0FB8}"/>
    <hyperlink ref="O17" r:id="rId14" xr:uid="{DDC45B1F-C26A-4811-92A0-4C354B18DE8C}"/>
    <hyperlink ref="O18" r:id="rId15" xr:uid="{BE4FCF00-17DC-45B3-AFC3-F569621FC7AE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554E-4D9E-4290-A1C7-DEF977052D49}">
  <dimension ref="A1:G9"/>
  <sheetViews>
    <sheetView workbookViewId="0"/>
  </sheetViews>
  <sheetFormatPr defaultRowHeight="14.4"/>
  <sheetData>
    <row r="1" spans="1:7">
      <c r="A1" s="30" t="s">
        <v>111</v>
      </c>
      <c r="B1" s="30" t="s">
        <v>12</v>
      </c>
      <c r="C1" s="30" t="s">
        <v>112</v>
      </c>
      <c r="E1" t="s">
        <v>113</v>
      </c>
      <c r="F1" t="s">
        <v>12</v>
      </c>
      <c r="G1" t="s">
        <v>112</v>
      </c>
    </row>
    <row r="2" spans="1:7">
      <c r="A2" t="s">
        <v>20</v>
      </c>
      <c r="B2">
        <v>83.88</v>
      </c>
      <c r="C2" s="172">
        <f t="shared" ref="C2:C8" si="0">B2/$B$9</f>
        <v>6.2658738458780283E-2</v>
      </c>
      <c r="E2" t="s">
        <v>20</v>
      </c>
      <c r="F2">
        <v>83.88</v>
      </c>
      <c r="G2" s="172">
        <f t="shared" ref="G2:G7" si="1">F2/$B$9</f>
        <v>6.2658738458780283E-2</v>
      </c>
    </row>
    <row r="3" spans="1:7">
      <c r="A3" t="s">
        <v>40</v>
      </c>
      <c r="B3">
        <v>38</v>
      </c>
      <c r="C3" s="172">
        <f t="shared" si="0"/>
        <v>2.8386171452475573E-2</v>
      </c>
      <c r="E3" t="s">
        <v>40</v>
      </c>
      <c r="F3">
        <v>38</v>
      </c>
      <c r="G3" s="172">
        <f t="shared" si="1"/>
        <v>2.8386171452475573E-2</v>
      </c>
    </row>
    <row r="4" spans="1:7">
      <c r="A4" t="s">
        <v>59</v>
      </c>
      <c r="B4">
        <v>210</v>
      </c>
      <c r="C4" s="172">
        <f t="shared" si="0"/>
        <v>0.15687094750052288</v>
      </c>
      <c r="E4" t="s">
        <v>59</v>
      </c>
      <c r="F4">
        <v>210</v>
      </c>
      <c r="G4" s="172">
        <f t="shared" si="1"/>
        <v>0.15687094750052288</v>
      </c>
    </row>
    <row r="5" spans="1:7">
      <c r="A5" t="s">
        <v>76</v>
      </c>
      <c r="B5">
        <v>304.60000000000002</v>
      </c>
      <c r="C5" s="172">
        <f t="shared" si="0"/>
        <v>0.22753757432694893</v>
      </c>
      <c r="E5" t="s">
        <v>76</v>
      </c>
      <c r="F5">
        <f>374.6-70</f>
        <v>304.60000000000002</v>
      </c>
      <c r="G5" s="172">
        <f t="shared" si="1"/>
        <v>0.22753757432694893</v>
      </c>
    </row>
    <row r="6" spans="1:7">
      <c r="A6" t="s">
        <v>89</v>
      </c>
      <c r="B6">
        <v>95.2</v>
      </c>
      <c r="C6" s="172">
        <f t="shared" si="0"/>
        <v>7.1114829533570387E-2</v>
      </c>
      <c r="E6" t="s">
        <v>89</v>
      </c>
      <c r="F6">
        <v>95.2</v>
      </c>
      <c r="G6" s="172">
        <f t="shared" si="1"/>
        <v>7.1114829533570387E-2</v>
      </c>
    </row>
    <row r="7" spans="1:7">
      <c r="A7" t="s">
        <v>102</v>
      </c>
      <c r="B7">
        <v>330</v>
      </c>
      <c r="C7" s="172">
        <f t="shared" si="0"/>
        <v>0.24651148892939312</v>
      </c>
      <c r="E7" t="s">
        <v>102</v>
      </c>
      <c r="F7">
        <v>30</v>
      </c>
      <c r="G7" s="172">
        <f t="shared" si="1"/>
        <v>2.2410135357217555E-2</v>
      </c>
    </row>
    <row r="8" spans="1:7">
      <c r="A8" t="s">
        <v>43</v>
      </c>
      <c r="B8">
        <v>277</v>
      </c>
      <c r="C8" s="172">
        <f t="shared" si="0"/>
        <v>0.20692024979830878</v>
      </c>
      <c r="E8" s="30" t="s">
        <v>114</v>
      </c>
      <c r="F8" s="30">
        <f>SUM(F2:F7)</f>
        <v>761.68000000000006</v>
      </c>
    </row>
    <row r="9" spans="1:7">
      <c r="A9" s="30" t="s">
        <v>114</v>
      </c>
      <c r="B9" s="30">
        <f>SUM(B2:B8)</f>
        <v>1338.68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04"/>
  <sheetViews>
    <sheetView workbookViewId="0">
      <selection activeCell="G19" sqref="G19:G20"/>
    </sheetView>
  </sheetViews>
  <sheetFormatPr defaultRowHeight="15" customHeight="1"/>
  <cols>
    <col min="1" max="1" width="26.109375" customWidth="1"/>
    <col min="2" max="2" width="40.33203125" bestFit="1" customWidth="1"/>
    <col min="3" max="3" width="24.88671875" customWidth="1"/>
    <col min="4" max="5" width="26.109375" customWidth="1"/>
    <col min="6" max="6" width="25.6640625" customWidth="1"/>
    <col min="7" max="12" width="26.109375" customWidth="1"/>
    <col min="13" max="13" width="52.6640625" style="13" customWidth="1"/>
    <col min="14" max="14" width="26.109375" customWidth="1"/>
    <col min="15" max="15" width="8.88671875" customWidth="1"/>
  </cols>
  <sheetData>
    <row r="1" spans="1:15" ht="15" customHeight="1">
      <c r="A1" s="30" t="s">
        <v>0</v>
      </c>
      <c r="E1" s="31">
        <f>SUM(E4:E39)</f>
        <v>681.93663110800003</v>
      </c>
      <c r="F1" s="31">
        <f>SUM(F4:F39)</f>
        <v>0.39273304544217696</v>
      </c>
      <c r="G1" s="32"/>
      <c r="H1" s="31">
        <f>SUM(H4:H39)</f>
        <v>1534.4933199999998</v>
      </c>
    </row>
    <row r="2" spans="1:15" ht="15" customHeight="1" thickBot="1"/>
    <row r="3" spans="1:15" ht="14.4">
      <c r="A3" s="16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115</v>
      </c>
      <c r="G3" s="17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8" t="s">
        <v>18</v>
      </c>
      <c r="N3" s="19" t="s">
        <v>19</v>
      </c>
    </row>
    <row r="4" spans="1:15" ht="43.2">
      <c r="A4" s="20" t="s">
        <v>20</v>
      </c>
      <c r="B4" t="s">
        <v>21</v>
      </c>
      <c r="C4">
        <v>2</v>
      </c>
      <c r="D4">
        <v>28</v>
      </c>
      <c r="E4">
        <f t="shared" ref="E4:E27" si="0">C4*D4</f>
        <v>56</v>
      </c>
      <c r="F4">
        <v>6.2399999999999997E-2</v>
      </c>
      <c r="G4">
        <v>35</v>
      </c>
      <c r="H4">
        <f>G4*C4</f>
        <v>70</v>
      </c>
      <c r="L4" t="s">
        <v>116</v>
      </c>
      <c r="M4" s="22" t="s">
        <v>117</v>
      </c>
      <c r="N4" s="21"/>
    </row>
    <row r="5" spans="1:15" ht="129.6">
      <c r="A5" s="36" t="s">
        <v>20</v>
      </c>
      <c r="B5" s="44" t="s">
        <v>24</v>
      </c>
      <c r="C5" s="2">
        <v>3</v>
      </c>
      <c r="D5">
        <v>0.47</v>
      </c>
      <c r="E5">
        <f>C5*D5</f>
        <v>1.41</v>
      </c>
      <c r="F5">
        <v>4.9680000000000004E-4</v>
      </c>
      <c r="G5">
        <f>D5/F5</f>
        <v>946.05475040257636</v>
      </c>
      <c r="H5">
        <v>3</v>
      </c>
      <c r="I5">
        <f>H5*C5</f>
        <v>9</v>
      </c>
      <c r="J5" t="s">
        <v>25</v>
      </c>
      <c r="K5" t="s">
        <v>26</v>
      </c>
      <c r="M5" t="s">
        <v>27</v>
      </c>
      <c r="N5" s="14" t="s">
        <v>28</v>
      </c>
      <c r="O5" s="39" t="s">
        <v>29</v>
      </c>
    </row>
    <row r="6" spans="1:15" ht="14.4">
      <c r="A6" s="20" t="s">
        <v>20</v>
      </c>
      <c r="B6" s="2" t="s">
        <v>30</v>
      </c>
      <c r="C6" s="2">
        <v>1</v>
      </c>
      <c r="D6">
        <v>0.03</v>
      </c>
      <c r="E6">
        <f>C6*D6</f>
        <v>0.03</v>
      </c>
      <c r="G6">
        <v>0.2</v>
      </c>
      <c r="H6">
        <f>G6*C6</f>
        <v>0.2</v>
      </c>
      <c r="I6">
        <v>3</v>
      </c>
      <c r="J6" t="s">
        <v>118</v>
      </c>
      <c r="N6" s="21"/>
    </row>
    <row r="7" spans="1:15" ht="28.8">
      <c r="A7" s="20" t="s">
        <v>20</v>
      </c>
      <c r="B7" s="2" t="s">
        <v>119</v>
      </c>
      <c r="C7" s="2">
        <v>2</v>
      </c>
      <c r="D7">
        <v>6.5</v>
      </c>
      <c r="E7">
        <f>C7*D7</f>
        <v>13</v>
      </c>
      <c r="F7">
        <v>5.8700000000000002E-3</v>
      </c>
      <c r="G7">
        <v>6</v>
      </c>
      <c r="H7">
        <f>G7*C7</f>
        <v>12</v>
      </c>
      <c r="I7" t="s">
        <v>120</v>
      </c>
      <c r="J7" t="s">
        <v>121</v>
      </c>
      <c r="L7" t="s">
        <v>122</v>
      </c>
      <c r="M7" s="14" t="s">
        <v>123</v>
      </c>
      <c r="N7" s="21"/>
    </row>
    <row r="8" spans="1:15" ht="14.4">
      <c r="A8" s="20" t="s">
        <v>20</v>
      </c>
      <c r="B8" s="2" t="s">
        <v>124</v>
      </c>
      <c r="C8" s="2">
        <v>1</v>
      </c>
      <c r="D8">
        <v>62.2</v>
      </c>
      <c r="E8" s="34">
        <f t="shared" si="0"/>
        <v>62.2</v>
      </c>
      <c r="F8">
        <f>D8/(1.47*1000)</f>
        <v>4.231292517006803E-2</v>
      </c>
      <c r="G8" t="s">
        <v>52</v>
      </c>
      <c r="H8" t="s">
        <v>52</v>
      </c>
      <c r="I8" t="s">
        <v>52</v>
      </c>
      <c r="N8" s="21"/>
    </row>
    <row r="9" spans="1:15" ht="14.4">
      <c r="A9" s="20" t="s">
        <v>40</v>
      </c>
      <c r="B9" s="2" t="s">
        <v>41</v>
      </c>
      <c r="C9" s="2">
        <v>1</v>
      </c>
      <c r="D9">
        <v>65.569519999999997</v>
      </c>
      <c r="E9">
        <f t="shared" si="0"/>
        <v>65.569519999999997</v>
      </c>
      <c r="F9">
        <v>8.7426026666666698E-2</v>
      </c>
      <c r="G9">
        <v>114.74666000000001</v>
      </c>
      <c r="H9">
        <f t="shared" ref="H9:H15" si="1">G9*C9</f>
        <v>114.74666000000001</v>
      </c>
      <c r="N9" s="21"/>
    </row>
    <row r="10" spans="1:15" ht="28.8">
      <c r="A10" s="20" t="s">
        <v>43</v>
      </c>
      <c r="B10" t="s">
        <v>44</v>
      </c>
      <c r="C10" s="2">
        <v>1</v>
      </c>
      <c r="D10">
        <v>18.2</v>
      </c>
      <c r="E10">
        <f t="shared" si="0"/>
        <v>18.2</v>
      </c>
      <c r="F10">
        <v>1.8623279999999999E-2</v>
      </c>
      <c r="G10">
        <v>0</v>
      </c>
      <c r="H10">
        <f t="shared" si="1"/>
        <v>0</v>
      </c>
      <c r="I10">
        <v>50</v>
      </c>
      <c r="L10" t="s">
        <v>45</v>
      </c>
      <c r="M10" s="22" t="s">
        <v>46</v>
      </c>
      <c r="N10" s="21" t="s">
        <v>47</v>
      </c>
    </row>
    <row r="11" spans="1:15" ht="20.399999999999999">
      <c r="A11" s="20" t="s">
        <v>59</v>
      </c>
      <c r="B11" s="2" t="s">
        <v>60</v>
      </c>
      <c r="C11" s="2">
        <v>1</v>
      </c>
      <c r="D11">
        <v>12</v>
      </c>
      <c r="E11">
        <f t="shared" si="0"/>
        <v>12</v>
      </c>
      <c r="F11">
        <v>2.4E-2</v>
      </c>
      <c r="G11">
        <v>35</v>
      </c>
      <c r="H11">
        <f t="shared" si="1"/>
        <v>35</v>
      </c>
      <c r="I11">
        <v>50</v>
      </c>
      <c r="J11" t="s">
        <v>61</v>
      </c>
      <c r="K11" t="s">
        <v>52</v>
      </c>
      <c r="L11" t="s">
        <v>62</v>
      </c>
      <c r="M11" s="15" t="s">
        <v>63</v>
      </c>
      <c r="N11" s="21" t="s">
        <v>64</v>
      </c>
    </row>
    <row r="12" spans="1:15" ht="28.8">
      <c r="A12" s="27" t="s">
        <v>59</v>
      </c>
      <c r="B12" s="2" t="s">
        <v>65</v>
      </c>
      <c r="C12" s="2">
        <v>1</v>
      </c>
      <c r="D12">
        <v>7.6</v>
      </c>
      <c r="E12">
        <f t="shared" si="0"/>
        <v>7.6</v>
      </c>
      <c r="F12">
        <v>8.8000000000000005E-3</v>
      </c>
      <c r="G12">
        <v>22</v>
      </c>
      <c r="H12">
        <f t="shared" si="1"/>
        <v>22</v>
      </c>
      <c r="I12" t="s">
        <v>52</v>
      </c>
      <c r="J12" t="s">
        <v>52</v>
      </c>
      <c r="K12" t="s">
        <v>52</v>
      </c>
      <c r="L12" t="s">
        <v>66</v>
      </c>
      <c r="M12" s="13" t="s">
        <v>67</v>
      </c>
      <c r="N12" s="21" t="s">
        <v>64</v>
      </c>
    </row>
    <row r="13" spans="1:15" ht="28.8">
      <c r="A13" s="20" t="s">
        <v>59</v>
      </c>
      <c r="B13" s="2" t="s">
        <v>68</v>
      </c>
      <c r="C13" s="2">
        <v>1</v>
      </c>
      <c r="D13">
        <v>5.2</v>
      </c>
      <c r="E13">
        <f t="shared" si="0"/>
        <v>5.2</v>
      </c>
      <c r="F13">
        <v>7.9900000000000006E-3</v>
      </c>
      <c r="G13">
        <v>21</v>
      </c>
      <c r="H13">
        <f t="shared" si="1"/>
        <v>21</v>
      </c>
      <c r="I13" t="s">
        <v>52</v>
      </c>
      <c r="J13" t="s">
        <v>69</v>
      </c>
      <c r="K13" t="s">
        <v>52</v>
      </c>
      <c r="L13" t="s">
        <v>70</v>
      </c>
      <c r="M13" s="13" t="s">
        <v>71</v>
      </c>
      <c r="N13" s="21" t="s">
        <v>64</v>
      </c>
    </row>
    <row r="14" spans="1:15" ht="12.75" customHeight="1">
      <c r="A14" s="20" t="s">
        <v>59</v>
      </c>
      <c r="B14" s="2" t="s">
        <v>125</v>
      </c>
      <c r="C14" s="2">
        <v>4</v>
      </c>
      <c r="D14">
        <v>17.5</v>
      </c>
      <c r="E14">
        <f t="shared" si="0"/>
        <v>70</v>
      </c>
      <c r="F14" t="s">
        <v>52</v>
      </c>
      <c r="G14">
        <v>44</v>
      </c>
      <c r="H14">
        <f t="shared" si="1"/>
        <v>176</v>
      </c>
      <c r="I14" t="s">
        <v>52</v>
      </c>
      <c r="J14" t="s">
        <v>52</v>
      </c>
      <c r="K14" t="s">
        <v>52</v>
      </c>
      <c r="L14" t="s">
        <v>52</v>
      </c>
      <c r="M14" s="15" t="s">
        <v>74</v>
      </c>
      <c r="N14" s="21"/>
    </row>
    <row r="15" spans="1:15" ht="14.4">
      <c r="A15" s="20" t="s">
        <v>126</v>
      </c>
      <c r="B15" t="s">
        <v>127</v>
      </c>
      <c r="C15">
        <v>1</v>
      </c>
      <c r="D15">
        <v>71</v>
      </c>
      <c r="E15">
        <f t="shared" si="0"/>
        <v>71</v>
      </c>
      <c r="F15">
        <v>4.1000000000000002E-2</v>
      </c>
      <c r="G15">
        <v>0</v>
      </c>
      <c r="H15">
        <f t="shared" si="1"/>
        <v>0</v>
      </c>
      <c r="I15" t="s">
        <v>52</v>
      </c>
      <c r="N15" s="21"/>
    </row>
    <row r="16" spans="1:15" ht="14.4">
      <c r="A16" s="20" t="s">
        <v>126</v>
      </c>
      <c r="B16" t="s">
        <v>56</v>
      </c>
      <c r="C16">
        <v>2</v>
      </c>
      <c r="D16">
        <v>20</v>
      </c>
      <c r="E16">
        <f t="shared" si="0"/>
        <v>40</v>
      </c>
      <c r="F16" t="s">
        <v>52</v>
      </c>
      <c r="G16" t="s">
        <v>52</v>
      </c>
      <c r="H16" t="s">
        <v>52</v>
      </c>
      <c r="I16" t="s">
        <v>52</v>
      </c>
      <c r="L16" t="s">
        <v>128</v>
      </c>
      <c r="N16" s="21" t="s">
        <v>58</v>
      </c>
    </row>
    <row r="17" spans="1:14" ht="14.4">
      <c r="A17" s="20" t="s">
        <v>76</v>
      </c>
      <c r="B17" s="2" t="s">
        <v>129</v>
      </c>
      <c r="C17" s="2">
        <v>1</v>
      </c>
      <c r="D17">
        <v>95</v>
      </c>
      <c r="E17" s="34">
        <f t="shared" si="0"/>
        <v>95</v>
      </c>
      <c r="F17">
        <f>D17/(1.47*1000)</f>
        <v>6.4625850340136057E-2</v>
      </c>
      <c r="G17" t="s">
        <v>52</v>
      </c>
      <c r="H17" t="s">
        <v>52</v>
      </c>
      <c r="I17" t="s">
        <v>52</v>
      </c>
      <c r="N17" s="21"/>
    </row>
    <row r="18" spans="1:14" ht="14.4">
      <c r="A18" s="20" t="s">
        <v>76</v>
      </c>
      <c r="B18" s="2" t="s">
        <v>130</v>
      </c>
      <c r="C18" s="2">
        <v>1</v>
      </c>
      <c r="D18">
        <v>30</v>
      </c>
      <c r="E18" s="34">
        <f t="shared" si="0"/>
        <v>30</v>
      </c>
      <c r="F18">
        <f>D18/(1.47*1000)</f>
        <v>2.0408163265306121E-2</v>
      </c>
      <c r="G18" t="s">
        <v>52</v>
      </c>
      <c r="H18" t="s">
        <v>52</v>
      </c>
      <c r="I18" t="s">
        <v>52</v>
      </c>
      <c r="N18" s="21"/>
    </row>
    <row r="19" spans="1:14" ht="14.4">
      <c r="A19" s="20" t="s">
        <v>76</v>
      </c>
      <c r="B19" s="2" t="s">
        <v>131</v>
      </c>
      <c r="C19" s="2">
        <v>6</v>
      </c>
      <c r="D19">
        <v>0.28999999999999998</v>
      </c>
      <c r="E19" s="34">
        <f t="shared" si="0"/>
        <v>1.7399999999999998</v>
      </c>
      <c r="G19">
        <v>22.4</v>
      </c>
      <c r="H19">
        <f t="shared" ref="H19:H20" si="2">G19*C19</f>
        <v>134.39999999999998</v>
      </c>
      <c r="N19" s="21"/>
    </row>
    <row r="20" spans="1:14" ht="14.4">
      <c r="A20" s="20" t="s">
        <v>76</v>
      </c>
      <c r="B20" s="2" t="s">
        <v>132</v>
      </c>
      <c r="C20" s="2">
        <v>1</v>
      </c>
      <c r="D20">
        <v>0.59</v>
      </c>
      <c r="E20" s="34">
        <f t="shared" si="0"/>
        <v>0.59</v>
      </c>
      <c r="G20">
        <v>52.9</v>
      </c>
      <c r="H20">
        <f t="shared" si="2"/>
        <v>52.9</v>
      </c>
      <c r="N20" s="21"/>
    </row>
    <row r="21" spans="1:14" ht="14.4">
      <c r="A21" s="20" t="s">
        <v>82</v>
      </c>
      <c r="B21" t="s">
        <v>87</v>
      </c>
      <c r="C21">
        <v>1</v>
      </c>
      <c r="D21">
        <v>78.400000000000006</v>
      </c>
      <c r="E21" s="33">
        <f t="shared" si="0"/>
        <v>78.400000000000006</v>
      </c>
      <c r="F21" t="s">
        <v>52</v>
      </c>
      <c r="G21" t="s">
        <v>52</v>
      </c>
      <c r="H21" t="s">
        <v>52</v>
      </c>
      <c r="I21" t="s">
        <v>52</v>
      </c>
      <c r="J21" s="28" t="s">
        <v>133</v>
      </c>
      <c r="L21" t="s">
        <v>134</v>
      </c>
      <c r="N21" s="21" t="s">
        <v>135</v>
      </c>
    </row>
    <row r="22" spans="1:14" ht="14.4">
      <c r="A22" s="20" t="s">
        <v>82</v>
      </c>
      <c r="B22" t="s">
        <v>83</v>
      </c>
      <c r="C22">
        <v>1</v>
      </c>
      <c r="D22">
        <v>14.7</v>
      </c>
      <c r="E22" s="33">
        <f t="shared" si="0"/>
        <v>14.7</v>
      </c>
      <c r="F22" t="s">
        <v>52</v>
      </c>
      <c r="G22" t="s">
        <v>52</v>
      </c>
      <c r="H22" t="s">
        <v>52</v>
      </c>
      <c r="I22" t="s">
        <v>52</v>
      </c>
      <c r="J22" s="28"/>
      <c r="N22" s="21"/>
    </row>
    <row r="23" spans="1:14" ht="14.4">
      <c r="A23" s="20" t="s">
        <v>82</v>
      </c>
      <c r="B23" s="2" t="s">
        <v>136</v>
      </c>
      <c r="C23" s="2">
        <v>1</v>
      </c>
      <c r="D23">
        <v>22.27</v>
      </c>
      <c r="E23" s="33">
        <f t="shared" si="0"/>
        <v>22.27</v>
      </c>
      <c r="F23">
        <v>5.0000000000000001E-3</v>
      </c>
      <c r="G23" t="s">
        <v>52</v>
      </c>
      <c r="H23" t="s">
        <v>52</v>
      </c>
      <c r="I23" t="s">
        <v>52</v>
      </c>
      <c r="N23" s="21"/>
    </row>
    <row r="24" spans="1:14" ht="14.4">
      <c r="A24" s="20" t="s">
        <v>89</v>
      </c>
      <c r="B24" s="2" t="s">
        <v>90</v>
      </c>
      <c r="C24" s="2">
        <v>4</v>
      </c>
      <c r="D24">
        <v>0.106777777</v>
      </c>
      <c r="E24">
        <f t="shared" si="0"/>
        <v>0.42711110800000002</v>
      </c>
      <c r="G24">
        <v>18</v>
      </c>
      <c r="H24">
        <f>G24*C24</f>
        <v>72</v>
      </c>
      <c r="I24" t="s">
        <v>94</v>
      </c>
      <c r="N24" s="21"/>
    </row>
    <row r="25" spans="1:14" ht="14.4">
      <c r="A25" s="20" t="s">
        <v>89</v>
      </c>
      <c r="B25" s="2" t="s">
        <v>93</v>
      </c>
      <c r="C25" s="2">
        <v>0</v>
      </c>
      <c r="D25">
        <v>0.2</v>
      </c>
      <c r="E25">
        <f t="shared" si="0"/>
        <v>0</v>
      </c>
      <c r="F25" t="s">
        <v>52</v>
      </c>
      <c r="G25">
        <v>2</v>
      </c>
      <c r="H25">
        <f>G25*C25</f>
        <v>0</v>
      </c>
      <c r="N25" s="21"/>
    </row>
    <row r="26" spans="1:14" ht="14.4">
      <c r="A26" s="20" t="s">
        <v>97</v>
      </c>
      <c r="B26" s="2" t="s">
        <v>98</v>
      </c>
      <c r="C26" s="2">
        <v>1</v>
      </c>
      <c r="D26">
        <v>4</v>
      </c>
      <c r="E26">
        <f t="shared" si="0"/>
        <v>4</v>
      </c>
      <c r="F26">
        <v>3.7799999999999999E-3</v>
      </c>
      <c r="G26">
        <v>20</v>
      </c>
      <c r="H26">
        <f>G26*C26</f>
        <v>20</v>
      </c>
      <c r="I26">
        <v>12</v>
      </c>
      <c r="L26" t="s">
        <v>137</v>
      </c>
      <c r="N26" s="21"/>
    </row>
    <row r="27" spans="1:14" ht="14.4">
      <c r="A27" s="20" t="s">
        <v>97</v>
      </c>
      <c r="B27" s="2" t="s">
        <v>101</v>
      </c>
      <c r="C27" s="2">
        <v>1</v>
      </c>
      <c r="D27">
        <v>12.6</v>
      </c>
      <c r="E27">
        <f t="shared" si="0"/>
        <v>12.6</v>
      </c>
      <c r="G27">
        <v>34</v>
      </c>
      <c r="H27">
        <f>C27*G27</f>
        <v>34</v>
      </c>
      <c r="N27" s="21"/>
    </row>
    <row r="28" spans="1:14" ht="14.4">
      <c r="A28" s="20"/>
      <c r="H28">
        <f>G28*C28</f>
        <v>0</v>
      </c>
      <c r="N28" s="21"/>
    </row>
    <row r="29" spans="1:14" ht="14.4">
      <c r="A29" s="20"/>
      <c r="N29" s="21"/>
    </row>
    <row r="30" spans="1:14" ht="14.4">
      <c r="A30" s="20"/>
      <c r="N30" s="21"/>
    </row>
    <row r="31" spans="1:14" ht="14.4">
      <c r="A31" s="20"/>
      <c r="N31" s="21"/>
    </row>
    <row r="32" spans="1:14" ht="14.4">
      <c r="A32" s="29"/>
      <c r="H32">
        <f>SUM(H4:H31)</f>
        <v>767.24665999999991</v>
      </c>
      <c r="N32" s="21"/>
    </row>
    <row r="33" spans="1:14" ht="14.4">
      <c r="A33" s="20"/>
      <c r="N33" s="21"/>
    </row>
    <row r="34" spans="1:14" ht="14.4">
      <c r="A34" s="20"/>
      <c r="N34" s="21"/>
    </row>
    <row r="35" spans="1:14" ht="14.4">
      <c r="A35" s="20"/>
      <c r="N35" s="21"/>
    </row>
    <row r="36" spans="1:14" ht="14.4">
      <c r="A36" s="20"/>
      <c r="N36" s="21"/>
    </row>
    <row r="37" spans="1:14" ht="14.4">
      <c r="A37" s="20"/>
      <c r="N37" s="21"/>
    </row>
    <row r="38" spans="1:14" ht="14.4">
      <c r="A38" s="20"/>
      <c r="N38" s="21"/>
    </row>
    <row r="39" spans="1:14" ht="14.4">
      <c r="A39" s="20"/>
      <c r="N39" s="21"/>
    </row>
    <row r="40" spans="1:14" ht="14.4">
      <c r="A40" s="20"/>
      <c r="N40" s="21"/>
    </row>
    <row r="41" spans="1:14" ht="14.4">
      <c r="A41" s="20"/>
      <c r="N41" s="21"/>
    </row>
    <row r="42" spans="1:14" ht="14.4">
      <c r="A42" s="20"/>
      <c r="N42" s="21"/>
    </row>
    <row r="43" spans="1:14" ht="14.4">
      <c r="A43" s="20"/>
      <c r="N43" s="21"/>
    </row>
    <row r="44" spans="1:14" ht="14.4">
      <c r="A44" s="29"/>
      <c r="N44" s="21"/>
    </row>
    <row r="45" spans="1:14" ht="14.4">
      <c r="A45" s="20"/>
      <c r="N45" s="21"/>
    </row>
    <row r="46" spans="1:14" ht="14.4">
      <c r="A46" s="20"/>
      <c r="B46" s="2"/>
      <c r="C46" s="2"/>
      <c r="N46" s="21" t="s">
        <v>107</v>
      </c>
    </row>
    <row r="47" spans="1:14" ht="14.4">
      <c r="A47" s="20"/>
      <c r="N47" s="21"/>
    </row>
    <row r="48" spans="1:14" ht="14.4">
      <c r="A48" s="20"/>
      <c r="N48" s="21"/>
    </row>
    <row r="49" spans="1:14" ht="14.4">
      <c r="A49" s="20"/>
      <c r="N49" s="21"/>
    </row>
    <row r="50" spans="1:14" ht="14.4">
      <c r="A50" s="20"/>
      <c r="N50" s="21"/>
    </row>
    <row r="51" spans="1:14" ht="14.4">
      <c r="A51" s="20"/>
      <c r="N51" s="21"/>
    </row>
    <row r="52" spans="1:14" ht="14.4">
      <c r="A52" s="20"/>
      <c r="N52" s="21"/>
    </row>
    <row r="53" spans="1:14" ht="14.4">
      <c r="A53" s="20"/>
      <c r="N53" s="21"/>
    </row>
    <row r="54" spans="1:14" ht="14.4">
      <c r="A54" s="20"/>
      <c r="N54" s="21"/>
    </row>
    <row r="55" spans="1:14" ht="14.4">
      <c r="A55" s="20"/>
      <c r="N55" s="21"/>
    </row>
    <row r="56" spans="1:14" ht="14.4">
      <c r="A56" s="20"/>
      <c r="N56" s="21"/>
    </row>
    <row r="57" spans="1:14" ht="14.4">
      <c r="A57" s="20"/>
      <c r="N57" s="21"/>
    </row>
    <row r="58" spans="1:14" ht="14.4">
      <c r="A58" s="20"/>
      <c r="N58" s="21"/>
    </row>
    <row r="59" spans="1:14" ht="14.4">
      <c r="A59" s="20"/>
      <c r="N59" s="21"/>
    </row>
    <row r="60" spans="1:14" ht="14.4">
      <c r="A60" s="20"/>
      <c r="N60" s="21"/>
    </row>
    <row r="61" spans="1:14" ht="14.4">
      <c r="A61" s="20"/>
      <c r="N61" s="21"/>
    </row>
    <row r="62" spans="1:14" ht="14.4">
      <c r="A62" s="20"/>
      <c r="N62" s="21"/>
    </row>
    <row r="63" spans="1:14" ht="14.4">
      <c r="A63" s="20"/>
      <c r="N63" s="21"/>
    </row>
    <row r="64" spans="1:14" ht="14.4">
      <c r="A64" s="20"/>
      <c r="N64" s="21"/>
    </row>
    <row r="65" spans="1:14" ht="14.4">
      <c r="A65" s="20"/>
      <c r="N65" s="21"/>
    </row>
    <row r="66" spans="1:14" ht="14.4">
      <c r="A66" s="20"/>
      <c r="N66" s="21"/>
    </row>
    <row r="67" spans="1:14" ht="14.4">
      <c r="A67" s="20"/>
      <c r="N67" s="21"/>
    </row>
    <row r="68" spans="1:14" ht="14.4">
      <c r="A68" s="20"/>
      <c r="N68" s="21"/>
    </row>
    <row r="69" spans="1:14" ht="14.4">
      <c r="A69" s="20"/>
      <c r="N69" s="21"/>
    </row>
    <row r="70" spans="1:14" ht="14.4">
      <c r="A70" s="20"/>
      <c r="N70" s="21"/>
    </row>
    <row r="71" spans="1:14" ht="14.4">
      <c r="A71" s="20"/>
      <c r="N71" s="21"/>
    </row>
    <row r="72" spans="1:14" ht="14.4">
      <c r="A72" s="20"/>
      <c r="N72" s="21"/>
    </row>
    <row r="73" spans="1:14" ht="14.4">
      <c r="A73" s="20"/>
      <c r="N73" s="21"/>
    </row>
    <row r="74" spans="1:14" ht="14.4">
      <c r="A74" s="20"/>
      <c r="N74" s="21"/>
    </row>
    <row r="75" spans="1:14" ht="14.4">
      <c r="A75" s="20"/>
      <c r="N75" s="21"/>
    </row>
    <row r="76" spans="1:14" ht="14.4">
      <c r="A76" s="20"/>
      <c r="N76" s="21"/>
    </row>
    <row r="77" spans="1:14" ht="14.4">
      <c r="A77" s="20"/>
      <c r="N77" s="21"/>
    </row>
    <row r="78" spans="1:14" ht="14.4">
      <c r="A78" s="20"/>
      <c r="N78" s="21"/>
    </row>
    <row r="79" spans="1:14" ht="14.4">
      <c r="A79" s="20"/>
      <c r="N79" s="21"/>
    </row>
    <row r="80" spans="1:14" ht="14.4">
      <c r="A80" s="20"/>
      <c r="N80" s="21"/>
    </row>
    <row r="81" spans="1:14" ht="14.4">
      <c r="A81" s="20"/>
      <c r="N81" s="21"/>
    </row>
    <row r="82" spans="1:14" ht="14.4">
      <c r="A82" s="20"/>
      <c r="N82" s="21"/>
    </row>
    <row r="83" spans="1:14" ht="14.4">
      <c r="A83" s="20"/>
      <c r="N83" s="21"/>
    </row>
    <row r="84" spans="1:14" ht="14.4">
      <c r="A84" s="20"/>
      <c r="N84" s="21"/>
    </row>
    <row r="85" spans="1:14" ht="14.4">
      <c r="A85" s="20"/>
      <c r="N85" s="21"/>
    </row>
    <row r="86" spans="1:14" ht="14.4">
      <c r="A86" s="20"/>
      <c r="N86" s="21"/>
    </row>
    <row r="87" spans="1:14" ht="14.4">
      <c r="A87" s="20"/>
      <c r="N87" s="21"/>
    </row>
    <row r="88" spans="1:14" ht="14.4">
      <c r="A88" s="20"/>
      <c r="N88" s="21"/>
    </row>
    <row r="89" spans="1:14" ht="14.4">
      <c r="A89" s="20"/>
      <c r="N89" s="21"/>
    </row>
    <row r="90" spans="1:14" ht="14.4">
      <c r="A90" s="20"/>
      <c r="N90" s="21"/>
    </row>
    <row r="91" spans="1:14" ht="14.4">
      <c r="A91" s="20"/>
      <c r="N91" s="21"/>
    </row>
    <row r="92" spans="1:14" ht="14.4">
      <c r="A92" s="20"/>
      <c r="N92" s="21"/>
    </row>
    <row r="93" spans="1:14" ht="14.4">
      <c r="A93" s="20"/>
      <c r="N93" s="21"/>
    </row>
    <row r="94" spans="1:14" ht="14.4">
      <c r="A94" s="20"/>
      <c r="N94" s="21"/>
    </row>
    <row r="95" spans="1:14" ht="14.4">
      <c r="A95" s="20"/>
      <c r="N95" s="21"/>
    </row>
    <row r="96" spans="1:14" ht="14.4">
      <c r="A96" s="20"/>
      <c r="N96" s="21"/>
    </row>
    <row r="97" spans="1:14" ht="14.4">
      <c r="A97" s="20"/>
      <c r="N97" s="21"/>
    </row>
    <row r="98" spans="1:14" ht="14.4">
      <c r="A98" s="20"/>
      <c r="N98" s="21"/>
    </row>
    <row r="99" spans="1:14" ht="14.4">
      <c r="A99" s="20"/>
      <c r="N99" s="21"/>
    </row>
    <row r="100" spans="1:14" ht="14.4">
      <c r="A100" s="20"/>
      <c r="N100" s="21"/>
    </row>
    <row r="101" spans="1:14" ht="14.4">
      <c r="A101" s="20"/>
      <c r="N101" s="21"/>
    </row>
    <row r="102" spans="1:14" ht="14.4">
      <c r="A102" s="20"/>
      <c r="N102" s="21"/>
    </row>
    <row r="103" spans="1:14" ht="14.4">
      <c r="A103" s="20"/>
      <c r="N103" s="21"/>
    </row>
    <row r="104" spans="1:14" thickBot="1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5"/>
      <c r="N104" s="26"/>
    </row>
  </sheetData>
  <sortState xmlns:xlrd2="http://schemas.microsoft.com/office/spreadsheetml/2017/richdata2" ref="A3:N104">
    <sortCondition ref="A4:A104"/>
  </sortState>
  <hyperlinks>
    <hyperlink ref="M4" r:id="rId1" xr:uid="{97A8188C-3113-4093-AB16-61161522DFBB}"/>
    <hyperlink ref="M10" r:id="rId2" xr:uid="{5BFCFE02-7D8D-4EEA-93F6-9B85991863F2}"/>
    <hyperlink ref="N5" r:id="rId3" display="https://www.vectronic-aerospace.com/wp-content/uploads/2020/03/VAS-VST68M-DS2.pdf" xr:uid="{2CD2A934-BAB3-4BCA-B5E8-5A1F0D0A5477}"/>
    <hyperlink ref="M7" r:id="rId4" xr:uid="{D6C4BB8A-122E-406E-8585-59ECDAE4EA74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C3E7-AF7B-4669-B386-95E43CE3D0AF}">
  <sheetPr codeName="Sheet3"/>
  <dimension ref="B3:Q32"/>
  <sheetViews>
    <sheetView topLeftCell="F1" zoomScale="91" workbookViewId="0">
      <selection activeCell="T14" sqref="T14"/>
    </sheetView>
  </sheetViews>
  <sheetFormatPr defaultRowHeight="14.4"/>
  <cols>
    <col min="2" max="2" width="49.109375" customWidth="1"/>
    <col min="6" max="6" width="35.6640625" customWidth="1"/>
    <col min="11" max="11" width="17.33203125" customWidth="1"/>
    <col min="12" max="12" width="20.109375" customWidth="1"/>
    <col min="15" max="15" width="9.5546875" bestFit="1" customWidth="1"/>
    <col min="16" max="16" width="22.109375" customWidth="1"/>
    <col min="17" max="17" width="16" customWidth="1"/>
  </cols>
  <sheetData>
    <row r="3" spans="2:17" ht="14.4" customHeight="1">
      <c r="B3" t="s">
        <v>138</v>
      </c>
      <c r="C3" s="5"/>
      <c r="D3" s="5" t="s">
        <v>139</v>
      </c>
      <c r="E3" s="5" t="s">
        <v>140</v>
      </c>
      <c r="F3" s="5"/>
      <c r="K3" s="10" t="s">
        <v>141</v>
      </c>
      <c r="L3" s="3" t="s">
        <v>142</v>
      </c>
      <c r="M3" s="3" t="s">
        <v>143</v>
      </c>
      <c r="N3" s="4" t="s">
        <v>144</v>
      </c>
    </row>
    <row r="4" spans="2:17" ht="14.4" customHeight="1">
      <c r="B4" s="1" t="s">
        <v>145</v>
      </c>
      <c r="C4" s="214" t="s">
        <v>146</v>
      </c>
      <c r="D4" s="5" t="s">
        <v>147</v>
      </c>
      <c r="E4" s="5" t="s">
        <v>148</v>
      </c>
      <c r="F4" s="5"/>
      <c r="K4" s="211" t="s">
        <v>149</v>
      </c>
      <c r="L4" s="3" t="s">
        <v>150</v>
      </c>
      <c r="M4" s="3">
        <v>4</v>
      </c>
      <c r="N4" s="4" t="s">
        <v>151</v>
      </c>
      <c r="O4" t="s">
        <v>152</v>
      </c>
      <c r="P4" t="s">
        <v>153</v>
      </c>
      <c r="Q4" t="s">
        <v>154</v>
      </c>
    </row>
    <row r="5" spans="2:17">
      <c r="B5" t="s">
        <v>155</v>
      </c>
      <c r="C5" s="214"/>
      <c r="D5" s="5" t="s">
        <v>156</v>
      </c>
      <c r="E5" s="5" t="s">
        <v>157</v>
      </c>
      <c r="F5" s="5" t="s">
        <v>158</v>
      </c>
      <c r="K5" s="212"/>
      <c r="L5" s="5" t="s">
        <v>159</v>
      </c>
      <c r="M5" s="5">
        <v>24</v>
      </c>
      <c r="N5" s="6" t="s">
        <v>151</v>
      </c>
    </row>
    <row r="6" spans="2:17">
      <c r="C6" s="214"/>
      <c r="D6" s="5" t="s">
        <v>160</v>
      </c>
      <c r="E6" s="5" t="s">
        <v>148</v>
      </c>
      <c r="F6" s="5"/>
      <c r="K6" s="212"/>
      <c r="L6" s="5" t="s">
        <v>161</v>
      </c>
      <c r="M6" s="5">
        <v>5701.2</v>
      </c>
      <c r="N6" s="6" t="s">
        <v>162</v>
      </c>
    </row>
    <row r="7" spans="2:17">
      <c r="C7" s="5" t="s">
        <v>163</v>
      </c>
      <c r="D7" s="5" t="s">
        <v>164</v>
      </c>
      <c r="E7" s="5" t="s">
        <v>165</v>
      </c>
      <c r="F7" s="5"/>
      <c r="K7" s="212"/>
      <c r="L7" s="5" t="s">
        <v>166</v>
      </c>
      <c r="M7" s="5">
        <v>2E-3</v>
      </c>
      <c r="N7" s="6" t="s">
        <v>151</v>
      </c>
    </row>
    <row r="8" spans="2:17">
      <c r="C8" s="214" t="s">
        <v>167</v>
      </c>
      <c r="D8" s="5" t="s">
        <v>168</v>
      </c>
      <c r="E8" s="5" t="s">
        <v>148</v>
      </c>
      <c r="F8" s="5"/>
      <c r="K8" s="212"/>
      <c r="L8" s="5" t="s">
        <v>169</v>
      </c>
      <c r="M8" s="5">
        <v>40.78</v>
      </c>
      <c r="N8" s="6" t="s">
        <v>170</v>
      </c>
    </row>
    <row r="9" spans="2:17" ht="14.4" customHeight="1">
      <c r="C9" s="214"/>
      <c r="D9" s="11" t="s">
        <v>171</v>
      </c>
      <c r="E9" s="11" t="s">
        <v>172</v>
      </c>
      <c r="F9" s="12" t="s">
        <v>173</v>
      </c>
      <c r="K9" s="212"/>
      <c r="L9" s="5" t="s">
        <v>174</v>
      </c>
      <c r="M9" s="5">
        <v>90</v>
      </c>
      <c r="N9" s="6" t="s">
        <v>170</v>
      </c>
    </row>
    <row r="10" spans="2:17" ht="14.4" customHeight="1">
      <c r="C10" s="5"/>
      <c r="D10" s="5"/>
      <c r="E10" s="5"/>
      <c r="F10" s="5"/>
      <c r="K10" s="212"/>
      <c r="L10" s="5" t="s">
        <v>175</v>
      </c>
      <c r="M10" s="5">
        <v>0</v>
      </c>
      <c r="N10" s="6" t="s">
        <v>170</v>
      </c>
      <c r="O10" t="s">
        <v>152</v>
      </c>
      <c r="P10" t="s">
        <v>176</v>
      </c>
      <c r="Q10" t="s">
        <v>177</v>
      </c>
    </row>
    <row r="11" spans="2:17" ht="14.4" customHeight="1">
      <c r="K11" s="212"/>
      <c r="L11" s="5" t="s">
        <v>178</v>
      </c>
      <c r="M11" s="5">
        <v>0</v>
      </c>
      <c r="N11" s="6" t="s">
        <v>179</v>
      </c>
    </row>
    <row r="12" spans="2:17" ht="14.4" customHeight="1">
      <c r="K12" s="211" t="s">
        <v>180</v>
      </c>
      <c r="L12" s="3" t="s">
        <v>150</v>
      </c>
      <c r="M12" s="3">
        <v>1</v>
      </c>
      <c r="N12" s="4" t="s">
        <v>151</v>
      </c>
      <c r="O12" t="s">
        <v>152</v>
      </c>
      <c r="P12" t="s">
        <v>181</v>
      </c>
    </row>
    <row r="13" spans="2:17">
      <c r="B13">
        <f>9797*0.956</f>
        <v>9365.9319999999989</v>
      </c>
      <c r="E13" t="s">
        <v>182</v>
      </c>
      <c r="F13" t="s">
        <v>183</v>
      </c>
      <c r="K13" s="212"/>
      <c r="L13" s="5" t="s">
        <v>159</v>
      </c>
      <c r="M13" s="5">
        <v>4</v>
      </c>
      <c r="N13" s="6" t="s">
        <v>151</v>
      </c>
    </row>
    <row r="14" spans="2:17">
      <c r="C14" t="s">
        <v>184</v>
      </c>
      <c r="D14">
        <f>0.9^2*6</f>
        <v>4.8600000000000003</v>
      </c>
      <c r="E14">
        <f>0.9^2*2</f>
        <v>1.62</v>
      </c>
      <c r="F14">
        <f>0.9^2</f>
        <v>0.81</v>
      </c>
      <c r="K14" s="212"/>
      <c r="L14" s="5" t="s">
        <v>161</v>
      </c>
      <c r="M14" s="5">
        <v>10000</v>
      </c>
      <c r="N14" s="6" t="s">
        <v>162</v>
      </c>
    </row>
    <row r="15" spans="2:17">
      <c r="E15" t="s">
        <v>182</v>
      </c>
      <c r="F15" s="13" t="s">
        <v>183</v>
      </c>
      <c r="K15" s="212"/>
      <c r="L15" s="5" t="s">
        <v>166</v>
      </c>
      <c r="M15" s="5">
        <v>3.7999999999999999E-2</v>
      </c>
      <c r="N15" s="6" t="s">
        <v>151</v>
      </c>
    </row>
    <row r="16" spans="2:17">
      <c r="C16" t="s">
        <v>185</v>
      </c>
      <c r="E16">
        <v>1420</v>
      </c>
      <c r="F16">
        <v>1360</v>
      </c>
      <c r="K16" s="212"/>
      <c r="L16" s="5" t="s">
        <v>169</v>
      </c>
      <c r="M16" s="5">
        <v>10</v>
      </c>
      <c r="N16" s="6" t="s">
        <v>170</v>
      </c>
    </row>
    <row r="17" spans="3:17">
      <c r="C17" s="41"/>
      <c r="K17" s="212"/>
      <c r="L17" s="5" t="s">
        <v>174</v>
      </c>
      <c r="M17" s="5">
        <v>90</v>
      </c>
      <c r="N17" s="6" t="s">
        <v>170</v>
      </c>
    </row>
    <row r="18" spans="3:17">
      <c r="C18">
        <f>0.001/(0.5*(3600*2)^2)</f>
        <v>3.8580246913580245E-11</v>
      </c>
      <c r="D18" t="s">
        <v>186</v>
      </c>
      <c r="K18" s="212"/>
      <c r="L18" s="5" t="s">
        <v>175</v>
      </c>
      <c r="M18" s="5">
        <v>30</v>
      </c>
      <c r="N18" s="6" t="s">
        <v>170</v>
      </c>
      <c r="O18" t="s">
        <v>152</v>
      </c>
      <c r="P18" t="s">
        <v>187</v>
      </c>
      <c r="Q18" t="s">
        <v>188</v>
      </c>
    </row>
    <row r="19" spans="3:17">
      <c r="C19">
        <v>380</v>
      </c>
      <c r="D19">
        <v>120</v>
      </c>
      <c r="K19" s="212"/>
      <c r="L19" s="5" t="s">
        <v>178</v>
      </c>
      <c r="M19" s="5">
        <v>0</v>
      </c>
      <c r="N19" s="6" t="s">
        <v>179</v>
      </c>
    </row>
    <row r="20" spans="3:17" ht="14.4" customHeight="1">
      <c r="C20">
        <f>5.67*10^(-8)</f>
        <v>5.6699999999999998E-8</v>
      </c>
      <c r="K20" s="211" t="s">
        <v>189</v>
      </c>
      <c r="L20" s="3" t="s">
        <v>150</v>
      </c>
      <c r="M20" s="3">
        <v>1</v>
      </c>
      <c r="N20" s="4" t="s">
        <v>151</v>
      </c>
      <c r="O20" t="s">
        <v>152</v>
      </c>
      <c r="P20" t="s">
        <v>181</v>
      </c>
    </row>
    <row r="21" spans="3:17">
      <c r="C21">
        <f>C20*C19^4</f>
        <v>1182.2721119999999</v>
      </c>
      <c r="D21" t="s">
        <v>190</v>
      </c>
      <c r="K21" s="212"/>
      <c r="L21" s="5" t="s">
        <v>159</v>
      </c>
      <c r="M21" s="5">
        <v>6</v>
      </c>
      <c r="N21" s="6" t="s">
        <v>151</v>
      </c>
    </row>
    <row r="22" spans="3:17">
      <c r="C22">
        <f>C20*D19^4</f>
        <v>11.757311999999999</v>
      </c>
      <c r="K22" s="212"/>
      <c r="L22" s="5" t="s">
        <v>161</v>
      </c>
      <c r="M22" s="5">
        <v>6541.4</v>
      </c>
      <c r="N22" s="6" t="s">
        <v>162</v>
      </c>
      <c r="O22" s="9"/>
    </row>
    <row r="23" spans="3:17">
      <c r="D23">
        <v>7000</v>
      </c>
      <c r="E23" t="s">
        <v>191</v>
      </c>
      <c r="K23" s="212"/>
      <c r="L23" s="5" t="s">
        <v>166</v>
      </c>
      <c r="M23" s="5">
        <v>0.6</v>
      </c>
      <c r="N23" s="6" t="s">
        <v>151</v>
      </c>
    </row>
    <row r="24" spans="3:17">
      <c r="D24">
        <v>1737.4</v>
      </c>
      <c r="E24" t="s">
        <v>191</v>
      </c>
      <c r="K24" s="212"/>
      <c r="L24" s="5" t="s">
        <v>169</v>
      </c>
      <c r="M24" s="5">
        <v>56.2</v>
      </c>
      <c r="N24" s="6" t="s">
        <v>170</v>
      </c>
    </row>
    <row r="25" spans="3:17">
      <c r="K25" s="212"/>
      <c r="L25" s="5" t="s">
        <v>174</v>
      </c>
      <c r="M25" s="5" t="s">
        <v>192</v>
      </c>
      <c r="N25" s="6" t="s">
        <v>170</v>
      </c>
    </row>
    <row r="26" spans="3:17">
      <c r="C26">
        <f>4*3600*800</f>
        <v>11520000</v>
      </c>
      <c r="D26">
        <f>C26/C27/1000</f>
        <v>34.491017964071858</v>
      </c>
      <c r="K26" s="212"/>
      <c r="L26" s="5" t="s">
        <v>175</v>
      </c>
      <c r="M26" s="5">
        <v>0</v>
      </c>
      <c r="N26" s="6" t="s">
        <v>170</v>
      </c>
      <c r="O26" t="s">
        <v>152</v>
      </c>
      <c r="P26" t="s">
        <v>176</v>
      </c>
      <c r="Q26" t="s">
        <v>193</v>
      </c>
    </row>
    <row r="27" spans="3:17" ht="15.6" customHeight="1">
      <c r="C27">
        <v>334</v>
      </c>
      <c r="K27" s="213"/>
      <c r="L27" s="7" t="s">
        <v>178</v>
      </c>
      <c r="M27" s="7">
        <v>0</v>
      </c>
      <c r="N27" s="8" t="s">
        <v>179</v>
      </c>
    </row>
    <row r="28" spans="3:17" ht="14.4" customHeight="1">
      <c r="K28" s="211" t="s">
        <v>194</v>
      </c>
      <c r="L28" s="5" t="s">
        <v>195</v>
      </c>
      <c r="M28" s="5">
        <f>M4+M12+M20</f>
        <v>6</v>
      </c>
      <c r="N28" s="6" t="s">
        <v>151</v>
      </c>
    </row>
    <row r="29" spans="3:17">
      <c r="K29" s="212"/>
      <c r="L29" s="5" t="s">
        <v>196</v>
      </c>
      <c r="M29" s="5">
        <v>34</v>
      </c>
      <c r="N29" s="6" t="s">
        <v>151</v>
      </c>
    </row>
    <row r="30" spans="3:17">
      <c r="K30" s="212"/>
      <c r="L30" s="5" t="s">
        <v>197</v>
      </c>
      <c r="M30" s="5">
        <f>M22*(1-M23)</f>
        <v>2616.56</v>
      </c>
      <c r="N30" s="6" t="s">
        <v>162</v>
      </c>
    </row>
    <row r="31" spans="3:17">
      <c r="K31" s="213"/>
      <c r="L31" s="7" t="s">
        <v>198</v>
      </c>
      <c r="M31" s="7">
        <f>M22*(1+M23)</f>
        <v>10466.24</v>
      </c>
      <c r="N31" s="8" t="s">
        <v>162</v>
      </c>
      <c r="P31">
        <f>1.6*M22</f>
        <v>10466.24</v>
      </c>
    </row>
    <row r="32" spans="3:17">
      <c r="P32">
        <f>6541.4*0.4</f>
        <v>2616.56</v>
      </c>
    </row>
  </sheetData>
  <mergeCells count="6">
    <mergeCell ref="K28:K31"/>
    <mergeCell ref="C4:C6"/>
    <mergeCell ref="C8:C9"/>
    <mergeCell ref="K4:K11"/>
    <mergeCell ref="K12:K19"/>
    <mergeCell ref="K20:K27"/>
  </mergeCells>
  <hyperlinks>
    <hyperlink ref="B4" r:id="rId1" xr:uid="{AA676C55-C341-4607-8D33-76699F7CA8C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0535-4E80-4C84-90C8-0CBEA4C75A39}">
  <sheetPr codeName="Sheet4"/>
  <dimension ref="A1:Y74"/>
  <sheetViews>
    <sheetView topLeftCell="E1" zoomScale="70" zoomScaleNormal="70" workbookViewId="0">
      <selection activeCell="I27" sqref="I27"/>
    </sheetView>
  </sheetViews>
  <sheetFormatPr defaultRowHeight="14.4"/>
  <cols>
    <col min="1" max="1" width="22" customWidth="1"/>
    <col min="2" max="2" width="30.44140625" customWidth="1"/>
    <col min="3" max="3" width="12.109375" bestFit="1" customWidth="1"/>
    <col min="4" max="4" width="26.44140625" customWidth="1"/>
    <col min="6" max="6" width="27" customWidth="1"/>
    <col min="7" max="7" width="14.33203125" customWidth="1"/>
    <col min="8" max="8" width="14.5546875" customWidth="1"/>
    <col min="9" max="9" width="9.33203125" customWidth="1"/>
    <col min="10" max="10" width="36" customWidth="1"/>
    <col min="11" max="11" width="17.33203125" customWidth="1"/>
    <col min="12" max="12" width="10" customWidth="1"/>
    <col min="13" max="13" width="10.5546875" bestFit="1" customWidth="1"/>
    <col min="15" max="15" width="16" customWidth="1"/>
    <col min="16" max="16" width="10.5546875" bestFit="1" customWidth="1"/>
    <col min="17" max="17" width="15.6640625" customWidth="1"/>
    <col min="18" max="18" width="19" customWidth="1"/>
    <col min="19" max="19" width="13" customWidth="1"/>
    <col min="20" max="20" width="21.5546875" customWidth="1"/>
    <col min="21" max="21" width="13.109375" customWidth="1"/>
  </cols>
  <sheetData>
    <row r="1" spans="1:25">
      <c r="A1" s="30" t="s">
        <v>199</v>
      </c>
      <c r="F1" s="30" t="s">
        <v>200</v>
      </c>
      <c r="G1" s="30" t="s">
        <v>201</v>
      </c>
      <c r="H1" t="s">
        <v>202</v>
      </c>
      <c r="J1" s="215" t="s">
        <v>203</v>
      </c>
      <c r="K1" s="215"/>
      <c r="L1" s="215"/>
      <c r="M1" s="215"/>
      <c r="O1" s="215" t="s">
        <v>204</v>
      </c>
      <c r="P1" s="215"/>
      <c r="Q1" s="215"/>
      <c r="R1" s="215"/>
      <c r="T1" s="216" t="s">
        <v>205</v>
      </c>
      <c r="U1" s="216"/>
    </row>
    <row r="2" spans="1:25">
      <c r="B2" t="s">
        <v>206</v>
      </c>
      <c r="F2" t="s">
        <v>82</v>
      </c>
      <c r="G2">
        <v>22.8</v>
      </c>
      <c r="K2" s="30" t="s">
        <v>16</v>
      </c>
      <c r="L2" s="30" t="s">
        <v>207</v>
      </c>
      <c r="M2" t="s">
        <v>208</v>
      </c>
      <c r="O2" t="s">
        <v>209</v>
      </c>
      <c r="P2" s="166">
        <v>0.95</v>
      </c>
      <c r="T2" t="s">
        <v>210</v>
      </c>
      <c r="U2" s="52">
        <f>B4/105</f>
        <v>520694.14559999993</v>
      </c>
    </row>
    <row r="3" spans="1:25" ht="28.8">
      <c r="A3" t="s">
        <v>211</v>
      </c>
      <c r="F3" t="s">
        <v>212</v>
      </c>
      <c r="G3">
        <v>22.8</v>
      </c>
      <c r="J3" s="30" t="s">
        <v>213</v>
      </c>
      <c r="K3">
        <f>34^(1+LOG(0.95)/LOG(2))</f>
        <v>26.190789297162016</v>
      </c>
      <c r="O3" t="s">
        <v>214</v>
      </c>
      <c r="P3">
        <v>483.22908843168398</v>
      </c>
      <c r="T3" s="167" t="s">
        <v>60</v>
      </c>
    </row>
    <row r="4" spans="1:25" ht="28.8">
      <c r="A4" t="s">
        <v>215</v>
      </c>
      <c r="B4" s="50">
        <f>R23</f>
        <v>54672885.287999995</v>
      </c>
      <c r="C4" t="s">
        <v>216</v>
      </c>
      <c r="F4" t="s">
        <v>20</v>
      </c>
      <c r="G4">
        <v>165.9</v>
      </c>
      <c r="J4" s="30" t="s">
        <v>217</v>
      </c>
      <c r="K4">
        <f>(289.5*G13^0.716)/1000</f>
        <v>34.816201220815572</v>
      </c>
      <c r="O4" t="s">
        <v>218</v>
      </c>
      <c r="P4">
        <v>1996.17181869611</v>
      </c>
      <c r="T4" s="167" t="s">
        <v>65</v>
      </c>
    </row>
    <row r="5" spans="1:25" ht="28.8">
      <c r="F5" t="s">
        <v>43</v>
      </c>
      <c r="G5">
        <v>25.5</v>
      </c>
      <c r="J5" s="30" t="s">
        <v>219</v>
      </c>
      <c r="K5">
        <f>K4*K3</f>
        <v>911.86379030197565</v>
      </c>
      <c r="L5" t="s">
        <v>220</v>
      </c>
      <c r="M5" s="165">
        <v>1322.09</v>
      </c>
      <c r="O5" t="s">
        <v>0</v>
      </c>
      <c r="P5" s="169">
        <f>SUM(P3:P4)</f>
        <v>2479.4009071277942</v>
      </c>
      <c r="T5" s="167" t="s">
        <v>68</v>
      </c>
    </row>
    <row r="6" spans="1:25">
      <c r="F6" t="s">
        <v>76</v>
      </c>
      <c r="G6">
        <v>44.1</v>
      </c>
      <c r="J6" s="30" t="s">
        <v>221</v>
      </c>
      <c r="K6">
        <f>(110.2*G13)/1000</f>
        <v>88.592105669245711</v>
      </c>
      <c r="L6" t="s">
        <v>220</v>
      </c>
      <c r="M6">
        <v>125.33</v>
      </c>
    </row>
    <row r="7" spans="1:25">
      <c r="F7" t="s">
        <v>89</v>
      </c>
      <c r="G7">
        <v>82.5</v>
      </c>
      <c r="K7">
        <f>105^(1+LOG(0.95)/LOG(2))</f>
        <v>74.408082986501185</v>
      </c>
      <c r="M7" s="169">
        <f>M6+M5</f>
        <v>1447.4199999999998</v>
      </c>
    </row>
    <row r="8" spans="1:25">
      <c r="F8" t="s">
        <v>222</v>
      </c>
      <c r="G8">
        <v>97.8</v>
      </c>
    </row>
    <row r="10" spans="1:25">
      <c r="F10" t="s">
        <v>223</v>
      </c>
      <c r="I10" s="52"/>
    </row>
    <row r="11" spans="1:25">
      <c r="F11" s="151" t="s">
        <v>224</v>
      </c>
      <c r="G11" s="151">
        <f>'Components Iteration'!E1</f>
        <v>913.93425339719988</v>
      </c>
      <c r="L11" t="s">
        <v>72</v>
      </c>
      <c r="M11" s="52">
        <f>R23/105*K7/1000000</f>
        <v>38.74385319639012</v>
      </c>
    </row>
    <row r="12" spans="1:25">
      <c r="F12" s="151" t="s">
        <v>225</v>
      </c>
      <c r="G12" s="151">
        <f>'Components Iteration'!E2</f>
        <v>669.93425339719988</v>
      </c>
      <c r="L12" t="s">
        <v>226</v>
      </c>
      <c r="M12" s="50">
        <f>189*G22*K3/1000*H24</f>
        <v>203.2929903350973</v>
      </c>
    </row>
    <row r="13" spans="1:25">
      <c r="F13" s="151" t="s">
        <v>2</v>
      </c>
      <c r="G13" s="151">
        <f>'Components Iteration'!E3</f>
        <v>803.92110407663984</v>
      </c>
    </row>
    <row r="14" spans="1:25">
      <c r="I14" s="1" t="s">
        <v>227</v>
      </c>
    </row>
    <row r="15" spans="1:25">
      <c r="G15" t="s">
        <v>7</v>
      </c>
      <c r="H15" t="s">
        <v>228</v>
      </c>
      <c r="I15" t="s">
        <v>229</v>
      </c>
      <c r="J15" t="s">
        <v>228</v>
      </c>
      <c r="T15" s="30" t="s">
        <v>230</v>
      </c>
      <c r="Y15" t="s">
        <v>112</v>
      </c>
    </row>
    <row r="16" spans="1:25">
      <c r="F16" t="s">
        <v>231</v>
      </c>
      <c r="G16" s="189">
        <f>(G56+G65)*1.2</f>
        <v>385.22399999999999</v>
      </c>
      <c r="H16">
        <f>22.6*G16*K3/1000*H24</f>
        <v>314.66573137835564</v>
      </c>
      <c r="I16">
        <v>0.21</v>
      </c>
      <c r="J16">
        <f>H16*I16</f>
        <v>66.079803589454684</v>
      </c>
      <c r="O16" t="s">
        <v>232</v>
      </c>
      <c r="Q16" s="193">
        <f>1/(10^(-7))</f>
        <v>10000000</v>
      </c>
      <c r="R16">
        <v>100</v>
      </c>
      <c r="T16" t="s">
        <v>212</v>
      </c>
      <c r="Y16">
        <v>3</v>
      </c>
    </row>
    <row r="17" spans="1:25">
      <c r="F17" t="s">
        <v>40</v>
      </c>
      <c r="G17" s="189">
        <f>G34*1.2</f>
        <v>10.799999999999999</v>
      </c>
      <c r="H17">
        <f>(75*G17^1.35+658)*K3/1000*H24</f>
        <v>91.112655144895697</v>
      </c>
      <c r="J17">
        <f>0.854*K3</f>
        <v>22.366934059776362</v>
      </c>
      <c r="O17" t="s">
        <v>233</v>
      </c>
      <c r="Q17" s="192">
        <f>1/(1.5*10^-9)</f>
        <v>666666666.66666663</v>
      </c>
      <c r="R17">
        <v>1000</v>
      </c>
      <c r="T17" t="s">
        <v>82</v>
      </c>
      <c r="Y17">
        <v>8</v>
      </c>
    </row>
    <row r="18" spans="1:25">
      <c r="F18" t="s">
        <v>20</v>
      </c>
      <c r="G18" s="189">
        <f>G32*1.2</f>
        <v>29.335199999999997</v>
      </c>
      <c r="H18">
        <f>795*G18^0.593*K3/1000*H24</f>
        <v>213.08678184238568</v>
      </c>
      <c r="I18">
        <v>0.36</v>
      </c>
      <c r="J18">
        <f>H18*I18</f>
        <v>76.711241463258844</v>
      </c>
      <c r="O18" t="s">
        <v>234</v>
      </c>
      <c r="P18" t="s">
        <v>235</v>
      </c>
      <c r="Q18" s="193">
        <f>1/((1.8*10^(-9))/(12*3600))</f>
        <v>23999999999999.996</v>
      </c>
      <c r="R18">
        <v>3000</v>
      </c>
      <c r="T18" t="s">
        <v>20</v>
      </c>
      <c r="Y18">
        <v>14</v>
      </c>
    </row>
    <row r="19" spans="1:25">
      <c r="F19" t="s">
        <v>43</v>
      </c>
      <c r="G19" s="189">
        <f>G40*1.2</f>
        <v>267.84743999999995</v>
      </c>
      <c r="H19">
        <f>32.4*G19*K3/1000*H24</f>
        <v>313.66075478802162</v>
      </c>
      <c r="I19">
        <v>0.31</v>
      </c>
      <c r="J19">
        <f>H19*I19</f>
        <v>97.234833984286695</v>
      </c>
      <c r="O19" t="s">
        <v>236</v>
      </c>
      <c r="P19" t="s">
        <v>237</v>
      </c>
      <c r="Q19">
        <f>1/((2*10^(-9))/(24*3600))</f>
        <v>43199999999999.992</v>
      </c>
      <c r="R19">
        <v>20000</v>
      </c>
      <c r="T19" t="s">
        <v>43</v>
      </c>
      <c r="Y19">
        <v>20</v>
      </c>
    </row>
    <row r="20" spans="1:25">
      <c r="F20" t="s">
        <v>89</v>
      </c>
      <c r="G20" s="189">
        <f>G61*1.2</f>
        <v>12.842464076640001</v>
      </c>
      <c r="H20">
        <f>883.7*G20^0.491*K3/1000*H24</f>
        <v>111.86104512648339</v>
      </c>
      <c r="I20">
        <v>0.18</v>
      </c>
      <c r="J20">
        <f>H20*I20</f>
        <v>20.134988122767009</v>
      </c>
      <c r="Q20">
        <f>1/(1*10^-9/(10*24*3600))</f>
        <v>863999999999999.88</v>
      </c>
      <c r="R20" s="51">
        <f>313.53*EXP((1*10^-13)*Q20)</f>
        <v>1.0454959117121174E+40</v>
      </c>
      <c r="T20" t="s">
        <v>89</v>
      </c>
      <c r="Y20">
        <v>10</v>
      </c>
    </row>
    <row r="21" spans="1:25">
      <c r="F21" t="s">
        <v>76</v>
      </c>
      <c r="G21" s="189">
        <f>(G47+G48+G49)*1.2+G46</f>
        <v>254.87199999999999</v>
      </c>
      <c r="H21">
        <f>20*(0.174*10^(6))^0.485*K3/1000*H24</f>
        <v>251.60777324024434</v>
      </c>
      <c r="I21">
        <v>0.22</v>
      </c>
      <c r="J21">
        <f>H21*I21</f>
        <v>55.353710112853754</v>
      </c>
      <c r="T21" t="s">
        <v>76</v>
      </c>
      <c r="Y21">
        <v>8</v>
      </c>
    </row>
    <row r="22" spans="1:25">
      <c r="F22" t="s">
        <v>59</v>
      </c>
      <c r="G22" s="189">
        <f>SUM(G41:G43)*1.2</f>
        <v>29.759999999999998</v>
      </c>
      <c r="H22" s="52">
        <f>M11+M12</f>
        <v>242.03684353148742</v>
      </c>
      <c r="I22" t="s">
        <v>238</v>
      </c>
      <c r="J22">
        <f>189*G22*K3/1000*H24*0.39+Q26*K7*H24/1000000</f>
        <v>79.634372907543508</v>
      </c>
      <c r="O22" t="s">
        <v>239</v>
      </c>
      <c r="P22" t="s">
        <v>240</v>
      </c>
      <c r="R22" s="50">
        <f>4*10^-10*Q20-769.44</f>
        <v>344830.55999999994</v>
      </c>
      <c r="T22" t="s">
        <v>241</v>
      </c>
      <c r="Y22">
        <v>17</v>
      </c>
    </row>
    <row r="23" spans="1:25">
      <c r="F23" s="30" t="s">
        <v>114</v>
      </c>
      <c r="H23">
        <f>SUM(H16:H22)</f>
        <v>1538.0315850518737</v>
      </c>
      <c r="I23" s="168">
        <f>H23</f>
        <v>1538.0315850518737</v>
      </c>
      <c r="J23" s="170">
        <f>I23/34</f>
        <v>45.23622308976099</v>
      </c>
      <c r="K23">
        <f>SUM(H16:H21)/34</f>
        <v>38.117492397658417</v>
      </c>
      <c r="Q23" s="191">
        <f>R22*105</f>
        <v>36207208.799999997</v>
      </c>
      <c r="R23" s="52">
        <f>Q23*R24</f>
        <v>54672885.287999995</v>
      </c>
      <c r="T23" t="s">
        <v>242</v>
      </c>
      <c r="Y23">
        <v>20</v>
      </c>
    </row>
    <row r="24" spans="1:25">
      <c r="G24" t="s">
        <v>243</v>
      </c>
      <c r="H24">
        <v>1.38</v>
      </c>
      <c r="I24" s="30"/>
      <c r="J24" s="170">
        <f>T47/34</f>
        <v>45.203106140234674</v>
      </c>
      <c r="O24" s="52">
        <f>R23/35*K3*H24/1000000</f>
        <v>56.458797314496145</v>
      </c>
      <c r="R24" s="190">
        <v>1.51</v>
      </c>
      <c r="T24" t="s">
        <v>114</v>
      </c>
    </row>
    <row r="25" spans="1:25">
      <c r="F25" t="s">
        <v>244</v>
      </c>
      <c r="G25" t="s">
        <v>245</v>
      </c>
      <c r="H25" t="s">
        <v>246</v>
      </c>
      <c r="J25">
        <f>SUM(N40:N46)/35</f>
        <v>17.965827749785547</v>
      </c>
      <c r="L25" t="s">
        <v>246</v>
      </c>
      <c r="M25" t="s">
        <v>247</v>
      </c>
      <c r="O25" s="52"/>
      <c r="R25" s="52"/>
    </row>
    <row r="26" spans="1:25">
      <c r="G26">
        <f>0.124*H23</f>
        <v>190.71591654643234</v>
      </c>
      <c r="H26" s="30">
        <f>G26*H24</f>
        <v>263.18796483407658</v>
      </c>
      <c r="I26">
        <f>0.34*H26</f>
        <v>89.483908043586041</v>
      </c>
      <c r="K26" t="s">
        <v>248</v>
      </c>
      <c r="L26" s="165">
        <f>J28+H27+H26+I23+'Launch vehicle'!E9</f>
        <v>6189.0161221833469</v>
      </c>
      <c r="M26">
        <f>SUM(J16:J22)+I26+I27+K28+'Launch vehicle'!F9</f>
        <v>1460.605035357876</v>
      </c>
      <c r="P26" t="s">
        <v>249</v>
      </c>
      <c r="Q26" s="30">
        <f>INDEX(LINEST(R16:R19, Q16:Q19, TRUE, TRUE),2,2)</f>
        <v>3409.5824041195733</v>
      </c>
    </row>
    <row r="27" spans="1:25" ht="15" thickBot="1">
      <c r="D27" s="51"/>
      <c r="F27" t="s">
        <v>250</v>
      </c>
      <c r="G27">
        <f>1.022*G13</f>
        <v>821.60736836632589</v>
      </c>
      <c r="H27" s="30">
        <f>G27*H24</f>
        <v>1133.8181683455296</v>
      </c>
      <c r="I27">
        <f>0.25*H27</f>
        <v>283.45454208638239</v>
      </c>
      <c r="J27" t="s">
        <v>251</v>
      </c>
      <c r="Q27">
        <f>Q26*K7/1000</f>
        <v>253.70049047504341</v>
      </c>
      <c r="U27">
        <f>SUM(U16:U23)</f>
        <v>0</v>
      </c>
    </row>
    <row r="28" spans="1:25">
      <c r="A28" s="30" t="s">
        <v>252</v>
      </c>
      <c r="F28" s="157" t="s">
        <v>20</v>
      </c>
      <c r="G28" s="158">
        <f>'Components Iteration'!E6</f>
        <v>20</v>
      </c>
      <c r="J28" s="30">
        <f>5.85*K3*12*H24</f>
        <v>2537.2589039518671</v>
      </c>
      <c r="K28">
        <f>0.25*J28</f>
        <v>634.31472598796677</v>
      </c>
    </row>
    <row r="29" spans="1:25">
      <c r="C29" t="s">
        <v>183</v>
      </c>
      <c r="D29" t="s">
        <v>182</v>
      </c>
      <c r="F29" s="159" t="s">
        <v>20</v>
      </c>
      <c r="G29" s="160">
        <f>'Components Iteration'!E7</f>
        <v>1.88</v>
      </c>
    </row>
    <row r="30" spans="1:25">
      <c r="A30" t="s">
        <v>253</v>
      </c>
      <c r="B30">
        <v>2802.4</v>
      </c>
      <c r="C30" s="149">
        <f>B30*10^(-3)*235</f>
        <v>658.56399999999996</v>
      </c>
      <c r="D30" s="149">
        <f>B30*10^(-3)*1179</f>
        <v>3304.0295999999998</v>
      </c>
      <c r="F30" s="159" t="s">
        <v>20</v>
      </c>
      <c r="G30" s="160">
        <f>'Components Iteration'!E8</f>
        <v>0.75</v>
      </c>
      <c r="K30" t="s">
        <v>254</v>
      </c>
      <c r="L30">
        <v>1.77</v>
      </c>
      <c r="R30">
        <f>3.76*2.19*2419*0.92/1000*2.17*K3</f>
        <v>1041.5112755322716</v>
      </c>
    </row>
    <row r="31" spans="1:25">
      <c r="A31" t="s">
        <v>255</v>
      </c>
      <c r="B31">
        <v>5761</v>
      </c>
      <c r="C31" s="149">
        <f>B31*10^(-3)*235</f>
        <v>1353.835</v>
      </c>
      <c r="D31" s="149">
        <f>B31*10^(-3)*1179</f>
        <v>6792.2190000000001</v>
      </c>
      <c r="F31" s="159" t="s">
        <v>20</v>
      </c>
      <c r="G31" s="160">
        <f>'Components Iteration'!E9</f>
        <v>1.8160000000000001</v>
      </c>
      <c r="K31" t="s">
        <v>256</v>
      </c>
      <c r="L31">
        <v>2.2046226199999999</v>
      </c>
    </row>
    <row r="32" spans="1:25">
      <c r="A32" t="s">
        <v>257</v>
      </c>
      <c r="B32" t="s">
        <v>258</v>
      </c>
      <c r="F32" s="161" t="s">
        <v>259</v>
      </c>
      <c r="G32" s="162">
        <f>SUM(G28:G31)</f>
        <v>24.445999999999998</v>
      </c>
      <c r="H32">
        <f>G32/669.934</f>
        <v>3.6490161717422906E-2</v>
      </c>
    </row>
    <row r="33" spans="1:21">
      <c r="F33" s="159" t="s">
        <v>40</v>
      </c>
      <c r="G33" s="160">
        <f>'Components Iteration'!E10</f>
        <v>9</v>
      </c>
      <c r="J33" t="s">
        <v>260</v>
      </c>
      <c r="K33" s="1" t="s">
        <v>261</v>
      </c>
    </row>
    <row r="34" spans="1:21">
      <c r="F34" s="161" t="s">
        <v>262</v>
      </c>
      <c r="G34" s="162">
        <f>SUM(G33)</f>
        <v>9</v>
      </c>
      <c r="H34">
        <f>G34/669.934</f>
        <v>1.3434159185830246E-2</v>
      </c>
      <c r="K34" t="s">
        <v>263</v>
      </c>
      <c r="L34" t="s">
        <v>229</v>
      </c>
    </row>
    <row r="35" spans="1:21">
      <c r="A35" s="30" t="s">
        <v>264</v>
      </c>
      <c r="B35" s="30">
        <v>0</v>
      </c>
      <c r="F35" s="159" t="s">
        <v>43</v>
      </c>
      <c r="G35" s="160">
        <f>'Components Iteration'!E11</f>
        <v>18.2</v>
      </c>
      <c r="K35" t="s">
        <v>265</v>
      </c>
      <c r="L35" t="s">
        <v>265</v>
      </c>
      <c r="O35">
        <f>K37/34*K3</f>
        <v>38.084375448132114</v>
      </c>
    </row>
    <row r="36" spans="1:21">
      <c r="A36" s="30"/>
      <c r="F36" s="159" t="s">
        <v>43</v>
      </c>
      <c r="G36" s="160">
        <f>'Components Iteration'!E12</f>
        <v>100</v>
      </c>
      <c r="K36">
        <v>15.76</v>
      </c>
      <c r="L36">
        <v>2.27</v>
      </c>
    </row>
    <row r="37" spans="1:21">
      <c r="A37" s="30" t="s">
        <v>266</v>
      </c>
      <c r="B37" t="s">
        <v>267</v>
      </c>
      <c r="F37" s="159" t="s">
        <v>43</v>
      </c>
      <c r="G37" s="160">
        <f>'Components Iteration'!E13</f>
        <v>48</v>
      </c>
      <c r="J37" t="s">
        <v>268</v>
      </c>
      <c r="K37">
        <f>L31*'Components Iteration'!E3*'Cost estimation'!K36/1000*L30</f>
        <v>49.439852710998721</v>
      </c>
      <c r="L37">
        <f>L31*'Components Iteration'!E3*'Cost estimation'!L36/1000*L30</f>
        <v>7.1210955364192321</v>
      </c>
      <c r="M37" t="s">
        <v>246</v>
      </c>
    </row>
    <row r="38" spans="1:21">
      <c r="B38">
        <f>2419*150</f>
        <v>362850</v>
      </c>
      <c r="C38" s="1" t="s">
        <v>269</v>
      </c>
      <c r="F38" s="159" t="s">
        <v>43</v>
      </c>
      <c r="G38" s="160">
        <f>'Components Iteration'!E14</f>
        <v>29.64</v>
      </c>
      <c r="J38" t="s">
        <v>270</v>
      </c>
      <c r="K38">
        <f>K37*K3</f>
        <v>1294.8687652364918</v>
      </c>
      <c r="L38">
        <f>L37*K3</f>
        <v>186.50711275931704</v>
      </c>
      <c r="M38" t="s">
        <v>246</v>
      </c>
      <c r="T38" t="s">
        <v>263</v>
      </c>
      <c r="U38" t="s">
        <v>229</v>
      </c>
    </row>
    <row r="39" spans="1:21">
      <c r="A39" t="s">
        <v>271</v>
      </c>
      <c r="B39">
        <v>2419</v>
      </c>
      <c r="F39" s="159" t="s">
        <v>43</v>
      </c>
      <c r="G39" s="160">
        <f>'Components Iteration'!E15</f>
        <v>27.366199999999999</v>
      </c>
      <c r="J39" s="30" t="s">
        <v>272</v>
      </c>
      <c r="K39" t="s">
        <v>273</v>
      </c>
      <c r="L39" t="s">
        <v>265</v>
      </c>
      <c r="M39" t="s">
        <v>265</v>
      </c>
      <c r="N39" t="s">
        <v>274</v>
      </c>
      <c r="O39" s="47"/>
      <c r="P39" s="47" t="s">
        <v>263</v>
      </c>
      <c r="Q39" s="47" t="s">
        <v>229</v>
      </c>
      <c r="R39" s="47" t="s">
        <v>263</v>
      </c>
      <c r="S39" s="47" t="s">
        <v>229</v>
      </c>
      <c r="T39" s="47" t="s">
        <v>246</v>
      </c>
      <c r="U39" s="47" t="s">
        <v>246</v>
      </c>
    </row>
    <row r="40" spans="1:21">
      <c r="F40" s="161" t="s">
        <v>275</v>
      </c>
      <c r="G40" s="162">
        <f>SUM(G35:G39)</f>
        <v>223.20619999999997</v>
      </c>
      <c r="H40">
        <f>G40/669.934</f>
        <v>0.33317640245158475</v>
      </c>
      <c r="J40" t="s">
        <v>20</v>
      </c>
      <c r="K40">
        <f>G32*1.2</f>
        <v>29.335199999999997</v>
      </c>
      <c r="L40">
        <v>46.07</v>
      </c>
      <c r="M40">
        <v>23.19</v>
      </c>
      <c r="N40">
        <f t="shared" ref="N40:N46" si="0">$L$30*K40*L40*$K$3/1000</f>
        <v>62.651160337145875</v>
      </c>
      <c r="O40" s="173" t="s">
        <v>20</v>
      </c>
      <c r="P40" s="174">
        <v>0.13600000000000001</v>
      </c>
      <c r="Q40" s="174">
        <v>2.4E-2</v>
      </c>
      <c r="R40" s="174">
        <f t="shared" ref="R40:S45" si="1">P40/$P$58</f>
        <v>0.21553090332805072</v>
      </c>
      <c r="S40" s="174">
        <f t="shared" si="1"/>
        <v>3.8034865293185421E-2</v>
      </c>
      <c r="T40" s="47">
        <f t="shared" ref="T40:U45" si="2">R40*$K$38</f>
        <v>279.08423466269869</v>
      </c>
      <c r="U40" s="47">
        <f t="shared" si="2"/>
        <v>49.250159058123302</v>
      </c>
    </row>
    <row r="41" spans="1:21">
      <c r="F41" s="159" t="s">
        <v>59</v>
      </c>
      <c r="G41" s="160">
        <f>'Components Iteration'!E16</f>
        <v>12</v>
      </c>
      <c r="J41" t="s">
        <v>276</v>
      </c>
      <c r="K41">
        <f>G34*1.2</f>
        <v>10.799999999999999</v>
      </c>
      <c r="L41">
        <v>62.17</v>
      </c>
      <c r="M41">
        <v>29.02</v>
      </c>
      <c r="N41">
        <f t="shared" si="0"/>
        <v>31.126226680476819</v>
      </c>
      <c r="O41" s="173" t="s">
        <v>43</v>
      </c>
      <c r="P41" s="174">
        <v>0.21</v>
      </c>
      <c r="Q41" s="174">
        <v>3.2000000000000001E-2</v>
      </c>
      <c r="R41" s="174">
        <f t="shared" si="1"/>
        <v>0.3328050713153724</v>
      </c>
      <c r="S41" s="174">
        <f t="shared" si="1"/>
        <v>5.0713153724247229E-2</v>
      </c>
      <c r="T41" s="47">
        <f t="shared" si="2"/>
        <v>430.93889175857885</v>
      </c>
      <c r="U41" s="47">
        <f t="shared" si="2"/>
        <v>65.666878744164407</v>
      </c>
    </row>
    <row r="42" spans="1:21">
      <c r="F42" s="159" t="s">
        <v>59</v>
      </c>
      <c r="G42" s="160">
        <f>'Components Iteration'!E17</f>
        <v>7.6</v>
      </c>
      <c r="J42" t="s">
        <v>43</v>
      </c>
      <c r="K42">
        <f>G40*1.2</f>
        <v>267.84743999999995</v>
      </c>
      <c r="L42">
        <v>13.32</v>
      </c>
      <c r="M42">
        <v>8.64</v>
      </c>
      <c r="N42">
        <f t="shared" si="0"/>
        <v>165.39164920344231</v>
      </c>
      <c r="O42" s="173" t="s">
        <v>277</v>
      </c>
      <c r="P42" s="174">
        <v>7.6999999999999999E-2</v>
      </c>
      <c r="Q42" s="174">
        <v>1.4999999999999999E-2</v>
      </c>
      <c r="R42" s="174">
        <f t="shared" si="1"/>
        <v>0.12202852614896989</v>
      </c>
      <c r="S42" s="174">
        <f t="shared" si="1"/>
        <v>2.3771790808240885E-2</v>
      </c>
      <c r="T42" s="47">
        <f t="shared" si="2"/>
        <v>158.01092697814559</v>
      </c>
      <c r="U42" s="47">
        <f t="shared" si="2"/>
        <v>30.78134941132706</v>
      </c>
    </row>
    <row r="43" spans="1:21">
      <c r="A43" s="30" t="s">
        <v>89</v>
      </c>
      <c r="F43" s="159" t="s">
        <v>59</v>
      </c>
      <c r="G43" s="160">
        <f>'Components Iteration'!E18</f>
        <v>5.2</v>
      </c>
      <c r="J43" t="s">
        <v>277</v>
      </c>
      <c r="K43">
        <f>G21</f>
        <v>254.87199999999999</v>
      </c>
      <c r="L43">
        <v>14.91</v>
      </c>
      <c r="M43">
        <v>6.6</v>
      </c>
      <c r="N43">
        <f t="shared" si="0"/>
        <v>176.16580935399907</v>
      </c>
      <c r="O43" s="173" t="s">
        <v>82</v>
      </c>
      <c r="P43" s="174">
        <v>7.5999999999999998E-2</v>
      </c>
      <c r="Q43" s="174">
        <v>5.3999999999999999E-2</v>
      </c>
      <c r="R43" s="174">
        <f t="shared" si="1"/>
        <v>0.12044374009508715</v>
      </c>
      <c r="S43" s="174">
        <f t="shared" si="1"/>
        <v>8.5578446909667191E-2</v>
      </c>
      <c r="T43" s="47">
        <f t="shared" si="2"/>
        <v>155.95883701739044</v>
      </c>
      <c r="U43" s="47">
        <f t="shared" si="2"/>
        <v>110.81285788077741</v>
      </c>
    </row>
    <row r="44" spans="1:21">
      <c r="A44" t="s">
        <v>278</v>
      </c>
      <c r="B44" t="s">
        <v>279</v>
      </c>
      <c r="C44" s="30">
        <v>11200</v>
      </c>
      <c r="D44" s="30" t="s">
        <v>280</v>
      </c>
      <c r="F44" s="159" t="s">
        <v>59</v>
      </c>
      <c r="G44" s="160">
        <f>'Components Iteration'!E19</f>
        <v>47.7</v>
      </c>
      <c r="J44" t="s">
        <v>82</v>
      </c>
      <c r="K44">
        <f>G56*1.2</f>
        <v>327.68399999999997</v>
      </c>
      <c r="L44">
        <v>8.6</v>
      </c>
      <c r="M44">
        <v>5.2</v>
      </c>
      <c r="N44">
        <f t="shared" si="0"/>
        <v>130.63981017797994</v>
      </c>
      <c r="O44" s="173" t="s">
        <v>212</v>
      </c>
      <c r="P44" s="174">
        <v>3.1E-2</v>
      </c>
      <c r="Q44" s="174">
        <v>3.0000000000000001E-3</v>
      </c>
      <c r="R44" s="174">
        <f t="shared" si="1"/>
        <v>4.9128367670364499E-2</v>
      </c>
      <c r="S44" s="174">
        <f t="shared" si="1"/>
        <v>4.7543581616481777E-3</v>
      </c>
      <c r="T44" s="47">
        <f t="shared" si="2"/>
        <v>63.61478878340926</v>
      </c>
      <c r="U44" s="47">
        <f t="shared" si="2"/>
        <v>6.1562698822654127</v>
      </c>
    </row>
    <row r="45" spans="1:21">
      <c r="F45" s="161" t="s">
        <v>281</v>
      </c>
      <c r="G45" s="162">
        <f>SUM(G41:G44)</f>
        <v>72.5</v>
      </c>
      <c r="H45">
        <f>G45/669.934</f>
        <v>0.10821961566363254</v>
      </c>
      <c r="J45" t="s">
        <v>212</v>
      </c>
      <c r="K45">
        <f>G65*1.2</f>
        <v>57.54</v>
      </c>
      <c r="L45">
        <v>12.33</v>
      </c>
      <c r="M45">
        <v>20.78</v>
      </c>
      <c r="N45">
        <f t="shared" si="0"/>
        <v>32.889311886449143</v>
      </c>
      <c r="O45" s="173" t="s">
        <v>89</v>
      </c>
      <c r="P45" s="174">
        <v>0.10100000000000001</v>
      </c>
      <c r="Q45" s="174">
        <v>3.5999999999999997E-2</v>
      </c>
      <c r="R45" s="174">
        <f t="shared" si="1"/>
        <v>0.16006339144215531</v>
      </c>
      <c r="S45" s="174">
        <f t="shared" si="1"/>
        <v>5.7052297939778125E-2</v>
      </c>
      <c r="T45" s="47">
        <f t="shared" si="2"/>
        <v>207.26108603626889</v>
      </c>
      <c r="U45" s="47">
        <f t="shared" si="2"/>
        <v>73.875238587184938</v>
      </c>
    </row>
    <row r="46" spans="1:21">
      <c r="F46" s="159" t="s">
        <v>282</v>
      </c>
      <c r="G46" s="160">
        <f>'Components Iteration'!E20</f>
        <v>244</v>
      </c>
      <c r="J46" t="s">
        <v>89</v>
      </c>
      <c r="K46">
        <f>G61*1.2</f>
        <v>12.842464076640001</v>
      </c>
      <c r="L46">
        <v>50.29</v>
      </c>
      <c r="M46">
        <v>30.1</v>
      </c>
      <c r="N46">
        <f t="shared" si="0"/>
        <v>29.940003603001053</v>
      </c>
      <c r="O46" s="173" t="s">
        <v>59</v>
      </c>
      <c r="P46" s="174"/>
      <c r="Q46" s="174"/>
      <c r="R46" s="47"/>
      <c r="S46" s="47"/>
      <c r="T46" s="179">
        <f>M11+M12</f>
        <v>242.03684353148742</v>
      </c>
      <c r="U46" s="47">
        <f>189*G22*K3/1000*H24*0.39+Q26*3*K3*H24/1000000</f>
        <v>79.653966799645644</v>
      </c>
    </row>
    <row r="47" spans="1:21">
      <c r="A47" s="30" t="s">
        <v>76</v>
      </c>
      <c r="F47" s="159" t="s">
        <v>76</v>
      </c>
      <c r="G47" s="160">
        <f>'Components Iteration'!E21</f>
        <v>3.4799999999999995</v>
      </c>
      <c r="H47">
        <f>G47/669.934</f>
        <v>5.1945415518543613E-3</v>
      </c>
      <c r="J47" t="s">
        <v>241</v>
      </c>
      <c r="L47">
        <v>0.33</v>
      </c>
      <c r="M47">
        <v>0.24</v>
      </c>
      <c r="O47" s="175" t="s">
        <v>283</v>
      </c>
      <c r="P47" s="176"/>
      <c r="Q47" s="176"/>
      <c r="R47" s="177"/>
      <c r="S47" s="177"/>
      <c r="T47" s="178">
        <f>SUM(T40:T46)</f>
        <v>1536.9056087679789</v>
      </c>
      <c r="U47" s="177">
        <f>SUM(U40:U46)</f>
        <v>416.19672036348811</v>
      </c>
    </row>
    <row r="48" spans="1:21">
      <c r="F48" s="159" t="s">
        <v>76</v>
      </c>
      <c r="G48" s="160">
        <f>'Components Iteration'!E22</f>
        <v>1.18</v>
      </c>
      <c r="H48">
        <f>G48/669.934</f>
        <v>1.7613675376977433E-3</v>
      </c>
      <c r="J48" t="s">
        <v>242</v>
      </c>
      <c r="L48">
        <v>0.36</v>
      </c>
      <c r="M48">
        <v>0.17</v>
      </c>
      <c r="O48" s="173" t="s">
        <v>241</v>
      </c>
      <c r="P48" s="174">
        <v>0.16900000000000001</v>
      </c>
      <c r="Q48" s="174">
        <v>4.2000000000000003E-2</v>
      </c>
      <c r="R48" s="47"/>
      <c r="S48" s="47"/>
      <c r="T48" s="47">
        <f>$T$47*P48</f>
        <v>259.73704788178844</v>
      </c>
      <c r="U48" s="47">
        <f>Q48*$T$47</f>
        <v>64.550035568255126</v>
      </c>
    </row>
    <row r="49" spans="1:21">
      <c r="A49" t="s">
        <v>284</v>
      </c>
      <c r="B49">
        <f>1000*174</f>
        <v>174000</v>
      </c>
      <c r="C49">
        <f>2000*174</f>
        <v>348000</v>
      </c>
      <c r="F49" s="159" t="s">
        <v>76</v>
      </c>
      <c r="G49" s="160">
        <f>'Components Iteration'!E23</f>
        <v>4.4000000000000004</v>
      </c>
      <c r="H49">
        <f>G49/669.934</f>
        <v>6.5678111575170096E-3</v>
      </c>
      <c r="O49" s="173" t="s">
        <v>242</v>
      </c>
      <c r="P49" s="174">
        <v>0.2</v>
      </c>
      <c r="Q49" s="174">
        <v>7.9000000000000001E-2</v>
      </c>
      <c r="R49" s="47"/>
      <c r="S49" s="47"/>
      <c r="T49" s="47">
        <f>$T$47*P49</f>
        <v>307.38112175359583</v>
      </c>
      <c r="U49" s="47">
        <f>Q49*$T$47</f>
        <v>121.41554309267033</v>
      </c>
    </row>
    <row r="50" spans="1:21">
      <c r="A50" t="s">
        <v>285</v>
      </c>
      <c r="F50" s="161" t="s">
        <v>286</v>
      </c>
      <c r="G50" s="162">
        <f>SUM(G46:G49)</f>
        <v>253.06</v>
      </c>
      <c r="O50" t="s">
        <v>287</v>
      </c>
    </row>
    <row r="51" spans="1:21">
      <c r="F51" s="159" t="s">
        <v>82</v>
      </c>
      <c r="G51" s="160">
        <f>'Components Iteration'!E24</f>
        <v>14.87</v>
      </c>
      <c r="O51" t="s">
        <v>288</v>
      </c>
      <c r="P51" s="172"/>
    </row>
    <row r="52" spans="1:21">
      <c r="F52" s="159" t="s">
        <v>82</v>
      </c>
      <c r="G52" s="160">
        <f>'Components Iteration'!E25</f>
        <v>3</v>
      </c>
      <c r="O52" t="s">
        <v>289</v>
      </c>
    </row>
    <row r="53" spans="1:21">
      <c r="F53" s="159" t="s">
        <v>82</v>
      </c>
      <c r="G53" s="160">
        <f>'Components Iteration'!E26</f>
        <v>10</v>
      </c>
    </row>
    <row r="54" spans="1:21">
      <c r="F54" s="159" t="s">
        <v>82</v>
      </c>
      <c r="G54" s="160">
        <f>'Components Iteration'!E28</f>
        <v>10</v>
      </c>
    </row>
    <row r="55" spans="1:21">
      <c r="F55" s="159" t="s">
        <v>82</v>
      </c>
      <c r="G55" s="160">
        <f>'Components Iteration'!E27</f>
        <v>235.2</v>
      </c>
    </row>
    <row r="56" spans="1:21">
      <c r="F56" s="161" t="s">
        <v>290</v>
      </c>
      <c r="G56" s="162">
        <f>SUM(G51:G55)</f>
        <v>273.07</v>
      </c>
      <c r="H56">
        <f>G56/669.934</f>
        <v>0.40760731654162946</v>
      </c>
    </row>
    <row r="57" spans="1:21">
      <c r="F57" s="159" t="s">
        <v>89</v>
      </c>
      <c r="G57" s="160">
        <f>'Components Iteration'!E29</f>
        <v>2.5112033972000001</v>
      </c>
    </row>
    <row r="58" spans="1:21">
      <c r="F58" s="159" t="s">
        <v>89</v>
      </c>
      <c r="G58" s="160">
        <f>'Components Iteration'!E30</f>
        <v>0.19084999999999999</v>
      </c>
      <c r="P58" s="172">
        <f>SUM(P40:P45)</f>
        <v>0.63100000000000001</v>
      </c>
    </row>
    <row r="59" spans="1:21">
      <c r="F59" s="159" t="s">
        <v>97</v>
      </c>
      <c r="G59" s="160">
        <f>'Components Iteration'!E31</f>
        <v>4</v>
      </c>
    </row>
    <row r="60" spans="1:21">
      <c r="F60" s="159" t="s">
        <v>97</v>
      </c>
      <c r="G60" s="160">
        <f>'Components Iteration'!E32</f>
        <v>4</v>
      </c>
    </row>
    <row r="61" spans="1:21">
      <c r="F61" s="161" t="s">
        <v>291</v>
      </c>
      <c r="G61" s="162">
        <f>SUM(G57:G60)</f>
        <v>10.7020533972</v>
      </c>
      <c r="H61">
        <f>G61/669.934</f>
        <v>1.5974787661471132E-2</v>
      </c>
    </row>
    <row r="62" spans="1:21">
      <c r="F62" s="159" t="s">
        <v>102</v>
      </c>
      <c r="G62" s="160">
        <f>'Components Iteration'!E33</f>
        <v>11.85</v>
      </c>
    </row>
    <row r="63" spans="1:21">
      <c r="F63" s="159" t="s">
        <v>102</v>
      </c>
      <c r="G63" s="160">
        <f>'Components Iteration'!E34</f>
        <v>1.1000000000000001</v>
      </c>
    </row>
    <row r="64" spans="1:21">
      <c r="F64" s="159" t="s">
        <v>102</v>
      </c>
      <c r="G64" s="160">
        <f>'Components Iteration'!E35</f>
        <v>35</v>
      </c>
    </row>
    <row r="65" spans="1:15" ht="15" thickBot="1">
      <c r="F65" s="163" t="s">
        <v>292</v>
      </c>
      <c r="G65" s="164">
        <f>SUM(G62:G64)</f>
        <v>47.95</v>
      </c>
      <c r="H65">
        <f>G65/669.934</f>
        <v>7.1574214773395595E-2</v>
      </c>
    </row>
    <row r="67" spans="1:15">
      <c r="F67" t="s">
        <v>293</v>
      </c>
      <c r="G67">
        <f>G65+G61+G56+G50+G45+G40+G34+G32</f>
        <v>913.9342533972</v>
      </c>
      <c r="H67">
        <f>SUM(H28:H65)</f>
        <v>1.0000003782420357</v>
      </c>
    </row>
    <row r="71" spans="1:15">
      <c r="F71" s="31"/>
      <c r="G71" s="32"/>
    </row>
    <row r="74" spans="1:15">
      <c r="A74" s="45" t="s">
        <v>40</v>
      </c>
      <c r="B74" s="43" t="s">
        <v>41</v>
      </c>
      <c r="C74" s="2">
        <v>1</v>
      </c>
      <c r="D74">
        <v>10.5</v>
      </c>
      <c r="E74">
        <f t="shared" ref="E74" si="3">C74*D74</f>
        <v>10.5</v>
      </c>
      <c r="F74">
        <v>1.4999999999999999E-2</v>
      </c>
      <c r="G74">
        <f t="shared" ref="G74" si="4">F74*C74</f>
        <v>1.4999999999999999E-2</v>
      </c>
      <c r="H74">
        <f t="shared" ref="H74" si="5">D74/F74</f>
        <v>700</v>
      </c>
      <c r="I74">
        <v>114.74666000000001</v>
      </c>
      <c r="J74">
        <f t="shared" ref="J74" si="6">I74*C74</f>
        <v>114.74666000000001</v>
      </c>
      <c r="O74" s="13"/>
    </row>
  </sheetData>
  <mergeCells count="3">
    <mergeCell ref="J1:M1"/>
    <mergeCell ref="O1:R1"/>
    <mergeCell ref="T1:U1"/>
  </mergeCells>
  <hyperlinks>
    <hyperlink ref="C38" r:id="rId1" xr:uid="{4A93B07D-DE1A-452E-9B8A-06951965B7EC}"/>
    <hyperlink ref="K33" r:id="rId2" xr:uid="{7B7A6E76-E2B8-4009-9BD3-ECD181A64D2A}"/>
    <hyperlink ref="I14" r:id="rId3" xr:uid="{B36DE3A5-3DF3-4850-BA0F-B0B750246AED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8B10-7C70-424B-A778-5877A830D68F}">
  <sheetPr codeName="Sheet5"/>
  <dimension ref="A1:H20"/>
  <sheetViews>
    <sheetView zoomScale="115" zoomScaleNormal="115" workbookViewId="0">
      <selection activeCell="E9" sqref="E9"/>
    </sheetView>
  </sheetViews>
  <sheetFormatPr defaultRowHeight="14.4"/>
  <cols>
    <col min="1" max="1" width="30.6640625" customWidth="1"/>
    <col min="2" max="2" width="15.6640625" customWidth="1"/>
    <col min="3" max="3" width="10.33203125" customWidth="1"/>
    <col min="4" max="4" width="50.6640625" customWidth="1"/>
    <col min="5" max="5" width="26.5546875" customWidth="1"/>
  </cols>
  <sheetData>
    <row r="1" spans="1:8">
      <c r="A1" t="s">
        <v>337</v>
      </c>
      <c r="B1" t="s">
        <v>338</v>
      </c>
      <c r="C1" t="s">
        <v>339</v>
      </c>
      <c r="D1" t="s">
        <v>340</v>
      </c>
      <c r="E1" t="s">
        <v>336</v>
      </c>
      <c r="F1" t="s">
        <v>335</v>
      </c>
      <c r="H1" t="s">
        <v>294</v>
      </c>
    </row>
    <row r="2" spans="1:8">
      <c r="A2" t="s">
        <v>295</v>
      </c>
      <c r="B2" s="171">
        <v>16800</v>
      </c>
      <c r="C2">
        <v>13.1</v>
      </c>
      <c r="D2">
        <v>5.2</v>
      </c>
      <c r="E2">
        <v>108.63</v>
      </c>
      <c r="F2">
        <f>E2*$H$2</f>
        <v>114.0615</v>
      </c>
      <c r="H2">
        <v>1.05</v>
      </c>
    </row>
    <row r="3" spans="1:8">
      <c r="A3" t="s">
        <v>296</v>
      </c>
      <c r="B3">
        <v>4020</v>
      </c>
      <c r="C3">
        <v>13.1</v>
      </c>
      <c r="D3">
        <v>5.2</v>
      </c>
      <c r="E3">
        <v>69.72</v>
      </c>
      <c r="F3">
        <f t="shared" ref="F3:F5" si="0">E3*$H$2</f>
        <v>73.206000000000003</v>
      </c>
    </row>
    <row r="4" spans="1:8">
      <c r="A4" t="s">
        <v>297</v>
      </c>
      <c r="B4">
        <v>9400</v>
      </c>
      <c r="C4" t="s">
        <v>341</v>
      </c>
      <c r="D4" t="s">
        <v>341</v>
      </c>
      <c r="E4" t="s">
        <v>341</v>
      </c>
      <c r="F4" t="s">
        <v>341</v>
      </c>
    </row>
    <row r="5" spans="1:8">
      <c r="A5" t="s">
        <v>298</v>
      </c>
      <c r="B5">
        <v>3000</v>
      </c>
      <c r="C5">
        <v>20</v>
      </c>
      <c r="D5">
        <v>5.4</v>
      </c>
      <c r="E5">
        <v>115.11</v>
      </c>
      <c r="F5">
        <f t="shared" si="0"/>
        <v>120.86550000000001</v>
      </c>
    </row>
    <row r="8" spans="1:8">
      <c r="D8" s="30"/>
      <c r="E8" s="30" t="s">
        <v>299</v>
      </c>
    </row>
    <row r="9" spans="1:8">
      <c r="A9" t="s">
        <v>300</v>
      </c>
      <c r="B9">
        <v>6</v>
      </c>
      <c r="D9" s="30" t="s">
        <v>344</v>
      </c>
      <c r="E9" s="149">
        <f>5*F2+F3+F3</f>
        <v>716.71950000000004</v>
      </c>
      <c r="F9">
        <f>0.05*E9</f>
        <v>35.835975000000005</v>
      </c>
      <c r="H9">
        <f>11*F3</f>
        <v>805.26600000000008</v>
      </c>
    </row>
    <row r="11" spans="1:8">
      <c r="D11" s="30" t="s">
        <v>301</v>
      </c>
      <c r="E11" s="149">
        <f>6*F2</f>
        <v>684.36899999999991</v>
      </c>
    </row>
    <row r="14" spans="1:8">
      <c r="A14" t="s">
        <v>302</v>
      </c>
      <c r="B14">
        <v>6</v>
      </c>
    </row>
    <row r="15" spans="1:8">
      <c r="A15" t="s">
        <v>303</v>
      </c>
      <c r="B15">
        <f>B14*'Components Iteration'!E4</f>
        <v>6287.5266244598397</v>
      </c>
      <c r="C15" t="s">
        <v>304</v>
      </c>
    </row>
    <row r="17" spans="1:3">
      <c r="A17" t="s">
        <v>305</v>
      </c>
      <c r="B17">
        <v>4</v>
      </c>
      <c r="C17" t="s">
        <v>306</v>
      </c>
    </row>
    <row r="18" spans="1:3">
      <c r="A18" t="s">
        <v>307</v>
      </c>
      <c r="B18">
        <f>B17*'Components Iteration'!E4</f>
        <v>4191.6844163065598</v>
      </c>
    </row>
    <row r="20" spans="1:3">
      <c r="B20">
        <f>4191.7-B3</f>
        <v>171.69999999999982</v>
      </c>
    </row>
  </sheetData>
  <conditionalFormatting sqref="B15">
    <cfRule type="cellIs" dxfId="1" priority="6" operator="lessThan">
      <formula>$B$3</formula>
    </cfRule>
  </conditionalFormatting>
  <conditionalFormatting sqref="B18">
    <cfRule type="cellIs" dxfId="0" priority="5" operator="greaterThan">
      <formula>$B$3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0BD3-B135-409E-B7E3-A0F523DB7CD0}">
  <sheetPr codeName="Sheet6"/>
  <dimension ref="A1:AA257"/>
  <sheetViews>
    <sheetView topLeftCell="D5" zoomScale="90" zoomScaleNormal="100" workbookViewId="0">
      <selection activeCell="J23" sqref="J23:J24"/>
    </sheetView>
  </sheetViews>
  <sheetFormatPr defaultColWidth="9.109375" defaultRowHeight="15.6" outlineLevelRow="2"/>
  <cols>
    <col min="1" max="1" width="17.6640625" style="53" customWidth="1"/>
    <col min="2" max="2" width="19.33203125" style="54" customWidth="1"/>
    <col min="3" max="3" width="19.33203125" style="55" customWidth="1"/>
    <col min="4" max="4" width="50" style="62" customWidth="1"/>
    <col min="5" max="5" width="19.109375" style="62" customWidth="1"/>
    <col min="6" max="6" width="10.44140625" style="57" customWidth="1"/>
    <col min="7" max="8" width="13.44140625" style="57" customWidth="1"/>
    <col min="9" max="9" width="18.5546875" style="57" customWidth="1"/>
    <col min="10" max="10" width="17.109375" style="58" customWidth="1"/>
    <col min="11" max="11" width="10.6640625" style="58" customWidth="1"/>
    <col min="12" max="12" width="13.5546875" style="58" customWidth="1"/>
    <col min="13" max="13" width="10.6640625" style="58" customWidth="1"/>
    <col min="14" max="14" width="14.109375" style="58" customWidth="1"/>
    <col min="15" max="24" width="10.6640625" style="58" customWidth="1"/>
    <col min="25" max="25" width="12.88671875" style="58" customWidth="1"/>
    <col min="26" max="26" width="13" style="58" customWidth="1"/>
    <col min="27" max="27" width="15.6640625" style="58" customWidth="1"/>
    <col min="28" max="16384" width="9.109375" style="58"/>
  </cols>
  <sheetData>
    <row r="1" spans="1:27" ht="16.5" customHeight="1">
      <c r="D1" s="56"/>
      <c r="E1" s="56"/>
      <c r="G1" s="56"/>
      <c r="H1" s="56"/>
      <c r="I1" s="56"/>
      <c r="J1" s="56"/>
      <c r="K1" s="56"/>
    </row>
    <row r="2" spans="1:27" s="62" customFormat="1" ht="22.8">
      <c r="A2" s="59" t="s">
        <v>308</v>
      </c>
      <c r="B2" s="60"/>
      <c r="C2" s="61"/>
      <c r="E2" s="63"/>
      <c r="G2" s="221" t="s">
        <v>309</v>
      </c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</row>
    <row r="3" spans="1:27" s="62" customFormat="1" ht="16.2" thickBot="1">
      <c r="A3" s="59"/>
      <c r="B3" s="60"/>
      <c r="C3" s="61"/>
      <c r="E3" s="63"/>
      <c r="G3" s="64"/>
      <c r="H3" s="64"/>
      <c r="I3" s="64"/>
      <c r="J3" s="65"/>
      <c r="K3" s="65"/>
      <c r="L3" s="65"/>
      <c r="M3" s="65"/>
      <c r="N3" s="65"/>
      <c r="O3" s="66"/>
      <c r="P3" s="66"/>
      <c r="Q3" s="67"/>
      <c r="R3" s="67"/>
      <c r="S3" s="67"/>
      <c r="T3" s="67"/>
      <c r="U3" s="67"/>
    </row>
    <row r="4" spans="1:27" s="62" customFormat="1" ht="18.600000000000001" customHeight="1" thickTop="1" thickBot="1">
      <c r="A4" s="68"/>
      <c r="B4" s="60"/>
      <c r="C4" s="61"/>
      <c r="E4" s="69"/>
      <c r="F4" s="66"/>
      <c r="G4" s="222" t="s">
        <v>310</v>
      </c>
      <c r="H4" s="223"/>
      <c r="I4" s="223"/>
      <c r="J4" s="223"/>
      <c r="K4" s="218" t="s">
        <v>311</v>
      </c>
      <c r="L4" s="219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19"/>
    </row>
    <row r="5" spans="1:27" s="62" customFormat="1" ht="15.6" customHeight="1">
      <c r="A5" s="68"/>
      <c r="B5" s="60"/>
      <c r="C5" s="61"/>
      <c r="E5" s="69"/>
      <c r="F5" s="66"/>
      <c r="G5" s="225" t="s">
        <v>312</v>
      </c>
      <c r="H5" s="226"/>
      <c r="I5" s="226"/>
      <c r="J5" s="226"/>
      <c r="K5" s="219"/>
      <c r="L5" s="219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19"/>
    </row>
    <row r="6" spans="1:27" s="62" customFormat="1" ht="15.6" customHeight="1">
      <c r="A6" s="68"/>
      <c r="B6" s="60"/>
      <c r="C6" s="61"/>
      <c r="E6" s="69"/>
      <c r="F6" s="66"/>
      <c r="G6" s="70" t="s">
        <v>313</v>
      </c>
      <c r="H6" s="112" t="s">
        <v>229</v>
      </c>
      <c r="I6" s="112" t="s">
        <v>342</v>
      </c>
      <c r="J6" s="112" t="s">
        <v>343</v>
      </c>
      <c r="K6" s="220"/>
      <c r="L6" s="219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219"/>
    </row>
    <row r="7" spans="1:27" s="62" customFormat="1" ht="17.399999999999999">
      <c r="A7" s="68"/>
      <c r="B7" s="60"/>
      <c r="C7" s="61"/>
      <c r="E7" s="69"/>
      <c r="F7" s="66"/>
      <c r="G7" s="71" t="s">
        <v>314</v>
      </c>
      <c r="H7" s="113"/>
      <c r="I7" s="113" t="s">
        <v>314</v>
      </c>
      <c r="J7" s="113" t="s">
        <v>314</v>
      </c>
      <c r="K7" s="138"/>
      <c r="L7" s="138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38"/>
    </row>
    <row r="8" spans="1:27" s="62" customFormat="1" ht="30.75" customHeight="1">
      <c r="A8" s="72" t="s">
        <v>315</v>
      </c>
      <c r="B8" s="73" t="s">
        <v>316</v>
      </c>
      <c r="C8" s="74" t="s">
        <v>317</v>
      </c>
      <c r="D8" s="69" t="s">
        <v>318</v>
      </c>
      <c r="E8" s="66" t="s">
        <v>319</v>
      </c>
      <c r="F8" s="66" t="s">
        <v>320</v>
      </c>
      <c r="G8" s="75"/>
      <c r="H8" s="114"/>
      <c r="I8" s="114"/>
      <c r="J8" s="114"/>
      <c r="K8" s="127"/>
      <c r="L8" s="141"/>
      <c r="M8" s="142"/>
      <c r="N8" s="142"/>
      <c r="O8" s="142"/>
      <c r="P8" s="142"/>
      <c r="Q8" s="142"/>
      <c r="R8" s="142"/>
      <c r="S8" s="142"/>
      <c r="T8" s="217"/>
      <c r="U8" s="217"/>
      <c r="V8" s="141"/>
      <c r="W8" s="141"/>
      <c r="X8" s="141"/>
      <c r="Y8" s="142"/>
      <c r="Z8" s="142"/>
      <c r="AA8" s="141"/>
    </row>
    <row r="9" spans="1:27" ht="15.75" customHeight="1">
      <c r="C9" s="76">
        <v>1</v>
      </c>
      <c r="D9" s="62" t="s">
        <v>345</v>
      </c>
      <c r="E9" s="148">
        <v>2023</v>
      </c>
      <c r="F9" s="57">
        <v>1</v>
      </c>
      <c r="G9" s="187">
        <f>G10+G20+G21+G22+G23+G24</f>
        <v>6192.0534511833466</v>
      </c>
      <c r="H9" s="188">
        <f>H10+H20+H21+H22+H23+H24</f>
        <v>1461.3643676078759</v>
      </c>
      <c r="I9" s="188">
        <f>I10+I20+I21+I22+I23+I24</f>
        <v>9114.7821863990976</v>
      </c>
      <c r="J9" s="188">
        <f>J10+J20+J21+J22+J23+J24</f>
        <v>7653.4178187912239</v>
      </c>
      <c r="K9" s="139" t="e">
        <f>SUM(#REF!)</f>
        <v>#REF!</v>
      </c>
      <c r="L9" s="140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30"/>
    </row>
    <row r="10" spans="1:27" ht="15.75" customHeight="1">
      <c r="C10" s="76">
        <v>1.1000000000000001</v>
      </c>
      <c r="D10" s="144" t="s">
        <v>321</v>
      </c>
      <c r="E10" s="148">
        <v>2023</v>
      </c>
      <c r="F10" s="80">
        <v>2</v>
      </c>
      <c r="G10" s="81">
        <f>G11+G12+G15+G16+G17+G18+G19</f>
        <v>1538.0315850518739</v>
      </c>
      <c r="H10" s="116">
        <f>H11+H12+H15+H16+H17+H18+H19</f>
        <v>417.51588423994082</v>
      </c>
      <c r="I10" s="116">
        <f>I11+I12+I15+I16+I17+I18+I19</f>
        <v>2373.0633535317556</v>
      </c>
      <c r="J10" s="116">
        <f>J11+J12+J15+J16+J17+J18+J19</f>
        <v>1955.5474692918147</v>
      </c>
      <c r="K10" s="139" t="e">
        <f>SUM(#REF!)</f>
        <v>#REF!</v>
      </c>
      <c r="L10" s="140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30"/>
    </row>
    <row r="11" spans="1:27" outlineLevel="1">
      <c r="C11" s="76" t="s">
        <v>322</v>
      </c>
      <c r="D11" s="145" t="s">
        <v>89</v>
      </c>
      <c r="E11" s="148">
        <v>2023</v>
      </c>
      <c r="F11" s="80">
        <v>2</v>
      </c>
      <c r="G11" s="180">
        <f>'Cost estimation'!H20</f>
        <v>111.86104512648339</v>
      </c>
      <c r="H11" s="181">
        <f>'Cost estimation'!J20</f>
        <v>20.134988122767009</v>
      </c>
      <c r="I11" s="116">
        <f>G11+2*H11</f>
        <v>152.13102137201741</v>
      </c>
      <c r="J11" s="116">
        <f>G11+H11</f>
        <v>131.99603324925039</v>
      </c>
      <c r="K11" s="139" t="e">
        <f>SUM(#REF!)</f>
        <v>#REF!</v>
      </c>
      <c r="L11" s="140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30"/>
    </row>
    <row r="12" spans="1:27" outlineLevel="1">
      <c r="C12" s="76" t="s">
        <v>323</v>
      </c>
      <c r="D12" s="56" t="s">
        <v>59</v>
      </c>
      <c r="E12" s="148">
        <v>2023</v>
      </c>
      <c r="F12" s="80">
        <v>2</v>
      </c>
      <c r="G12" s="180">
        <f>G14+G13</f>
        <v>242.03684353148742</v>
      </c>
      <c r="H12" s="116">
        <f>'Cost estimation'!J22</f>
        <v>79.634372907543508</v>
      </c>
      <c r="I12" s="116">
        <f t="shared" ref="I12:I24" si="0">G12+2*H12</f>
        <v>401.30558934657444</v>
      </c>
      <c r="J12" s="116">
        <f>G12+H12</f>
        <v>321.6712164390309</v>
      </c>
      <c r="K12" s="139" t="e">
        <f>SUM(#REF!)</f>
        <v>#REF!</v>
      </c>
      <c r="L12" s="140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30"/>
    </row>
    <row r="13" spans="1:27" outlineLevel="2">
      <c r="C13" s="76" t="s">
        <v>324</v>
      </c>
      <c r="D13" s="56" t="s">
        <v>215</v>
      </c>
      <c r="E13" s="148">
        <v>2023</v>
      </c>
      <c r="F13" s="80">
        <v>3</v>
      </c>
      <c r="G13" s="183">
        <f>'Cost estimation'!M11</f>
        <v>38.74385319639012</v>
      </c>
      <c r="H13" s="116"/>
      <c r="I13" s="116">
        <f t="shared" si="0"/>
        <v>38.74385319639012</v>
      </c>
      <c r="J13" s="116"/>
      <c r="K13" s="139" t="e">
        <f>SUM(#REF!)</f>
        <v>#REF!</v>
      </c>
      <c r="L13" s="140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30"/>
    </row>
    <row r="14" spans="1:27" outlineLevel="2">
      <c r="C14" s="76" t="s">
        <v>325</v>
      </c>
      <c r="D14" s="56" t="s">
        <v>326</v>
      </c>
      <c r="E14" s="148">
        <v>2023</v>
      </c>
      <c r="F14" s="80">
        <v>3</v>
      </c>
      <c r="G14" s="184">
        <f>'Cost estimation'!M12</f>
        <v>203.2929903350973</v>
      </c>
      <c r="H14" s="146"/>
      <c r="I14" s="116">
        <f t="shared" si="0"/>
        <v>203.2929903350973</v>
      </c>
      <c r="J14" s="146"/>
      <c r="K14" s="147" t="e">
        <f>SUM(#REF!)</f>
        <v>#REF!</v>
      </c>
      <c r="L14" s="140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30"/>
    </row>
    <row r="15" spans="1:27" outlineLevel="1">
      <c r="C15" s="76" t="s">
        <v>327</v>
      </c>
      <c r="D15" s="143" t="s">
        <v>43</v>
      </c>
      <c r="E15" s="148">
        <v>2023</v>
      </c>
      <c r="F15" s="80">
        <v>2</v>
      </c>
      <c r="G15" s="185">
        <f>'Cost estimation'!H19</f>
        <v>313.66075478802162</v>
      </c>
      <c r="H15" s="150">
        <f>'Cost estimation'!J19</f>
        <v>97.234833984286695</v>
      </c>
      <c r="I15" s="116">
        <f t="shared" si="0"/>
        <v>508.13042275659501</v>
      </c>
      <c r="J15" s="116">
        <f t="shared" ref="J15:J22" si="1">G15+H15</f>
        <v>410.89558877230832</v>
      </c>
      <c r="K15" s="147" t="e">
        <f>SUM(#REF!)</f>
        <v>#REF!</v>
      </c>
      <c r="L15" s="140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30"/>
    </row>
    <row r="16" spans="1:27" outlineLevel="1">
      <c r="C16" s="76" t="s">
        <v>328</v>
      </c>
      <c r="D16" s="143" t="s">
        <v>40</v>
      </c>
      <c r="E16" s="148">
        <v>2023</v>
      </c>
      <c r="F16" s="80">
        <v>2</v>
      </c>
      <c r="G16" s="184">
        <f>'Cost estimation'!H17</f>
        <v>91.112655144895697</v>
      </c>
      <c r="H16" s="146">
        <f>'Cost estimation'!J17</f>
        <v>22.366934059776362</v>
      </c>
      <c r="I16" s="116">
        <f t="shared" si="0"/>
        <v>135.84652326444842</v>
      </c>
      <c r="J16" s="116">
        <f t="shared" si="1"/>
        <v>113.47958920467207</v>
      </c>
      <c r="K16" s="147" t="e">
        <f>SUM(#REF!)</f>
        <v>#REF!</v>
      </c>
      <c r="L16" s="140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30"/>
    </row>
    <row r="17" spans="3:27" outlineLevel="1">
      <c r="C17" s="76" t="s">
        <v>329</v>
      </c>
      <c r="D17" s="143" t="s">
        <v>330</v>
      </c>
      <c r="E17" s="148">
        <v>2023</v>
      </c>
      <c r="F17" s="80">
        <v>2</v>
      </c>
      <c r="G17" s="184">
        <f>'Cost estimation'!H16</f>
        <v>314.66573137835564</v>
      </c>
      <c r="H17" s="146">
        <f>'Cost estimation'!J16</f>
        <v>66.079803589454684</v>
      </c>
      <c r="I17" s="116">
        <f t="shared" si="0"/>
        <v>446.82533855726501</v>
      </c>
      <c r="J17" s="116">
        <f t="shared" si="1"/>
        <v>380.74553496781033</v>
      </c>
      <c r="K17" s="147" t="e">
        <f>SUM(#REF!)</f>
        <v>#REF!</v>
      </c>
      <c r="L17" s="140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30"/>
    </row>
    <row r="18" spans="3:27" outlineLevel="1">
      <c r="C18" s="76" t="s">
        <v>331</v>
      </c>
      <c r="D18" s="143" t="s">
        <v>20</v>
      </c>
      <c r="E18" s="148">
        <v>2023</v>
      </c>
      <c r="F18" s="80">
        <v>2</v>
      </c>
      <c r="G18" s="184">
        <f>'Cost estimation'!H18</f>
        <v>213.08678184238568</v>
      </c>
      <c r="H18" s="146">
        <f>'Cost estimation'!J18</f>
        <v>76.711241463258844</v>
      </c>
      <c r="I18" s="116">
        <f t="shared" si="0"/>
        <v>366.50926476890334</v>
      </c>
      <c r="J18" s="116">
        <f t="shared" si="1"/>
        <v>289.79802330564451</v>
      </c>
      <c r="K18" s="147" t="e">
        <f>SUM(#REF!)</f>
        <v>#REF!</v>
      </c>
      <c r="L18" s="140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30"/>
    </row>
    <row r="19" spans="3:27" outlineLevel="1">
      <c r="C19" s="76" t="s">
        <v>332</v>
      </c>
      <c r="D19" s="56" t="s">
        <v>76</v>
      </c>
      <c r="E19" s="148">
        <v>2023</v>
      </c>
      <c r="F19" s="80">
        <v>2</v>
      </c>
      <c r="G19" s="184">
        <f>'Cost estimation'!H21</f>
        <v>251.60777324024434</v>
      </c>
      <c r="H19" s="146">
        <f>'Cost estimation'!J21</f>
        <v>55.353710112853754</v>
      </c>
      <c r="I19" s="116">
        <f t="shared" si="0"/>
        <v>362.31519346595184</v>
      </c>
      <c r="J19" s="116">
        <f t="shared" si="1"/>
        <v>306.96148335309812</v>
      </c>
      <c r="K19" s="147" t="e">
        <f>SUM(#REF!)</f>
        <v>#REF!</v>
      </c>
      <c r="L19" s="140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30"/>
    </row>
    <row r="20" spans="3:27">
      <c r="C20" s="76">
        <v>1.2</v>
      </c>
      <c r="D20" s="62" t="s">
        <v>214</v>
      </c>
      <c r="E20" s="148">
        <v>2023</v>
      </c>
      <c r="F20" s="80">
        <v>2</v>
      </c>
      <c r="G20" s="81">
        <f>'Cost estimation'!H27</f>
        <v>1133.8181683455296</v>
      </c>
      <c r="H20" s="116">
        <f>'Cost estimation'!I27</f>
        <v>283.45454208638239</v>
      </c>
      <c r="I20" s="116">
        <f t="shared" si="0"/>
        <v>1700.7272525182943</v>
      </c>
      <c r="J20" s="116">
        <f t="shared" si="1"/>
        <v>1417.2727104319119</v>
      </c>
      <c r="K20" s="139" t="e">
        <f>SUM(#REF!)</f>
        <v>#REF!</v>
      </c>
      <c r="L20" s="140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30"/>
    </row>
    <row r="21" spans="3:27">
      <c r="C21" s="186">
        <v>1.3</v>
      </c>
      <c r="D21" s="62" t="s">
        <v>289</v>
      </c>
      <c r="E21" s="148">
        <v>2023</v>
      </c>
      <c r="F21" s="80">
        <v>2</v>
      </c>
      <c r="G21" s="81">
        <f>'Cost estimation'!J28</f>
        <v>2537.2589039518671</v>
      </c>
      <c r="H21" s="116">
        <f>'Cost estimation'!K28</f>
        <v>634.31472598796677</v>
      </c>
      <c r="I21" s="116">
        <f t="shared" si="0"/>
        <v>3805.8883559278006</v>
      </c>
      <c r="J21" s="116">
        <f t="shared" si="1"/>
        <v>3171.5736299398341</v>
      </c>
      <c r="K21" s="139" t="e">
        <f>SUM(#REF!)</f>
        <v>#REF!</v>
      </c>
      <c r="L21" s="140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30"/>
    </row>
    <row r="22" spans="3:27">
      <c r="C22" s="76">
        <v>1.4</v>
      </c>
      <c r="D22" s="62" t="s">
        <v>333</v>
      </c>
      <c r="E22" s="148">
        <v>2023</v>
      </c>
      <c r="F22" s="80">
        <v>2</v>
      </c>
      <c r="G22" s="81">
        <f>'Launch vehicle'!E9</f>
        <v>716.71950000000004</v>
      </c>
      <c r="H22" s="116">
        <f>'Launch vehicle'!F9</f>
        <v>35.835975000000005</v>
      </c>
      <c r="I22" s="116">
        <f t="shared" si="0"/>
        <v>788.39145000000008</v>
      </c>
      <c r="J22" s="116">
        <f t="shared" si="1"/>
        <v>752.555475</v>
      </c>
      <c r="K22" s="139" t="e">
        <f>SUM(#REF!)</f>
        <v>#REF!</v>
      </c>
      <c r="L22" s="140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30"/>
    </row>
    <row r="23" spans="3:27">
      <c r="C23" s="186">
        <v>1.5</v>
      </c>
      <c r="D23" s="62" t="s">
        <v>241</v>
      </c>
      <c r="E23" s="148">
        <v>2023</v>
      </c>
      <c r="F23" s="80">
        <v>4</v>
      </c>
      <c r="G23" s="81">
        <f>'Cost estimation'!H26</f>
        <v>263.18796483407658</v>
      </c>
      <c r="H23" s="116">
        <f>'Cost estimation'!I26</f>
        <v>89.483908043586041</v>
      </c>
      <c r="I23" s="116">
        <f t="shared" si="0"/>
        <v>442.15578092124866</v>
      </c>
      <c r="J23" s="116">
        <f>G23+H23</f>
        <v>352.67187287766262</v>
      </c>
      <c r="K23" s="139" t="e">
        <f>SUM(#REF!)</f>
        <v>#REF!</v>
      </c>
      <c r="L23" s="140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30"/>
    </row>
    <row r="24" spans="3:27">
      <c r="C24" s="76">
        <v>1.6</v>
      </c>
      <c r="D24" s="62" t="s">
        <v>385</v>
      </c>
      <c r="E24" s="83">
        <v>2023</v>
      </c>
      <c r="F24" s="80">
        <v>4</v>
      </c>
      <c r="G24" s="78">
        <v>3.0373290000000002</v>
      </c>
      <c r="H24" s="117">
        <f>G24*0.25</f>
        <v>0.75933225000000004</v>
      </c>
      <c r="I24" s="116">
        <f t="shared" si="0"/>
        <v>4.5559935000000005</v>
      </c>
      <c r="J24" s="116">
        <f>G24+H24</f>
        <v>3.7966612500000001</v>
      </c>
      <c r="K24" s="139" t="e">
        <f>SUM(#REF!)</f>
        <v>#REF!</v>
      </c>
      <c r="L24" s="14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</row>
    <row r="25" spans="3:27">
      <c r="C25" s="186">
        <v>1.7</v>
      </c>
      <c r="D25" s="143"/>
      <c r="E25" s="83"/>
      <c r="F25" s="80">
        <v>4</v>
      </c>
      <c r="G25" s="78"/>
      <c r="H25" s="117"/>
      <c r="I25" s="117"/>
      <c r="J25" s="117"/>
      <c r="K25" s="139" t="e">
        <f>SUM(#REF!)</f>
        <v>#REF!</v>
      </c>
      <c r="L25" s="14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</row>
    <row r="26" spans="3:27">
      <c r="C26" s="76">
        <v>1.8</v>
      </c>
      <c r="D26" s="143"/>
      <c r="E26" s="79"/>
      <c r="F26" s="80">
        <v>4</v>
      </c>
      <c r="G26" s="81"/>
      <c r="H26" s="116"/>
      <c r="I26" s="116"/>
      <c r="J26" s="116"/>
      <c r="K26" s="139" t="e">
        <f>SUM(#REF!)</f>
        <v>#REF!</v>
      </c>
      <c r="L26" s="140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30"/>
    </row>
    <row r="27" spans="3:27">
      <c r="C27" s="186">
        <v>1.9</v>
      </c>
      <c r="D27" s="143"/>
      <c r="E27" s="58"/>
      <c r="F27" s="80">
        <v>4</v>
      </c>
      <c r="G27" s="81"/>
      <c r="H27" s="116"/>
      <c r="I27" s="116"/>
      <c r="J27" s="116"/>
      <c r="K27" s="139" t="e">
        <f>SUM(#REF!)</f>
        <v>#REF!</v>
      </c>
      <c r="L27" s="140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30"/>
    </row>
    <row r="28" spans="3:27">
      <c r="C28" s="76">
        <v>2</v>
      </c>
      <c r="D28" s="143"/>
      <c r="E28" s="58"/>
      <c r="F28" s="80">
        <v>4</v>
      </c>
      <c r="G28" s="81"/>
      <c r="H28" s="116"/>
      <c r="I28" s="116"/>
      <c r="J28" s="116"/>
      <c r="K28" s="139" t="e">
        <f>SUM(#REF!)</f>
        <v>#REF!</v>
      </c>
      <c r="L28" s="140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30"/>
    </row>
    <row r="29" spans="3:27">
      <c r="C29" s="186">
        <v>2.1</v>
      </c>
      <c r="D29" s="143"/>
      <c r="E29" s="83"/>
      <c r="F29" s="80">
        <v>4</v>
      </c>
      <c r="G29" s="78"/>
      <c r="H29" s="117"/>
      <c r="I29" s="117"/>
      <c r="J29" s="117"/>
      <c r="K29" s="139" t="e">
        <f>SUM(#REF!)</f>
        <v>#REF!</v>
      </c>
      <c r="L29" s="14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</row>
    <row r="30" spans="3:27">
      <c r="C30" s="76">
        <v>2.2000000000000002</v>
      </c>
      <c r="E30" s="83"/>
      <c r="F30" s="80">
        <v>4</v>
      </c>
      <c r="G30" s="78"/>
      <c r="H30" s="117"/>
      <c r="I30" s="117"/>
      <c r="J30" s="117"/>
      <c r="K30" s="139" t="e">
        <f>SUM(#REF!)</f>
        <v>#REF!</v>
      </c>
      <c r="L30" s="14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</row>
    <row r="31" spans="3:27">
      <c r="C31" s="186">
        <v>2.2999999999999998</v>
      </c>
      <c r="D31" s="56"/>
      <c r="F31" s="57">
        <v>4</v>
      </c>
      <c r="G31" s="77"/>
      <c r="H31" s="115"/>
      <c r="I31" s="115"/>
      <c r="J31" s="115"/>
      <c r="K31" s="139" t="e">
        <f>SUM(#REF!)</f>
        <v>#REF!</v>
      </c>
      <c r="L31" s="140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30"/>
    </row>
    <row r="32" spans="3:27">
      <c r="C32" s="76">
        <v>2.4</v>
      </c>
      <c r="E32" s="83"/>
      <c r="F32" s="80">
        <v>4</v>
      </c>
      <c r="G32" s="78"/>
      <c r="H32" s="117"/>
      <c r="I32" s="117"/>
      <c r="J32" s="117"/>
      <c r="K32" s="139" t="e">
        <f>SUM(#REF!)</f>
        <v>#REF!</v>
      </c>
      <c r="L32" s="14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</row>
    <row r="33" spans="2:27">
      <c r="C33" s="186">
        <v>2.5</v>
      </c>
      <c r="D33" s="143"/>
      <c r="E33" s="83"/>
      <c r="F33" s="80">
        <v>4</v>
      </c>
      <c r="G33" s="78"/>
      <c r="H33" s="117"/>
      <c r="I33" s="117"/>
      <c r="J33" s="117"/>
      <c r="K33" s="139" t="e">
        <f>SUM(#REF!)</f>
        <v>#REF!</v>
      </c>
      <c r="L33" s="14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</row>
    <row r="34" spans="2:27">
      <c r="C34" s="76">
        <v>2.6</v>
      </c>
      <c r="E34" s="83"/>
      <c r="F34" s="80">
        <v>4</v>
      </c>
      <c r="G34" s="78"/>
      <c r="H34" s="117"/>
      <c r="I34" s="117"/>
      <c r="J34" s="117"/>
      <c r="K34" s="139" t="e">
        <f>SUM(#REF!)</f>
        <v>#REF!</v>
      </c>
      <c r="L34" s="14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</row>
    <row r="35" spans="2:27">
      <c r="C35" s="186">
        <v>2.7</v>
      </c>
      <c r="D35" s="56"/>
      <c r="E35" s="58"/>
      <c r="F35" s="80">
        <v>3</v>
      </c>
      <c r="G35" s="81"/>
      <c r="H35" s="116"/>
      <c r="I35" s="116"/>
      <c r="J35" s="116"/>
      <c r="K35" s="139" t="e">
        <f>SUM(#REF!)</f>
        <v>#REF!</v>
      </c>
      <c r="L35" s="140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30"/>
    </row>
    <row r="36" spans="2:27">
      <c r="C36" s="76">
        <v>2.8</v>
      </c>
      <c r="D36" s="143"/>
      <c r="E36" s="87"/>
      <c r="F36" s="57">
        <v>2</v>
      </c>
      <c r="G36" s="77"/>
      <c r="H36" s="115"/>
      <c r="I36" s="115"/>
      <c r="J36" s="115">
        <f t="shared" ref="J36" si="2">J37+J38+J39+J40+J205+J206+J207</f>
        <v>0</v>
      </c>
      <c r="K36" s="139" t="e">
        <f>SUM(#REF!)</f>
        <v>#REF!</v>
      </c>
      <c r="L36" s="140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30"/>
    </row>
    <row r="37" spans="2:27">
      <c r="C37" s="186">
        <v>2.9</v>
      </c>
      <c r="E37" s="88"/>
      <c r="F37" s="57">
        <v>3</v>
      </c>
      <c r="G37" s="77"/>
      <c r="H37" s="115"/>
      <c r="I37" s="115"/>
      <c r="J37" s="115"/>
      <c r="K37" s="139" t="e">
        <f>SUM(#REF!)</f>
        <v>#REF!</v>
      </c>
      <c r="L37" s="140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30"/>
    </row>
    <row r="38" spans="2:27">
      <c r="C38" s="76"/>
      <c r="D38" s="56"/>
      <c r="E38" s="88"/>
      <c r="F38" s="57">
        <v>3</v>
      </c>
      <c r="G38" s="77"/>
      <c r="H38" s="115"/>
      <c r="I38" s="115"/>
      <c r="J38" s="115"/>
      <c r="K38" s="139" t="e">
        <f>SUM(#REF!)</f>
        <v>#REF!</v>
      </c>
      <c r="L38" s="140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30"/>
    </row>
    <row r="39" spans="2:27">
      <c r="C39" s="76"/>
      <c r="D39" s="56"/>
      <c r="E39" s="88"/>
      <c r="F39" s="57">
        <v>3</v>
      </c>
      <c r="G39" s="77"/>
      <c r="H39" s="115"/>
      <c r="I39" s="115"/>
      <c r="J39" s="115"/>
      <c r="K39" s="139" t="e">
        <f>SUM(#REF!)</f>
        <v>#REF!</v>
      </c>
      <c r="L39" s="140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30"/>
    </row>
    <row r="40" spans="2:27">
      <c r="D40" s="156"/>
      <c r="E40" s="88"/>
      <c r="F40" s="57">
        <v>3</v>
      </c>
      <c r="G40" s="152"/>
      <c r="H40" s="152"/>
      <c r="I40" s="152"/>
      <c r="J40" s="115">
        <f t="shared" ref="J40" si="3">J41+J42+J43+J44+J61+J80+J98+J122+J148+J179+J197+J203+J204</f>
        <v>0</v>
      </c>
      <c r="K40" s="139" t="e">
        <f>SUM(#REF!)</f>
        <v>#REF!</v>
      </c>
      <c r="L40" s="140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30"/>
    </row>
    <row r="41" spans="2:27">
      <c r="D41" s="53"/>
      <c r="E41" s="88"/>
      <c r="F41" s="57">
        <v>4</v>
      </c>
      <c r="G41" s="153"/>
      <c r="H41" s="182"/>
      <c r="I41" s="182"/>
      <c r="J41" s="115"/>
      <c r="K41" s="139" t="e">
        <f>SUM(#REF!)</f>
        <v>#REF!</v>
      </c>
      <c r="L41" s="140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30"/>
    </row>
    <row r="42" spans="2:27">
      <c r="C42" s="85"/>
      <c r="D42" s="56"/>
      <c r="E42" s="88"/>
      <c r="F42" s="57">
        <v>4</v>
      </c>
      <c r="G42" s="77"/>
      <c r="H42" s="115"/>
      <c r="I42" s="115"/>
      <c r="J42" s="115"/>
      <c r="K42" s="139" t="e">
        <f>SUM(#REF!)</f>
        <v>#REF!</v>
      </c>
      <c r="L42" s="140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30"/>
    </row>
    <row r="43" spans="2:27">
      <c r="C43" s="85"/>
      <c r="D43" s="56"/>
      <c r="E43" s="88"/>
      <c r="F43" s="57">
        <v>4</v>
      </c>
      <c r="G43" s="77"/>
      <c r="H43" s="115"/>
      <c r="I43" s="115"/>
      <c r="J43" s="115"/>
      <c r="K43" s="139" t="e">
        <f>SUM(#REF!)</f>
        <v>#REF!</v>
      </c>
      <c r="L43" s="140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30"/>
    </row>
    <row r="44" spans="2:27">
      <c r="C44" s="85"/>
      <c r="D44" s="56"/>
      <c r="E44" s="88"/>
      <c r="F44" s="57">
        <v>4</v>
      </c>
      <c r="G44" s="77"/>
      <c r="H44" s="115"/>
      <c r="I44" s="115"/>
      <c r="J44" s="115">
        <f t="shared" ref="J44" si="4">J45+J46+J47+J52+J55+J59+J60</f>
        <v>0</v>
      </c>
      <c r="K44" s="139" t="e">
        <f>SUM(#REF!)</f>
        <v>#REF!</v>
      </c>
      <c r="L44" s="140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30"/>
    </row>
    <row r="45" spans="2:27">
      <c r="C45" s="85"/>
      <c r="D45" s="56"/>
      <c r="E45" s="89"/>
      <c r="F45" s="57">
        <v>5</v>
      </c>
      <c r="G45" s="77"/>
      <c r="H45" s="115"/>
      <c r="I45" s="115"/>
      <c r="J45" s="115"/>
      <c r="K45" s="139" t="e">
        <f>SUM(#REF!)</f>
        <v>#REF!</v>
      </c>
      <c r="L45" s="140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30"/>
    </row>
    <row r="46" spans="2:27">
      <c r="C46" s="85"/>
      <c r="D46" s="56"/>
      <c r="E46" s="89"/>
      <c r="F46" s="57">
        <v>5</v>
      </c>
      <c r="G46" s="77"/>
      <c r="H46" s="115"/>
      <c r="I46" s="115"/>
      <c r="J46" s="115"/>
      <c r="K46" s="139" t="e">
        <f>SUM(#REF!)</f>
        <v>#REF!</v>
      </c>
      <c r="L46" s="140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30"/>
    </row>
    <row r="47" spans="2:27" s="90" customFormat="1">
      <c r="B47" s="91"/>
      <c r="C47" s="85"/>
      <c r="D47" s="154"/>
      <c r="E47" s="89"/>
      <c r="F47" s="92">
        <v>5</v>
      </c>
      <c r="G47" s="93"/>
      <c r="H47" s="118"/>
      <c r="I47" s="118"/>
      <c r="J47" s="118">
        <f t="shared" ref="J47" si="5">J48+J49+J50+J51</f>
        <v>0</v>
      </c>
      <c r="K47" s="139" t="e">
        <f>SUM(#REF!)</f>
        <v>#REF!</v>
      </c>
      <c r="L47" s="140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0"/>
    </row>
    <row r="48" spans="2:27">
      <c r="C48" s="85"/>
      <c r="D48" s="56"/>
      <c r="E48" s="89"/>
      <c r="F48" s="57">
        <v>6</v>
      </c>
      <c r="G48" s="77"/>
      <c r="H48" s="115"/>
      <c r="I48" s="115"/>
      <c r="J48" s="115"/>
      <c r="K48" s="139" t="e">
        <f>SUM(#REF!)</f>
        <v>#REF!</v>
      </c>
      <c r="L48" s="140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30"/>
    </row>
    <row r="49" spans="2:27">
      <c r="C49" s="85"/>
      <c r="D49" s="56"/>
      <c r="E49" s="89"/>
      <c r="F49" s="57">
        <v>6</v>
      </c>
      <c r="G49" s="77"/>
      <c r="H49" s="115"/>
      <c r="I49" s="115"/>
      <c r="J49" s="115"/>
      <c r="K49" s="139" t="e">
        <f>SUM(#REF!)</f>
        <v>#REF!</v>
      </c>
      <c r="L49" s="140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30"/>
    </row>
    <row r="50" spans="2:27">
      <c r="C50" s="85"/>
      <c r="D50" s="56"/>
      <c r="E50" s="89"/>
      <c r="F50" s="57">
        <v>6</v>
      </c>
      <c r="G50" s="77"/>
      <c r="H50" s="115"/>
      <c r="I50" s="115"/>
      <c r="J50" s="115"/>
      <c r="K50" s="139" t="e">
        <f>SUM(#REF!)</f>
        <v>#REF!</v>
      </c>
      <c r="L50" s="140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30"/>
    </row>
    <row r="51" spans="2:27">
      <c r="C51" s="85"/>
      <c r="D51" s="56"/>
      <c r="E51" s="89"/>
      <c r="F51" s="57">
        <v>6</v>
      </c>
      <c r="G51" s="77"/>
      <c r="H51" s="115"/>
      <c r="I51" s="115"/>
      <c r="J51" s="115"/>
      <c r="K51" s="139" t="e">
        <f>SUM(#REF!)</f>
        <v>#REF!</v>
      </c>
      <c r="L51" s="140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30"/>
    </row>
    <row r="52" spans="2:27">
      <c r="C52" s="85"/>
      <c r="D52" s="154"/>
      <c r="E52" s="89"/>
      <c r="F52" s="92">
        <v>5</v>
      </c>
      <c r="G52" s="77"/>
      <c r="H52" s="115"/>
      <c r="I52" s="115"/>
      <c r="J52" s="115">
        <f t="shared" ref="J52" si="6">J53+J54</f>
        <v>0</v>
      </c>
      <c r="K52" s="139" t="e">
        <f>SUM(#REF!)</f>
        <v>#REF!</v>
      </c>
      <c r="L52" s="140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30"/>
    </row>
    <row r="53" spans="2:27">
      <c r="C53" s="85"/>
      <c r="D53" s="56"/>
      <c r="E53" s="89"/>
      <c r="F53" s="57">
        <v>6</v>
      </c>
      <c r="G53" s="77"/>
      <c r="H53" s="115"/>
      <c r="I53" s="115"/>
      <c r="J53" s="115"/>
      <c r="K53" s="139" t="e">
        <f>SUM(#REF!)</f>
        <v>#REF!</v>
      </c>
      <c r="L53" s="140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30"/>
    </row>
    <row r="54" spans="2:27">
      <c r="C54" s="85"/>
      <c r="D54" s="56"/>
      <c r="E54" s="89"/>
      <c r="F54" s="57">
        <v>6</v>
      </c>
      <c r="G54" s="77"/>
      <c r="H54" s="115"/>
      <c r="I54" s="115"/>
      <c r="J54" s="115"/>
      <c r="K54" s="139" t="e">
        <f>SUM(#REF!)</f>
        <v>#REF!</v>
      </c>
      <c r="L54" s="140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30"/>
    </row>
    <row r="55" spans="2:27">
      <c r="C55" s="85"/>
      <c r="D55" s="154"/>
      <c r="E55" s="89"/>
      <c r="F55" s="92">
        <v>5</v>
      </c>
      <c r="G55" s="77"/>
      <c r="H55" s="115"/>
      <c r="I55" s="115"/>
      <c r="J55" s="115">
        <f t="shared" ref="J55" si="7">J56+J57+J58</f>
        <v>0</v>
      </c>
      <c r="K55" s="139" t="e">
        <f>SUM(#REF!)</f>
        <v>#REF!</v>
      </c>
      <c r="L55" s="140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30"/>
    </row>
    <row r="56" spans="2:27" s="94" customFormat="1">
      <c r="B56" s="54"/>
      <c r="C56" s="85"/>
      <c r="D56" s="56"/>
      <c r="E56" s="89"/>
      <c r="F56" s="57">
        <v>6</v>
      </c>
      <c r="G56" s="95"/>
      <c r="H56" s="119"/>
      <c r="I56" s="119"/>
      <c r="J56" s="119"/>
      <c r="K56" s="139" t="e">
        <f>SUM(#REF!)</f>
        <v>#REF!</v>
      </c>
      <c r="L56" s="140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0"/>
    </row>
    <row r="57" spans="2:27">
      <c r="C57" s="85"/>
      <c r="D57" s="56"/>
      <c r="E57" s="96"/>
      <c r="F57" s="57">
        <v>6</v>
      </c>
      <c r="G57" s="77"/>
      <c r="H57" s="115"/>
      <c r="I57" s="115"/>
      <c r="J57" s="115"/>
      <c r="K57" s="139" t="e">
        <f>SUM(#REF!)</f>
        <v>#REF!</v>
      </c>
      <c r="L57" s="140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30"/>
    </row>
    <row r="58" spans="2:27">
      <c r="C58" s="85"/>
      <c r="D58" s="56"/>
      <c r="E58" s="96"/>
      <c r="F58" s="57">
        <v>6</v>
      </c>
      <c r="G58" s="77"/>
      <c r="H58" s="115"/>
      <c r="I58" s="115"/>
      <c r="J58" s="115"/>
      <c r="K58" s="139" t="e">
        <f>SUM(#REF!)</f>
        <v>#REF!</v>
      </c>
      <c r="L58" s="140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30"/>
    </row>
    <row r="59" spans="2:27">
      <c r="C59" s="85"/>
      <c r="D59" s="56"/>
      <c r="E59" s="96"/>
      <c r="F59" s="57">
        <v>5</v>
      </c>
      <c r="G59" s="77"/>
      <c r="H59" s="115"/>
      <c r="I59" s="115"/>
      <c r="J59" s="115"/>
      <c r="K59" s="139" t="e">
        <f>SUM(#REF!)</f>
        <v>#REF!</v>
      </c>
      <c r="L59" s="140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30"/>
    </row>
    <row r="60" spans="2:27">
      <c r="C60" s="85"/>
      <c r="D60" s="56"/>
      <c r="E60" s="96"/>
      <c r="F60" s="57">
        <v>5</v>
      </c>
      <c r="G60" s="77"/>
      <c r="H60" s="115"/>
      <c r="I60" s="115"/>
      <c r="J60" s="115"/>
      <c r="K60" s="139" t="e">
        <f>SUM(#REF!)</f>
        <v>#REF!</v>
      </c>
      <c r="L60" s="140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30"/>
    </row>
    <row r="61" spans="2:27">
      <c r="C61" s="85"/>
      <c r="D61" s="56"/>
      <c r="E61" s="97"/>
      <c r="F61" s="57">
        <v>4</v>
      </c>
      <c r="G61" s="77"/>
      <c r="H61" s="115"/>
      <c r="I61" s="115"/>
      <c r="J61" s="115">
        <f t="shared" ref="J61" si="8">J62+J63+J64+J70+J79</f>
        <v>0</v>
      </c>
      <c r="K61" s="139" t="e">
        <f>SUM(#REF!)</f>
        <v>#REF!</v>
      </c>
      <c r="L61" s="140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30"/>
    </row>
    <row r="62" spans="2:27" ht="15.75" customHeight="1">
      <c r="C62" s="85"/>
      <c r="D62" s="56"/>
      <c r="E62" s="89"/>
      <c r="F62" s="57">
        <v>5</v>
      </c>
      <c r="G62" s="77"/>
      <c r="H62" s="115"/>
      <c r="I62" s="115"/>
      <c r="J62" s="115"/>
      <c r="K62" s="139" t="e">
        <f>SUM(#REF!)</f>
        <v>#REF!</v>
      </c>
      <c r="L62" s="140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30"/>
    </row>
    <row r="63" spans="2:27" ht="15.75" customHeight="1">
      <c r="C63" s="85"/>
      <c r="D63" s="56"/>
      <c r="E63" s="89"/>
      <c r="F63" s="57">
        <v>5</v>
      </c>
      <c r="G63" s="77"/>
      <c r="H63" s="115"/>
      <c r="I63" s="115"/>
      <c r="J63" s="115"/>
      <c r="K63" s="139" t="e">
        <f>SUM(#REF!)</f>
        <v>#REF!</v>
      </c>
      <c r="L63" s="140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30"/>
    </row>
    <row r="64" spans="2:27" ht="15.75" customHeight="1">
      <c r="C64" s="85"/>
      <c r="D64" s="154"/>
      <c r="E64" s="89"/>
      <c r="F64" s="92">
        <v>5</v>
      </c>
      <c r="G64" s="77"/>
      <c r="H64" s="115"/>
      <c r="I64" s="115"/>
      <c r="J64" s="115">
        <f t="shared" ref="J64" si="9">J65+J66+J67+J68+J69</f>
        <v>0</v>
      </c>
      <c r="K64" s="139" t="e">
        <f>SUM(#REF!)</f>
        <v>#REF!</v>
      </c>
      <c r="L64" s="140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30"/>
    </row>
    <row r="65" spans="3:27" ht="15.75" customHeight="1">
      <c r="C65" s="85"/>
      <c r="D65" s="56"/>
      <c r="E65" s="89"/>
      <c r="F65" s="57">
        <v>6</v>
      </c>
      <c r="G65" s="77"/>
      <c r="H65" s="115"/>
      <c r="I65" s="115"/>
      <c r="J65" s="115"/>
      <c r="K65" s="139" t="e">
        <f>SUM(#REF!)</f>
        <v>#REF!</v>
      </c>
      <c r="L65" s="140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30"/>
    </row>
    <row r="66" spans="3:27" ht="15.75" customHeight="1">
      <c r="C66" s="85"/>
      <c r="D66" s="56"/>
      <c r="E66" s="89"/>
      <c r="F66" s="57">
        <v>6</v>
      </c>
      <c r="G66" s="77"/>
      <c r="H66" s="115"/>
      <c r="I66" s="115"/>
      <c r="J66" s="115"/>
      <c r="K66" s="139" t="e">
        <f>SUM(#REF!)</f>
        <v>#REF!</v>
      </c>
      <c r="L66" s="140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30"/>
    </row>
    <row r="67" spans="3:27" ht="15.75" customHeight="1">
      <c r="C67" s="85"/>
      <c r="D67" s="56"/>
      <c r="E67" s="89"/>
      <c r="F67" s="57">
        <v>6</v>
      </c>
      <c r="G67" s="77"/>
      <c r="H67" s="115"/>
      <c r="I67" s="115"/>
      <c r="J67" s="115"/>
      <c r="K67" s="139" t="e">
        <f>SUM(#REF!)</f>
        <v>#REF!</v>
      </c>
      <c r="L67" s="140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30"/>
    </row>
    <row r="68" spans="3:27" ht="15.75" customHeight="1">
      <c r="C68" s="85"/>
      <c r="D68" s="56"/>
      <c r="E68" s="89"/>
      <c r="F68" s="57">
        <v>6</v>
      </c>
      <c r="G68" s="77"/>
      <c r="H68" s="115"/>
      <c r="I68" s="115"/>
      <c r="J68" s="115"/>
      <c r="K68" s="139" t="e">
        <f>SUM(#REF!)</f>
        <v>#REF!</v>
      </c>
      <c r="L68" s="140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30"/>
    </row>
    <row r="69" spans="3:27" ht="15.75" customHeight="1">
      <c r="C69" s="85"/>
      <c r="D69" s="56"/>
      <c r="E69" s="89"/>
      <c r="F69" s="57">
        <v>6</v>
      </c>
      <c r="G69" s="77"/>
      <c r="H69" s="115"/>
      <c r="I69" s="115"/>
      <c r="J69" s="115"/>
      <c r="K69" s="139" t="e">
        <f>SUM(#REF!)</f>
        <v>#REF!</v>
      </c>
      <c r="L69" s="140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30"/>
    </row>
    <row r="70" spans="3:27" ht="15.75" customHeight="1">
      <c r="C70" s="85"/>
      <c r="D70" s="154"/>
      <c r="E70" s="89"/>
      <c r="F70" s="92">
        <v>5</v>
      </c>
      <c r="G70" s="77"/>
      <c r="H70" s="115"/>
      <c r="I70" s="115"/>
      <c r="J70" s="115">
        <f t="shared" ref="J70" si="10">J71+J72+J73+J74+J75+J76+J77+J78</f>
        <v>0</v>
      </c>
      <c r="K70" s="139" t="e">
        <f>SUM(#REF!)</f>
        <v>#REF!</v>
      </c>
      <c r="L70" s="140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30"/>
    </row>
    <row r="71" spans="3:27" ht="15.75" customHeight="1">
      <c r="C71" s="85"/>
      <c r="D71" s="56"/>
      <c r="E71" s="89"/>
      <c r="F71" s="57">
        <v>6</v>
      </c>
      <c r="G71" s="77"/>
      <c r="H71" s="115"/>
      <c r="I71" s="115"/>
      <c r="J71" s="115"/>
      <c r="K71" s="139" t="e">
        <f>SUM(#REF!)</f>
        <v>#REF!</v>
      </c>
      <c r="L71" s="140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30"/>
    </row>
    <row r="72" spans="3:27" ht="15.75" customHeight="1">
      <c r="C72" s="85"/>
      <c r="D72" s="56"/>
      <c r="E72" s="89"/>
      <c r="F72" s="57">
        <v>6</v>
      </c>
      <c r="G72" s="77"/>
      <c r="H72" s="115"/>
      <c r="I72" s="115"/>
      <c r="J72" s="115"/>
      <c r="K72" s="139" t="e">
        <f>SUM(#REF!)</f>
        <v>#REF!</v>
      </c>
      <c r="L72" s="140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30"/>
    </row>
    <row r="73" spans="3:27" ht="15.75" customHeight="1">
      <c r="C73" s="85"/>
      <c r="D73" s="56"/>
      <c r="E73" s="89"/>
      <c r="F73" s="57">
        <v>6</v>
      </c>
      <c r="G73" s="77"/>
      <c r="H73" s="115"/>
      <c r="I73" s="115"/>
      <c r="J73" s="115"/>
      <c r="K73" s="139" t="e">
        <f>SUM(#REF!)</f>
        <v>#REF!</v>
      </c>
      <c r="L73" s="140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30"/>
    </row>
    <row r="74" spans="3:27" ht="15.75" customHeight="1">
      <c r="C74" s="85"/>
      <c r="D74" s="56"/>
      <c r="E74" s="89"/>
      <c r="F74" s="57">
        <v>6</v>
      </c>
      <c r="G74" s="77"/>
      <c r="H74" s="115"/>
      <c r="I74" s="115"/>
      <c r="J74" s="115"/>
      <c r="K74" s="139" t="e">
        <f>SUM(#REF!)</f>
        <v>#REF!</v>
      </c>
      <c r="L74" s="140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30"/>
    </row>
    <row r="75" spans="3:27" ht="15.75" customHeight="1">
      <c r="C75" s="85"/>
      <c r="D75" s="56"/>
      <c r="E75" s="89"/>
      <c r="F75" s="57">
        <v>6</v>
      </c>
      <c r="G75" s="77"/>
      <c r="H75" s="115"/>
      <c r="I75" s="115"/>
      <c r="J75" s="115"/>
      <c r="K75" s="139" t="e">
        <f>SUM(#REF!)</f>
        <v>#REF!</v>
      </c>
      <c r="L75" s="140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30"/>
    </row>
    <row r="76" spans="3:27" ht="15.75" customHeight="1">
      <c r="C76" s="85"/>
      <c r="D76" s="56"/>
      <c r="E76" s="89"/>
      <c r="F76" s="57">
        <v>6</v>
      </c>
      <c r="G76" s="77"/>
      <c r="H76" s="115"/>
      <c r="I76" s="115"/>
      <c r="J76" s="115"/>
      <c r="K76" s="139" t="e">
        <f>SUM(#REF!)</f>
        <v>#REF!</v>
      </c>
      <c r="L76" s="140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30"/>
    </row>
    <row r="77" spans="3:27" ht="15.75" customHeight="1">
      <c r="C77" s="85"/>
      <c r="D77" s="56"/>
      <c r="E77" s="89"/>
      <c r="F77" s="57">
        <v>6</v>
      </c>
      <c r="G77" s="77"/>
      <c r="H77" s="115"/>
      <c r="I77" s="115"/>
      <c r="J77" s="115"/>
      <c r="K77" s="139" t="e">
        <f>SUM(#REF!)</f>
        <v>#REF!</v>
      </c>
      <c r="L77" s="140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30"/>
    </row>
    <row r="78" spans="3:27" ht="15.75" customHeight="1">
      <c r="C78" s="85"/>
      <c r="D78" s="56"/>
      <c r="E78" s="97"/>
      <c r="F78" s="57">
        <v>6</v>
      </c>
      <c r="G78" s="77"/>
      <c r="H78" s="115"/>
      <c r="I78" s="115"/>
      <c r="J78" s="115"/>
      <c r="K78" s="139" t="e">
        <f>SUM(#REF!)</f>
        <v>#REF!</v>
      </c>
      <c r="L78" s="140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30"/>
    </row>
    <row r="79" spans="3:27" ht="15.75" customHeight="1">
      <c r="C79" s="85"/>
      <c r="D79" s="56"/>
      <c r="E79" s="96"/>
      <c r="F79" s="57">
        <v>5</v>
      </c>
      <c r="G79" s="77"/>
      <c r="H79" s="115"/>
      <c r="I79" s="115"/>
      <c r="J79" s="115"/>
      <c r="K79" s="139" t="e">
        <f>SUM(#REF!)</f>
        <v>#REF!</v>
      </c>
      <c r="L79" s="140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30"/>
    </row>
    <row r="80" spans="3:27">
      <c r="C80" s="85"/>
      <c r="D80" s="56"/>
      <c r="E80" s="89"/>
      <c r="F80" s="57">
        <v>4</v>
      </c>
      <c r="G80" s="77"/>
      <c r="H80" s="115"/>
      <c r="I80" s="115"/>
      <c r="J80" s="115">
        <f t="shared" ref="J80" si="11">J81+J82+J83+J89+J94+J97</f>
        <v>0</v>
      </c>
      <c r="K80" s="139" t="e">
        <f>SUM(#REF!)</f>
        <v>#REF!</v>
      </c>
      <c r="L80" s="140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30"/>
    </row>
    <row r="81" spans="2:27" ht="15.75" customHeight="1">
      <c r="C81" s="85"/>
      <c r="D81" s="56"/>
      <c r="E81" s="89"/>
      <c r="F81" s="57">
        <v>5</v>
      </c>
      <c r="G81" s="77"/>
      <c r="H81" s="115"/>
      <c r="I81" s="115"/>
      <c r="J81" s="115"/>
      <c r="K81" s="139" t="e">
        <f>SUM(#REF!)</f>
        <v>#REF!</v>
      </c>
      <c r="L81" s="140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30"/>
    </row>
    <row r="82" spans="2:27" ht="15.75" customHeight="1">
      <c r="C82" s="85"/>
      <c r="D82" s="56"/>
      <c r="E82" s="89"/>
      <c r="F82" s="57">
        <v>5</v>
      </c>
      <c r="G82" s="77"/>
      <c r="H82" s="115"/>
      <c r="I82" s="115"/>
      <c r="J82" s="115"/>
      <c r="K82" s="139" t="e">
        <f>SUM(#REF!)</f>
        <v>#REF!</v>
      </c>
      <c r="L82" s="140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30"/>
    </row>
    <row r="83" spans="2:27" ht="15.75" customHeight="1">
      <c r="C83" s="85"/>
      <c r="D83" s="154"/>
      <c r="E83" s="89"/>
      <c r="F83" s="92">
        <v>5</v>
      </c>
      <c r="G83" s="77"/>
      <c r="H83" s="115"/>
      <c r="I83" s="115"/>
      <c r="J83" s="115">
        <f t="shared" ref="J83" si="12">J84+J85+J86+J87+J88</f>
        <v>0</v>
      </c>
      <c r="K83" s="139" t="e">
        <f>SUM(#REF!)</f>
        <v>#REF!</v>
      </c>
      <c r="L83" s="140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30"/>
    </row>
    <row r="84" spans="2:27" ht="15.75" customHeight="1">
      <c r="C84" s="85"/>
      <c r="D84" s="56"/>
      <c r="E84" s="89"/>
      <c r="F84" s="57">
        <v>6</v>
      </c>
      <c r="G84" s="77"/>
      <c r="H84" s="115"/>
      <c r="I84" s="115"/>
      <c r="J84" s="115"/>
      <c r="K84" s="139" t="e">
        <f>SUM(#REF!)</f>
        <v>#REF!</v>
      </c>
      <c r="L84" s="140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30"/>
    </row>
    <row r="85" spans="2:27" ht="15.75" customHeight="1">
      <c r="C85" s="85"/>
      <c r="D85" s="56"/>
      <c r="E85" s="89"/>
      <c r="F85" s="57">
        <v>6</v>
      </c>
      <c r="G85" s="77"/>
      <c r="H85" s="115"/>
      <c r="I85" s="115"/>
      <c r="J85" s="115"/>
      <c r="K85" s="139" t="e">
        <f>SUM(#REF!)</f>
        <v>#REF!</v>
      </c>
      <c r="L85" s="140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30"/>
    </row>
    <row r="86" spans="2:27" ht="15.75" customHeight="1">
      <c r="C86" s="85"/>
      <c r="D86" s="56"/>
      <c r="E86" s="89"/>
      <c r="F86" s="57">
        <v>6</v>
      </c>
      <c r="G86" s="77"/>
      <c r="H86" s="115"/>
      <c r="I86" s="115"/>
      <c r="J86" s="115"/>
      <c r="K86" s="139" t="e">
        <f>SUM(#REF!)</f>
        <v>#REF!</v>
      </c>
      <c r="L86" s="140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30"/>
    </row>
    <row r="87" spans="2:27" s="98" customFormat="1" ht="15.75" customHeight="1">
      <c r="B87" s="54"/>
      <c r="C87" s="85"/>
      <c r="D87" s="143"/>
      <c r="E87" s="99"/>
      <c r="F87" s="57">
        <v>6</v>
      </c>
      <c r="G87" s="100"/>
      <c r="H87" s="120"/>
      <c r="I87" s="120"/>
      <c r="J87" s="120"/>
      <c r="K87" s="139" t="e">
        <f>SUM(#REF!)</f>
        <v>#REF!</v>
      </c>
      <c r="L87" s="140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0"/>
    </row>
    <row r="88" spans="2:27" ht="15.75" customHeight="1">
      <c r="C88" s="85"/>
      <c r="D88" s="56"/>
      <c r="E88" s="89"/>
      <c r="F88" s="57">
        <v>6</v>
      </c>
      <c r="G88" s="77"/>
      <c r="H88" s="115"/>
      <c r="I88" s="115"/>
      <c r="J88" s="115"/>
      <c r="K88" s="139" t="e">
        <f>SUM(#REF!)</f>
        <v>#REF!</v>
      </c>
      <c r="L88" s="140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30"/>
    </row>
    <row r="89" spans="2:27" ht="15.75" customHeight="1">
      <c r="C89" s="85"/>
      <c r="D89" s="154"/>
      <c r="E89" s="89"/>
      <c r="F89" s="92">
        <v>5</v>
      </c>
      <c r="G89" s="77"/>
      <c r="H89" s="115"/>
      <c r="I89" s="115"/>
      <c r="J89" s="115">
        <f t="shared" ref="J89" si="13">J90+J91+J92+J93</f>
        <v>0</v>
      </c>
      <c r="K89" s="139" t="e">
        <f>SUM(#REF!)</f>
        <v>#REF!</v>
      </c>
      <c r="L89" s="140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30"/>
    </row>
    <row r="90" spans="2:27" ht="15.75" customHeight="1">
      <c r="C90" s="85"/>
      <c r="D90" s="56"/>
      <c r="E90" s="89"/>
      <c r="F90" s="57">
        <v>6</v>
      </c>
      <c r="G90" s="77"/>
      <c r="H90" s="115"/>
      <c r="I90" s="115"/>
      <c r="J90" s="115"/>
      <c r="K90" s="139" t="e">
        <f>SUM(#REF!)</f>
        <v>#REF!</v>
      </c>
      <c r="L90" s="140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30"/>
    </row>
    <row r="91" spans="2:27" ht="15.75" customHeight="1">
      <c r="C91" s="85"/>
      <c r="D91" s="143"/>
      <c r="E91" s="101"/>
      <c r="F91" s="57">
        <v>6</v>
      </c>
      <c r="G91" s="77"/>
      <c r="H91" s="115"/>
      <c r="I91" s="115"/>
      <c r="J91" s="115"/>
      <c r="K91" s="139" t="e">
        <f>SUM(#REF!)</f>
        <v>#REF!</v>
      </c>
      <c r="L91" s="140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30"/>
    </row>
    <row r="92" spans="2:27" ht="15.75" customHeight="1">
      <c r="C92" s="85"/>
      <c r="D92" s="56"/>
      <c r="E92" s="89"/>
      <c r="F92" s="57">
        <v>6</v>
      </c>
      <c r="G92" s="77"/>
      <c r="H92" s="115"/>
      <c r="I92" s="115"/>
      <c r="J92" s="115"/>
      <c r="K92" s="139" t="e">
        <f>SUM(#REF!)</f>
        <v>#REF!</v>
      </c>
      <c r="L92" s="140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30"/>
    </row>
    <row r="93" spans="2:27" s="84" customFormat="1" ht="15.75" customHeight="1">
      <c r="B93" s="54"/>
      <c r="C93" s="85"/>
      <c r="D93" s="56"/>
      <c r="E93" s="96"/>
      <c r="F93" s="57">
        <v>6</v>
      </c>
      <c r="G93" s="102"/>
      <c r="H93" s="121"/>
      <c r="I93" s="121"/>
      <c r="J93" s="121"/>
      <c r="K93" s="139" t="e">
        <f>SUM(#REF!)</f>
        <v>#REF!</v>
      </c>
      <c r="L93" s="140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0"/>
    </row>
    <row r="94" spans="2:27" ht="15.75" customHeight="1">
      <c r="C94" s="85"/>
      <c r="D94" s="154"/>
      <c r="E94" s="97"/>
      <c r="F94" s="92">
        <v>5</v>
      </c>
      <c r="G94" s="77"/>
      <c r="H94" s="115"/>
      <c r="I94" s="115"/>
      <c r="J94" s="115">
        <f t="shared" ref="J94" si="14">J95+J96</f>
        <v>0</v>
      </c>
      <c r="K94" s="139" t="e">
        <f>SUM(#REF!)</f>
        <v>#REF!</v>
      </c>
      <c r="L94" s="140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30"/>
    </row>
    <row r="95" spans="2:27" ht="15.75" customHeight="1">
      <c r="C95" s="85"/>
      <c r="D95" s="143"/>
      <c r="E95" s="101"/>
      <c r="F95" s="57">
        <v>6</v>
      </c>
      <c r="G95" s="77"/>
      <c r="H95" s="115"/>
      <c r="I95" s="115"/>
      <c r="J95" s="115"/>
      <c r="K95" s="139" t="e">
        <f>SUM(#REF!)</f>
        <v>#REF!</v>
      </c>
      <c r="L95" s="140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30"/>
    </row>
    <row r="96" spans="2:27" ht="15.75" customHeight="1">
      <c r="C96" s="85"/>
      <c r="D96" s="56"/>
      <c r="E96" s="89"/>
      <c r="F96" s="57">
        <v>6</v>
      </c>
      <c r="G96" s="77"/>
      <c r="H96" s="115"/>
      <c r="I96" s="115"/>
      <c r="J96" s="115"/>
      <c r="K96" s="139" t="e">
        <f>SUM(#REF!)</f>
        <v>#REF!</v>
      </c>
      <c r="L96" s="140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30"/>
    </row>
    <row r="97" spans="3:27" ht="15.75" customHeight="1">
      <c r="C97" s="85"/>
      <c r="D97" s="56"/>
      <c r="E97" s="96"/>
      <c r="F97" s="57">
        <v>5</v>
      </c>
      <c r="G97" s="77"/>
      <c r="H97" s="115"/>
      <c r="I97" s="115"/>
      <c r="J97" s="115"/>
      <c r="K97" s="139" t="e">
        <f>SUM(#REF!)</f>
        <v>#REF!</v>
      </c>
      <c r="L97" s="140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30"/>
    </row>
    <row r="98" spans="3:27">
      <c r="C98" s="85"/>
      <c r="D98" s="56"/>
      <c r="E98" s="89"/>
      <c r="F98" s="57">
        <v>4</v>
      </c>
      <c r="G98" s="77"/>
      <c r="H98" s="115"/>
      <c r="I98" s="115"/>
      <c r="J98" s="115">
        <f t="shared" ref="J98" si="15">J99+J100+J101+J113+J121</f>
        <v>0</v>
      </c>
      <c r="K98" s="139" t="e">
        <f>SUM(#REF!)</f>
        <v>#REF!</v>
      </c>
      <c r="L98" s="140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30"/>
    </row>
    <row r="99" spans="3:27" ht="15.75" customHeight="1">
      <c r="C99" s="85"/>
      <c r="D99" s="56"/>
      <c r="E99" s="89"/>
      <c r="F99" s="57">
        <v>5</v>
      </c>
      <c r="G99" s="77"/>
      <c r="H99" s="115"/>
      <c r="I99" s="115"/>
      <c r="J99" s="115"/>
      <c r="K99" s="139" t="e">
        <f>SUM(#REF!)</f>
        <v>#REF!</v>
      </c>
      <c r="L99" s="140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30"/>
    </row>
    <row r="100" spans="3:27" ht="15.75" customHeight="1">
      <c r="C100" s="85"/>
      <c r="D100" s="56"/>
      <c r="E100" s="89"/>
      <c r="F100" s="57">
        <v>5</v>
      </c>
      <c r="G100" s="77"/>
      <c r="H100" s="115"/>
      <c r="I100" s="115"/>
      <c r="J100" s="115"/>
      <c r="K100" s="139" t="e">
        <f>SUM(#REF!)</f>
        <v>#REF!</v>
      </c>
      <c r="L100" s="140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30"/>
    </row>
    <row r="101" spans="3:27" ht="15.75" customHeight="1">
      <c r="C101" s="85"/>
      <c r="D101" s="154"/>
      <c r="E101" s="89"/>
      <c r="F101" s="92">
        <v>5</v>
      </c>
      <c r="G101" s="77"/>
      <c r="H101" s="115"/>
      <c r="I101" s="115"/>
      <c r="J101" s="115">
        <f t="shared" ref="J101" si="16">J102+J103+J104+J105+J106+J107+J108+J109+J111+J112</f>
        <v>0</v>
      </c>
      <c r="K101" s="139" t="e">
        <f>SUM(#REF!)</f>
        <v>#REF!</v>
      </c>
      <c r="L101" s="140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30"/>
    </row>
    <row r="102" spans="3:27" ht="15.75" customHeight="1">
      <c r="C102" s="85"/>
      <c r="D102" s="56"/>
      <c r="E102" s="89"/>
      <c r="F102" s="57">
        <v>6</v>
      </c>
      <c r="G102" s="77"/>
      <c r="H102" s="115"/>
      <c r="I102" s="115"/>
      <c r="J102" s="115"/>
      <c r="K102" s="139" t="e">
        <f>SUM(#REF!)</f>
        <v>#REF!</v>
      </c>
      <c r="L102" s="140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30"/>
    </row>
    <row r="103" spans="3:27" ht="15.75" customHeight="1">
      <c r="C103" s="85"/>
      <c r="D103" s="56"/>
      <c r="E103" s="89"/>
      <c r="F103" s="57">
        <v>6</v>
      </c>
      <c r="G103" s="77"/>
      <c r="H103" s="115"/>
      <c r="I103" s="115"/>
      <c r="J103" s="115"/>
      <c r="K103" s="139" t="e">
        <f>SUM(#REF!)</f>
        <v>#REF!</v>
      </c>
      <c r="L103" s="140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30"/>
    </row>
    <row r="104" spans="3:27" ht="15.75" customHeight="1">
      <c r="C104" s="85"/>
      <c r="D104" s="143"/>
      <c r="E104" s="103"/>
      <c r="F104" s="57">
        <v>6</v>
      </c>
      <c r="G104" s="77"/>
      <c r="H104" s="115"/>
      <c r="I104" s="115"/>
      <c r="J104" s="115"/>
      <c r="K104" s="139" t="e">
        <f>SUM(#REF!)</f>
        <v>#REF!</v>
      </c>
      <c r="L104" s="140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30"/>
    </row>
    <row r="105" spans="3:27" ht="15.75" customHeight="1">
      <c r="C105" s="85"/>
      <c r="D105" s="56"/>
      <c r="E105" s="104"/>
      <c r="F105" s="57">
        <v>6</v>
      </c>
      <c r="G105" s="77"/>
      <c r="H105" s="115"/>
      <c r="I105" s="115"/>
      <c r="J105" s="115"/>
      <c r="K105" s="139" t="e">
        <f>SUM(#REF!)</f>
        <v>#REF!</v>
      </c>
      <c r="L105" s="140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30"/>
    </row>
    <row r="106" spans="3:27" ht="15.75" customHeight="1">
      <c r="C106" s="85"/>
      <c r="D106" s="56"/>
      <c r="E106" s="104"/>
      <c r="F106" s="57">
        <v>6</v>
      </c>
      <c r="G106" s="77"/>
      <c r="H106" s="115"/>
      <c r="I106" s="115"/>
      <c r="J106" s="115"/>
      <c r="K106" s="139" t="e">
        <f>SUM(#REF!)</f>
        <v>#REF!</v>
      </c>
      <c r="L106" s="140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30"/>
    </row>
    <row r="107" spans="3:27" ht="15.75" customHeight="1">
      <c r="C107" s="85"/>
      <c r="D107" s="56"/>
      <c r="E107" s="89"/>
      <c r="F107" s="57">
        <v>6</v>
      </c>
      <c r="G107" s="77"/>
      <c r="H107" s="115"/>
      <c r="I107" s="115"/>
      <c r="J107" s="115"/>
      <c r="K107" s="139" t="e">
        <f>SUM(#REF!)</f>
        <v>#REF!</v>
      </c>
      <c r="L107" s="140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30"/>
    </row>
    <row r="108" spans="3:27" ht="15.75" customHeight="1">
      <c r="C108" s="85"/>
      <c r="D108" s="56"/>
      <c r="E108" s="96"/>
      <c r="F108" s="57">
        <v>6</v>
      </c>
      <c r="G108" s="77"/>
      <c r="H108" s="115"/>
      <c r="I108" s="115"/>
      <c r="J108" s="115"/>
      <c r="K108" s="139" t="e">
        <f>SUM(#REF!)</f>
        <v>#REF!</v>
      </c>
      <c r="L108" s="140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30"/>
    </row>
    <row r="109" spans="3:27" ht="15.75" customHeight="1">
      <c r="C109" s="85"/>
      <c r="D109" s="56"/>
      <c r="E109" s="96"/>
      <c r="F109" s="57">
        <v>6</v>
      </c>
      <c r="G109" s="77"/>
      <c r="H109" s="115"/>
      <c r="I109" s="115"/>
      <c r="J109" s="115"/>
      <c r="K109" s="139" t="e">
        <f>SUM(#REF!)</f>
        <v>#REF!</v>
      </c>
      <c r="L109" s="140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30"/>
    </row>
    <row r="110" spans="3:27" ht="15.75" customHeight="1">
      <c r="C110" s="85"/>
      <c r="D110" s="56"/>
      <c r="E110" s="96"/>
      <c r="F110" s="57">
        <v>6</v>
      </c>
      <c r="G110" s="77"/>
      <c r="H110" s="115"/>
      <c r="I110" s="115"/>
      <c r="J110" s="115"/>
      <c r="K110" s="139" t="e">
        <f>SUM(#REF!)</f>
        <v>#REF!</v>
      </c>
      <c r="L110" s="140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30"/>
    </row>
    <row r="111" spans="3:27" ht="15.75" customHeight="1">
      <c r="C111" s="85"/>
      <c r="D111" s="56"/>
      <c r="E111" s="89"/>
      <c r="F111" s="57">
        <v>6</v>
      </c>
      <c r="G111" s="77"/>
      <c r="H111" s="115"/>
      <c r="I111" s="115"/>
      <c r="J111" s="115"/>
      <c r="K111" s="139" t="e">
        <f>SUM(#REF!)</f>
        <v>#REF!</v>
      </c>
      <c r="L111" s="140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30"/>
    </row>
    <row r="112" spans="3:27" ht="15.75" customHeight="1">
      <c r="C112" s="85"/>
      <c r="D112" s="56"/>
      <c r="E112" s="89"/>
      <c r="F112" s="57">
        <v>6</v>
      </c>
      <c r="G112" s="77"/>
      <c r="H112" s="115"/>
      <c r="I112" s="115"/>
      <c r="J112" s="115"/>
      <c r="K112" s="139" t="e">
        <f>SUM(#REF!)</f>
        <v>#REF!</v>
      </c>
      <c r="L112" s="140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30"/>
    </row>
    <row r="113" spans="3:27" ht="15.75" customHeight="1">
      <c r="C113" s="85"/>
      <c r="D113" s="154"/>
      <c r="E113" s="89"/>
      <c r="F113" s="92">
        <v>5</v>
      </c>
      <c r="G113" s="77"/>
      <c r="H113" s="115"/>
      <c r="I113" s="115"/>
      <c r="J113" s="115">
        <f t="shared" ref="J113" si="17">J114+J115+J116+J117+J118+J119+J120</f>
        <v>0</v>
      </c>
      <c r="K113" s="139" t="e">
        <f>SUM(#REF!)</f>
        <v>#REF!</v>
      </c>
      <c r="L113" s="140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30"/>
    </row>
    <row r="114" spans="3:27" ht="15.75" customHeight="1">
      <c r="C114" s="85"/>
      <c r="D114" s="56"/>
      <c r="E114" s="97"/>
      <c r="F114" s="57">
        <v>6</v>
      </c>
      <c r="G114" s="77"/>
      <c r="H114" s="115"/>
      <c r="I114" s="115"/>
      <c r="J114" s="115"/>
      <c r="K114" s="139" t="e">
        <f>SUM(#REF!)</f>
        <v>#REF!</v>
      </c>
      <c r="L114" s="140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30"/>
    </row>
    <row r="115" spans="3:27" ht="15.75" customHeight="1">
      <c r="C115" s="85"/>
      <c r="D115" s="56"/>
      <c r="E115" s="96"/>
      <c r="F115" s="57">
        <v>6</v>
      </c>
      <c r="G115" s="77"/>
      <c r="H115" s="115"/>
      <c r="I115" s="115"/>
      <c r="J115" s="115"/>
      <c r="K115" s="139" t="e">
        <f>SUM(#REF!)</f>
        <v>#REF!</v>
      </c>
      <c r="L115" s="140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30"/>
    </row>
    <row r="116" spans="3:27" ht="15.75" customHeight="1">
      <c r="C116" s="85"/>
      <c r="D116" s="143"/>
      <c r="E116" s="99"/>
      <c r="F116" s="57">
        <v>6</v>
      </c>
      <c r="G116" s="77"/>
      <c r="H116" s="115"/>
      <c r="I116" s="115"/>
      <c r="J116" s="115"/>
      <c r="K116" s="139" t="e">
        <f>SUM(#REF!)</f>
        <v>#REF!</v>
      </c>
      <c r="L116" s="140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30"/>
    </row>
    <row r="117" spans="3:27" ht="15.75" customHeight="1">
      <c r="C117" s="85"/>
      <c r="D117" s="56"/>
      <c r="E117" s="89"/>
      <c r="F117" s="57">
        <v>6</v>
      </c>
      <c r="G117" s="77"/>
      <c r="H117" s="115"/>
      <c r="I117" s="115"/>
      <c r="J117" s="115"/>
      <c r="K117" s="139" t="e">
        <f>SUM(#REF!)</f>
        <v>#REF!</v>
      </c>
      <c r="L117" s="140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30"/>
    </row>
    <row r="118" spans="3:27" ht="15.75" customHeight="1">
      <c r="C118" s="85"/>
      <c r="D118" s="143"/>
      <c r="E118" s="99"/>
      <c r="F118" s="57">
        <v>6</v>
      </c>
      <c r="G118" s="77"/>
      <c r="H118" s="115"/>
      <c r="I118" s="115"/>
      <c r="J118" s="115"/>
      <c r="K118" s="139" t="e">
        <f>SUM(#REF!)</f>
        <v>#REF!</v>
      </c>
      <c r="L118" s="140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30"/>
    </row>
    <row r="119" spans="3:27" ht="15.75" customHeight="1">
      <c r="C119" s="85"/>
      <c r="D119" s="143"/>
      <c r="E119" s="99"/>
      <c r="F119" s="57">
        <v>6</v>
      </c>
      <c r="G119" s="77"/>
      <c r="H119" s="115"/>
      <c r="I119" s="115"/>
      <c r="J119" s="115"/>
      <c r="K119" s="139" t="e">
        <f>SUM(#REF!)</f>
        <v>#REF!</v>
      </c>
      <c r="L119" s="140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30"/>
    </row>
    <row r="120" spans="3:27" ht="15.75" customHeight="1">
      <c r="C120" s="85"/>
      <c r="D120" s="143"/>
      <c r="E120" s="99"/>
      <c r="F120" s="57">
        <v>6</v>
      </c>
      <c r="G120" s="77"/>
      <c r="H120" s="115"/>
      <c r="I120" s="115"/>
      <c r="J120" s="115"/>
      <c r="K120" s="139" t="e">
        <f>SUM(#REF!)</f>
        <v>#REF!</v>
      </c>
      <c r="L120" s="140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30"/>
    </row>
    <row r="121" spans="3:27" ht="15.75" customHeight="1">
      <c r="C121" s="85"/>
      <c r="D121" s="56"/>
      <c r="E121" s="96"/>
      <c r="F121" s="57">
        <v>5</v>
      </c>
      <c r="G121" s="77"/>
      <c r="H121" s="115"/>
      <c r="I121" s="115"/>
      <c r="J121" s="115"/>
      <c r="K121" s="139" t="e">
        <f>SUM(#REF!)</f>
        <v>#REF!</v>
      </c>
      <c r="L121" s="140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30"/>
    </row>
    <row r="122" spans="3:27">
      <c r="C122" s="85"/>
      <c r="D122" s="56"/>
      <c r="E122" s="99"/>
      <c r="F122" s="57">
        <v>4</v>
      </c>
      <c r="G122" s="77"/>
      <c r="H122" s="115"/>
      <c r="I122" s="115"/>
      <c r="J122" s="115">
        <f t="shared" ref="J122" si="18">J123+J124+J125+J130+J131+J139+J145+J146+J147</f>
        <v>0</v>
      </c>
      <c r="K122" s="139" t="e">
        <f>SUM(#REF!)</f>
        <v>#REF!</v>
      </c>
      <c r="L122" s="140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30"/>
    </row>
    <row r="123" spans="3:27" ht="15.75" hidden="1" customHeight="1">
      <c r="C123" s="85"/>
      <c r="D123" s="56"/>
      <c r="E123" s="89"/>
      <c r="F123" s="57">
        <v>5</v>
      </c>
      <c r="G123" s="77"/>
      <c r="H123" s="115"/>
      <c r="I123" s="115"/>
      <c r="J123" s="115"/>
      <c r="K123" s="139" t="e">
        <f>SUM(#REF!)</f>
        <v>#REF!</v>
      </c>
      <c r="L123" s="140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30"/>
    </row>
    <row r="124" spans="3:27" ht="15.75" hidden="1" customHeight="1">
      <c r="C124" s="85"/>
      <c r="D124" s="56"/>
      <c r="E124" s="89"/>
      <c r="F124" s="57">
        <v>5</v>
      </c>
      <c r="G124" s="77"/>
      <c r="H124" s="115"/>
      <c r="I124" s="115"/>
      <c r="J124" s="115"/>
      <c r="K124" s="139" t="e">
        <f>SUM(#REF!)</f>
        <v>#REF!</v>
      </c>
      <c r="L124" s="140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30"/>
    </row>
    <row r="125" spans="3:27" ht="15.75" hidden="1" customHeight="1">
      <c r="C125" s="85"/>
      <c r="D125" s="155"/>
      <c r="E125" s="99"/>
      <c r="F125" s="92">
        <v>5</v>
      </c>
      <c r="G125" s="77"/>
      <c r="H125" s="115"/>
      <c r="I125" s="115"/>
      <c r="J125" s="115">
        <f t="shared" ref="J125" si="19">J126+J127+J128+J129</f>
        <v>0</v>
      </c>
      <c r="K125" s="139" t="e">
        <f>SUM(#REF!)</f>
        <v>#REF!</v>
      </c>
      <c r="L125" s="140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30"/>
    </row>
    <row r="126" spans="3:27" ht="15.75" hidden="1" customHeight="1">
      <c r="C126" s="85"/>
      <c r="D126" s="143"/>
      <c r="E126" s="99"/>
      <c r="F126" s="57">
        <v>6</v>
      </c>
      <c r="G126" s="77"/>
      <c r="H126" s="115"/>
      <c r="I126" s="115"/>
      <c r="J126" s="115"/>
      <c r="K126" s="139" t="e">
        <f>SUM(#REF!)</f>
        <v>#REF!</v>
      </c>
      <c r="L126" s="140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30"/>
    </row>
    <row r="127" spans="3:27" ht="15.75" hidden="1" customHeight="1">
      <c r="C127" s="85"/>
      <c r="D127" s="143"/>
      <c r="E127" s="99"/>
      <c r="F127" s="57">
        <v>6</v>
      </c>
      <c r="G127" s="77"/>
      <c r="H127" s="115"/>
      <c r="I127" s="115"/>
      <c r="J127" s="115"/>
      <c r="K127" s="139" t="e">
        <f>SUM(#REF!)</f>
        <v>#REF!</v>
      </c>
      <c r="L127" s="140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30"/>
    </row>
    <row r="128" spans="3:27" ht="15.75" hidden="1" customHeight="1">
      <c r="C128" s="85"/>
      <c r="D128" s="56"/>
      <c r="E128" s="96"/>
      <c r="F128" s="57">
        <v>6</v>
      </c>
      <c r="G128" s="77"/>
      <c r="H128" s="115"/>
      <c r="I128" s="115"/>
      <c r="J128" s="115"/>
      <c r="K128" s="139" t="e">
        <f>SUM(#REF!)</f>
        <v>#REF!</v>
      </c>
      <c r="L128" s="140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30"/>
    </row>
    <row r="129" spans="3:27" ht="15.75" hidden="1" customHeight="1">
      <c r="C129" s="85"/>
      <c r="D129" s="56"/>
      <c r="E129" s="89"/>
      <c r="F129" s="57">
        <v>6</v>
      </c>
      <c r="G129" s="77"/>
      <c r="H129" s="115"/>
      <c r="I129" s="115"/>
      <c r="J129" s="115"/>
      <c r="K129" s="139" t="e">
        <f>SUM(#REF!)</f>
        <v>#REF!</v>
      </c>
      <c r="L129" s="140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30"/>
    </row>
    <row r="130" spans="3:27" ht="15.75" hidden="1" customHeight="1">
      <c r="C130" s="85"/>
      <c r="D130" s="56"/>
      <c r="E130" s="89"/>
      <c r="F130" s="57">
        <v>5</v>
      </c>
      <c r="G130" s="77"/>
      <c r="H130" s="115"/>
      <c r="I130" s="115"/>
      <c r="J130" s="115"/>
      <c r="K130" s="139" t="e">
        <f>SUM(#REF!)</f>
        <v>#REF!</v>
      </c>
      <c r="L130" s="140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30"/>
    </row>
    <row r="131" spans="3:27" ht="15.75" hidden="1" customHeight="1">
      <c r="C131" s="85"/>
      <c r="D131" s="155"/>
      <c r="E131" s="99"/>
      <c r="F131" s="92">
        <v>5</v>
      </c>
      <c r="G131" s="77"/>
      <c r="H131" s="115"/>
      <c r="I131" s="115"/>
      <c r="J131" s="115">
        <f t="shared" ref="J131" si="20">J133+J134+J135+J136+J137+J138</f>
        <v>0</v>
      </c>
      <c r="K131" s="139" t="e">
        <f>SUM(#REF!)</f>
        <v>#REF!</v>
      </c>
      <c r="L131" s="140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30"/>
    </row>
    <row r="132" spans="3:27" ht="15.75" hidden="1" customHeight="1">
      <c r="C132" s="85"/>
      <c r="D132" s="56"/>
      <c r="E132" s="97"/>
      <c r="F132" s="57">
        <v>6</v>
      </c>
      <c r="G132" s="77"/>
      <c r="H132" s="115"/>
      <c r="I132" s="115"/>
      <c r="J132" s="115"/>
      <c r="K132" s="139" t="e">
        <f>SUM(#REF!)</f>
        <v>#REF!</v>
      </c>
      <c r="L132" s="140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30"/>
    </row>
    <row r="133" spans="3:27" ht="15.75" hidden="1" customHeight="1">
      <c r="C133" s="85"/>
      <c r="D133" s="143"/>
      <c r="E133" s="97"/>
      <c r="F133" s="57">
        <v>6</v>
      </c>
      <c r="G133" s="77"/>
      <c r="H133" s="115"/>
      <c r="I133" s="115"/>
      <c r="J133" s="115"/>
      <c r="K133" s="139" t="e">
        <f>SUM(#REF!)</f>
        <v>#REF!</v>
      </c>
      <c r="L133" s="140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30"/>
    </row>
    <row r="134" spans="3:27" ht="15.75" hidden="1" customHeight="1">
      <c r="C134" s="85"/>
      <c r="D134" s="56"/>
      <c r="E134" s="96"/>
      <c r="F134" s="57">
        <v>6</v>
      </c>
      <c r="G134" s="77"/>
      <c r="H134" s="115"/>
      <c r="I134" s="115"/>
      <c r="J134" s="115"/>
      <c r="K134" s="139" t="e">
        <f>SUM(#REF!)</f>
        <v>#REF!</v>
      </c>
      <c r="L134" s="140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30"/>
    </row>
    <row r="135" spans="3:27" ht="15.75" hidden="1" customHeight="1">
      <c r="C135" s="85"/>
      <c r="D135" s="56"/>
      <c r="E135" s="89"/>
      <c r="F135" s="57">
        <v>6</v>
      </c>
      <c r="G135" s="77"/>
      <c r="H135" s="115"/>
      <c r="I135" s="115"/>
      <c r="J135" s="115"/>
      <c r="K135" s="139" t="e">
        <f>SUM(#REF!)</f>
        <v>#REF!</v>
      </c>
      <c r="L135" s="140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30"/>
    </row>
    <row r="136" spans="3:27" ht="15.75" hidden="1" customHeight="1">
      <c r="C136" s="85"/>
      <c r="D136" s="56"/>
      <c r="E136" s="104"/>
      <c r="F136" s="57">
        <v>6</v>
      </c>
      <c r="G136" s="77"/>
      <c r="H136" s="115"/>
      <c r="I136" s="115"/>
      <c r="J136" s="115"/>
      <c r="K136" s="139" t="e">
        <f>SUM(#REF!)</f>
        <v>#REF!</v>
      </c>
      <c r="L136" s="140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30"/>
    </row>
    <row r="137" spans="3:27" ht="15.75" hidden="1" customHeight="1">
      <c r="C137" s="85"/>
      <c r="D137" s="56"/>
      <c r="E137" s="104"/>
      <c r="F137" s="57">
        <v>6</v>
      </c>
      <c r="G137" s="77"/>
      <c r="H137" s="115"/>
      <c r="I137" s="115"/>
      <c r="J137" s="115"/>
      <c r="K137" s="139" t="e">
        <f>SUM(#REF!)</f>
        <v>#REF!</v>
      </c>
      <c r="L137" s="140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30"/>
    </row>
    <row r="138" spans="3:27" ht="15.75" hidden="1" customHeight="1">
      <c r="C138" s="85"/>
      <c r="D138" s="56"/>
      <c r="E138" s="104"/>
      <c r="F138" s="57">
        <v>6</v>
      </c>
      <c r="G138" s="77"/>
      <c r="H138" s="115"/>
      <c r="I138" s="115"/>
      <c r="J138" s="115"/>
      <c r="K138" s="139" t="e">
        <f>SUM(#REF!)</f>
        <v>#REF!</v>
      </c>
      <c r="L138" s="140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30"/>
    </row>
    <row r="139" spans="3:27" ht="15.75" hidden="1" customHeight="1">
      <c r="C139" s="85"/>
      <c r="D139" s="154"/>
      <c r="E139" s="104"/>
      <c r="F139" s="92">
        <v>5</v>
      </c>
      <c r="G139" s="77"/>
      <c r="H139" s="115"/>
      <c r="I139" s="115"/>
      <c r="J139" s="115">
        <f t="shared" ref="J139" si="21">J140+J141+J142+J143+J144</f>
        <v>0</v>
      </c>
      <c r="K139" s="139" t="e">
        <f>SUM(#REF!)</f>
        <v>#REF!</v>
      </c>
      <c r="L139" s="140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30"/>
    </row>
    <row r="140" spans="3:27" ht="15.75" hidden="1" customHeight="1">
      <c r="C140" s="85"/>
      <c r="D140" s="56"/>
      <c r="E140" s="103"/>
      <c r="F140" s="57">
        <v>6</v>
      </c>
      <c r="G140" s="77"/>
      <c r="H140" s="115"/>
      <c r="I140" s="115"/>
      <c r="J140" s="115"/>
      <c r="K140" s="139" t="e">
        <f>SUM(#REF!)</f>
        <v>#REF!</v>
      </c>
      <c r="L140" s="140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30"/>
    </row>
    <row r="141" spans="3:27" ht="15.75" hidden="1" customHeight="1">
      <c r="C141" s="85"/>
      <c r="D141" s="56"/>
      <c r="E141" s="104"/>
      <c r="F141" s="57">
        <v>6</v>
      </c>
      <c r="G141" s="77"/>
      <c r="H141" s="115"/>
      <c r="I141" s="115"/>
      <c r="J141" s="115"/>
      <c r="K141" s="139" t="e">
        <f>SUM(#REF!)</f>
        <v>#REF!</v>
      </c>
      <c r="L141" s="140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30"/>
    </row>
    <row r="142" spans="3:27" ht="15.75" hidden="1" customHeight="1">
      <c r="C142" s="85"/>
      <c r="D142" s="56"/>
      <c r="E142" s="103"/>
      <c r="F142" s="57">
        <v>6</v>
      </c>
      <c r="G142" s="77"/>
      <c r="H142" s="115"/>
      <c r="I142" s="115"/>
      <c r="J142" s="115"/>
      <c r="K142" s="139" t="e">
        <f>SUM(#REF!)</f>
        <v>#REF!</v>
      </c>
      <c r="L142" s="140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30"/>
    </row>
    <row r="143" spans="3:27" ht="15.75" hidden="1" customHeight="1">
      <c r="C143" s="85"/>
      <c r="D143" s="143"/>
      <c r="E143" s="104"/>
      <c r="F143" s="57">
        <v>6</v>
      </c>
      <c r="G143" s="77"/>
      <c r="H143" s="115"/>
      <c r="I143" s="115"/>
      <c r="J143" s="115"/>
      <c r="K143" s="139" t="e">
        <f>SUM(#REF!)</f>
        <v>#REF!</v>
      </c>
      <c r="L143" s="140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30"/>
    </row>
    <row r="144" spans="3:27" ht="15.75" hidden="1" customHeight="1">
      <c r="C144" s="85"/>
      <c r="D144" s="56"/>
      <c r="E144" s="104"/>
      <c r="F144" s="57">
        <v>6</v>
      </c>
      <c r="G144" s="77"/>
      <c r="H144" s="115"/>
      <c r="I144" s="115"/>
      <c r="J144" s="115"/>
      <c r="K144" s="139" t="e">
        <f>SUM(#REF!)</f>
        <v>#REF!</v>
      </c>
      <c r="L144" s="140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30"/>
    </row>
    <row r="145" spans="3:27" ht="15.75" hidden="1" customHeight="1">
      <c r="C145" s="85"/>
      <c r="D145" s="56"/>
      <c r="E145" s="104"/>
      <c r="F145" s="57">
        <v>5</v>
      </c>
      <c r="G145" s="77"/>
      <c r="H145" s="115"/>
      <c r="I145" s="115"/>
      <c r="J145" s="115"/>
      <c r="K145" s="139" t="e">
        <f>SUM(#REF!)</f>
        <v>#REF!</v>
      </c>
      <c r="L145" s="140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30"/>
    </row>
    <row r="146" spans="3:27" ht="15.75" hidden="1" customHeight="1">
      <c r="C146" s="85"/>
      <c r="D146" s="56"/>
      <c r="E146" s="104"/>
      <c r="F146" s="57">
        <v>5</v>
      </c>
      <c r="G146" s="77"/>
      <c r="H146" s="115"/>
      <c r="I146" s="115"/>
      <c r="J146" s="115"/>
      <c r="K146" s="139" t="e">
        <f>SUM(#REF!)</f>
        <v>#REF!</v>
      </c>
      <c r="L146" s="140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30"/>
    </row>
    <row r="147" spans="3:27" ht="15.75" hidden="1" customHeight="1">
      <c r="C147" s="85"/>
      <c r="D147" s="56"/>
      <c r="E147" s="96"/>
      <c r="F147" s="57">
        <v>5</v>
      </c>
      <c r="G147" s="77"/>
      <c r="H147" s="115"/>
      <c r="I147" s="115"/>
      <c r="J147" s="115"/>
      <c r="K147" s="139" t="e">
        <f>SUM(#REF!)</f>
        <v>#REF!</v>
      </c>
      <c r="L147" s="140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30"/>
    </row>
    <row r="148" spans="3:27" collapsed="1">
      <c r="C148" s="85"/>
      <c r="D148" s="56"/>
      <c r="E148" s="104"/>
      <c r="F148" s="57">
        <v>4</v>
      </c>
      <c r="G148" s="77"/>
      <c r="H148" s="115"/>
      <c r="I148" s="115"/>
      <c r="J148" s="115">
        <f t="shared" ref="J148" si="22">J149+J150+J151+J157+J166+J178</f>
        <v>0</v>
      </c>
      <c r="K148" s="139" t="e">
        <f>SUM(#REF!)</f>
        <v>#REF!</v>
      </c>
      <c r="L148" s="140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30"/>
    </row>
    <row r="149" spans="3:27" ht="15.75" hidden="1" customHeight="1">
      <c r="C149" s="85"/>
      <c r="D149" s="56"/>
      <c r="E149" s="89"/>
      <c r="F149" s="57">
        <v>5</v>
      </c>
      <c r="G149" s="77"/>
      <c r="H149" s="115"/>
      <c r="I149" s="115"/>
      <c r="J149" s="115"/>
      <c r="K149" s="139" t="e">
        <f>SUM(#REF!)</f>
        <v>#REF!</v>
      </c>
      <c r="L149" s="140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30"/>
    </row>
    <row r="150" spans="3:27" ht="15.75" hidden="1" customHeight="1">
      <c r="C150" s="85"/>
      <c r="D150" s="56"/>
      <c r="E150" s="89"/>
      <c r="F150" s="57">
        <v>5</v>
      </c>
      <c r="G150" s="77"/>
      <c r="H150" s="115"/>
      <c r="I150" s="115"/>
      <c r="J150" s="115"/>
      <c r="K150" s="139" t="e">
        <f>SUM(#REF!)</f>
        <v>#REF!</v>
      </c>
      <c r="L150" s="140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30"/>
    </row>
    <row r="151" spans="3:27" ht="15.75" hidden="1" customHeight="1">
      <c r="C151" s="85"/>
      <c r="D151" s="154"/>
      <c r="E151" s="99"/>
      <c r="F151" s="92">
        <v>5</v>
      </c>
      <c r="G151" s="77"/>
      <c r="H151" s="115"/>
      <c r="I151" s="115"/>
      <c r="J151" s="115">
        <f t="shared" ref="J151" si="23">J152+J153+J154+J155+J156</f>
        <v>0</v>
      </c>
      <c r="K151" s="139" t="e">
        <f>SUM(#REF!)</f>
        <v>#REF!</v>
      </c>
      <c r="L151" s="140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30"/>
    </row>
    <row r="152" spans="3:27" ht="15.75" hidden="1" customHeight="1">
      <c r="C152" s="85"/>
      <c r="D152" s="56"/>
      <c r="E152" s="103"/>
      <c r="F152" s="57">
        <v>6</v>
      </c>
      <c r="G152" s="77"/>
      <c r="H152" s="115"/>
      <c r="I152" s="115"/>
      <c r="J152" s="115"/>
      <c r="K152" s="139" t="e">
        <f>SUM(#REF!)</f>
        <v>#REF!</v>
      </c>
      <c r="L152" s="140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30"/>
    </row>
    <row r="153" spans="3:27" ht="15.75" hidden="1" customHeight="1">
      <c r="C153" s="85"/>
      <c r="D153" s="143"/>
      <c r="E153" s="105"/>
      <c r="F153" s="57">
        <v>6</v>
      </c>
      <c r="G153" s="77"/>
      <c r="H153" s="115"/>
      <c r="I153" s="115"/>
      <c r="J153" s="115"/>
      <c r="K153" s="139" t="e">
        <f>SUM(#REF!)</f>
        <v>#REF!</v>
      </c>
      <c r="L153" s="140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30"/>
    </row>
    <row r="154" spans="3:27" ht="15.75" hidden="1" customHeight="1">
      <c r="C154" s="85"/>
      <c r="D154" s="56"/>
      <c r="E154" s="105"/>
      <c r="F154" s="57">
        <v>6</v>
      </c>
      <c r="G154" s="77"/>
      <c r="H154" s="115"/>
      <c r="I154" s="115"/>
      <c r="J154" s="115"/>
      <c r="K154" s="139" t="e">
        <f>SUM(#REF!)</f>
        <v>#REF!</v>
      </c>
      <c r="L154" s="140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30"/>
    </row>
    <row r="155" spans="3:27" ht="15.75" hidden="1" customHeight="1">
      <c r="C155" s="85"/>
      <c r="D155" s="143"/>
      <c r="E155" s="96"/>
      <c r="F155" s="57">
        <v>6</v>
      </c>
      <c r="G155" s="77"/>
      <c r="H155" s="115"/>
      <c r="I155" s="115"/>
      <c r="J155" s="115"/>
      <c r="K155" s="139" t="e">
        <f>SUM(#REF!)</f>
        <v>#REF!</v>
      </c>
      <c r="L155" s="140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30"/>
    </row>
    <row r="156" spans="3:27" ht="15.75" hidden="1" customHeight="1">
      <c r="C156" s="85"/>
      <c r="D156" s="56"/>
      <c r="E156" s="89"/>
      <c r="F156" s="57">
        <v>6</v>
      </c>
      <c r="G156" s="77"/>
      <c r="H156" s="115"/>
      <c r="I156" s="115"/>
      <c r="J156" s="115"/>
      <c r="K156" s="139" t="e">
        <f>SUM(#REF!)</f>
        <v>#REF!</v>
      </c>
      <c r="L156" s="140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30"/>
    </row>
    <row r="157" spans="3:27" ht="15.75" hidden="1" customHeight="1">
      <c r="C157" s="85"/>
      <c r="D157" s="154"/>
      <c r="E157" s="89"/>
      <c r="F157" s="92">
        <v>5</v>
      </c>
      <c r="G157" s="77"/>
      <c r="H157" s="115"/>
      <c r="I157" s="115"/>
      <c r="J157" s="115">
        <f t="shared" ref="J157" si="24">J158+J159+J160+J161+J162+J163+J164+J165</f>
        <v>0</v>
      </c>
      <c r="K157" s="139" t="e">
        <f>SUM(#REF!)</f>
        <v>#REF!</v>
      </c>
      <c r="L157" s="140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30"/>
    </row>
    <row r="158" spans="3:27" ht="15.75" hidden="1" customHeight="1">
      <c r="C158" s="85"/>
      <c r="D158" s="56"/>
      <c r="E158" s="89"/>
      <c r="F158" s="57">
        <v>6</v>
      </c>
      <c r="G158" s="77"/>
      <c r="H158" s="115"/>
      <c r="I158" s="115"/>
      <c r="J158" s="115"/>
      <c r="K158" s="139" t="e">
        <f>SUM(#REF!)</f>
        <v>#REF!</v>
      </c>
      <c r="L158" s="140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30"/>
    </row>
    <row r="159" spans="3:27" ht="15.75" hidden="1" customHeight="1">
      <c r="C159" s="85"/>
      <c r="D159" s="56"/>
      <c r="E159" s="89"/>
      <c r="F159" s="57">
        <v>6</v>
      </c>
      <c r="G159" s="77"/>
      <c r="H159" s="115"/>
      <c r="I159" s="115"/>
      <c r="J159" s="115"/>
      <c r="K159" s="139" t="e">
        <f>SUM(#REF!)</f>
        <v>#REF!</v>
      </c>
      <c r="L159" s="140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30"/>
    </row>
    <row r="160" spans="3:27" ht="15.75" hidden="1" customHeight="1">
      <c r="C160" s="85"/>
      <c r="D160" s="56"/>
      <c r="E160" s="89"/>
      <c r="F160" s="57">
        <v>6</v>
      </c>
      <c r="G160" s="77"/>
      <c r="H160" s="115"/>
      <c r="I160" s="115"/>
      <c r="J160" s="115"/>
      <c r="K160" s="139" t="e">
        <f>SUM(#REF!)</f>
        <v>#REF!</v>
      </c>
      <c r="L160" s="140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30"/>
    </row>
    <row r="161" spans="3:27" ht="15.75" hidden="1" customHeight="1">
      <c r="C161" s="85"/>
      <c r="D161" s="56"/>
      <c r="E161" s="89"/>
      <c r="F161" s="57">
        <v>6</v>
      </c>
      <c r="G161" s="77"/>
      <c r="H161" s="115"/>
      <c r="I161" s="115"/>
      <c r="J161" s="115"/>
      <c r="K161" s="139" t="e">
        <f>SUM(#REF!)</f>
        <v>#REF!</v>
      </c>
      <c r="L161" s="140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30"/>
    </row>
    <row r="162" spans="3:27" ht="15.75" hidden="1" customHeight="1">
      <c r="C162" s="85"/>
      <c r="D162" s="56"/>
      <c r="E162" s="89"/>
      <c r="F162" s="57">
        <v>6</v>
      </c>
      <c r="G162" s="77"/>
      <c r="H162" s="115"/>
      <c r="I162" s="115"/>
      <c r="J162" s="115"/>
      <c r="K162" s="139" t="e">
        <f>SUM(#REF!)</f>
        <v>#REF!</v>
      </c>
      <c r="L162" s="140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30"/>
    </row>
    <row r="163" spans="3:27" ht="15.75" hidden="1" customHeight="1">
      <c r="C163" s="85"/>
      <c r="D163" s="56"/>
      <c r="E163" s="89"/>
      <c r="F163" s="57">
        <v>6</v>
      </c>
      <c r="G163" s="77"/>
      <c r="H163" s="115"/>
      <c r="I163" s="115"/>
      <c r="J163" s="115"/>
      <c r="K163" s="139" t="e">
        <f>SUM(#REF!)</f>
        <v>#REF!</v>
      </c>
      <c r="L163" s="140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30"/>
    </row>
    <row r="164" spans="3:27" ht="15.75" hidden="1" customHeight="1">
      <c r="C164" s="85"/>
      <c r="D164" s="56"/>
      <c r="E164" s="89"/>
      <c r="F164" s="57">
        <v>6</v>
      </c>
      <c r="G164" s="77"/>
      <c r="H164" s="115"/>
      <c r="I164" s="115"/>
      <c r="J164" s="115"/>
      <c r="K164" s="139" t="e">
        <f>SUM(#REF!)</f>
        <v>#REF!</v>
      </c>
      <c r="L164" s="140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30"/>
    </row>
    <row r="165" spans="3:27" ht="15.75" hidden="1" customHeight="1">
      <c r="C165" s="85"/>
      <c r="D165" s="56"/>
      <c r="E165" s="89"/>
      <c r="F165" s="57">
        <v>6</v>
      </c>
      <c r="G165" s="77"/>
      <c r="H165" s="115"/>
      <c r="I165" s="115"/>
      <c r="J165" s="115"/>
      <c r="K165" s="139" t="e">
        <f>SUM(#REF!)</f>
        <v>#REF!</v>
      </c>
      <c r="L165" s="140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30"/>
    </row>
    <row r="166" spans="3:27" ht="15.75" hidden="1" customHeight="1">
      <c r="C166" s="85"/>
      <c r="D166" s="154"/>
      <c r="E166" s="89"/>
      <c r="F166" s="92">
        <v>5</v>
      </c>
      <c r="G166" s="77"/>
      <c r="H166" s="115"/>
      <c r="I166" s="115"/>
      <c r="J166" s="115">
        <f t="shared" ref="J166" si="25">J167+J168+J169+J170+J171+J172+J173+J174+J175+J176+J177</f>
        <v>0</v>
      </c>
      <c r="K166" s="139" t="e">
        <f>SUM(#REF!)</f>
        <v>#REF!</v>
      </c>
      <c r="L166" s="140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30"/>
    </row>
    <row r="167" spans="3:27" ht="15.75" hidden="1" customHeight="1">
      <c r="C167" s="85"/>
      <c r="D167" s="56"/>
      <c r="E167" s="89"/>
      <c r="F167" s="57">
        <v>6</v>
      </c>
      <c r="G167" s="77"/>
      <c r="H167" s="115"/>
      <c r="I167" s="115"/>
      <c r="J167" s="115"/>
      <c r="K167" s="139" t="e">
        <f>SUM(#REF!)</f>
        <v>#REF!</v>
      </c>
      <c r="L167" s="140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30"/>
    </row>
    <row r="168" spans="3:27" ht="15.75" hidden="1" customHeight="1">
      <c r="C168" s="85"/>
      <c r="D168" s="56"/>
      <c r="E168" s="89"/>
      <c r="F168" s="57">
        <v>6</v>
      </c>
      <c r="G168" s="77"/>
      <c r="H168" s="115"/>
      <c r="I168" s="115"/>
      <c r="J168" s="115"/>
      <c r="K168" s="139" t="e">
        <f>SUM(#REF!)</f>
        <v>#REF!</v>
      </c>
      <c r="L168" s="140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30"/>
    </row>
    <row r="169" spans="3:27" ht="15.75" hidden="1" customHeight="1">
      <c r="C169" s="85"/>
      <c r="D169" s="56"/>
      <c r="E169" s="89"/>
      <c r="F169" s="57">
        <v>6</v>
      </c>
      <c r="G169" s="77"/>
      <c r="H169" s="115"/>
      <c r="I169" s="115"/>
      <c r="J169" s="115"/>
      <c r="K169" s="139" t="e">
        <f>SUM(#REF!)</f>
        <v>#REF!</v>
      </c>
      <c r="L169" s="140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30"/>
    </row>
    <row r="170" spans="3:27" ht="15.75" hidden="1" customHeight="1">
      <c r="C170" s="85"/>
      <c r="D170" s="56"/>
      <c r="E170" s="89"/>
      <c r="F170" s="57">
        <v>6</v>
      </c>
      <c r="G170" s="77"/>
      <c r="H170" s="115"/>
      <c r="I170" s="115"/>
      <c r="J170" s="115"/>
      <c r="K170" s="139" t="e">
        <f>SUM(#REF!)</f>
        <v>#REF!</v>
      </c>
      <c r="L170" s="140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30"/>
    </row>
    <row r="171" spans="3:27" ht="15.75" hidden="1" customHeight="1">
      <c r="C171" s="85"/>
      <c r="D171" s="56"/>
      <c r="E171" s="89"/>
      <c r="F171" s="57">
        <v>6</v>
      </c>
      <c r="G171" s="77"/>
      <c r="H171" s="115"/>
      <c r="I171" s="115"/>
      <c r="J171" s="115"/>
      <c r="K171" s="139" t="e">
        <f>SUM(#REF!)</f>
        <v>#REF!</v>
      </c>
      <c r="L171" s="140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30"/>
    </row>
    <row r="172" spans="3:27" ht="15.75" hidden="1" customHeight="1">
      <c r="C172" s="85"/>
      <c r="D172" s="56"/>
      <c r="E172" s="89"/>
      <c r="F172" s="57">
        <v>6</v>
      </c>
      <c r="G172" s="77"/>
      <c r="H172" s="115"/>
      <c r="I172" s="115"/>
      <c r="J172" s="115"/>
      <c r="K172" s="139" t="e">
        <f>SUM(#REF!)</f>
        <v>#REF!</v>
      </c>
      <c r="L172" s="140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30"/>
    </row>
    <row r="173" spans="3:27" ht="15.75" hidden="1" customHeight="1">
      <c r="C173" s="85"/>
      <c r="D173" s="56"/>
      <c r="E173" s="89"/>
      <c r="F173" s="57">
        <v>6</v>
      </c>
      <c r="G173" s="77"/>
      <c r="H173" s="115"/>
      <c r="I173" s="115"/>
      <c r="J173" s="115"/>
      <c r="K173" s="139" t="e">
        <f>SUM(#REF!)</f>
        <v>#REF!</v>
      </c>
      <c r="L173" s="140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30"/>
    </row>
    <row r="174" spans="3:27" ht="15.75" hidden="1" customHeight="1">
      <c r="C174" s="85"/>
      <c r="D174" s="56"/>
      <c r="E174" s="89"/>
      <c r="F174" s="57">
        <v>6</v>
      </c>
      <c r="G174" s="77"/>
      <c r="H174" s="115"/>
      <c r="I174" s="115"/>
      <c r="J174" s="115"/>
      <c r="K174" s="139" t="e">
        <f>SUM(#REF!)</f>
        <v>#REF!</v>
      </c>
      <c r="L174" s="140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30"/>
    </row>
    <row r="175" spans="3:27" ht="15.75" hidden="1" customHeight="1">
      <c r="C175" s="85"/>
      <c r="D175" s="56"/>
      <c r="E175" s="89"/>
      <c r="F175" s="57">
        <v>6</v>
      </c>
      <c r="G175" s="77"/>
      <c r="H175" s="115"/>
      <c r="I175" s="115"/>
      <c r="J175" s="115"/>
      <c r="K175" s="139" t="e">
        <f>SUM(#REF!)</f>
        <v>#REF!</v>
      </c>
      <c r="L175" s="140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30"/>
    </row>
    <row r="176" spans="3:27" ht="15.75" hidden="1" customHeight="1">
      <c r="C176" s="85"/>
      <c r="D176" s="56"/>
      <c r="E176" s="89"/>
      <c r="F176" s="57">
        <v>6</v>
      </c>
      <c r="G176" s="77"/>
      <c r="H176" s="115"/>
      <c r="I176" s="115"/>
      <c r="J176" s="115"/>
      <c r="K176" s="139" t="e">
        <f>SUM(#REF!)</f>
        <v>#REF!</v>
      </c>
      <c r="L176" s="140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30"/>
    </row>
    <row r="177" spans="3:27" ht="15.75" hidden="1" customHeight="1">
      <c r="C177" s="85"/>
      <c r="D177" s="56"/>
      <c r="E177" s="89"/>
      <c r="F177" s="57">
        <v>6</v>
      </c>
      <c r="G177" s="77"/>
      <c r="H177" s="115"/>
      <c r="I177" s="115"/>
      <c r="J177" s="115"/>
      <c r="K177" s="139" t="e">
        <f>SUM(#REF!)</f>
        <v>#REF!</v>
      </c>
      <c r="L177" s="140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30"/>
    </row>
    <row r="178" spans="3:27" ht="15.75" hidden="1" customHeight="1">
      <c r="C178" s="85"/>
      <c r="D178" s="56"/>
      <c r="E178" s="96"/>
      <c r="F178" s="57">
        <v>5</v>
      </c>
      <c r="G178" s="77"/>
      <c r="H178" s="115"/>
      <c r="I178" s="115"/>
      <c r="J178" s="115"/>
      <c r="K178" s="139" t="e">
        <f>SUM(#REF!)</f>
        <v>#REF!</v>
      </c>
      <c r="L178" s="140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30"/>
    </row>
    <row r="179" spans="3:27" collapsed="1">
      <c r="C179" s="85"/>
      <c r="D179" s="56"/>
      <c r="E179" s="89"/>
      <c r="F179" s="57">
        <v>4</v>
      </c>
      <c r="G179" s="77"/>
      <c r="H179" s="115"/>
      <c r="I179" s="115"/>
      <c r="J179" s="115">
        <f t="shared" ref="J179" si="26">J180+J181+J182+J183+J184+J185+J186+J187+J188+J189+J190+J191+J192+J193+J194+J195+J196</f>
        <v>0</v>
      </c>
      <c r="K179" s="139" t="e">
        <f>SUM(#REF!)</f>
        <v>#REF!</v>
      </c>
      <c r="L179" s="140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30"/>
    </row>
    <row r="180" spans="3:27" ht="15.75" hidden="1" customHeight="1">
      <c r="C180" s="85"/>
      <c r="D180" s="56"/>
      <c r="E180" s="89"/>
      <c r="F180" s="57">
        <v>5</v>
      </c>
      <c r="G180" s="77"/>
      <c r="H180" s="115"/>
      <c r="I180" s="115"/>
      <c r="J180" s="115"/>
      <c r="K180" s="139" t="e">
        <f>SUM(#REF!)</f>
        <v>#REF!</v>
      </c>
      <c r="L180" s="140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30"/>
    </row>
    <row r="181" spans="3:27" ht="15.75" hidden="1" customHeight="1">
      <c r="C181" s="85"/>
      <c r="D181" s="56"/>
      <c r="E181" s="89"/>
      <c r="F181" s="57">
        <v>5</v>
      </c>
      <c r="G181" s="77"/>
      <c r="H181" s="115"/>
      <c r="I181" s="115"/>
      <c r="J181" s="115"/>
      <c r="K181" s="139" t="e">
        <f>SUM(#REF!)</f>
        <v>#REF!</v>
      </c>
      <c r="L181" s="140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30"/>
    </row>
    <row r="182" spans="3:27" ht="15.75" hidden="1" customHeight="1">
      <c r="C182" s="85"/>
      <c r="D182" s="56"/>
      <c r="E182" s="89"/>
      <c r="F182" s="57">
        <v>5</v>
      </c>
      <c r="G182" s="77"/>
      <c r="H182" s="115"/>
      <c r="I182" s="115"/>
      <c r="J182" s="115"/>
      <c r="K182" s="139" t="e">
        <f>SUM(#REF!)</f>
        <v>#REF!</v>
      </c>
      <c r="L182" s="140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30"/>
    </row>
    <row r="183" spans="3:27" ht="15.75" hidden="1" customHeight="1">
      <c r="C183" s="85"/>
      <c r="D183" s="56"/>
      <c r="E183" s="89"/>
      <c r="F183" s="57">
        <v>5</v>
      </c>
      <c r="G183" s="77"/>
      <c r="H183" s="115"/>
      <c r="I183" s="115"/>
      <c r="J183" s="115"/>
      <c r="K183" s="139" t="e">
        <f>SUM(#REF!)</f>
        <v>#REF!</v>
      </c>
      <c r="L183" s="140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30"/>
    </row>
    <row r="184" spans="3:27" ht="15.75" hidden="1" customHeight="1">
      <c r="C184" s="85"/>
      <c r="D184" s="56"/>
      <c r="E184" s="89"/>
      <c r="F184" s="57">
        <v>5</v>
      </c>
      <c r="G184" s="77"/>
      <c r="H184" s="115"/>
      <c r="I184" s="115"/>
      <c r="J184" s="115"/>
      <c r="K184" s="139" t="e">
        <f>SUM(#REF!)</f>
        <v>#REF!</v>
      </c>
      <c r="L184" s="140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30"/>
    </row>
    <row r="185" spans="3:27" ht="15.75" hidden="1" customHeight="1">
      <c r="C185" s="85"/>
      <c r="D185" s="56"/>
      <c r="E185" s="89"/>
      <c r="F185" s="57">
        <v>5</v>
      </c>
      <c r="G185" s="77"/>
      <c r="H185" s="115"/>
      <c r="I185" s="115"/>
      <c r="J185" s="115"/>
      <c r="K185" s="139" t="e">
        <f>SUM(#REF!)</f>
        <v>#REF!</v>
      </c>
      <c r="L185" s="140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30"/>
    </row>
    <row r="186" spans="3:27" ht="15.75" hidden="1" customHeight="1">
      <c r="C186" s="85"/>
      <c r="D186" s="56"/>
      <c r="E186" s="89"/>
      <c r="F186" s="57">
        <v>5</v>
      </c>
      <c r="G186" s="77"/>
      <c r="H186" s="115"/>
      <c r="I186" s="115"/>
      <c r="J186" s="115"/>
      <c r="K186" s="139" t="e">
        <f>SUM(#REF!)</f>
        <v>#REF!</v>
      </c>
      <c r="L186" s="140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30"/>
    </row>
    <row r="187" spans="3:27" ht="15.75" hidden="1" customHeight="1">
      <c r="C187" s="85"/>
      <c r="D187" s="56"/>
      <c r="E187" s="89"/>
      <c r="F187" s="57">
        <v>5</v>
      </c>
      <c r="G187" s="77"/>
      <c r="H187" s="115"/>
      <c r="I187" s="115"/>
      <c r="J187" s="115"/>
      <c r="K187" s="139" t="e">
        <f>SUM(#REF!)</f>
        <v>#REF!</v>
      </c>
      <c r="L187" s="140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30"/>
    </row>
    <row r="188" spans="3:27" ht="15.75" hidden="1" customHeight="1">
      <c r="C188" s="85"/>
      <c r="D188" s="56"/>
      <c r="E188" s="89"/>
      <c r="F188" s="57">
        <v>5</v>
      </c>
      <c r="G188" s="77"/>
      <c r="H188" s="115"/>
      <c r="I188" s="115"/>
      <c r="J188" s="115"/>
      <c r="K188" s="139" t="e">
        <f>SUM(#REF!)</f>
        <v>#REF!</v>
      </c>
      <c r="L188" s="140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30"/>
    </row>
    <row r="189" spans="3:27" ht="15.75" hidden="1" customHeight="1">
      <c r="C189" s="85"/>
      <c r="D189" s="56"/>
      <c r="E189" s="89"/>
      <c r="F189" s="57">
        <v>5</v>
      </c>
      <c r="G189" s="77"/>
      <c r="H189" s="115"/>
      <c r="I189" s="115"/>
      <c r="J189" s="115"/>
      <c r="K189" s="139" t="e">
        <f>SUM(#REF!)</f>
        <v>#REF!</v>
      </c>
      <c r="L189" s="140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30"/>
    </row>
    <row r="190" spans="3:27" ht="15.75" hidden="1" customHeight="1">
      <c r="C190" s="85"/>
      <c r="D190" s="56"/>
      <c r="E190" s="89"/>
      <c r="F190" s="57">
        <v>5</v>
      </c>
      <c r="G190" s="77"/>
      <c r="H190" s="115"/>
      <c r="I190" s="115"/>
      <c r="J190" s="115"/>
      <c r="K190" s="139" t="e">
        <f>SUM(#REF!)</f>
        <v>#REF!</v>
      </c>
      <c r="L190" s="140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  <c r="AA190" s="130"/>
    </row>
    <row r="191" spans="3:27" ht="15.75" hidden="1" customHeight="1">
      <c r="C191" s="85"/>
      <c r="D191" s="56"/>
      <c r="E191" s="89"/>
      <c r="F191" s="57">
        <v>5</v>
      </c>
      <c r="G191" s="77"/>
      <c r="H191" s="115"/>
      <c r="I191" s="115"/>
      <c r="J191" s="115"/>
      <c r="K191" s="139" t="e">
        <f>SUM(#REF!)</f>
        <v>#REF!</v>
      </c>
      <c r="L191" s="140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  <c r="AA191" s="130"/>
    </row>
    <row r="192" spans="3:27" ht="15.75" hidden="1" customHeight="1">
      <c r="C192" s="85"/>
      <c r="D192" s="56"/>
      <c r="E192" s="89"/>
      <c r="F192" s="57">
        <v>5</v>
      </c>
      <c r="G192" s="77"/>
      <c r="H192" s="115"/>
      <c r="I192" s="115"/>
      <c r="J192" s="115"/>
      <c r="K192" s="139" t="e">
        <f>SUM(#REF!)</f>
        <v>#REF!</v>
      </c>
      <c r="L192" s="140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30"/>
    </row>
    <row r="193" spans="1:27" ht="15.75" hidden="1" customHeight="1">
      <c r="C193" s="85"/>
      <c r="D193" s="56"/>
      <c r="E193" s="89"/>
      <c r="F193" s="57">
        <v>5</v>
      </c>
      <c r="G193" s="77"/>
      <c r="H193" s="115"/>
      <c r="I193" s="115"/>
      <c r="J193" s="115"/>
      <c r="K193" s="139" t="e">
        <f>SUM(#REF!)</f>
        <v>#REF!</v>
      </c>
      <c r="L193" s="140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30"/>
    </row>
    <row r="194" spans="1:27" ht="15.75" hidden="1" customHeight="1">
      <c r="C194" s="85"/>
      <c r="D194" s="56"/>
      <c r="E194" s="89"/>
      <c r="F194" s="57">
        <v>5</v>
      </c>
      <c r="G194" s="77"/>
      <c r="H194" s="115"/>
      <c r="I194" s="115"/>
      <c r="J194" s="115"/>
      <c r="K194" s="139" t="e">
        <f>SUM(#REF!)</f>
        <v>#REF!</v>
      </c>
      <c r="L194" s="140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30"/>
    </row>
    <row r="195" spans="1:27" ht="15.75" hidden="1" customHeight="1">
      <c r="C195" s="85"/>
      <c r="D195" s="56"/>
      <c r="E195" s="89"/>
      <c r="F195" s="57">
        <v>5</v>
      </c>
      <c r="G195" s="77"/>
      <c r="H195" s="115"/>
      <c r="I195" s="115"/>
      <c r="J195" s="115"/>
      <c r="K195" s="139" t="e">
        <f>SUM(#REF!)</f>
        <v>#REF!</v>
      </c>
      <c r="L195" s="140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30"/>
    </row>
    <row r="196" spans="1:27" ht="15.75" hidden="1" customHeight="1">
      <c r="C196" s="85"/>
      <c r="D196" s="56"/>
      <c r="E196" s="96"/>
      <c r="F196" s="57">
        <v>5</v>
      </c>
      <c r="G196" s="77"/>
      <c r="H196" s="115"/>
      <c r="I196" s="115"/>
      <c r="J196" s="115"/>
      <c r="K196" s="139" t="e">
        <f>SUM(#REF!)</f>
        <v>#REF!</v>
      </c>
      <c r="L196" s="140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30"/>
    </row>
    <row r="197" spans="1:27" collapsed="1">
      <c r="C197" s="85"/>
      <c r="D197" s="143"/>
      <c r="E197" s="89"/>
      <c r="F197" s="57">
        <v>4</v>
      </c>
      <c r="G197" s="77"/>
      <c r="H197" s="115"/>
      <c r="I197" s="115"/>
      <c r="J197" s="115">
        <f t="shared" ref="J197" si="27">J198+J199+J200+J201+J202</f>
        <v>0</v>
      </c>
      <c r="K197" s="139" t="e">
        <f>SUM(#REF!)</f>
        <v>#REF!</v>
      </c>
      <c r="L197" s="140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30"/>
    </row>
    <row r="198" spans="1:27" ht="15.75" hidden="1" customHeight="1">
      <c r="C198" s="85"/>
      <c r="D198" s="56"/>
      <c r="E198" s="89"/>
      <c r="F198" s="57">
        <v>5</v>
      </c>
      <c r="G198" s="77"/>
      <c r="H198" s="115"/>
      <c r="I198" s="115"/>
      <c r="J198" s="115"/>
      <c r="K198" s="139" t="e">
        <f>SUM(#REF!)</f>
        <v>#REF!</v>
      </c>
      <c r="L198" s="140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30"/>
    </row>
    <row r="199" spans="1:27" ht="15.75" hidden="1" customHeight="1">
      <c r="C199" s="85"/>
      <c r="D199" s="56"/>
      <c r="E199" s="89"/>
      <c r="F199" s="57">
        <v>5</v>
      </c>
      <c r="G199" s="77"/>
      <c r="H199" s="115"/>
      <c r="I199" s="115"/>
      <c r="J199" s="115"/>
      <c r="K199" s="139" t="e">
        <f>SUM(#REF!)</f>
        <v>#REF!</v>
      </c>
      <c r="L199" s="140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30"/>
    </row>
    <row r="200" spans="1:27" collapsed="1">
      <c r="C200" s="85"/>
      <c r="D200" s="56"/>
      <c r="E200" s="89"/>
      <c r="F200" s="57">
        <v>5</v>
      </c>
      <c r="G200" s="77"/>
      <c r="H200" s="115"/>
      <c r="I200" s="115"/>
      <c r="J200" s="115"/>
      <c r="K200" s="139" t="e">
        <f>SUM(#REF!)</f>
        <v>#REF!</v>
      </c>
      <c r="L200" s="140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30"/>
    </row>
    <row r="201" spans="1:27">
      <c r="C201" s="85"/>
      <c r="D201" s="56"/>
      <c r="E201" s="89"/>
      <c r="F201" s="57">
        <v>5</v>
      </c>
      <c r="G201" s="77"/>
      <c r="H201" s="115"/>
      <c r="I201" s="115"/>
      <c r="J201" s="115"/>
      <c r="K201" s="139" t="e">
        <f>SUM(#REF!)</f>
        <v>#REF!</v>
      </c>
      <c r="L201" s="140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  <c r="AA201" s="130"/>
    </row>
    <row r="202" spans="1:27" hidden="1">
      <c r="C202" s="85"/>
      <c r="D202" s="56"/>
      <c r="E202" s="96"/>
      <c r="F202" s="57">
        <v>5</v>
      </c>
      <c r="G202" s="77"/>
      <c r="H202" s="115"/>
      <c r="I202" s="115"/>
      <c r="J202" s="115"/>
      <c r="K202" s="139" t="e">
        <f>SUM(#REF!)</f>
        <v>#REF!</v>
      </c>
      <c r="L202" s="140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30"/>
    </row>
    <row r="203" spans="1:27" hidden="1">
      <c r="C203" s="85"/>
      <c r="D203" s="143"/>
      <c r="E203" s="96"/>
      <c r="F203" s="57">
        <v>4</v>
      </c>
      <c r="G203" s="77"/>
      <c r="H203" s="115"/>
      <c r="I203" s="115"/>
      <c r="J203" s="115"/>
      <c r="K203" s="139" t="e">
        <f>SUM(#REF!)</f>
        <v>#REF!</v>
      </c>
      <c r="L203" s="140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30"/>
    </row>
    <row r="204" spans="1:27" hidden="1">
      <c r="C204" s="85"/>
      <c r="D204" s="143"/>
      <c r="E204" s="96"/>
      <c r="F204" s="57">
        <v>4</v>
      </c>
      <c r="G204" s="77"/>
      <c r="H204" s="115"/>
      <c r="I204" s="115"/>
      <c r="J204" s="115"/>
      <c r="K204" s="139"/>
      <c r="L204" s="140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30"/>
    </row>
    <row r="205" spans="1:27" collapsed="1">
      <c r="C205" s="85"/>
      <c r="D205" s="56"/>
      <c r="E205" s="83"/>
      <c r="F205" s="80">
        <v>3</v>
      </c>
      <c r="G205" s="81"/>
      <c r="H205" s="116"/>
      <c r="I205" s="116"/>
      <c r="J205" s="116"/>
      <c r="K205" s="139" t="e">
        <f>SUM(#REF!)</f>
        <v>#REF!</v>
      </c>
      <c r="L205" s="140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30"/>
    </row>
    <row r="206" spans="1:27">
      <c r="C206" s="85"/>
      <c r="D206" s="56"/>
      <c r="E206" s="83"/>
      <c r="F206" s="80">
        <v>3</v>
      </c>
      <c r="G206" s="81"/>
      <c r="H206" s="116"/>
      <c r="I206" s="116"/>
      <c r="J206" s="116"/>
      <c r="K206" s="139" t="e">
        <f>SUM(#REF!)</f>
        <v>#REF!</v>
      </c>
      <c r="L206" s="140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30"/>
    </row>
    <row r="207" spans="1:27">
      <c r="C207" s="85"/>
      <c r="D207" s="56"/>
      <c r="E207" s="83"/>
      <c r="F207" s="80">
        <v>3</v>
      </c>
      <c r="G207" s="81"/>
      <c r="H207" s="116"/>
      <c r="I207" s="116"/>
      <c r="J207" s="116"/>
      <c r="K207" s="139" t="e">
        <f>SUM(#REF!)</f>
        <v>#REF!</v>
      </c>
      <c r="L207" s="140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30"/>
    </row>
    <row r="208" spans="1:27">
      <c r="A208" s="58"/>
      <c r="C208" s="76"/>
      <c r="D208" s="56"/>
      <c r="E208" s="106"/>
      <c r="F208" s="57">
        <v>2</v>
      </c>
      <c r="G208" s="107"/>
      <c r="H208" s="122"/>
      <c r="I208" s="122"/>
      <c r="J208" s="122"/>
      <c r="K208" s="139" t="e">
        <f>SUM(#REF!)</f>
        <v>#REF!</v>
      </c>
      <c r="L208" s="140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0"/>
    </row>
    <row r="209" spans="2:27" s="82" customFormat="1">
      <c r="B209" s="54"/>
      <c r="C209" s="85"/>
      <c r="D209" s="56"/>
      <c r="E209" s="86"/>
      <c r="F209" s="57">
        <v>3</v>
      </c>
      <c r="G209" s="107"/>
      <c r="H209" s="122"/>
      <c r="I209" s="122"/>
      <c r="J209" s="122"/>
      <c r="K209" s="139" t="e">
        <f>SUM(#REF!)</f>
        <v>#REF!</v>
      </c>
      <c r="L209" s="140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0"/>
    </row>
    <row r="210" spans="2:27" s="82" customFormat="1">
      <c r="B210" s="54"/>
      <c r="C210" s="85"/>
      <c r="D210" s="56"/>
      <c r="E210" s="86"/>
      <c r="F210" s="57">
        <v>3</v>
      </c>
      <c r="G210" s="107"/>
      <c r="H210" s="122"/>
      <c r="I210" s="122"/>
      <c r="J210" s="122"/>
      <c r="K210" s="139" t="e">
        <f>SUM(#REF!)</f>
        <v>#REF!</v>
      </c>
      <c r="L210" s="140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0"/>
    </row>
    <row r="211" spans="2:27" s="82" customFormat="1">
      <c r="B211" s="54"/>
      <c r="C211" s="85"/>
      <c r="D211" s="143"/>
      <c r="E211" s="86"/>
      <c r="F211" s="57">
        <v>3</v>
      </c>
      <c r="G211" s="107"/>
      <c r="H211" s="122"/>
      <c r="I211" s="122"/>
      <c r="J211" s="122"/>
      <c r="K211" s="139" t="e">
        <f>SUM(#REF!)</f>
        <v>#REF!</v>
      </c>
      <c r="L211" s="140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0"/>
    </row>
    <row r="212" spans="2:27" s="82" customFormat="1">
      <c r="B212" s="54"/>
      <c r="C212" s="85"/>
      <c r="D212" s="143"/>
      <c r="E212" s="86"/>
      <c r="F212" s="57">
        <v>3</v>
      </c>
      <c r="G212" s="107"/>
      <c r="H212" s="122"/>
      <c r="I212" s="122"/>
      <c r="J212" s="122"/>
      <c r="K212" s="139" t="e">
        <f>SUM(#REF!)</f>
        <v>#REF!</v>
      </c>
      <c r="L212" s="140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0"/>
    </row>
    <row r="213" spans="2:27" s="82" customFormat="1">
      <c r="B213" s="54"/>
      <c r="C213" s="85"/>
      <c r="D213" s="143"/>
      <c r="E213" s="86"/>
      <c r="F213" s="57">
        <v>3</v>
      </c>
      <c r="G213" s="107"/>
      <c r="H213" s="122"/>
      <c r="I213" s="122"/>
      <c r="J213" s="122"/>
      <c r="K213" s="139" t="e">
        <f>SUM(#REF!)</f>
        <v>#REF!</v>
      </c>
      <c r="L213" s="140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0"/>
    </row>
    <row r="214" spans="2:27" s="82" customFormat="1">
      <c r="B214" s="54"/>
      <c r="C214" s="85"/>
      <c r="D214" s="143"/>
      <c r="E214" s="86"/>
      <c r="F214" s="57">
        <v>3</v>
      </c>
      <c r="G214" s="107"/>
      <c r="H214" s="122"/>
      <c r="I214" s="122"/>
      <c r="J214" s="122"/>
      <c r="K214" s="139" t="e">
        <f>SUM(#REF!)</f>
        <v>#REF!</v>
      </c>
      <c r="L214" s="140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0"/>
    </row>
    <row r="215" spans="2:27" s="82" customFormat="1">
      <c r="B215" s="54"/>
      <c r="C215" s="85"/>
      <c r="D215" s="143"/>
      <c r="E215" s="86"/>
      <c r="F215" s="57">
        <v>3</v>
      </c>
      <c r="G215" s="107"/>
      <c r="H215" s="122"/>
      <c r="I215" s="122"/>
      <c r="J215" s="122"/>
      <c r="K215" s="139" t="e">
        <f>SUM(#REF!)</f>
        <v>#REF!</v>
      </c>
      <c r="L215" s="140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0"/>
    </row>
    <row r="216" spans="2:27" s="82" customFormat="1">
      <c r="B216" s="54"/>
      <c r="C216" s="76"/>
      <c r="D216" s="56"/>
      <c r="E216" s="86"/>
      <c r="F216" s="57">
        <v>2</v>
      </c>
      <c r="G216" s="107"/>
      <c r="H216" s="122"/>
      <c r="I216" s="122"/>
      <c r="J216" s="122">
        <f t="shared" ref="J216" si="28">J209+J210+J211+J212+J213+J214+J215</f>
        <v>0</v>
      </c>
      <c r="K216" s="139" t="e">
        <f>SUM(#REF!)</f>
        <v>#REF!</v>
      </c>
      <c r="L216" s="140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0"/>
    </row>
    <row r="217" spans="2:27" s="82" customFormat="1">
      <c r="B217" s="54"/>
      <c r="C217" s="76"/>
      <c r="D217" s="56"/>
      <c r="E217" s="96"/>
      <c r="F217" s="57">
        <v>2</v>
      </c>
      <c r="G217" s="107"/>
      <c r="H217" s="122"/>
      <c r="I217" s="122"/>
      <c r="J217" s="122">
        <f t="shared" ref="J217" si="29">J218+J219+J220+J224+J228+J232+J233+J237</f>
        <v>0</v>
      </c>
      <c r="K217" s="139" t="e">
        <f>SUM(#REF!)</f>
        <v>#REF!</v>
      </c>
      <c r="L217" s="140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0"/>
    </row>
    <row r="218" spans="2:27" s="82" customFormat="1">
      <c r="B218" s="54"/>
      <c r="C218" s="85"/>
      <c r="D218" s="56"/>
      <c r="E218" s="96"/>
      <c r="F218" s="57">
        <v>3</v>
      </c>
      <c r="G218" s="107"/>
      <c r="H218" s="122"/>
      <c r="I218" s="122"/>
      <c r="J218" s="122"/>
      <c r="K218" s="139" t="e">
        <f>SUM(#REF!)</f>
        <v>#REF!</v>
      </c>
      <c r="L218" s="140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0"/>
    </row>
    <row r="219" spans="2:27" s="82" customFormat="1">
      <c r="B219" s="54"/>
      <c r="C219" s="85"/>
      <c r="D219" s="56"/>
      <c r="E219" s="96"/>
      <c r="F219" s="57">
        <v>3</v>
      </c>
      <c r="G219" s="107"/>
      <c r="H219" s="122"/>
      <c r="I219" s="122"/>
      <c r="J219" s="122"/>
      <c r="K219" s="139" t="e">
        <f>SUM(#REF!)</f>
        <v>#REF!</v>
      </c>
      <c r="L219" s="140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0"/>
    </row>
    <row r="220" spans="2:27" s="82" customFormat="1">
      <c r="B220" s="54"/>
      <c r="C220" s="85"/>
      <c r="D220" s="143"/>
      <c r="E220" s="86"/>
      <c r="F220" s="57">
        <v>3</v>
      </c>
      <c r="G220" s="107"/>
      <c r="H220" s="122"/>
      <c r="I220" s="122"/>
      <c r="J220" s="122">
        <f t="shared" ref="J220" si="30">J221+J222+J223</f>
        <v>0</v>
      </c>
      <c r="K220" s="139" t="e">
        <f>SUM(#REF!)</f>
        <v>#REF!</v>
      </c>
      <c r="L220" s="140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0"/>
    </row>
    <row r="221" spans="2:27" s="82" customFormat="1" ht="15.75" customHeight="1">
      <c r="B221" s="54"/>
      <c r="C221" s="85"/>
      <c r="D221" s="143"/>
      <c r="E221" s="86"/>
      <c r="F221" s="57">
        <v>4</v>
      </c>
      <c r="G221" s="107"/>
      <c r="H221" s="122"/>
      <c r="I221" s="122"/>
      <c r="J221" s="122"/>
      <c r="K221" s="139" t="e">
        <f>SUM(#REF!)</f>
        <v>#REF!</v>
      </c>
      <c r="L221" s="140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0"/>
    </row>
    <row r="222" spans="2:27" s="82" customFormat="1" ht="15.75" customHeight="1">
      <c r="B222" s="54"/>
      <c r="C222" s="85"/>
      <c r="D222" s="143"/>
      <c r="E222" s="86"/>
      <c r="F222" s="57">
        <v>4</v>
      </c>
      <c r="G222" s="107"/>
      <c r="H222" s="122"/>
      <c r="I222" s="122"/>
      <c r="J222" s="122"/>
      <c r="K222" s="139" t="e">
        <f>SUM(#REF!)</f>
        <v>#REF!</v>
      </c>
      <c r="L222" s="140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0"/>
    </row>
    <row r="223" spans="2:27" s="82" customFormat="1" ht="15.75" customHeight="1">
      <c r="B223" s="54"/>
      <c r="C223" s="85"/>
      <c r="D223" s="143"/>
      <c r="E223" s="86"/>
      <c r="F223" s="57">
        <v>4</v>
      </c>
      <c r="G223" s="107"/>
      <c r="H223" s="122"/>
      <c r="I223" s="122"/>
      <c r="J223" s="122"/>
      <c r="K223" s="139" t="e">
        <f>SUM(#REF!)</f>
        <v>#REF!</v>
      </c>
      <c r="L223" s="140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0"/>
    </row>
    <row r="224" spans="2:27" s="82" customFormat="1">
      <c r="B224" s="54"/>
      <c r="C224" s="85"/>
      <c r="D224" s="143"/>
      <c r="E224" s="86"/>
      <c r="F224" s="57">
        <v>3</v>
      </c>
      <c r="G224" s="107"/>
      <c r="H224" s="122"/>
      <c r="I224" s="122"/>
      <c r="J224" s="122">
        <f t="shared" ref="J224" si="31">J225+J226+J227</f>
        <v>0</v>
      </c>
      <c r="K224" s="139" t="e">
        <f>SUM(#REF!)</f>
        <v>#REF!</v>
      </c>
      <c r="L224" s="140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0"/>
    </row>
    <row r="225" spans="2:27" s="82" customFormat="1" ht="15.75" customHeight="1">
      <c r="B225" s="54"/>
      <c r="C225" s="85"/>
      <c r="D225" s="143"/>
      <c r="E225" s="86"/>
      <c r="F225" s="57">
        <v>4</v>
      </c>
      <c r="G225" s="107"/>
      <c r="H225" s="122"/>
      <c r="I225" s="122"/>
      <c r="J225" s="122"/>
      <c r="K225" s="139" t="e">
        <f>SUM(#REF!)</f>
        <v>#REF!</v>
      </c>
      <c r="L225" s="140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0"/>
    </row>
    <row r="226" spans="2:27" s="82" customFormat="1" ht="15.75" customHeight="1">
      <c r="B226" s="54"/>
      <c r="C226" s="85"/>
      <c r="D226" s="143"/>
      <c r="E226" s="86"/>
      <c r="F226" s="57">
        <v>4</v>
      </c>
      <c r="G226" s="107"/>
      <c r="H226" s="122"/>
      <c r="I226" s="122"/>
      <c r="J226" s="122"/>
      <c r="K226" s="139" t="e">
        <f>SUM(#REF!)</f>
        <v>#REF!</v>
      </c>
      <c r="L226" s="140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0"/>
    </row>
    <row r="227" spans="2:27" s="82" customFormat="1" ht="15.75" customHeight="1">
      <c r="B227" s="54"/>
      <c r="C227" s="85"/>
      <c r="D227" s="143"/>
      <c r="E227" s="86"/>
      <c r="F227" s="57">
        <v>4</v>
      </c>
      <c r="G227" s="107"/>
      <c r="H227" s="122"/>
      <c r="I227" s="122"/>
      <c r="J227" s="122"/>
      <c r="K227" s="139" t="e">
        <f>SUM(#REF!)</f>
        <v>#REF!</v>
      </c>
      <c r="L227" s="140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0"/>
    </row>
    <row r="228" spans="2:27" s="82" customFormat="1">
      <c r="B228" s="54"/>
      <c r="C228" s="85"/>
      <c r="D228" s="143"/>
      <c r="E228" s="86"/>
      <c r="F228" s="57">
        <v>3</v>
      </c>
      <c r="G228" s="107"/>
      <c r="H228" s="122"/>
      <c r="I228" s="122"/>
      <c r="J228" s="122">
        <f t="shared" ref="J228" si="32">J229+J230+J231</f>
        <v>0</v>
      </c>
      <c r="K228" s="139" t="e">
        <f>SUM(#REF!)</f>
        <v>#REF!</v>
      </c>
      <c r="L228" s="140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0"/>
    </row>
    <row r="229" spans="2:27" s="82" customFormat="1" ht="15.75" customHeight="1">
      <c r="B229" s="54"/>
      <c r="C229" s="85"/>
      <c r="D229" s="143"/>
      <c r="E229" s="86"/>
      <c r="F229" s="57">
        <v>4</v>
      </c>
      <c r="G229" s="107"/>
      <c r="H229" s="122"/>
      <c r="I229" s="122"/>
      <c r="J229" s="122"/>
      <c r="K229" s="139" t="e">
        <f>SUM(#REF!)</f>
        <v>#REF!</v>
      </c>
      <c r="L229" s="140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0"/>
    </row>
    <row r="230" spans="2:27" s="82" customFormat="1" ht="15.75" customHeight="1">
      <c r="B230" s="54"/>
      <c r="C230" s="85"/>
      <c r="D230" s="143"/>
      <c r="E230" s="86"/>
      <c r="F230" s="57">
        <v>4</v>
      </c>
      <c r="G230" s="107"/>
      <c r="H230" s="122"/>
      <c r="I230" s="122"/>
      <c r="J230" s="122"/>
      <c r="K230" s="139" t="e">
        <f>SUM(#REF!)</f>
        <v>#REF!</v>
      </c>
      <c r="L230" s="140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0"/>
    </row>
    <row r="231" spans="2:27" s="82" customFormat="1" ht="15.75" customHeight="1">
      <c r="B231" s="54"/>
      <c r="C231" s="85"/>
      <c r="D231" s="143"/>
      <c r="E231" s="86"/>
      <c r="F231" s="57">
        <v>4</v>
      </c>
      <c r="G231" s="107"/>
      <c r="H231" s="122"/>
      <c r="I231" s="122"/>
      <c r="J231" s="122"/>
      <c r="K231" s="139" t="e">
        <f>SUM(#REF!)</f>
        <v>#REF!</v>
      </c>
      <c r="L231" s="140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0"/>
    </row>
    <row r="232" spans="2:27" s="82" customFormat="1">
      <c r="B232" s="54"/>
      <c r="C232" s="85"/>
      <c r="D232" s="143"/>
      <c r="E232" s="86"/>
      <c r="F232" s="57">
        <v>3</v>
      </c>
      <c r="G232" s="107"/>
      <c r="H232" s="122"/>
      <c r="I232" s="122"/>
      <c r="J232" s="122"/>
      <c r="K232" s="139" t="e">
        <f>SUM(#REF!)</f>
        <v>#REF!</v>
      </c>
      <c r="L232" s="140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0"/>
    </row>
    <row r="233" spans="2:27" s="82" customFormat="1">
      <c r="B233" s="54"/>
      <c r="C233" s="85"/>
      <c r="D233" s="143"/>
      <c r="E233" s="86"/>
      <c r="F233" s="57">
        <v>3</v>
      </c>
      <c r="G233" s="107"/>
      <c r="H233" s="122"/>
      <c r="I233" s="122"/>
      <c r="J233" s="122">
        <f t="shared" ref="J233" si="33">J234+J235+J236</f>
        <v>0</v>
      </c>
      <c r="K233" s="139" t="e">
        <f>SUM(#REF!)</f>
        <v>#REF!</v>
      </c>
      <c r="L233" s="140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0"/>
    </row>
    <row r="234" spans="2:27" s="82" customFormat="1" ht="15.75" customHeight="1">
      <c r="B234" s="54"/>
      <c r="C234" s="85"/>
      <c r="D234" s="143"/>
      <c r="E234" s="86"/>
      <c r="F234" s="57">
        <v>4</v>
      </c>
      <c r="G234" s="107"/>
      <c r="H234" s="122"/>
      <c r="I234" s="122"/>
      <c r="J234" s="122"/>
      <c r="K234" s="139" t="e">
        <f>SUM(#REF!)</f>
        <v>#REF!</v>
      </c>
      <c r="L234" s="140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0"/>
    </row>
    <row r="235" spans="2:27" s="82" customFormat="1" ht="15.75" customHeight="1">
      <c r="B235" s="54"/>
      <c r="C235" s="85"/>
      <c r="D235" s="84"/>
      <c r="E235" s="86"/>
      <c r="F235" s="57">
        <v>4</v>
      </c>
      <c r="G235" s="107"/>
      <c r="H235" s="122"/>
      <c r="I235" s="122"/>
      <c r="J235" s="122"/>
      <c r="K235" s="139" t="e">
        <f>SUM(#REF!)</f>
        <v>#REF!</v>
      </c>
      <c r="L235" s="140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0"/>
    </row>
    <row r="236" spans="2:27" s="82" customFormat="1" ht="15.75" customHeight="1">
      <c r="B236" s="54"/>
      <c r="C236" s="85"/>
      <c r="D236" s="84"/>
      <c r="E236" s="86"/>
      <c r="F236" s="57">
        <v>4</v>
      </c>
      <c r="G236" s="107"/>
      <c r="H236" s="122"/>
      <c r="I236" s="122"/>
      <c r="J236" s="122"/>
      <c r="K236" s="139" t="e">
        <f>SUM(#REF!)</f>
        <v>#REF!</v>
      </c>
      <c r="L236" s="140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0"/>
    </row>
    <row r="237" spans="2:27" s="82" customFormat="1">
      <c r="B237" s="54"/>
      <c r="C237" s="85"/>
      <c r="D237" s="106"/>
      <c r="E237" s="96"/>
      <c r="F237" s="57">
        <v>3</v>
      </c>
      <c r="G237" s="107"/>
      <c r="H237" s="122"/>
      <c r="I237" s="122"/>
      <c r="J237" s="122">
        <f t="shared" ref="J237" si="34">J238+J239+J240</f>
        <v>0</v>
      </c>
      <c r="K237" s="139" t="e">
        <f>SUM(#REF!)</f>
        <v>#REF!</v>
      </c>
      <c r="L237" s="140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0"/>
    </row>
    <row r="238" spans="2:27" s="82" customFormat="1" ht="15.75" customHeight="1">
      <c r="B238" s="54"/>
      <c r="C238" s="85"/>
      <c r="D238" s="84"/>
      <c r="E238" s="86"/>
      <c r="F238" s="57">
        <v>4</v>
      </c>
      <c r="G238" s="108"/>
      <c r="H238" s="123"/>
      <c r="I238" s="123"/>
      <c r="J238" s="123"/>
      <c r="K238" s="139" t="e">
        <f>SUM(#REF!)</f>
        <v>#REF!</v>
      </c>
      <c r="L238" s="140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0"/>
    </row>
    <row r="239" spans="2:27" s="82" customFormat="1" ht="15.75" customHeight="1">
      <c r="B239" s="54"/>
      <c r="C239" s="85"/>
      <c r="D239" s="84"/>
      <c r="E239" s="86"/>
      <c r="F239" s="57">
        <v>4</v>
      </c>
      <c r="G239" s="108"/>
      <c r="H239" s="123"/>
      <c r="I239" s="123"/>
      <c r="J239" s="123"/>
      <c r="K239" s="139" t="e">
        <f>SUM(#REF!)</f>
        <v>#REF!</v>
      </c>
      <c r="L239" s="140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0"/>
    </row>
    <row r="240" spans="2:27" s="82" customFormat="1" ht="15.75" customHeight="1">
      <c r="B240" s="54"/>
      <c r="C240" s="85"/>
      <c r="D240" s="84"/>
      <c r="E240" s="86"/>
      <c r="F240" s="57">
        <v>4</v>
      </c>
      <c r="G240" s="108"/>
      <c r="H240" s="123"/>
      <c r="I240" s="123"/>
      <c r="J240" s="123"/>
      <c r="K240" s="139" t="e">
        <f>SUM(#REF!)</f>
        <v>#REF!</v>
      </c>
      <c r="L240" s="140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0"/>
    </row>
    <row r="241" spans="2:27" s="82" customFormat="1">
      <c r="B241" s="54"/>
      <c r="C241" s="109"/>
      <c r="D241" s="86"/>
      <c r="E241" s="97"/>
      <c r="F241" s="57">
        <v>2</v>
      </c>
      <c r="G241" s="108"/>
      <c r="H241" s="123"/>
      <c r="I241" s="123"/>
      <c r="J241" s="123"/>
      <c r="K241" s="139" t="e">
        <f>SUM(#REF!)</f>
        <v>#REF!</v>
      </c>
      <c r="L241" s="140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0"/>
    </row>
    <row r="242" spans="2:27" s="82" customFormat="1">
      <c r="B242" s="54"/>
      <c r="C242" s="109"/>
      <c r="D242" s="86"/>
      <c r="E242" s="97"/>
      <c r="F242" s="57">
        <v>2</v>
      </c>
      <c r="G242" s="108"/>
      <c r="H242" s="123"/>
      <c r="I242" s="123"/>
      <c r="J242" s="123"/>
      <c r="K242" s="139" t="e">
        <f>SUM(#REF!)</f>
        <v>#REF!</v>
      </c>
      <c r="L242" s="140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0"/>
    </row>
    <row r="243" spans="2:27">
      <c r="C243" s="85"/>
      <c r="G243" s="77"/>
      <c r="H243" s="115"/>
      <c r="I243" s="115"/>
      <c r="J243" s="115"/>
      <c r="K243" s="139"/>
      <c r="L243" s="140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  <c r="AA243" s="130"/>
    </row>
    <row r="244" spans="2:27">
      <c r="C244" s="76"/>
      <c r="F244" s="57">
        <v>2</v>
      </c>
      <c r="G244" s="77">
        <v>0</v>
      </c>
      <c r="H244" s="115"/>
      <c r="I244" s="115"/>
      <c r="J244" s="115">
        <v>0</v>
      </c>
      <c r="K244" s="139" t="e">
        <f>SUM(#REF!)</f>
        <v>#REF!</v>
      </c>
      <c r="L244" s="140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  <c r="AA244" s="130"/>
    </row>
    <row r="245" spans="2:27">
      <c r="C245" s="76"/>
      <c r="G245" s="77"/>
      <c r="H245" s="115"/>
      <c r="I245" s="115"/>
      <c r="J245" s="115"/>
      <c r="K245" s="139"/>
      <c r="L245" s="140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30"/>
    </row>
    <row r="246" spans="2:27">
      <c r="C246" s="76"/>
      <c r="F246" s="57">
        <v>2</v>
      </c>
      <c r="G246" s="77">
        <v>0</v>
      </c>
      <c r="H246" s="115"/>
      <c r="I246" s="115"/>
      <c r="J246" s="115">
        <v>0</v>
      </c>
      <c r="K246" s="139" t="e">
        <f>SUM(#REF!)</f>
        <v>#REF!</v>
      </c>
      <c r="L246" s="140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  <c r="AA246" s="130"/>
    </row>
    <row r="247" spans="2:27" ht="21.6" customHeight="1">
      <c r="C247" s="76"/>
      <c r="F247" s="57">
        <v>2</v>
      </c>
      <c r="G247" s="77">
        <v>0</v>
      </c>
      <c r="H247" s="115"/>
      <c r="I247" s="115"/>
      <c r="J247" s="115">
        <v>0</v>
      </c>
      <c r="K247" s="139" t="e">
        <f>SUM(#REF!)</f>
        <v>#REF!</v>
      </c>
      <c r="L247" s="140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  <c r="AA247" s="130"/>
    </row>
    <row r="248" spans="2:27">
      <c r="C248" s="85"/>
      <c r="D248" s="58"/>
      <c r="G248" s="77"/>
      <c r="H248" s="115"/>
      <c r="I248" s="115"/>
      <c r="J248" s="115"/>
      <c r="K248" s="139"/>
      <c r="L248" s="140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  <c r="AA248" s="130"/>
    </row>
    <row r="249" spans="2:27">
      <c r="C249" s="76"/>
      <c r="E249" s="58"/>
      <c r="F249" s="57">
        <v>2</v>
      </c>
      <c r="G249" s="77">
        <v>0</v>
      </c>
      <c r="H249" s="115"/>
      <c r="I249" s="115"/>
      <c r="J249" s="115">
        <v>0</v>
      </c>
      <c r="K249" s="139" t="e">
        <f>SUM(#REF!)</f>
        <v>#REF!</v>
      </c>
      <c r="L249" s="140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  <c r="AA249" s="130"/>
    </row>
    <row r="250" spans="2:27">
      <c r="C250" s="76"/>
      <c r="F250" s="57">
        <v>2</v>
      </c>
      <c r="G250" s="77">
        <v>0</v>
      </c>
      <c r="H250" s="115"/>
      <c r="I250" s="115"/>
      <c r="J250" s="115">
        <v>0</v>
      </c>
      <c r="K250" s="139" t="e">
        <f>SUM(#REF!)</f>
        <v>#REF!</v>
      </c>
      <c r="L250" s="140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30"/>
    </row>
    <row r="251" spans="2:27">
      <c r="C251" s="76"/>
      <c r="G251" s="77"/>
      <c r="H251" s="115"/>
      <c r="I251" s="115"/>
      <c r="J251" s="115"/>
      <c r="K251" s="139"/>
      <c r="L251" s="140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  <c r="AA251" s="130"/>
    </row>
    <row r="252" spans="2:27" ht="17.399999999999999">
      <c r="C252" s="58"/>
      <c r="D252" s="110" t="s">
        <v>334</v>
      </c>
      <c r="F252" s="57">
        <v>1</v>
      </c>
      <c r="G252" s="111">
        <f>G9</f>
        <v>6192.0534511833466</v>
      </c>
      <c r="H252" s="124"/>
      <c r="I252" s="124"/>
      <c r="J252" s="124">
        <f t="shared" ref="J252" si="35">J9</f>
        <v>7653.4178187912239</v>
      </c>
      <c r="K252" s="139" t="e">
        <f>SUM(#REF!)</f>
        <v>#REF!</v>
      </c>
      <c r="L252" s="140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0"/>
    </row>
    <row r="253" spans="2:27">
      <c r="C253" s="85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2:27">
      <c r="C254" s="76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2:27">
      <c r="C255" s="76"/>
      <c r="D255" s="86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2:27">
      <c r="C256" s="76"/>
      <c r="D256" s="86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0:10">
      <c r="J257" s="57"/>
    </row>
  </sheetData>
  <mergeCells count="15">
    <mergeCell ref="T8:U8"/>
    <mergeCell ref="K4:K6"/>
    <mergeCell ref="L4:L6"/>
    <mergeCell ref="G2:AA2"/>
    <mergeCell ref="G4:J4"/>
    <mergeCell ref="M4:N4"/>
    <mergeCell ref="O4:Q4"/>
    <mergeCell ref="R4:X4"/>
    <mergeCell ref="Y4:Z4"/>
    <mergeCell ref="AA4:AA6"/>
    <mergeCell ref="G5:J5"/>
    <mergeCell ref="M5:N5"/>
    <mergeCell ref="O5:Q5"/>
    <mergeCell ref="R5:X5"/>
    <mergeCell ref="Y5:Z5"/>
  </mergeCells>
  <phoneticPr fontId="21" type="noConversion"/>
  <dataValidations disablePrompts="1" count="1">
    <dataValidation type="list" allowBlank="1" showInputMessage="1" showErrorMessage="1" sqref="G7:J7 M7:Z7" xr:uid="{D9073A64-B409-4612-8C99-24493262371F}">
      <formula1>"Estimated, Actual"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D618-3F5D-4D00-95E6-1A29C6065186}">
  <dimension ref="A1:U27"/>
  <sheetViews>
    <sheetView topLeftCell="A10" zoomScale="72" zoomScaleNormal="130" workbookViewId="0">
      <selection activeCell="Q22" sqref="Q22"/>
    </sheetView>
  </sheetViews>
  <sheetFormatPr defaultRowHeight="14.4"/>
  <cols>
    <col min="1" max="1" width="9.6640625" style="13" customWidth="1"/>
    <col min="2" max="2" width="9" style="13" bestFit="1" customWidth="1"/>
    <col min="3" max="3" width="16" style="13" customWidth="1"/>
    <col min="4" max="4" width="9" style="13" bestFit="1" customWidth="1"/>
    <col min="5" max="9" width="8.88671875" style="13"/>
    <col min="10" max="10" width="10.44140625" style="13" customWidth="1"/>
    <col min="11" max="11" width="8.88671875" style="13"/>
    <col min="12" max="12" width="12" style="13" bestFit="1" customWidth="1"/>
    <col min="13" max="16" width="8.88671875" style="13"/>
    <col min="17" max="17" width="11.21875" style="13" bestFit="1" customWidth="1"/>
    <col min="18" max="18" width="12.33203125" style="13" bestFit="1" customWidth="1"/>
    <col min="19" max="19" width="23.109375" style="13" bestFit="1" customWidth="1"/>
    <col min="20" max="21" width="12.33203125" style="13" bestFit="1" customWidth="1"/>
    <col min="22" max="16384" width="8.88671875" style="13"/>
  </cols>
  <sheetData>
    <row r="1" spans="1:14" ht="28.8">
      <c r="A1" s="198" t="s">
        <v>357</v>
      </c>
      <c r="B1" s="198" t="s">
        <v>358</v>
      </c>
    </row>
    <row r="2" spans="1:14">
      <c r="A2" s="13" t="s">
        <v>355</v>
      </c>
      <c r="B2" s="13">
        <v>49</v>
      </c>
    </row>
    <row r="3" spans="1:14">
      <c r="A3" s="13" t="s">
        <v>356</v>
      </c>
      <c r="B3" s="13">
        <v>13</v>
      </c>
    </row>
    <row r="5" spans="1:14" ht="43.2">
      <c r="D5" s="13" t="s">
        <v>361</v>
      </c>
    </row>
    <row r="6" spans="1:14">
      <c r="A6" s="13" t="s">
        <v>356</v>
      </c>
      <c r="B6" s="13">
        <v>255.2</v>
      </c>
      <c r="C6" s="13" t="s">
        <v>359</v>
      </c>
      <c r="D6" s="13">
        <f>B6+3</f>
        <v>258.2</v>
      </c>
      <c r="E6" s="13" t="s">
        <v>359</v>
      </c>
    </row>
    <row r="7" spans="1:14">
      <c r="A7" s="13" t="s">
        <v>360</v>
      </c>
      <c r="B7" s="13">
        <v>14.87</v>
      </c>
      <c r="C7" s="13" t="s">
        <v>359</v>
      </c>
      <c r="D7" s="13">
        <f>B7</f>
        <v>14.87</v>
      </c>
      <c r="E7" s="13" t="s">
        <v>359</v>
      </c>
    </row>
    <row r="8" spans="1:14">
      <c r="A8" s="13" t="s">
        <v>77</v>
      </c>
      <c r="B8" s="13">
        <v>244</v>
      </c>
      <c r="C8" s="13" t="s">
        <v>359</v>
      </c>
      <c r="D8" s="13">
        <f>B8</f>
        <v>244</v>
      </c>
      <c r="E8" s="13" t="s">
        <v>359</v>
      </c>
    </row>
    <row r="9" spans="1:14" ht="15" thickBot="1"/>
    <row r="10" spans="1:14" ht="43.2">
      <c r="C10" s="199" t="s">
        <v>362</v>
      </c>
      <c r="D10" s="200"/>
      <c r="E10" s="201"/>
      <c r="K10" s="13" t="s">
        <v>368</v>
      </c>
    </row>
    <row r="11" spans="1:14">
      <c r="C11" s="202" t="s">
        <v>356</v>
      </c>
      <c r="D11" s="13">
        <f>D6*$B$3</f>
        <v>3356.6</v>
      </c>
      <c r="E11" s="203" t="s">
        <v>359</v>
      </c>
      <c r="L11" s="198">
        <f>SUM(D11:D13)+SUM(D21:D22)</f>
        <v>3014189.23</v>
      </c>
      <c r="M11" s="13" t="s">
        <v>359</v>
      </c>
      <c r="N11" s="13" t="s">
        <v>369</v>
      </c>
    </row>
    <row r="12" spans="1:14">
      <c r="C12" s="202" t="s">
        <v>355</v>
      </c>
      <c r="D12" s="13">
        <f>D7*$B$2</f>
        <v>728.63</v>
      </c>
      <c r="E12" s="203" t="s">
        <v>359</v>
      </c>
    </row>
    <row r="13" spans="1:14" ht="15" thickBot="1">
      <c r="C13" s="204" t="s">
        <v>77</v>
      </c>
      <c r="D13" s="205"/>
      <c r="E13" s="206" t="s">
        <v>359</v>
      </c>
    </row>
    <row r="14" spans="1:14" ht="28.8">
      <c r="K14" s="13" t="s">
        <v>370</v>
      </c>
      <c r="L14" s="198">
        <f>L11*A19</f>
        <v>303412.809175645</v>
      </c>
      <c r="M14" s="13" t="s">
        <v>372</v>
      </c>
    </row>
    <row r="15" spans="1:14" ht="15" thickBot="1"/>
    <row r="16" spans="1:14" ht="29.4" thickBot="1">
      <c r="B16" s="13" t="s">
        <v>363</v>
      </c>
      <c r="K16" s="208" t="s">
        <v>374</v>
      </c>
      <c r="L16" s="209">
        <f>L14*10</f>
        <v>3034128.09175645</v>
      </c>
      <c r="M16" s="210" t="s">
        <v>372</v>
      </c>
    </row>
    <row r="17" spans="1:21">
      <c r="A17" s="13">
        <v>1.0900000000000001</v>
      </c>
    </row>
    <row r="18" spans="1:21" ht="28.8">
      <c r="A18" s="13">
        <f>A17*R26</f>
        <v>100.6615</v>
      </c>
      <c r="B18" s="13" t="s">
        <v>364</v>
      </c>
    </row>
    <row r="19" spans="1:21">
      <c r="A19" s="13">
        <f>A18/1000</f>
        <v>0.1006615</v>
      </c>
      <c r="B19" s="13" t="s">
        <v>371</v>
      </c>
    </row>
    <row r="21" spans="1:21" ht="28.8">
      <c r="C21" s="13" t="s">
        <v>365</v>
      </c>
      <c r="D21" s="13">
        <v>673104</v>
      </c>
      <c r="E21" s="13" t="s">
        <v>373</v>
      </c>
      <c r="F21" s="198"/>
    </row>
    <row r="22" spans="1:21" ht="28.8">
      <c r="C22" s="13" t="s">
        <v>366</v>
      </c>
      <c r="D22" s="13">
        <v>2337000</v>
      </c>
      <c r="E22" s="13" t="s">
        <v>373</v>
      </c>
    </row>
    <row r="25" spans="1:21" ht="72">
      <c r="I25" s="198" t="s">
        <v>357</v>
      </c>
      <c r="J25" s="198" t="s">
        <v>376</v>
      </c>
      <c r="K25" s="198" t="s">
        <v>358</v>
      </c>
      <c r="L25" s="198" t="s">
        <v>377</v>
      </c>
      <c r="N25" s="198" t="s">
        <v>378</v>
      </c>
      <c r="O25" s="198" t="s">
        <v>379</v>
      </c>
      <c r="P25" s="198" t="s">
        <v>384</v>
      </c>
      <c r="Q25" s="198" t="s">
        <v>375</v>
      </c>
      <c r="R25" s="198" t="s">
        <v>380</v>
      </c>
      <c r="S25" s="198" t="s">
        <v>381</v>
      </c>
      <c r="T25" s="198" t="s">
        <v>382</v>
      </c>
      <c r="U25" s="198" t="s">
        <v>383</v>
      </c>
    </row>
    <row r="26" spans="1:21">
      <c r="I26" s="198" t="s">
        <v>355</v>
      </c>
      <c r="J26" s="13">
        <v>14.87</v>
      </c>
      <c r="K26" s="13">
        <v>49</v>
      </c>
      <c r="L26" s="13">
        <f>K26*J26</f>
        <v>728.63</v>
      </c>
      <c r="N26" s="13">
        <v>673104</v>
      </c>
      <c r="O26" s="13">
        <v>2337000</v>
      </c>
      <c r="P26" s="13">
        <f>SUM(L26:L27)</f>
        <v>4085.23</v>
      </c>
      <c r="Q26" s="13">
        <f>O26+N26+P26</f>
        <v>3014189.23</v>
      </c>
      <c r="R26" s="13">
        <v>92.35</v>
      </c>
      <c r="S26">
        <v>1.0911500000000001</v>
      </c>
      <c r="T26" s="13">
        <f>S26*R26/1000</f>
        <v>0.1007677025</v>
      </c>
      <c r="U26" s="13">
        <f>T26*Q26*10</f>
        <v>3037329.2360734409</v>
      </c>
    </row>
    <row r="27" spans="1:21" ht="43.2">
      <c r="B27" s="207" t="s">
        <v>367</v>
      </c>
      <c r="C27" s="13">
        <v>3</v>
      </c>
      <c r="I27" s="198" t="s">
        <v>356</v>
      </c>
      <c r="J27" s="13">
        <v>258.2</v>
      </c>
      <c r="K27" s="13">
        <v>13</v>
      </c>
      <c r="L27" s="13">
        <f>K27*J27</f>
        <v>3356.6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c18823-851f-4ac5-944d-a441ffe74ee3">
      <Terms xmlns="http://schemas.microsoft.com/office/infopath/2007/PartnerControls"/>
    </lcf76f155ced4ddcb4097134ff3c332f>
    <TaxCatchAll xmlns="03d0fe02-680f-4612-8dd0-2311c6ba53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D06F652B6BC46AC8D64402CEB0444" ma:contentTypeVersion="11" ma:contentTypeDescription="Een nieuw document maken." ma:contentTypeScope="" ma:versionID="4fb7d3430a1f9cc7b8f7972b7a688664">
  <xsd:schema xmlns:xsd="http://www.w3.org/2001/XMLSchema" xmlns:xs="http://www.w3.org/2001/XMLSchema" xmlns:p="http://schemas.microsoft.com/office/2006/metadata/properties" xmlns:ns2="6cc18823-851f-4ac5-944d-a441ffe74ee3" xmlns:ns3="03d0fe02-680f-4612-8dd0-2311c6ba531e" targetNamespace="http://schemas.microsoft.com/office/2006/metadata/properties" ma:root="true" ma:fieldsID="c18fffd61236a1ea899023d6e2dc683d" ns2:_="" ns3:_="">
    <xsd:import namespace="6cc18823-851f-4ac5-944d-a441ffe74ee3"/>
    <xsd:import namespace="03d0fe02-680f-4612-8dd0-2311c6ba53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18823-851f-4ac5-944d-a441ffe74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0fe02-680f-4612-8dd0-2311c6ba531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c74d97c-42bf-4c8e-b7cc-dddee3d921ea}" ma:internalName="TaxCatchAll" ma:showField="CatchAllData" ma:web="03d0fe02-680f-4612-8dd0-2311c6ba53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629F5-6D6E-4448-AD76-CACE6F7C60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7C7B36-5838-4841-811C-79A593EBA62B}">
  <ds:schemaRefs>
    <ds:schemaRef ds:uri="6cc18823-851f-4ac5-944d-a441ffe74ee3"/>
    <ds:schemaRef ds:uri="http://schemas.microsoft.com/office/2006/documentManagement/types"/>
    <ds:schemaRef ds:uri="http://purl.org/dc/terms/"/>
    <ds:schemaRef ds:uri="http://www.w3.org/XML/1998/namespace"/>
    <ds:schemaRef ds:uri="03d0fe02-680f-4612-8dd0-2311c6ba531e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BBE1593-BCA4-45F5-8AAD-E59D0D2BC7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c18823-851f-4ac5-944d-a441ffe74ee3"/>
    <ds:schemaRef ds:uri="03d0fe02-680f-4612-8dd0-2311c6ba5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Components Iteration</vt:lpstr>
      <vt:lpstr>Power Budget</vt:lpstr>
      <vt:lpstr>Components (first)</vt:lpstr>
      <vt:lpstr>Orbits</vt:lpstr>
      <vt:lpstr>Cost estimation</vt:lpstr>
      <vt:lpstr>Launch vehicle</vt:lpstr>
      <vt:lpstr>cadre cost</vt:lpstr>
      <vt:lpstr>Pollution 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Nikolaus Ricker</dc:creator>
  <cp:keywords/>
  <dc:description/>
  <cp:lastModifiedBy>Nikolaus Ricker</cp:lastModifiedBy>
  <cp:revision/>
  <dcterms:created xsi:type="dcterms:W3CDTF">2023-06-02T08:44:43Z</dcterms:created>
  <dcterms:modified xsi:type="dcterms:W3CDTF">2023-06-27T11:58:34Z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0x01010014CD06F652B6BC46AC8D64402CEB0444</vt:lpwstr>
  </property>
  <property fmtid="{D5CDD505-2E9C-101B-9397-08002B2CF9AE}" pid="3" name="MediaServiceImageTags">
    <vt:lpwstr/>
  </property>
</Properties>
</file>