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66925"/>
  <mc:AlternateContent xmlns:mc="http://schemas.openxmlformats.org/markup-compatibility/2006">
    <mc:Choice Requires="x15">
      <x15ac:absPath xmlns:x15ac="http://schemas.microsoft.com/office/spreadsheetml/2010/11/ac" url="C:\Users\ricke\Desktop\"/>
    </mc:Choice>
  </mc:AlternateContent>
  <xr:revisionPtr revIDLastSave="0" documentId="8_{11A2FCBC-1EA4-4123-9CBF-2235BBBC7876}" xr6:coauthVersionLast="47" xr6:coauthVersionMax="47" xr10:uidLastSave="{00000000-0000-0000-0000-000000000000}"/>
  <bookViews>
    <workbookView xWindow="-108" yWindow="-108" windowWidth="23256" windowHeight="12456" tabRatio="370" firstSheet="8" activeTab="9" xr2:uid="{00000000-000D-0000-FFFF-FFFF00000000}"/>
  </bookViews>
  <sheets>
    <sheet name="Division" sheetId="1" r:id="rId1"/>
    <sheet name="System Req" sheetId="10" r:id="rId2"/>
    <sheet name="Struc Subsystem Req" sheetId="6" r:id="rId3"/>
    <sheet name="ADCS Subsystem Req" sheetId="9" r:id="rId4"/>
    <sheet name="Prop Subsystem Req" sheetId="8" r:id="rId5"/>
    <sheet name="CDH Subsystem Req" sheetId="7" r:id="rId6"/>
    <sheet name="TT&amp;C Subsystem Req" sheetId="4" r:id="rId7"/>
    <sheet name="Power Subsystem Req" sheetId="2" r:id="rId8"/>
    <sheet name="Thermal Subsystem Req" sheetId="3" r:id="rId9"/>
    <sheet name="Navigation Subsytem Req " sheetId="5" r:id="rId10"/>
    <sheet name="subsystem requirements matrix" sheetId="12" r:id="rId11"/>
    <sheet name="Compliance matrix" sheetId="13"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5" i="8" l="1"/>
  <c r="H60" i="8"/>
  <c r="E63" i="8"/>
  <c r="E60" i="8"/>
  <c r="G79" i="8"/>
  <c r="H23" i="8"/>
  <c r="E30" i="8"/>
  <c r="H25" i="8"/>
  <c r="G25" i="8"/>
  <c r="E32" i="8"/>
  <c r="G22" i="8"/>
  <c r="G23" i="8"/>
  <c r="H22" i="8"/>
  <c r="E31" i="8"/>
  <c r="G26" i="8"/>
  <c r="H26" i="8" s="1"/>
  <c r="F30" i="8" s="1"/>
  <c r="G21" i="8"/>
  <c r="D65" i="8"/>
  <c r="E64" i="8" l="1"/>
  <c r="D64" i="8" l="1"/>
  <c r="E130" i="8"/>
  <c r="E129" i="8"/>
  <c r="E128" i="8"/>
  <c r="G85" i="8" l="1"/>
  <c r="M89" i="8"/>
  <c r="M88" i="8"/>
  <c r="N88" i="8" s="1"/>
  <c r="O80" i="8"/>
  <c r="O77" i="8"/>
  <c r="O79" i="8"/>
  <c r="O74" i="8"/>
  <c r="O73" i="8"/>
  <c r="G89" i="8"/>
  <c r="K80" i="8"/>
  <c r="K79" i="8"/>
  <c r="K77" i="8"/>
  <c r="K78" i="8" s="1"/>
  <c r="K74" i="8"/>
  <c r="O78" i="8" s="1"/>
  <c r="K73" i="8"/>
  <c r="M85" i="8" s="1"/>
  <c r="H62" i="8"/>
  <c r="E62" i="8"/>
  <c r="D62" i="8" s="1"/>
  <c r="K58" i="5"/>
  <c r="D101" i="8"/>
  <c r="F95" i="8"/>
  <c r="H67" i="8"/>
  <c r="H68" i="8"/>
  <c r="H69" i="8"/>
  <c r="G80" i="8"/>
  <c r="G77" i="8"/>
  <c r="G74" i="8"/>
  <c r="G73" i="8"/>
  <c r="M87" i="8" s="1"/>
  <c r="H24" i="8"/>
  <c r="L23" i="8"/>
  <c r="G88" i="8" l="1"/>
  <c r="D74" i="8"/>
  <c r="D73" i="8"/>
  <c r="C55" i="8"/>
  <c r="F31" i="8"/>
  <c r="D61" i="8"/>
  <c r="D60" i="8" s="1"/>
  <c r="P88" i="8"/>
  <c r="O88" i="8"/>
  <c r="M86" i="8"/>
  <c r="N86" i="8" s="1"/>
  <c r="G86" i="8"/>
  <c r="G87" i="8"/>
  <c r="G78" i="8"/>
  <c r="E74" i="8"/>
  <c r="J88" i="8" l="1"/>
  <c r="H88" i="8"/>
  <c r="I88" i="8"/>
  <c r="D75" i="8"/>
  <c r="F32" i="8"/>
  <c r="K60" i="8"/>
  <c r="D68" i="8"/>
  <c r="H64" i="8" s="1"/>
  <c r="D67" i="8"/>
  <c r="I86" i="8"/>
  <c r="J86" i="8"/>
  <c r="J91" i="8" s="1"/>
  <c r="H86" i="8"/>
  <c r="I91" i="8" s="1"/>
  <c r="P86" i="8"/>
  <c r="O86" i="8"/>
  <c r="N89" i="8" s="1"/>
  <c r="H91" i="8"/>
  <c r="E75" i="8"/>
  <c r="H21" i="8"/>
  <c r="G31"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tc={9A4CC087-609F-43FF-86FD-11C956AC59AF}</author>
  </authors>
  <commentList>
    <comment ref="B20" authorId="0" shapeId="0" xr:uid="{9A4CC087-609F-43FF-86FD-11C956AC59AF}">
      <text>
        <t>[Threaded comment]
Your version of Excel allows you to read this threaded comment; however, any edits to it will get removed if the file is opened in a newer version of Excel. Learn more: https://go.microsoft.com/fwlink/?linkid=870924
Comment:
    Xband, since queqiao for similar link uses x band and x band can be used for manoeuvres and ephemeris data transmission.</t>
      </text>
    </comment>
  </commentList>
</comments>
</file>

<file path=xl/sharedStrings.xml><?xml version="1.0" encoding="utf-8"?>
<sst xmlns="http://schemas.openxmlformats.org/spreadsheetml/2006/main" count="1365" uniqueCount="825">
  <si>
    <t>Subsystem requirements</t>
  </si>
  <si>
    <t>FOR ALL</t>
  </si>
  <si>
    <t>SUSTAINABILITY</t>
  </si>
  <si>
    <t>Health Monitoring</t>
  </si>
  <si>
    <t>overseen by Jasper the systems engineer</t>
  </si>
  <si>
    <t>Nikolaus</t>
  </si>
  <si>
    <t>Kyle</t>
  </si>
  <si>
    <t>Andreas</t>
  </si>
  <si>
    <t>Carl</t>
  </si>
  <si>
    <t>Lennart</t>
  </si>
  <si>
    <t>Ian</t>
  </si>
  <si>
    <t>Serban</t>
  </si>
  <si>
    <t>Jasper</t>
  </si>
  <si>
    <t>Matei</t>
  </si>
  <si>
    <t>Mathijs</t>
  </si>
  <si>
    <t>STR</t>
  </si>
  <si>
    <t>NAV</t>
  </si>
  <si>
    <t>CDH</t>
  </si>
  <si>
    <t>TT&amp;C</t>
  </si>
  <si>
    <t>PROP</t>
  </si>
  <si>
    <t>ADCS</t>
  </si>
  <si>
    <t>EPS</t>
  </si>
  <si>
    <t>TCS</t>
  </si>
  <si>
    <t>Mass</t>
  </si>
  <si>
    <t>Errors</t>
  </si>
  <si>
    <t>Computer sizing</t>
  </si>
  <si>
    <t>Antenna diameter sizing</t>
  </si>
  <si>
    <t>Delta V</t>
  </si>
  <si>
    <t>Disturbance torques</t>
  </si>
  <si>
    <t>Solar array sizing</t>
  </si>
  <si>
    <t>Heat exchanges</t>
  </si>
  <si>
    <t>MMOI</t>
  </si>
  <si>
    <t>Updating frequency</t>
  </si>
  <si>
    <t>Memory size</t>
  </si>
  <si>
    <t>Relay system</t>
  </si>
  <si>
    <t>Choose thruster</t>
  </si>
  <si>
    <t>Sensor &amp; actuator selection</t>
  </si>
  <si>
    <t>Battery sizing</t>
  </si>
  <si>
    <t xml:space="preserve">Heat balance </t>
  </si>
  <si>
    <t>Dimensions</t>
  </si>
  <si>
    <t xml:space="preserve">Accuracy </t>
  </si>
  <si>
    <t>Processor selection</t>
  </si>
  <si>
    <t>Link budget</t>
  </si>
  <si>
    <t>select propellant</t>
  </si>
  <si>
    <t>position of actuators</t>
  </si>
  <si>
    <t>Power budget</t>
  </si>
  <si>
    <t>Component selection</t>
  </si>
  <si>
    <t>Material strength</t>
  </si>
  <si>
    <t>Data sent (SOLUTION)</t>
  </si>
  <si>
    <t>Error detection</t>
  </si>
  <si>
    <t>Choose band</t>
  </si>
  <si>
    <t>Propellant mass &amp; volume</t>
  </si>
  <si>
    <t>ODTS performance</t>
  </si>
  <si>
    <t>Cable harness</t>
  </si>
  <si>
    <t>Payload temperatures</t>
  </si>
  <si>
    <t>Loads (during Launch/Thermal)</t>
  </si>
  <si>
    <t>Clock selection</t>
  </si>
  <si>
    <t>Data rate</t>
  </si>
  <si>
    <t>Storage characteristics</t>
  </si>
  <si>
    <t>Pointing accurcay</t>
  </si>
  <si>
    <t xml:space="preserve">Heat generator </t>
  </si>
  <si>
    <t>Vibrations</t>
  </si>
  <si>
    <t>Pointing Direction(s)</t>
  </si>
  <si>
    <t>Launch trajectory</t>
  </si>
  <si>
    <t>Deployment/Separation Mech/ Launch Vehicle Interface</t>
  </si>
  <si>
    <t>Confirm launchers used</t>
  </si>
  <si>
    <t xml:space="preserve">Prop tank </t>
  </si>
  <si>
    <t>Mechanisms</t>
  </si>
  <si>
    <t>Layout</t>
  </si>
  <si>
    <t>Manufacturing</t>
  </si>
  <si>
    <t>SUStainability</t>
  </si>
  <si>
    <t xml:space="preserve"> </t>
  </si>
  <si>
    <t>INPUTS</t>
  </si>
  <si>
    <t>ID</t>
  </si>
  <si>
    <t>Requirement</t>
  </si>
  <si>
    <t>Reasoning</t>
  </si>
  <si>
    <t>NTM-SYS-GEN-01</t>
  </si>
  <si>
    <t>The spacecraft shall not exceed a mass of 2300 kg</t>
  </si>
  <si>
    <t>Includes 20% margin</t>
  </si>
  <si>
    <t>https://www.spacex.com/vehicles/falcon-heavy/</t>
  </si>
  <si>
    <t>Total Mass /6</t>
  </si>
  <si>
    <t>NTM-SYS-GEN-02</t>
  </si>
  <si>
    <t>The spacecraft dimensions shall not exceed 2 x 3.5 x 3.5 [m]</t>
  </si>
  <si>
    <t>square in circle</t>
  </si>
  <si>
    <t>NTM-SYS-GEN-03</t>
  </si>
  <si>
    <t>The spacecraft shall not cost more than 296 million euros</t>
  </si>
  <si>
    <t>7.125 B$ total /24 sat</t>
  </si>
  <si>
    <t>NTM-SYS-GEN-04</t>
  </si>
  <si>
    <t>The spacecraft shall have a lifetime of at least 12 years</t>
  </si>
  <si>
    <t>approx 12 years</t>
  </si>
  <si>
    <t>The failure rate of a system shall be lower than 0.017 per year</t>
  </si>
  <si>
    <t>(Galileo: 0.017 fail/year)</t>
  </si>
  <si>
    <t xml:space="preserve">https://www.eoportal.org/satellite-missions/galileo-foc#spacecraft-of-the-foc-series </t>
  </si>
  <si>
    <t>NTM-SYS-GEN-05</t>
  </si>
  <si>
    <t>The spacecraft shall have an EOL procedure for debris mitigation</t>
  </si>
  <si>
    <t>NTM-SYS-GEN-06</t>
  </si>
  <si>
    <t>The spacecraft manufacturing shall compensate for CO2 emissions</t>
  </si>
  <si>
    <t>NTM-SYS-GEN-07</t>
  </si>
  <si>
    <t>The spacecraft shall communicate with its neighboring satellites</t>
  </si>
  <si>
    <t>(intra or inter plane comm)</t>
  </si>
  <si>
    <t>NTM-SYS-GEN-08</t>
  </si>
  <si>
    <t>The spacecraft shall be able to communicate with the data relay satellite</t>
  </si>
  <si>
    <t>NTM-SYS-GEN-09</t>
  </si>
  <si>
    <t>The spacecraft shall provide a PVT signal to users on the Moon's surface and low orbits</t>
  </si>
  <si>
    <t>Lifetime</t>
  </si>
  <si>
    <t>Satellite constellation/section</t>
  </si>
  <si>
    <t>Galileo</t>
  </si>
  <si>
    <t>Block IIR</t>
  </si>
  <si>
    <t>https://www.gps.gov/systems/gps/space/</t>
  </si>
  <si>
    <t>Block IIR-M</t>
  </si>
  <si>
    <t xml:space="preserve">Block IIF </t>
  </si>
  <si>
    <t>GPS III/IIIF</t>
  </si>
  <si>
    <t>https://www.gps.gov/systems/gps/space/#III</t>
  </si>
  <si>
    <t>BeiDou (BDS3)</t>
  </si>
  <si>
    <t>http://www.xinhuanet.com/english/2020-06/23/c_139161359.htm#:~:text=The%20designed%20lifespan%20of%20the,by%20China%20to%20improve%20accuracy.</t>
  </si>
  <si>
    <t>Requirements</t>
  </si>
  <si>
    <t>Reason</t>
  </si>
  <si>
    <t>NTM-SYS-STR-01</t>
  </si>
  <si>
    <t>The structure subsystem shall provide an structural interface for all other subsystems.</t>
  </si>
  <si>
    <t>NTM-SYS-STR-02</t>
  </si>
  <si>
    <t>The structure subsystem shall safeguard the other subsystems from external risks..</t>
  </si>
  <si>
    <t>NTM-SYS-STR-03</t>
  </si>
  <si>
    <t>The structure subsystem shall be designed using a safety on performance requirements.</t>
  </si>
  <si>
    <t>NTM-SYS-STR-04</t>
  </si>
  <si>
    <t>The structure shall have dimensions below 2 x 3.5 x 3.5 [m].</t>
  </si>
  <si>
    <t>NTM-SYS-STR-INT-01</t>
  </si>
  <si>
    <t>The structure subsystem shall provide the launcher interface.</t>
  </si>
  <si>
    <t>NTM-SYS-STR-INT-02</t>
  </si>
  <si>
    <t>The structure subsystem shall provide the solar array deployment mechanism.</t>
  </si>
  <si>
    <t>NTM-SYS-STR-INT-03</t>
  </si>
  <si>
    <t>The structure subsystem shall have the solar array rotating mechanism.</t>
  </si>
  <si>
    <t>NTM-SYS-STR-INT-04</t>
  </si>
  <si>
    <t>The structure subsystem shall have a rotating transceiver mechanism.</t>
  </si>
  <si>
    <t>NTM-SYS-STR-INT-05</t>
  </si>
  <si>
    <t>The structure subsystem shall have a structural ADCS interface.</t>
  </si>
  <si>
    <t>NTM-SYS-STR-INT-06</t>
  </si>
  <si>
    <t>The solar panels interface shall withstand 8.5g loads in bending.</t>
  </si>
  <si>
    <t>NTM-SYS-STR-INT-07</t>
  </si>
  <si>
    <t>The structure subsystem elements shall have a maximum allowable deformation of 2%.</t>
  </si>
  <si>
    <t>NTM-SYS-STR-INT-08</t>
  </si>
  <si>
    <t>The structure subsystem shall provide signal insulation to the payload to reduce noise.</t>
  </si>
  <si>
    <t>NTM-SYS-STR-INT-09</t>
  </si>
  <si>
    <t>The structure subsystem shall not deform under the launcher's internal fairing pressure.</t>
  </si>
  <si>
    <t>NTM-SYS-STR-PERF-01</t>
  </si>
  <si>
    <t>The structure subsystem shall be able to withstand 8.5g axial acceleration during launch without yielding.</t>
  </si>
  <si>
    <t>https://www.spacex.com/media/falcon-users-guide-2021-09.pdf</t>
  </si>
  <si>
    <t>NTM-SYS-STR-PERF-02</t>
  </si>
  <si>
    <t>The structure subsystem shall be able to withstand 3g lateral acceleration during launch without yielding.</t>
  </si>
  <si>
    <t>NTM-SYS-STR-PERF-03</t>
  </si>
  <si>
    <t>The structure subsystem shall have an axial eigenfrequency higher than 25 Hz.</t>
  </si>
  <si>
    <t>NTM-SYS-STR-PERF-04</t>
  </si>
  <si>
    <t>The structure subsystem shall have a lateral eigenfrequency higher than 10 Hz.</t>
  </si>
  <si>
    <t>NTM-SYS-STR-PERF-05</t>
  </si>
  <si>
    <t>The secondary structures minimum resonance frequency shall be above 35 Hz.</t>
  </si>
  <si>
    <t>NTM-SYS-STR-PERF-06</t>
  </si>
  <si>
    <t>The structure subsystem shall not buckle under launch loads.</t>
  </si>
  <si>
    <t>NTM-SYS-STR-PERF-07</t>
  </si>
  <si>
    <t>The structure subsystem shall be able to withstand the loads caused by an environment temperature range of -120 and 130°C.</t>
  </si>
  <si>
    <t>NTM-SYS-STR-PERF-08</t>
  </si>
  <si>
    <t>The structure subsystem shall protect other subsystems from external radiation.</t>
  </si>
  <si>
    <t>NTM-SYS-STR-PERF-09</t>
  </si>
  <si>
    <t>The propellant tank shall withstand 4 MPa of pressure.</t>
  </si>
  <si>
    <t>NTM-SYS-STR-PERF-10</t>
  </si>
  <si>
    <t>The structure shall withstand periodical loads from nominal operation for 12 years.</t>
  </si>
  <si>
    <t>NTM-SYS-STR-MAN-01</t>
  </si>
  <si>
    <t>The structure subsystem shall be accesible for assembly.</t>
  </si>
  <si>
    <t>NTM-SYS-STR-MAN-02</t>
  </si>
  <si>
    <t>The materials used shall be readily manufacturable, considering ease of production and sustainable methods.</t>
  </si>
  <si>
    <t>NTM-SYS-STR-SUS-01</t>
  </si>
  <si>
    <t>Upon failure, the structure subsystem shall maintain its integrity without fragmentation.</t>
  </si>
  <si>
    <t>NTM-SYS-STR-SUS-02</t>
  </si>
  <si>
    <t>The subsystem material shall not be toxic.</t>
  </si>
  <si>
    <t>NTM-SYS-ADCS</t>
  </si>
  <si>
    <t>The ADCS subsystem shall receive data at a frequency of 1 s-1</t>
  </si>
  <si>
    <t>The satellite's absolute attitude shall be given with respect to the satellite's orbit reference frame</t>
  </si>
  <si>
    <t>The ADCS subsystem shall be able to determine the attitude of the spacecraft with an accuracy of 0.23 , with 2 sigma per axis</t>
  </si>
  <si>
    <t>The ADCS shall be able to calculate the output based on the input within TBD s</t>
  </si>
  <si>
    <t>The ADCS shall be able to calculate the output based on the input with an accuracy of 0.46 rad, 2 sigma interval</t>
  </si>
  <si>
    <t>The ADCS subsystem shall be able to correct the attitude of the spacecraft with a frequency of TBS s-1</t>
  </si>
  <si>
    <t>The ADCS subsystem shall be able to adjust the attitude of the spacecraft at a rate of TBD mrad/s</t>
  </si>
  <si>
    <t>The ADCS subsystem shall be allowed to have an anle f deviation &lt; TBD murad for TBD s</t>
  </si>
  <si>
    <t>The ADCS subsytem shall calibrate itself at least every 1.0s</t>
  </si>
  <si>
    <t>The ADCS subsystem shall calibrate itself with an accuracy of &lt; TBD mrad with respect to abs attitude</t>
  </si>
  <si>
    <t>The ADCS subsytem shall be able to receive inputs from the Navigation subsystem</t>
  </si>
  <si>
    <t>The ADCS subsystem shall be able to make adjustments to the orbit of the spacecraft based on the inputs from GNC subsystem</t>
  </si>
  <si>
    <t>The ADCS subsystem shall have an acquisition time of TBD s</t>
  </si>
  <si>
    <t>The ADCS subsystem shall be in service for at least the complete designed mission duration of 12 years</t>
  </si>
  <si>
    <t>The ADCS subsystem shall have an allowed number of single point failure of maximum TBD failures</t>
  </si>
  <si>
    <t>The ADCS subsystem shall cost less than TBD euros</t>
  </si>
  <si>
    <t>The ADCS subsystem should have a mass less thann TBD kg</t>
  </si>
  <si>
    <t>The ADCS shall have a volume of less than TBD m2</t>
  </si>
  <si>
    <t>The ADCS subsystem shall have a power usage of less than 200W</t>
  </si>
  <si>
    <t>The ADCS shall have a safe mode in case of emergency</t>
  </si>
  <si>
    <t>The ADCS shall be redundant by a factor of TBD</t>
  </si>
  <si>
    <t>The ADCS subsystem shall receive commands from CDH to prepare and fire all types of thrusters for all types of manouevrs</t>
  </si>
  <si>
    <t>The ADCS subsystem shall transmit telemetry to the CDH (include data about status of the valves, throttle level of thrusters, status of the thrusters and the temperatures of the thrusters</t>
  </si>
  <si>
    <t>NTM-SYS-PROP</t>
  </si>
  <si>
    <t>The propulsion subsystem shall provide 200 km/s of delta V to insert NTM into the final mission orbit</t>
  </si>
  <si>
    <t>The propulsion subsystem shall have a propellant margin of 5 % to counteract all disturbance forces</t>
  </si>
  <si>
    <t>The thrusters shall have the capability to be throttled down to at least TBD perc of maximum thrust</t>
  </si>
  <si>
    <t>Discuss with Matei (what kind of desaturation constraint is he expecting)</t>
  </si>
  <si>
    <t>The thrusters shall be capable of causing/counteracting 3-axis rotation of SC</t>
  </si>
  <si>
    <t>The propulsion subsystem shall receive commands from CDH to prepare and fire all types of thrusters for all types of manouevrs</t>
  </si>
  <si>
    <t>The propulsion subsystem shall transmit telemetry to the CDH (include data about status of the valves, throttle level of thrusters, status of the thrusters and the temperatures of the thrusters</t>
  </si>
  <si>
    <t>The propulsion subsystem shall have a cost of TBD euros</t>
  </si>
  <si>
    <t>The propulsion subsystem shall have a maximum mass of 250 kg</t>
  </si>
  <si>
    <t>The propulsion subsystem shall not use hydrazine</t>
  </si>
  <si>
    <t>The propulsion subsystem shall shall have a max delta V of 630m/s</t>
  </si>
  <si>
    <t>The propulsion subsystem shall be redundant by a factor of 2</t>
  </si>
  <si>
    <t xml:space="preserve">INTEGRATE THE PROP SUBSYSTEM ACCORDINGLY </t>
  </si>
  <si>
    <t>Ensure COM of Tank system alligns with COM of space craft. (same line of action)</t>
  </si>
  <si>
    <t>Isp lower</t>
  </si>
  <si>
    <t>Isp upper</t>
  </si>
  <si>
    <t>MR lower limit</t>
  </si>
  <si>
    <t>MR upper limit</t>
  </si>
  <si>
    <t>Thrust</t>
  </si>
  <si>
    <t>TRL</t>
  </si>
  <si>
    <t>Reliability</t>
  </si>
  <si>
    <t>bi-prop</t>
  </si>
  <si>
    <t>4.5-27000</t>
  </si>
  <si>
    <t>flight proven</t>
  </si>
  <si>
    <t>LRO propulsion subsystem</t>
  </si>
  <si>
    <t>https://arc.aiaa.org/doi/pdf/10.2514/6.2012-4330</t>
  </si>
  <si>
    <t>mono-prop</t>
  </si>
  <si>
    <t>0.02-572</t>
  </si>
  <si>
    <t>Electrical propulsion</t>
  </si>
  <si>
    <t>https://epic-src.eu/wp-content/uploads/ESA-EP-Activities-2017-DRESDEN.pdf</t>
  </si>
  <si>
    <t>Electric prop</t>
  </si>
  <si>
    <t>0-20</t>
  </si>
  <si>
    <t>Transfer orbits</t>
  </si>
  <si>
    <t>https://arc.aiaa.org/doi/pdf/10.2514/2.4060?casa_token=PUoZWbZHz1MAAAAA:mFTrKTNyV4k-ydcCxUMv5VAeOzqcLGXsDqbbpY2K48oOhWwdU2DxlDf2qw77n22d4OrpcAPYRcM</t>
  </si>
  <si>
    <t>Mass propellant</t>
  </si>
  <si>
    <t>Electrical</t>
  </si>
  <si>
    <t>Monoprop</t>
  </si>
  <si>
    <t>Time burn</t>
  </si>
  <si>
    <t>For one ADCS maneuver</t>
  </si>
  <si>
    <t>Dry mass</t>
  </si>
  <si>
    <t>kg</t>
  </si>
  <si>
    <t>Phase 1</t>
  </si>
  <si>
    <t>TLI</t>
  </si>
  <si>
    <t>Performed by Falcon Heavy</t>
  </si>
  <si>
    <t>around 20000kg of payload delivered</t>
  </si>
  <si>
    <t xml:space="preserve">Phase 2 </t>
  </si>
  <si>
    <t>LOI/BLT</t>
  </si>
  <si>
    <t>might range down to 200m/s</t>
  </si>
  <si>
    <t>https://s3-us-west-2.amazonaws.com/advspace.publicshare/BLT+(Ballistic+Lunar+Transfer)+Cheat+Sheet.pdf</t>
  </si>
  <si>
    <t>https://ntrs.nasa.gov/api/citations/20200002143/downloads/20200002143.pdf</t>
  </si>
  <si>
    <t>On development of SEP for the first Gateway components</t>
  </si>
  <si>
    <t>Trade-off table</t>
  </si>
  <si>
    <t>Maneuver accuracy</t>
  </si>
  <si>
    <t>Burn time (for the mission if 0.3km/s)</t>
  </si>
  <si>
    <t>Prop mass [kg]</t>
  </si>
  <si>
    <t>Power required</t>
  </si>
  <si>
    <t>(Finding componets difficulty)</t>
  </si>
  <si>
    <t>high</t>
  </si>
  <si>
    <t>1252 (hrs) for thrust of 90 mN</t>
  </si>
  <si>
    <t>1.5kW (for just one thruster)</t>
  </si>
  <si>
    <t>flight-proven</t>
  </si>
  <si>
    <t>fairly accessible</t>
  </si>
  <si>
    <t>Mono-prop (green)</t>
  </si>
  <si>
    <t>medium</t>
  </si>
  <si>
    <t>4.68 (hrs) for thrust of 22N</t>
  </si>
  <si>
    <t>154W</t>
  </si>
  <si>
    <t>tested but not flight-proven</t>
  </si>
  <si>
    <t>more difficult</t>
  </si>
  <si>
    <t>Desaturation of wheels budget</t>
  </si>
  <si>
    <t>Orbit maintenance budget</t>
  </si>
  <si>
    <t>10-20 m/s per year</t>
  </si>
  <si>
    <t>Mono-prop system dry mass estimation</t>
  </si>
  <si>
    <t>Mass propellant budget</t>
  </si>
  <si>
    <t>Mass[kg]</t>
  </si>
  <si>
    <t>Delta V [m/s]</t>
  </si>
  <si>
    <t>Propulsion system mass budget</t>
  </si>
  <si>
    <t>[kg]</t>
  </si>
  <si>
    <t xml:space="preserve">From Spacecraft Sizing </t>
  </si>
  <si>
    <t>Insertion mass</t>
  </si>
  <si>
    <t>GR-1 thrusters (12 times)</t>
  </si>
  <si>
    <t>includes ...</t>
  </si>
  <si>
    <t>M_Prop_dry</t>
  </si>
  <si>
    <t>Satellite positioning</t>
  </si>
  <si>
    <t>Orbit maintenance mass</t>
  </si>
  <si>
    <t>GR-22 thrusters (2 time)</t>
  </si>
  <si>
    <t>ADCS mass</t>
  </si>
  <si>
    <t>Propellant tank</t>
  </si>
  <si>
    <t>EOL mass (N/A yet)</t>
  </si>
  <si>
    <t>Valves and Filters</t>
  </si>
  <si>
    <t>Mass of valves of filters</t>
  </si>
  <si>
    <t>Percentage</t>
  </si>
  <si>
    <t>Mass fuel</t>
  </si>
  <si>
    <t>Near (m_total = 405)</t>
  </si>
  <si>
    <t>Total mass</t>
  </si>
  <si>
    <t>Clementine 1 (m_total = 255 kg)</t>
  </si>
  <si>
    <t>EOL study</t>
  </si>
  <si>
    <t>https://www.esa.int/Enabling_Support/Preparing_for_the_Future/Discovery_and_Preparation/End-of-life_disposal_of_satellites</t>
  </si>
  <si>
    <t>Low inclination</t>
  </si>
  <si>
    <t>North Pole</t>
  </si>
  <si>
    <t xml:space="preserve">Orbit2 </t>
  </si>
  <si>
    <t>V1</t>
  </si>
  <si>
    <t>mu_(moon)</t>
  </si>
  <si>
    <t>m</t>
  </si>
  <si>
    <t>V2</t>
  </si>
  <si>
    <t>R_moon</t>
  </si>
  <si>
    <t>Semi_major axis</t>
  </si>
  <si>
    <t>km</t>
  </si>
  <si>
    <t>eccentricity</t>
  </si>
  <si>
    <t>Crash (at pericenter)</t>
  </si>
  <si>
    <t>pericenter</t>
  </si>
  <si>
    <t>OG</t>
  </si>
  <si>
    <t>m/s</t>
  </si>
  <si>
    <t>Semi_major_axis_new</t>
  </si>
  <si>
    <t>Low incli</t>
  </si>
  <si>
    <t>SOI</t>
  </si>
  <si>
    <t>South pole</t>
  </si>
  <si>
    <t>apocenter</t>
  </si>
  <si>
    <t>inclination</t>
  </si>
  <si>
    <t>degrees</t>
  </si>
  <si>
    <t>Out of the Moon</t>
  </si>
  <si>
    <t>Maneuver calculator</t>
  </si>
  <si>
    <t>Vt1</t>
  </si>
  <si>
    <t>Crash (at apocenter)</t>
  </si>
  <si>
    <t>Vt2</t>
  </si>
  <si>
    <t>Delta i</t>
  </si>
  <si>
    <t>Total</t>
  </si>
  <si>
    <t>Chamber pressure calculation</t>
  </si>
  <si>
    <t>R calculation</t>
  </si>
  <si>
    <t>Isp</t>
  </si>
  <si>
    <t>s</t>
  </si>
  <si>
    <t>p0</t>
  </si>
  <si>
    <t>Pa</t>
  </si>
  <si>
    <t>g</t>
  </si>
  <si>
    <t>m/s2</t>
  </si>
  <si>
    <t>k</t>
  </si>
  <si>
    <t>R</t>
  </si>
  <si>
    <t>J/kgK</t>
  </si>
  <si>
    <t>Tc</t>
  </si>
  <si>
    <t>K</t>
  </si>
  <si>
    <t>Pc</t>
  </si>
  <si>
    <t>M_orig</t>
  </si>
  <si>
    <t>Vt</t>
  </si>
  <si>
    <t>NTM-SYS-CDH-GEN-01</t>
  </si>
  <si>
    <t>The LNSS shall protect confidentiality, integrity, availability and accountability of the Service infrastructure.</t>
  </si>
  <si>
    <t>NTM-SYS-CDH-GEN-02</t>
  </si>
  <si>
    <t>The LNSS shall prevent unauthorised access (corruption, interception, loss) of services.</t>
  </si>
  <si>
    <t>NTM-SYS-CDH-GEN-03</t>
  </si>
  <si>
    <t>The LNSS shall provide protection from intentional attacks to undermine services (confidentiality, integrity, availability and accountability).</t>
  </si>
  <si>
    <t>NTM-SYS-CDH-GEN-04</t>
  </si>
  <si>
    <t>The LNSS shall authenticate the navigation message data required for the PVT service.</t>
  </si>
  <si>
    <t>NTM-SYS-CDH-GEN-05</t>
  </si>
  <si>
    <t>The LNSS shall make sure users do not lose access due to lack of data required for authentication.</t>
  </si>
  <si>
    <t>NTM-SYS-CDH-GEN-06</t>
  </si>
  <si>
    <t>The LNSS shall guarantee the confidentiality of users’ sensitive data. This can include positional and research data.</t>
  </si>
  <si>
    <t>NTM-SYS-CDH-GEN-07</t>
  </si>
  <si>
    <t>The LNSS shall not depend on other services or processes required by users</t>
  </si>
  <si>
    <t>NTM-SYS-CDH-GEN-08</t>
  </si>
  <si>
    <t>The LNSS shall define, establish, and maintain a standardised interface to users</t>
  </si>
  <si>
    <t>NTM-SYS-CDH-GEN-09</t>
  </si>
  <si>
    <t>The LNSS shall establish, validate, and maintain over the lifetime of the mission interfaces with external entities.</t>
  </si>
  <si>
    <t>NTM-SYS-CDH-GEN-10</t>
  </si>
  <si>
    <t>The lifetime of the CDH system shall be at least TBD years.</t>
  </si>
  <si>
    <t>NTM-SYS-CDH-GEN-11</t>
  </si>
  <si>
    <t>The cost of the CDH system shall be lower than TBD euros</t>
  </si>
  <si>
    <t>NTM-SYS-CDH-GEN-12</t>
  </si>
  <si>
    <t>The CDH system shall be designed, developed, and produced before the first launch, which is at the latest in 2028</t>
  </si>
  <si>
    <t>NTM-SYS-CDH-GEN-13</t>
  </si>
  <si>
    <t>The CDH system shall be able to recover form single event effects, which includes upsets</t>
  </si>
  <si>
    <t>NTM-SYS-CDH-GEN-14</t>
  </si>
  <si>
    <t>The onboard computer shall be the centralized computer commanding all daughterboards</t>
  </si>
  <si>
    <t>NTM-SYS-CDH-GEN-15</t>
  </si>
  <si>
    <t>The CDH system must be able to work in accordance with the spacecrafts clock</t>
  </si>
  <si>
    <t>NTM-SYS-CDH-GEN-16</t>
  </si>
  <si>
    <t>The mass of the CDH system shall be less than TBD kg</t>
  </si>
  <si>
    <t>NTM-SYS-CDH-GEN-17</t>
  </si>
  <si>
    <t>The power of the CDH system shall be less than TBD kg</t>
  </si>
  <si>
    <t>NTM-SYS-CDH-PRF-01</t>
  </si>
  <si>
    <t>Navigation real time services (except TWM) shall be provided continuously</t>
  </si>
  <si>
    <t>NTM-SYS-CDH-PRF-02</t>
  </si>
  <si>
    <t>The TWM service shall provide the measurements to the user within 1 min from their generation.</t>
  </si>
  <si>
    <t>NTM-SYS-CDH-PRF-03</t>
  </si>
  <si>
    <t>The PVT service shall allow position, velocity and time solution for the surface to be computed in 60 s from initialisation of the Navigation User Terminal.</t>
  </si>
  <si>
    <t>NTM-SYS-CDH-PRF-04</t>
  </si>
  <si>
    <t>The PVT post processing service shall be provided continuously.</t>
  </si>
  <si>
    <t>NTM-SYS-CDH-PRF-05</t>
  </si>
  <si>
    <t>The LNSS shall provide the ”navigation service availability and performance prediction” service to the users.</t>
  </si>
  <si>
    <t>NTM-SYS-CDH-PRF-06</t>
  </si>
  <si>
    <t>The LNSS shall define, develop, validate and maintain a set of interfaces to and from the user in order to exchange the data required to implement this service.</t>
  </si>
  <si>
    <t>NTM-SYS-CDH-PRF-07</t>
  </si>
  <si>
    <t>The LNSS shall provide results of ”navigation service availability and performance prediction” service analysis within 2 working days of receiving computed data.</t>
  </si>
  <si>
    <t>NTM-SYS-CDH-PRF-08</t>
  </si>
  <si>
    <t>The performance prediction service shall present a time window of up to 16 hours, in up to 6 months in advance in which the provider nodes position errors are guaranteed to be within a certain user threshold up to 99% of the time of the window.</t>
  </si>
  <si>
    <t>NTM-SYS-CDH-PRF-09</t>
  </si>
  <si>
    <t>The LNSS shall inform the ULS about planned/unplanned service degradation/unavailabilities within 20 s (TBC) from the start of performance requirements not being met.</t>
  </si>
  <si>
    <t>NTM-SYS-CDH-PRF-10</t>
  </si>
  <si>
    <t>The LNSS shall inform the user MOC about planned service degradation/unavailabilities 2 months (TBC) before the time of the degradation/unavailability</t>
  </si>
  <si>
    <t>NTM-SYS-CDH-PRF-11</t>
  </si>
  <si>
    <t>The LNSS shall inform the user MOC about unplanned service degradation/unavailabilities within 10 min (TBC) from the start of the LNSS degradation/unavailability</t>
  </si>
  <si>
    <t>NTM-SYS-CDH-PRF-12</t>
  </si>
  <si>
    <t>The reliability of the CDH system shall be higher than TBD.</t>
  </si>
  <si>
    <t>NTM-SYS-CDH-PRF-13</t>
  </si>
  <si>
    <t>The computer CPU shall have a clock speed of at least TBD TBD.</t>
  </si>
  <si>
    <t>NTM-SYS-CDH-PRF-14</t>
  </si>
  <si>
    <t>The onboard hard drive shall have at least TBD TBD of storage</t>
  </si>
  <si>
    <t>NTM-SYS-CDH-PRF-15</t>
  </si>
  <si>
    <t>The CDH system shall have a higher computer power than required for computing ODTS TBD TBD</t>
  </si>
  <si>
    <t>NTM-SYS-CDH-LEG-01</t>
  </si>
  <si>
    <t>The LNSS shall comply with the LunaNet Interoperability specifications [4].</t>
  </si>
  <si>
    <t>NTM-SYS-CDH-LEG-02</t>
  </si>
  <si>
    <t>The LNSS shall comply with the Future Lunar Communications Architecture and Solar System Internetwork (SSI) Architecture as specified in [5].</t>
  </si>
  <si>
    <t>NTM-SYS-CDH-RES-01</t>
  </si>
  <si>
    <t>The design process for the LNSS shall be concluded within the allocated 10 weeks time period.</t>
  </si>
  <si>
    <t>NTM-SYS-CDH-RES-02</t>
  </si>
  <si>
    <t>The first stages of deployment of the LNSS shall start at latest in 2028.</t>
  </si>
  <si>
    <t>NTM-SYS-CDH-RES-03</t>
  </si>
  <si>
    <t>The LNSS shall be designed, maintained, deployed and operated within a 10 B euro cost cap.</t>
  </si>
  <si>
    <t>NTM-SYS-CDH-SUS-01</t>
  </si>
  <si>
    <t>The LNSS shall not pose risk to humans or users’ equipment on the moon at the end of life.</t>
  </si>
  <si>
    <t>NTM-SYS-CDH-SUS-02</t>
  </si>
  <si>
    <t>Costs shall include costs of offsetting or paying for atmospheric pollution through greenhouse gases or substances for the ozone layer</t>
  </si>
  <si>
    <t>NTM-SYS-CDH-SUS-03</t>
  </si>
  <si>
    <t>The LNSS shall rely on heritage from Earth GNSS systems where possible.</t>
  </si>
  <si>
    <t>NTM-SYS-CDH-RED-01</t>
  </si>
  <si>
    <t>The LNSS shall be redundant against 2 provider node failures</t>
  </si>
  <si>
    <t>NTM-SYS-TTC-SIG-01</t>
  </si>
  <si>
    <t>The navigation real time services (except TWM) shall be broadcast with a radio signal (AFS).</t>
  </si>
  <si>
    <t>NTM-SYS-TTC-SIG-02</t>
  </si>
  <si>
    <t>The navigation signal data rate shall be higher than TBD bit/s</t>
  </si>
  <si>
    <t>NTM-SYS-TTC-SIG-03</t>
  </si>
  <si>
    <t>The monitoring signal data rate shall be higher than TBD bit/s</t>
  </si>
  <si>
    <t>NTM-SYS-TTC-SIG-04</t>
  </si>
  <si>
    <t>The crosslink signal data rate shall be higher than TBD bit/s</t>
  </si>
  <si>
    <t>NTM-SYS-TTC-SIG-05</t>
  </si>
  <si>
    <t>The monitoring signal data volume shall be lower than TBD bits</t>
  </si>
  <si>
    <t>NTM-SYS-TTC-PRF-01</t>
  </si>
  <si>
    <t>NTM-SYS-TTC-PRF-02</t>
  </si>
  <si>
    <t>NTM-SYS-TTC-PRF-03</t>
  </si>
  <si>
    <t>NTM-SYS-TTC-PRF-04</t>
  </si>
  <si>
    <t>NTM-SYS-TTC-PRF-05</t>
  </si>
  <si>
    <t>NTM-SYS-TTC-PRF-06</t>
  </si>
  <si>
    <t>NTM-SYS-TTC-PRF-07</t>
  </si>
  <si>
    <t>NTM-SYS-TTC-PRF-08</t>
  </si>
  <si>
    <t>NTM-SYS-TTC-PRF-09</t>
  </si>
  <si>
    <t>The antenna pointing error of the LNS shall be smaller than TBD.</t>
  </si>
  <si>
    <t>NTM-SYS-TTC-SUS-01</t>
  </si>
  <si>
    <t>NTM-SYS-TTC-SUS-02</t>
  </si>
  <si>
    <t>NTM-SYS-TTC-SUS-03</t>
  </si>
  <si>
    <t>NTM-SYS-TTC-RES-01</t>
  </si>
  <si>
    <t>NTM-SYS-TTC-RES-02</t>
  </si>
  <si>
    <t>NTM-SYS-TTC-RES-03</t>
  </si>
  <si>
    <t>NTM-SYS-TTC-LEG-01</t>
  </si>
  <si>
    <t>The Service to User MOC interface shall at least implement the terrestrial interfaces defined in accordance with [4]</t>
  </si>
  <si>
    <t>NTM-SYS-TTC-LEG-02</t>
  </si>
  <si>
    <t>NTM-SYS-TTC-LEG-03</t>
  </si>
  <si>
    <t>NTM-SYS-TTC-LEG-04</t>
  </si>
  <si>
    <t>The LNSS shall be designed to use frequency bands that are available and allocated for Lunar Navigation Systems.</t>
  </si>
  <si>
    <t>NTM-SYS-TTC-LEG-04A</t>
  </si>
  <si>
    <t>NTM-SYS-TTC-LEG-05</t>
  </si>
  <si>
    <t>The AFS shall adhere to the LunaNet Interoperability Specification Document [4].</t>
  </si>
  <si>
    <t>NTM-SYS-TTC-LEG-04B</t>
  </si>
  <si>
    <t>NTM-SYS-TTC-LEG-04C</t>
  </si>
  <si>
    <t>NTM-SYS-TTC-RED-01</t>
  </si>
  <si>
    <t>NTM-SYS-TTC-GEN-01</t>
  </si>
  <si>
    <t>NTM-SYS-TTC-GEN-02</t>
  </si>
  <si>
    <t>NTM-SYS-TTC-GEN-03</t>
  </si>
  <si>
    <t>NTM-SYS-TTC-GEN-04</t>
  </si>
  <si>
    <t>NTM-SYS-TTC-GEN-05</t>
  </si>
  <si>
    <t>NTM-SYS-TTC-GEN-06</t>
  </si>
  <si>
    <t>The LNSS shall provide the same access hardware architecture for all Lunar missions</t>
  </si>
  <si>
    <t>NTM-SYS-TTC-GEN-07</t>
  </si>
  <si>
    <t>NTM-SYS-TTC-GEN-08</t>
  </si>
  <si>
    <t>NTM-SYS-TTC-GEN-09</t>
  </si>
  <si>
    <t>NTM-SYS-TTC-GEN-10</t>
  </si>
  <si>
    <t>Monitoring shall be possible in worst case conditions on Earth</t>
  </si>
  <si>
    <t>NTM-SYS-TTC-GEN-11</t>
  </si>
  <si>
    <t>The TT&amp;C system shall cost less than TBD euros.</t>
  </si>
  <si>
    <t>NTM-SYS-TTC-GEN-12</t>
  </si>
  <si>
    <t>The TT&amp;C system shall be designed, developed, and produced before the first launch, which is at the latest in 2028</t>
  </si>
  <si>
    <t>NTM-SYS-TTC-GEN-13</t>
  </si>
  <si>
    <t>The lifetime of the TT&amp;C system shall be at least TBD years.</t>
  </si>
  <si>
    <t>NTM-SYS-TTC-GEN-14</t>
  </si>
  <si>
    <t>The reliability of the TT&amp;C system shall be higher than TBD</t>
  </si>
  <si>
    <t>The mass of the TT&amp;C system shall be less than TBD kg</t>
  </si>
  <si>
    <t>The power of the TT&amp;C system shall be less than TBD kg</t>
  </si>
  <si>
    <t>NTM-SYS-TTC-EXT-01</t>
  </si>
  <si>
    <t>NTM-SYS-TTC-EXT-02</t>
  </si>
  <si>
    <t>NTM-SYS-TTC-USER-01</t>
  </si>
  <si>
    <t>The OWR, PVT and TS shall be accessed in real time on a Navigation User Terminal that operates within the following envelope: • Size &lt; 30 x 30 x 10 cm or 9 L. • Weight &lt; 4 kg. • Power &lt; 15 W (25 W peak).</t>
  </si>
  <si>
    <t>NTM-SYS-TTC-USER-02</t>
  </si>
  <si>
    <t>The OWR, PVT and TS shall be accessed in real time on a User Terminal Antenna that operates within the following envelope: • Size &lt; 10 x 10 x 5 cm or 0.5 L. • Weight &lt; 0.3 kg.</t>
  </si>
  <si>
    <t>NTM-SYS-TTC-USER-03</t>
  </si>
  <si>
    <t>The data storage system shall have a larger storage than TBD bits</t>
  </si>
  <si>
    <t>NTM-SYS-EPS-GEN-01</t>
  </si>
  <si>
    <t>The power system shall provide power during the TBD eclipse time</t>
  </si>
  <si>
    <t>NTM-SYS-EPS</t>
  </si>
  <si>
    <t>The EPS shall continous power for a period of at least 15h</t>
  </si>
  <si>
    <t>SMAD 457</t>
  </si>
  <si>
    <t>in pdf</t>
  </si>
  <si>
    <t>safe mode to reduce power consumptions</t>
  </si>
  <si>
    <t>solar panels generate enough power for functions and battery charging</t>
  </si>
  <si>
    <t>solar panels shall provide enough power at end of life (degredation)</t>
  </si>
  <si>
    <t>The battery shall have a capacity of TBD to power up the system</t>
  </si>
  <si>
    <t>The EPS shall have a maximum power loss of TBD %</t>
  </si>
  <si>
    <t>The EPS shall be redundant in case of component failure</t>
  </si>
  <si>
    <t>The EPS shall include a power storage device</t>
  </si>
  <si>
    <t>The EPS shall dissipate heat generated by power conversion and distribution components</t>
  </si>
  <si>
    <t>Th EPS shall have the capability to monitor, control and adjust power generation, distribution and consumption</t>
  </si>
  <si>
    <t>The EPS shall withstand the harsh environmental space environment (radiation)</t>
  </si>
  <si>
    <t>The EPS shall be designed to minimize electromagnetic interfence to maintain performance of other subsystems</t>
  </si>
  <si>
    <t>The EPS shall be designed to withstand launch loads</t>
  </si>
  <si>
    <t>The solar panels shall generate power at a TBD efficiency</t>
  </si>
  <si>
    <t>The EPS shall use environmental friendly materials</t>
  </si>
  <si>
    <t>Power Generation</t>
  </si>
  <si>
    <t>The EPS shall be ESA certificied</t>
  </si>
  <si>
    <t>Power Distribution</t>
  </si>
  <si>
    <t>The EPS shall be rotatable with an accuracy of less than TBD deg.</t>
  </si>
  <si>
    <t>Power Monitoring</t>
  </si>
  <si>
    <t>Power Storage</t>
  </si>
  <si>
    <t>Power Sustainability</t>
  </si>
  <si>
    <t>The electrical power system shall provide for the generation, storage,
control, protection and distribution of electrical power to the
spacecraft payloads and housekeeping loads during the entire design life of 12 years.</t>
  </si>
  <si>
    <t>NTM-SYS-EPS-GEN-02</t>
  </si>
  <si>
    <t xml:space="preserve">The EPS shall provide continous power for at least 15h straight. </t>
  </si>
  <si>
    <t>NTM-SYS-EPS-GEN-03</t>
  </si>
  <si>
    <t>The EPS shall generate more than TBD power at EOL with two sigma confidence interval (95%)</t>
  </si>
  <si>
    <t>NTM-SYS-EPS-GEN-04</t>
  </si>
  <si>
    <t>The EPS shall be rotatable with an accuracy of less than TBD deg (95% certainty).</t>
  </si>
  <si>
    <t>NTM-SYS-EPS-GEN-05</t>
  </si>
  <si>
    <t>The solar panels shall generate power at a TBD efficiency (95% certainty)</t>
  </si>
  <si>
    <t>NTM-SYS-EPS-GEN-06</t>
  </si>
  <si>
    <t>The EPS shall have a maximum power loss of TBD % (95% certainty)</t>
  </si>
  <si>
    <t>NTM-SYS-EPS-GEN-07</t>
  </si>
  <si>
    <t>The EPS shall generate TBD power during transfer orbit (95% certainty)</t>
  </si>
  <si>
    <t>NTM-SYS-EPS-GEN-08</t>
  </si>
  <si>
    <t>The EPS shall be redundant in case of component failure.</t>
  </si>
  <si>
    <t>NTM-SYS-EPS-GEN-09</t>
  </si>
  <si>
    <t>distribution</t>
  </si>
  <si>
    <t>NTM-SYS-EPS-DIS-01</t>
  </si>
  <si>
    <t>NTM-SYS-EPS-DIS-02</t>
  </si>
  <si>
    <t>The cable harness shall induce than less than TBD % signal losses (95% certainty).</t>
  </si>
  <si>
    <t>monitoring</t>
  </si>
  <si>
    <t>NTM-SYS-EPS-MON-01</t>
  </si>
  <si>
    <t>The EPS shall have a safe mode to reduce power consumption to TBD W.</t>
  </si>
  <si>
    <t>NTM-SYS-EPS-MON-02</t>
  </si>
  <si>
    <t>The EPS shall provide sufficient power for at least TBD seconds in safe mode.</t>
  </si>
  <si>
    <t>NTM-SYS-EPS-MON-03</t>
  </si>
  <si>
    <t>storage</t>
  </si>
  <si>
    <t>NTM-SYS-EPS-STR-01</t>
  </si>
  <si>
    <t>The power system shall provide power during the TBD eclipse time.</t>
  </si>
  <si>
    <t>NTM-SYS-EPS-STR-02</t>
  </si>
  <si>
    <t>The battery shall not be affected by radiation (change)</t>
  </si>
  <si>
    <t>NTM-SYS-EPS-STR-03</t>
  </si>
  <si>
    <t>The batteries shall have a storage of more than TBD Ah at EOL (95% certainty)</t>
  </si>
  <si>
    <t>NTM-SYS-EPS-STR-04</t>
  </si>
  <si>
    <t>The batteries shall store at least TBD Ah for deployment</t>
  </si>
  <si>
    <t>sustainability</t>
  </si>
  <si>
    <t>NTM-SYS-EPS-SUS-01</t>
  </si>
  <si>
    <t>The EPS shall not use Radioisotope Thermoelectric Generators</t>
  </si>
  <si>
    <t>NTM-SYS-EPS-SUS-02</t>
  </si>
  <si>
    <t>The EPS shall not degrade to less than TBD efficiency at EOL</t>
  </si>
  <si>
    <t>NTM-SYS-EPS-SUS-03</t>
  </si>
  <si>
    <t>The EPS shall use environmental friendly materials.</t>
  </si>
  <si>
    <t>NTM-SYS-TCS</t>
  </si>
  <si>
    <t>The temperature of the batteries shall be between TBD and TBD degrees celcius</t>
  </si>
  <si>
    <t>The TCS shall contain a heat dissipation system</t>
  </si>
  <si>
    <t>The TCS shall protect components from extreme cold temperatures during periods of eclipse of when exposed to deep space</t>
  </si>
  <si>
    <t>The TCS shall use insulation to minimise heat transfer between internal and external environments</t>
  </si>
  <si>
    <t>The TCS shall transfer heat to non-critical component</t>
  </si>
  <si>
    <t>Monitorisation</t>
  </si>
  <si>
    <t>The TCS shall consider thermal expension due to temperature changes</t>
  </si>
  <si>
    <t>Heat Limits</t>
  </si>
  <si>
    <t>Heat Gradients</t>
  </si>
  <si>
    <t>Thermal loads</t>
  </si>
  <si>
    <t>The TCS shall use passive control to dissipate heat without the need for active mechanism</t>
  </si>
  <si>
    <t>Heat Dissipation</t>
  </si>
  <si>
    <t>The TCS shall include redundancy in critical component</t>
  </si>
  <si>
    <t>https://www.jstor.org/stable/44657705?searchText=&amp;searchUri=&amp;ab_segments=&amp;searchKey=&amp;refreqid=fastly-default%3Ad9cc05508cb0a9f8b39f3bb5e2f9ffe8&amp;seq=2</t>
  </si>
  <si>
    <t>NTM-SYS-TCS-MON-01</t>
  </si>
  <si>
    <t>The TCS shall measure the heat in critical components with an accuracy of 1°C.</t>
  </si>
  <si>
    <t>The TCS shall withstand temperature changes of 250 degrees shifting from daytime to nighttime.</t>
  </si>
  <si>
    <t>https://lunar.gsfc.nasa.gov/images/lithos/LROlitho7temperaturevariation27May2014.pdf</t>
  </si>
  <si>
    <t>NTM-SYS-TCS-LIM-01</t>
  </si>
  <si>
    <t>The TCS shall operate between TBD and TBD degree celcius during safe mode</t>
  </si>
  <si>
    <t>The temperature of the processor shall be between TBD and TBD degrees celcius</t>
  </si>
  <si>
    <t>The temperature of the instruments shall be between TBD and TBD degrees celcius</t>
  </si>
  <si>
    <t>The temperature of the propellant tanks shall be between TBD and TBD degrees celcius</t>
  </si>
  <si>
    <t>NTM-SYS-TCS-GRD-01</t>
  </si>
  <si>
    <t>The temperature gradient between ... and ... shall be less than TBD K/m</t>
  </si>
  <si>
    <t>NTM-SYS-TCS-LOA-01</t>
  </si>
  <si>
    <t xml:space="preserve">The thermal loads introduced due to temperature change shall be less than TBD </t>
  </si>
  <si>
    <t>NTM-SYS-TCS-DIS-01</t>
  </si>
  <si>
    <t>Type</t>
  </si>
  <si>
    <t>NTM-SYS-NAV-01</t>
  </si>
  <si>
    <t>The LNSS shall provide a navigation service for lunar surface stationary, surface mobile, descending, ascending, orbiting users to ESA, ESA’s partners and third parties.</t>
  </si>
  <si>
    <t>service</t>
  </si>
  <si>
    <t>NTM-SYS-NAV-02</t>
  </si>
  <si>
    <t>The LNSS shall inform the ULS about expected quality and availability.</t>
  </si>
  <si>
    <t>data content to master CS</t>
  </si>
  <si>
    <t>NTM-SYS-NAV-03</t>
  </si>
  <si>
    <t>The navigation service shall allow the users to determine their position and velocity with respect to the selenocentric frame.</t>
  </si>
  <si>
    <t>data content</t>
  </si>
  <si>
    <t>NTM-SYS-NAV-04</t>
  </si>
  <si>
    <t>The navigation service shall allow the users to determine their position and velocity with respect to the lunar inertial reference frame.</t>
  </si>
  <si>
    <t>NTM-SYS-NAV-05</t>
  </si>
  <si>
    <t xml:space="preserve">The navigation service shall allow the users to determine the local clock offset with respect with the lunar reference time. </t>
  </si>
  <si>
    <t>NTM-SYS-NAV-06</t>
  </si>
  <si>
    <t>Navigation real time services (except TWM) shall be provided in SV1 and SV2 at least.</t>
  </si>
  <si>
    <t>space cov</t>
  </si>
  <si>
    <t>https://www.gps.gov/governance/advisory/meetings/2016-12/cornwell.pdf</t>
  </si>
  <si>
    <t>NTM-SYS-NAV-07</t>
  </si>
  <si>
    <t>Navigation real time services (except TWM) shall be provided continuously.</t>
  </si>
  <si>
    <t>time cov</t>
  </si>
  <si>
    <t>https://navi.ion.org/content/navi/69/3/navi.535.full.pdf</t>
  </si>
  <si>
    <t>https://ieeexplore.ieee.org/stamp/stamp.jsp?tp=&amp;arnumber=9038577</t>
  </si>
  <si>
    <t>NTM-SYS-NAV-OWR-01</t>
  </si>
  <si>
    <t>The OWR service shall result in provider nodes position error smaller or equal to 10 m with a two sigma confidence interval (95% of the time over 24 h).</t>
  </si>
  <si>
    <t>space accuracy</t>
  </si>
  <si>
    <t>https://gssc.esa.int/navipedia/index.php/Accuracy#:~:text=Relationship%20between%20Accuracy%20Measurements,-Assuming%20normal%20distributions&amp;text=There%20is%20a%20correspondence%20between,and%20xm%20(x%20sigma).</t>
  </si>
  <si>
    <t>NTM-SYS-NAV-OWR-02</t>
  </si>
  <si>
    <t xml:space="preserve">The OWR service shall result in provider nodes velocity error smaller or equal to 0.1 m/s with a two sigma confidence interval (95% of the time over 24 h) </t>
  </si>
  <si>
    <t>NTM-SYS-NAV-OWR-03</t>
  </si>
  <si>
    <t>The availability of the OWR service shall be greater or equal to 95% of the time, computed over 3 months.</t>
  </si>
  <si>
    <t>NTM-SYS-NAV-OWR-04</t>
  </si>
  <si>
    <t>The OWR service shall be available at least 20 min without interruption with a probability of over 99%, computed over a year.</t>
  </si>
  <si>
    <t>NTM-SYS-NAV-TWM-01</t>
  </si>
  <si>
    <t>The TWM service shall provide coverage to ULS located in SV1 and SV2</t>
  </si>
  <si>
    <t>NTM-SYS-NAV-TWM-02</t>
  </si>
  <si>
    <t>The TWM service shall provide coverage to ULS in a service window of 18 hours of any earth day.</t>
  </si>
  <si>
    <t>NTM-SYS-NAV-TWM-03</t>
  </si>
  <si>
    <t>The TWM service shall allow the user to move the centre of the service window by ± 3 hours at least once in any 12 month period with more than 8 weeks of user notice.</t>
  </si>
  <si>
    <t>NTM-SYS-NAV-TWM-04</t>
  </si>
  <si>
    <t>The TWM service shall provide the measurements to the user within 1 min from their generation</t>
  </si>
  <si>
    <t>NTM-SYS-NAV-TWM-05</t>
  </si>
  <si>
    <t>The TWM service shall be available to multiple collocated ULS.</t>
  </si>
  <si>
    <t xml:space="preserve">user </t>
  </si>
  <si>
    <t>NTM-SYS-NAV-TWM-06</t>
  </si>
  <si>
    <t>The TWM shall be in line with [4].</t>
  </si>
  <si>
    <t>regulation</t>
  </si>
  <si>
    <t>NTM-SYS-NAV-TWM-07</t>
  </si>
  <si>
    <t>The TWM service shall result in provider nodes position error smaller or equal to 10 m with a two sigma confidence interval (95% of the time over 24 h)</t>
  </si>
  <si>
    <t>NTM-SYS-NAV-TWM-08</t>
  </si>
  <si>
    <t>The TWM service shall result in provider nodes velocity error smaller or equal to 0.1 m s−1 with a two sigma confidence interval (95% of the time over 24 h) .</t>
  </si>
  <si>
    <t>NTM-SYS-NAV-TWM-09</t>
  </si>
  <si>
    <t>The TWM service shall provide the necessary data and measurements (at least clock and ephemeris data) for the user to obtain its PVT.</t>
  </si>
  <si>
    <t>NTM-SYS-NAV-PVT-01</t>
  </si>
  <si>
    <t>The PVT service shall allow a user to compute position and velocity and calculate time offset of local clock with respect to the LNSS time using AFS at least once per second.</t>
  </si>
  <si>
    <t xml:space="preserve">service </t>
  </si>
  <si>
    <t>NTM-SYS-NAV-PVT-02</t>
  </si>
  <si>
    <t>The Navigation PVT services shall provide a time coverage of at least 15 continuous hours computed over any 24 hour period.</t>
  </si>
  <si>
    <t>NTM-SYS-NAV-PVT-03</t>
  </si>
  <si>
    <t>The PVT service shall ensure a Height constrained horizontal dilution of precision (HHDOP defined in [3]) less than 3.5.</t>
  </si>
  <si>
    <t>NTM-SYS-NAV-PVT-04</t>
  </si>
  <si>
    <t>The PVT service availability shall be at least 95%, computed over 3 months.</t>
  </si>
  <si>
    <t>NTM-SYS-NAV-PVT-05</t>
  </si>
  <si>
    <t>When the PVT service is available it shall work for 20 minutes without interruption with a probability of 99.9% over a yearly period.</t>
  </si>
  <si>
    <t>NTM-SYS-NAV-PVT-06</t>
  </si>
  <si>
    <t>NTM-SYS-NAV-PVT-07</t>
  </si>
  <si>
    <t>The position error arising from the PVT service for orbiting users shall be smaller than 100 m (in 3 dimensions; 95% of the time).</t>
  </si>
  <si>
    <t>NTM-SYS-NAV-PVT-08</t>
  </si>
  <si>
    <t>The velocity error arising from the PVT service for orbiting users shall be smaller than 1 m s−1 (in 3 dimensions; 95% of the time).</t>
  </si>
  <si>
    <t>NTM-SYS-NAV-PVT-09</t>
  </si>
  <si>
    <t>The timing error arising from the PVT service for orbiting users shall be smaller than 15 ms (TBC) (95% of the time)</t>
  </si>
  <si>
    <t>time accuracy</t>
  </si>
  <si>
    <t>NTM-SYS-NAV-PVT-10</t>
  </si>
  <si>
    <t>The horizontal position error arising from the PVT service for landing users shall be smaller than 50 m (95%).</t>
  </si>
  <si>
    <t>NTM-SYS-NAV-PVT-11</t>
  </si>
  <si>
    <t>The vertical position error arising from the PVT service for landing users shall be smaller than 100 m (95%).</t>
  </si>
  <si>
    <t>NTM-SYS-NAV-PVT-12</t>
  </si>
  <si>
    <t>The horizontal velocity error arising from the PVT service for landing users shall be smaller than 1 m s−1 (95%).</t>
  </si>
  <si>
    <t>NTM-SYS-NAV-PVT-13</t>
  </si>
  <si>
    <t>The vertical velocity error arising from the PVT service for landing users shall be smaller than 2 m s−1 (95%).</t>
  </si>
  <si>
    <t>NTM-SYS-NAV-PVT-14</t>
  </si>
  <si>
    <t>The timing error arising from the PVT service for landing users shall be smaller than 15 ms (TBC) (95%).</t>
  </si>
  <si>
    <t>NTM-SYS-NAV-PVT-15</t>
  </si>
  <si>
    <t>The position error arising from the PVT service for surface users shall be smaller than 10 m (95%).</t>
  </si>
  <si>
    <t>NTM-SYS-NAV-PVT-16</t>
  </si>
  <si>
    <t>The velocity error arising from the PVT service for surface users shall be smaller than 1 m s−1 (95%).</t>
  </si>
  <si>
    <t>NTM-SYS-NAV-PVT-17</t>
  </si>
  <si>
    <t>The timing error arising from the PVT service for surface users shall be smaller than 0.4 μs (TBC) (95%).</t>
  </si>
  <si>
    <t>NTM-SYS-NAV-TS-01</t>
  </si>
  <si>
    <t>The TS service shall allow the user to obtain the bias between the local clock and the lunar reference time.</t>
  </si>
  <si>
    <t>NTM-SYS-NAV-TS-02</t>
  </si>
  <si>
    <t>The TS service shall allow the user to obtain the bias between the local clock and the UTC.</t>
  </si>
  <si>
    <t>NTM-SYS-NAV-TS-03</t>
  </si>
  <si>
    <t>The TS service accuracy shall be greater or equal to 1 μs</t>
  </si>
  <si>
    <t>NTM-SYS-NAV-TS-04</t>
  </si>
  <si>
    <t>The TS service shall be available over 95% of the time, computed over 3 months.</t>
  </si>
  <si>
    <t>https://ieeexplore.ieee.org/stamp/stamp.jsp?tp=&amp;arnumber=9038577&amp;tag=1</t>
  </si>
  <si>
    <t>https://www.researchgate.net/publication/223539908_A_simulation_system_for_GNSS_multipath_mitigation_using_spatial_statistical_methods</t>
  </si>
  <si>
    <t>CLOCK</t>
  </si>
  <si>
    <t>0.3-1.9</t>
  </si>
  <si>
    <t>Ephemeris</t>
  </si>
  <si>
    <t>0.2-1.9</t>
  </si>
  <si>
    <t>Ion</t>
  </si>
  <si>
    <t>0-5</t>
  </si>
  <si>
    <t>Tropo</t>
  </si>
  <si>
    <t>Reciever Noise and res</t>
  </si>
  <si>
    <t>0.1-1</t>
  </si>
  <si>
    <t>Multipath</t>
  </si>
  <si>
    <t>0.2-1</t>
  </si>
  <si>
    <t>Diff group delay</t>
  </si>
  <si>
    <t>0-0.2</t>
  </si>
  <si>
    <t>Compliance</t>
  </si>
  <si>
    <t>General</t>
  </si>
  <si>
    <t>=</t>
  </si>
  <si>
    <t>THERE IS A TBD IN THE SENTENCE</t>
  </si>
  <si>
    <t>NTM-SYS-ADCS-01</t>
  </si>
  <si>
    <t>The ADCS subsystem shall receive data at a frequency of TBD s-1</t>
  </si>
  <si>
    <t>NTM-SYS-ADCS-02</t>
  </si>
  <si>
    <t>NTM-SYS-ADCS-03</t>
  </si>
  <si>
    <t>The ADCS subsystem shall be able to determine the attitude of the spacecraft with an accuracy of TBD , with 2 sigma per axis</t>
  </si>
  <si>
    <t>NTM-SYS-ADCS-04</t>
  </si>
  <si>
    <t>NTM-SYS-ADCS-05</t>
  </si>
  <si>
    <t>The ADCS shall be able to calculate the output based on the input with an accuracy of TBD rad, 2 sigma interval</t>
  </si>
  <si>
    <t>NTM-SYS-ADCS-06</t>
  </si>
  <si>
    <t>NTM-SYS-ADCS-07</t>
  </si>
  <si>
    <t>NTM-SYS-ADCS-08</t>
  </si>
  <si>
    <t>NTM-SYS-ADCS-09</t>
  </si>
  <si>
    <t>NTM-SYS-ADCS-10</t>
  </si>
  <si>
    <t>NTM-SYS-ADCS-11</t>
  </si>
  <si>
    <t>NTM-SYS-ADCS-12</t>
  </si>
  <si>
    <t>NTM-SYS-ADCS-13</t>
  </si>
  <si>
    <t>NTM-SYS-ADCS-14</t>
  </si>
  <si>
    <t>The ADCS subsystem shall be in service for at least the complete designed mission duration</t>
  </si>
  <si>
    <t>NTM-SYS-ADCS-15</t>
  </si>
  <si>
    <t>NTM-SYS-ADCS-16</t>
  </si>
  <si>
    <t>NTM-SYS-ADCS-17</t>
  </si>
  <si>
    <t>The ADCS subsystem should have a mass less than TBD kg</t>
  </si>
  <si>
    <t>NTM-SYS-ADCS-18</t>
  </si>
  <si>
    <t>NTM-SYS-ADCS-19</t>
  </si>
  <si>
    <t>NTM-SYS-ADCS-20</t>
  </si>
  <si>
    <t>NTM-SYS-ADCS-21</t>
  </si>
  <si>
    <t>Propulsion</t>
  </si>
  <si>
    <t>NTM-SYS-PROP-01</t>
  </si>
  <si>
    <t>NTM-SYS-PROP-02</t>
  </si>
  <si>
    <t>NTM-SYS-PROP-03</t>
  </si>
  <si>
    <t>NTM-SYS-PROP-04</t>
  </si>
  <si>
    <t>NTM-SYS-PROP-05</t>
  </si>
  <si>
    <t>NTM-SYS-PROP-06</t>
  </si>
  <si>
    <t>NTM-SYS-PROP-07</t>
  </si>
  <si>
    <t>NTM-SYS-PROP-08</t>
  </si>
  <si>
    <t>NTM-SYS-PROP-09</t>
  </si>
  <si>
    <t>NTM-SYS-PROP-10</t>
  </si>
  <si>
    <t>NTM-SYS-PROP-11</t>
  </si>
  <si>
    <t>NTM-SYS-TTC-PRF-10</t>
  </si>
  <si>
    <t>NTM-SYS-TTC-GEN-16</t>
  </si>
  <si>
    <t>NTM-SYS-TTC-GEN-17</t>
  </si>
  <si>
    <t>Navigation</t>
  </si>
  <si>
    <t>Rationale</t>
  </si>
  <si>
    <t>NTM-USER-01</t>
  </si>
  <si>
    <t>The position of orbiters shall be determined with an accuracy of at least 100m within two-sigma standard deviation.</t>
  </si>
  <si>
    <t>x</t>
  </si>
  <si>
    <t>NTM-USER-02</t>
  </si>
  <si>
    <t>The position during landing shall be determined with an accuracy of at least 50 m within two-sigma standard deviation.</t>
  </si>
  <si>
    <t>NTM-USER-03</t>
  </si>
  <si>
    <t>The position on the surface shall be determined with an accuracy of at least 10 m within two-sigma standard deviation.</t>
  </si>
  <si>
    <t>NTM-USER-04</t>
  </si>
  <si>
    <t>The velocity during landing and on the surface shall be determined with an accuracy of at least 1 m/s within two-sigma standard deviation.</t>
  </si>
  <si>
    <t>x/2</t>
  </si>
  <si>
    <t>NTM-USER-05</t>
  </si>
  <si>
    <t>The time dissemination on the Moon shall have an accuracy of less than 1 microsecond.</t>
  </si>
  <si>
    <t>NTM-USER-06</t>
  </si>
  <si>
    <t>The system shall be failure proof up to 2 provider nodes.</t>
  </si>
  <si>
    <t>NTM-USER-07</t>
  </si>
  <si>
    <t>Costs shall include costs of offsetting or paying for atmospheric pollution through greenhouse gases or substances for the ozone layer.</t>
  </si>
  <si>
    <t>matthijs</t>
  </si>
  <si>
    <t>NTM-USER-08</t>
  </si>
  <si>
    <t>The system shall not pose a risk to humans or user's equipment on the Moon at the end of life.</t>
  </si>
  <si>
    <t>carl</t>
  </si>
  <si>
    <t>NTM-USER-09</t>
  </si>
  <si>
    <t>The total development cost shall be below 10 billion euro.</t>
  </si>
  <si>
    <t>everyone</t>
  </si>
  <si>
    <t>NTM-USER-10</t>
  </si>
  <si>
    <t>The first deployment of the network shall take place at latest in 2028.</t>
  </si>
  <si>
    <t>NTM-USER-11</t>
  </si>
  <si>
    <t>The navigation system shall include coverage of the south pole and back side of the Moon.</t>
  </si>
  <si>
    <t>NTM-USER-12</t>
  </si>
  <si>
    <t>The system shall be compliant with the legal specifications.</t>
  </si>
  <si>
    <t>jasper</t>
  </si>
  <si>
    <t>Two of the three link budgets are compliant: the one to the relay and the one to the user. The intersattelite link is not compliant in the sense that the crosslink should have used a frequency of 1550 nm, and the frequency that was actually used was not this frequency. This is because existing, but slightly modified lasers, which do not use the frequency of 1550 nm, are used in the ODTS system. Modifications to the laser or new designs can be made, changing the frequency to 1550 nm. Next to that, the lasers are used for ranging, altimetry, and onboard determination of the orbit, not communications, which REF is specifically made for.</t>
  </si>
  <si>
    <t>Galileo + other GNSS lifetime</t>
  </si>
  <si>
    <t>The CDH shall protect confidentiality, integrity, availability and accountability of the Service infrastructure.</t>
  </si>
  <si>
    <t>The CDH shall prevent unauthorised access (corruption, interception, loss) of services.</t>
  </si>
  <si>
    <t>The CDH shall provide protection from intentional attacks to undermine services (confidentiality, integrity, availability and accountability).</t>
  </si>
  <si>
    <t>The CDH shall authenticate the navigation message data required for the PVT service.</t>
  </si>
  <si>
    <t>The CDH shall make sure users do not lose access due to lack of data required for authentication.</t>
  </si>
  <si>
    <t>The CDH shall guarantee the confidentiality of users’ sensitive data. This can include positional and research data.</t>
  </si>
  <si>
    <t>The CDH shall define, establish, and maintain a standardised interface to users</t>
  </si>
  <si>
    <t>The CDH shall establish, validate, and maintain over the lifetime of the mission interfaces with external entities.</t>
  </si>
  <si>
    <t>The design process for the CDH shall be concluded within the allocated 10 weeks time period.</t>
  </si>
  <si>
    <t>The first stages of deployment of the CDH shall start at latest in 2028.</t>
  </si>
  <si>
    <t>The CDH shall rely on heritage from Earth GNSS systems where possible.</t>
  </si>
  <si>
    <t>Yes</t>
  </si>
  <si>
    <t>The lifetime of the CDH system shall be at least 12 years.</t>
  </si>
  <si>
    <t>-</t>
  </si>
  <si>
    <t>The CDH system shall be able to recover from single event effects, which includes upsets</t>
  </si>
  <si>
    <t>The CDH system shall have a computer power required for computing ODTS that is higher than 53.85 MIPS.</t>
  </si>
  <si>
    <t>The CDH shall comply with the LunaNet Interoperability specifications.</t>
  </si>
  <si>
    <t>The CDH shall comply with the Future Lunar Communications Architecture and Solar System Internetwork (SSI) Architecture.</t>
  </si>
  <si>
    <t>The CDH shall have a processing memory higher than 1.125 Mbit.</t>
  </si>
  <si>
    <t>The onboard hard drive shall have at least 81600 Mbit of storage</t>
  </si>
  <si>
    <t>The reliability of the CDH system shall be higher than 0.9.</t>
  </si>
  <si>
    <t>The monitoring signal data rate shall be at least 1000 bit/s</t>
  </si>
  <si>
    <t>The navigation signal data rate shall be at least 1000 bit/s.</t>
  </si>
  <si>
    <t>The frequency band used for downlink from LNS to relay shall be in the following range: 2025-2110 MHz.</t>
  </si>
  <si>
    <t>The coding used for the signal to the user from the LNS shall be convolutional or LDPC.</t>
  </si>
  <si>
    <t>The frequency band used for downlink to the user from the LNS shall be in the following range: 2483.5 - 2500 MHz.</t>
  </si>
  <si>
    <t>The crosslink signal shall be detectable upon arrival at the receiver.</t>
  </si>
  <si>
    <t>The lifetime of the TT&amp;C system shall be at least 12 years.</t>
  </si>
  <si>
    <t>TTA-G1</t>
  </si>
  <si>
    <t>TTA-G2</t>
  </si>
  <si>
    <t>TTA-G3</t>
  </si>
  <si>
    <t>TTA-G4</t>
  </si>
  <si>
    <t>TTA-G5</t>
  </si>
  <si>
    <t>TTA-G6</t>
  </si>
  <si>
    <t>TTA-G7</t>
  </si>
  <si>
    <t>TTA-G8</t>
  </si>
  <si>
    <t>TTA-G9</t>
  </si>
  <si>
    <t>TTA-G10</t>
  </si>
  <si>
    <t>TTA-G11</t>
  </si>
  <si>
    <t>TTA-G12</t>
  </si>
  <si>
    <t>TTA-G13</t>
  </si>
  <si>
    <t>TTA-G14</t>
  </si>
  <si>
    <t>TTA-G15</t>
  </si>
  <si>
    <t>TTA-G16</t>
  </si>
  <si>
    <t>TTA-G17</t>
  </si>
  <si>
    <t>TTA-G18</t>
  </si>
  <si>
    <t>TTA-G19</t>
  </si>
  <si>
    <t>TTA-G20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</si>
</sst>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theme="4"/>
      <name val="Calibri"/>
      <family val="2"/>
      <scheme val="minor"/>
    </font>
    <font>
      <sz val="9"/>
      <color theme="1"/>
      <name val="Calibri"/>
      <family val="2"/>
      <scheme val="minor"/>
    </font>
    <font>
      <sz val="8"/>
      <color theme="1"/>
      <name val="Calibri"/>
      <family val="2"/>
      <scheme val="minor"/>
    </font>
    <font>
      <sz val="11"/>
      <color rgb="FF000000"/>
      <name val="Calibri"/>
      <family val="2"/>
    </font>
    <font>
      <sz val="11"/>
      <color rgb="FF444444"/>
      <name val="Calibri"/>
      <family val="2"/>
    </font>
    <font>
      <u/>
      <sz val="11"/>
      <color theme="10"/>
      <name val="Calibri"/>
      <family val="2"/>
      <scheme val="minor"/>
    </font>
    <font>
      <sz val="8"/>
      <name val="Calibri"/>
      <family val="2"/>
      <scheme val="minor"/>
    </font>
    <font>
      <sz val="11"/>
      <color rgb="FFFF0000"/>
      <name val="Calibri"/>
      <family val="2"/>
      <scheme val="minor"/>
    </font>
    <font>
      <sz val="11"/>
      <color rgb="FF92D050"/>
      <name val="Calibri"/>
      <family val="2"/>
      <scheme val="minor"/>
    </font>
    <font>
      <sz val="11"/>
      <color rgb="FFED7D31"/>
      <name val="Calibri"/>
      <family val="2"/>
      <scheme val="minor"/>
    </font>
    <font>
      <b/>
      <sz val="11"/>
      <color rgb="FF000000"/>
      <name val="Calibri"/>
      <family val="2"/>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s>
  <borders count="21">
    <border>
      <left/>
      <right/>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style="medium">
        <color rgb="FF000000"/>
      </left>
      <right style="thin">
        <color indexed="64"/>
      </right>
      <top style="medium">
        <color rgb="FF000000"/>
      </top>
      <bottom style="medium">
        <color rgb="FF000000"/>
      </bottom>
      <diagonal/>
    </border>
    <border>
      <left style="thin">
        <color indexed="64"/>
      </left>
      <right style="thin">
        <color indexed="64"/>
      </right>
      <top style="medium">
        <color rgb="FF000000"/>
      </top>
      <bottom/>
      <diagonal/>
    </border>
    <border>
      <left style="thin">
        <color indexed="64"/>
      </left>
      <right style="thin">
        <color indexed="64"/>
      </right>
      <top style="medium">
        <color rgb="FF000000"/>
      </top>
      <bottom style="medium">
        <color rgb="FF000000"/>
      </bottom>
      <diagonal/>
    </border>
    <border>
      <left style="thin">
        <color indexed="64"/>
      </left>
      <right style="thin">
        <color indexed="64"/>
      </right>
      <top/>
      <bottom/>
      <diagonal/>
    </border>
    <border>
      <left style="thin">
        <color indexed="64"/>
      </left>
      <right/>
      <top/>
      <bottom/>
      <diagonal/>
    </border>
    <border>
      <left style="thin">
        <color indexed="64"/>
      </left>
      <right/>
      <top/>
      <bottom style="medium">
        <color rgb="FF000000"/>
      </bottom>
      <diagonal/>
    </border>
    <border>
      <left style="thin">
        <color indexed="64"/>
      </left>
      <right/>
      <top style="medium">
        <color rgb="FF000000"/>
      </top>
      <bottom/>
      <diagonal/>
    </border>
    <border>
      <left style="medium">
        <color rgb="FF000000"/>
      </left>
      <right style="thin">
        <color indexed="64"/>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indexed="64"/>
      </right>
      <top/>
      <bottom/>
      <diagonal/>
    </border>
    <border>
      <left/>
      <right style="medium">
        <color rgb="FF000000"/>
      </right>
      <top/>
      <bottom style="medium">
        <color rgb="FF000000"/>
      </bottom>
      <diagonal/>
    </border>
    <border>
      <left/>
      <right style="medium">
        <color rgb="FF000000"/>
      </right>
      <top/>
      <bottom/>
      <diagonal/>
    </border>
    <border>
      <left style="thin">
        <color rgb="FF000000"/>
      </left>
      <right/>
      <top/>
      <bottom/>
      <diagonal/>
    </border>
    <border>
      <left style="thin">
        <color indexed="64"/>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7" fillId="0" borderId="0" applyNumberFormat="0" applyFill="0" applyBorder="0" applyAlignment="0" applyProtection="0"/>
  </cellStyleXfs>
  <cellXfs count="57">
    <xf numFmtId="0" fontId="0" fillId="0" borderId="0" xfId="0"/>
    <xf numFmtId="0" fontId="1" fillId="0" borderId="0" xfId="0" applyFont="1"/>
    <xf numFmtId="0" fontId="0" fillId="0" borderId="0" xfId="0" applyAlignment="1">
      <alignment wrapText="1"/>
    </xf>
    <xf numFmtId="0" fontId="5" fillId="0" borderId="0" xfId="0" applyFont="1"/>
    <xf numFmtId="0" fontId="0" fillId="0" borderId="16" xfId="0" applyBorder="1" applyAlignment="1">
      <alignment wrapText="1"/>
    </xf>
    <xf numFmtId="0" fontId="2" fillId="0" borderId="11" xfId="0" applyFont="1" applyBorder="1" applyAlignment="1">
      <alignment wrapText="1"/>
    </xf>
    <xf numFmtId="0" fontId="2" fillId="0" borderId="12" xfId="0" applyFont="1" applyBorder="1" applyAlignment="1">
      <alignment wrapText="1"/>
    </xf>
    <xf numFmtId="0" fontId="2" fillId="0" borderId="14" xfId="0" applyFont="1" applyBorder="1" applyAlignment="1">
      <alignment wrapText="1"/>
    </xf>
    <xf numFmtId="0" fontId="2" fillId="0" borderId="0" xfId="0" applyFont="1" applyAlignment="1">
      <alignment wrapText="1"/>
    </xf>
    <xf numFmtId="0" fontId="1" fillId="0" borderId="4" xfId="0" applyFont="1" applyBorder="1" applyAlignment="1">
      <alignment wrapText="1"/>
    </xf>
    <xf numFmtId="0" fontId="1" fillId="0" borderId="1" xfId="0" applyFont="1" applyBorder="1" applyAlignment="1">
      <alignment wrapText="1"/>
    </xf>
    <xf numFmtId="0" fontId="1" fillId="0" borderId="6" xfId="0" applyFont="1" applyBorder="1" applyAlignment="1">
      <alignment wrapText="1"/>
    </xf>
    <xf numFmtId="0" fontId="1" fillId="0" borderId="10" xfId="0" applyFont="1" applyBorder="1" applyAlignment="1">
      <alignment wrapText="1"/>
    </xf>
    <xf numFmtId="0" fontId="1" fillId="0" borderId="2" xfId="0" applyFont="1" applyBorder="1" applyAlignment="1">
      <alignment wrapText="1"/>
    </xf>
    <xf numFmtId="0" fontId="0" fillId="0" borderId="14" xfId="0" applyBorder="1" applyAlignment="1">
      <alignment wrapText="1"/>
    </xf>
    <xf numFmtId="0" fontId="0" fillId="0" borderId="7" xfId="0" applyBorder="1" applyAlignment="1">
      <alignment wrapText="1"/>
    </xf>
    <xf numFmtId="0" fontId="0" fillId="0" borderId="5" xfId="0" applyBorder="1" applyAlignment="1">
      <alignment wrapText="1"/>
    </xf>
    <xf numFmtId="0" fontId="0" fillId="0" borderId="17" xfId="0" applyBorder="1" applyAlignment="1">
      <alignment wrapText="1"/>
    </xf>
    <xf numFmtId="0" fontId="0" fillId="0" borderId="8" xfId="0" applyBorder="1" applyAlignment="1">
      <alignment wrapText="1"/>
    </xf>
    <xf numFmtId="0" fontId="0" fillId="0" borderId="18" xfId="0" applyBorder="1" applyAlignment="1">
      <alignment wrapText="1"/>
    </xf>
    <xf numFmtId="0" fontId="3" fillId="0" borderId="14" xfId="0" applyFont="1" applyBorder="1" applyAlignment="1">
      <alignment wrapText="1"/>
    </xf>
    <xf numFmtId="0" fontId="1" fillId="0" borderId="0" xfId="0" applyFont="1" applyAlignment="1">
      <alignment horizontal="center"/>
    </xf>
    <xf numFmtId="0" fontId="6" fillId="0" borderId="0" xfId="0" applyFont="1"/>
    <xf numFmtId="0" fontId="7" fillId="0" borderId="0" xfId="1"/>
    <xf numFmtId="0" fontId="0" fillId="3" borderId="0" xfId="0" applyFill="1"/>
    <xf numFmtId="0" fontId="9" fillId="0" borderId="0" xfId="0" applyFont="1"/>
    <xf numFmtId="0" fontId="10" fillId="0" borderId="0" xfId="0" applyFont="1"/>
    <xf numFmtId="0" fontId="0" fillId="0" borderId="19" xfId="0" applyBorder="1"/>
    <xf numFmtId="0" fontId="1" fillId="0" borderId="19" xfId="0" applyFont="1" applyBorder="1"/>
    <xf numFmtId="0" fontId="1" fillId="0" borderId="0" xfId="0" applyFont="1" applyAlignment="1">
      <alignment horizontal="left"/>
    </xf>
    <xf numFmtId="0" fontId="0" fillId="0" borderId="0" xfId="0" applyAlignment="1">
      <alignment horizontal="left"/>
    </xf>
    <xf numFmtId="0" fontId="0" fillId="0" borderId="20" xfId="0" applyBorder="1"/>
    <xf numFmtId="0" fontId="1" fillId="0" borderId="20" xfId="0" applyFont="1" applyBorder="1"/>
    <xf numFmtId="0" fontId="1" fillId="0" borderId="0" xfId="0" applyFont="1" applyAlignment="1">
      <alignment wrapText="1"/>
    </xf>
    <xf numFmtId="0" fontId="1" fillId="0" borderId="0" xfId="0" applyFont="1" applyAlignment="1">
      <alignment horizontal="center" wrapText="1"/>
    </xf>
    <xf numFmtId="0" fontId="5" fillId="0" borderId="0" xfId="0" applyFont="1" applyAlignment="1">
      <alignment wrapText="1"/>
    </xf>
    <xf numFmtId="0" fontId="0" fillId="2" borderId="0" xfId="0" applyFill="1" applyAlignment="1">
      <alignment wrapText="1"/>
    </xf>
    <xf numFmtId="0" fontId="0" fillId="0" borderId="0" xfId="0" applyAlignment="1">
      <alignment horizontal="left" wrapText="1"/>
    </xf>
    <xf numFmtId="0" fontId="0" fillId="4" borderId="0" xfId="0" applyFill="1" applyAlignment="1">
      <alignment wrapText="1"/>
    </xf>
    <xf numFmtId="0" fontId="1" fillId="4" borderId="0" xfId="0" applyFont="1" applyFill="1" applyAlignment="1">
      <alignment wrapText="1"/>
    </xf>
    <xf numFmtId="0" fontId="1" fillId="5" borderId="19" xfId="0" applyFont="1" applyFill="1" applyBorder="1"/>
    <xf numFmtId="0" fontId="0" fillId="5" borderId="19" xfId="0" applyFill="1" applyBorder="1"/>
    <xf numFmtId="0" fontId="0" fillId="5" borderId="0" xfId="0" applyFill="1"/>
    <xf numFmtId="0" fontId="11" fillId="5" borderId="19" xfId="0" applyFont="1" applyFill="1" applyBorder="1"/>
    <xf numFmtId="0" fontId="1" fillId="5" borderId="0" xfId="0" applyFont="1" applyFill="1"/>
    <xf numFmtId="0" fontId="0" fillId="6" borderId="0" xfId="0" applyFill="1"/>
    <xf numFmtId="0" fontId="6" fillId="0" borderId="0" xfId="0" applyFont="1" applyAlignment="1">
      <alignment wrapText="1"/>
    </xf>
    <xf numFmtId="0" fontId="2" fillId="0" borderId="10" xfId="0" applyFont="1" applyBorder="1" applyAlignment="1">
      <alignment horizontal="center" wrapText="1"/>
    </xf>
    <xf numFmtId="0" fontId="2" fillId="0" borderId="13" xfId="0" applyFont="1" applyBorder="1" applyAlignment="1">
      <alignment horizontal="center" wrapText="1"/>
    </xf>
    <xf numFmtId="0" fontId="2" fillId="0" borderId="9" xfId="0" applyFont="1" applyBorder="1" applyAlignment="1">
      <alignment horizontal="center" wrapText="1"/>
    </xf>
    <xf numFmtId="0" fontId="2" fillId="0" borderId="15" xfId="0" applyFont="1" applyBorder="1" applyAlignment="1">
      <alignment horizontal="center" wrapText="1"/>
    </xf>
    <xf numFmtId="0" fontId="4" fillId="0" borderId="3" xfId="0" applyFont="1" applyBorder="1" applyAlignment="1">
      <alignment horizontal="center"/>
    </xf>
    <xf numFmtId="0" fontId="2" fillId="0" borderId="8" xfId="0" applyFont="1" applyBorder="1" applyAlignment="1">
      <alignment horizontal="center" wrapText="1"/>
    </xf>
    <xf numFmtId="0" fontId="2" fillId="0" borderId="3" xfId="0" applyFont="1" applyBorder="1" applyAlignment="1">
      <alignment horizontal="center" wrapText="1"/>
    </xf>
    <xf numFmtId="0" fontId="2" fillId="0" borderId="12" xfId="0" applyFont="1" applyBorder="1" applyAlignment="1">
      <alignment horizontal="center" wrapText="1"/>
    </xf>
    <xf numFmtId="0" fontId="1" fillId="0" borderId="0" xfId="0" applyFont="1" applyAlignment="1">
      <alignment horizontal="center" wrapText="1"/>
    </xf>
    <xf numFmtId="0" fontId="12" fillId="0" borderId="0" xfId="0" applyFont="1" applyAlignment="1">
      <alignment horizontal="center" wrapText="1"/>
    </xf>
  </cellXfs>
  <cellStyles count="2">
    <cellStyle name="Hyperlink" xfId="1" builtinId="8"/>
    <cellStyle name="Normal" xfId="0" builtinId="0"/>
  </cellStyles>
  <dxfs count="2">
    <dxf>
      <font>
        <color rgb="FF006100"/>
      </font>
      <fill>
        <patternFill>
          <bgColor rgb="FFC6EFCE"/>
        </patternFill>
      </fill>
    </dxf>
    <dxf>
      <font>
        <color rgb="FF006100"/>
      </font>
      <fill>
        <patternFill>
          <bgColor rgb="FFC6EF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56865</xdr:colOff>
      <xdr:row>35</xdr:row>
      <xdr:rowOff>136477</xdr:rowOff>
    </xdr:from>
    <xdr:to>
      <xdr:col>1</xdr:col>
      <xdr:colOff>6633742</xdr:colOff>
      <xdr:row>42</xdr:row>
      <xdr:rowOff>84616</xdr:rowOff>
    </xdr:to>
    <xdr:pic>
      <xdr:nvPicPr>
        <xdr:cNvPr id="8" name="Picture 1">
          <a:extLst>
            <a:ext uri="{FF2B5EF4-FFF2-40B4-BE49-F238E27FC236}">
              <a16:creationId xmlns:a16="http://schemas.microsoft.com/office/drawing/2014/main" id="{AF9EEE5F-6075-A97C-7FB8-4DB449AC1437}"/>
            </a:ext>
          </a:extLst>
        </xdr:cNvPr>
        <xdr:cNvPicPr>
          <a:picLocks noChangeAspect="1"/>
        </xdr:cNvPicPr>
      </xdr:nvPicPr>
      <xdr:blipFill>
        <a:blip xmlns:r="http://schemas.openxmlformats.org/officeDocument/2006/relationships" r:embed="rId1"/>
        <a:stretch>
          <a:fillRect/>
        </a:stretch>
      </xdr:blipFill>
      <xdr:spPr>
        <a:xfrm>
          <a:off x="1626358" y="5049671"/>
          <a:ext cx="6576877" cy="1228299"/>
        </a:xfrm>
        <a:prstGeom prst="rect">
          <a:avLst/>
        </a:prstGeom>
      </xdr:spPr>
    </xdr:pic>
    <xdr:clientData/>
  </xdr:twoCellAnchor>
  <xdr:twoCellAnchor editAs="oneCell">
    <xdr:from>
      <xdr:col>1</xdr:col>
      <xdr:colOff>1</xdr:colOff>
      <xdr:row>44</xdr:row>
      <xdr:rowOff>1</xdr:rowOff>
    </xdr:from>
    <xdr:to>
      <xdr:col>1</xdr:col>
      <xdr:colOff>6810665</xdr:colOff>
      <xdr:row>51</xdr:row>
      <xdr:rowOff>39125</xdr:rowOff>
    </xdr:to>
    <xdr:pic>
      <xdr:nvPicPr>
        <xdr:cNvPr id="7" name="Picture 2">
          <a:extLst>
            <a:ext uri="{FF2B5EF4-FFF2-40B4-BE49-F238E27FC236}">
              <a16:creationId xmlns:a16="http://schemas.microsoft.com/office/drawing/2014/main" id="{B7DDDEE2-F9A4-3E90-729C-B92FD8EC902E}"/>
            </a:ext>
          </a:extLst>
        </xdr:cNvPr>
        <xdr:cNvPicPr>
          <a:picLocks noChangeAspect="1"/>
        </xdr:cNvPicPr>
      </xdr:nvPicPr>
      <xdr:blipFill>
        <a:blip xmlns:r="http://schemas.openxmlformats.org/officeDocument/2006/relationships" r:embed="rId2"/>
        <a:stretch>
          <a:fillRect/>
        </a:stretch>
      </xdr:blipFill>
      <xdr:spPr>
        <a:xfrm>
          <a:off x="1569494" y="6550926"/>
          <a:ext cx="6810664" cy="131928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xdr:row>
      <xdr:rowOff>0</xdr:rowOff>
    </xdr:from>
    <xdr:to>
      <xdr:col>10</xdr:col>
      <xdr:colOff>304800</xdr:colOff>
      <xdr:row>13</xdr:row>
      <xdr:rowOff>83820</xdr:rowOff>
    </xdr:to>
    <xdr:pic>
      <xdr:nvPicPr>
        <xdr:cNvPr id="2" name="Picture 1">
          <a:extLst>
            <a:ext uri="{FF2B5EF4-FFF2-40B4-BE49-F238E27FC236}">
              <a16:creationId xmlns:a16="http://schemas.microsoft.com/office/drawing/2014/main" id="{67BA4195-9B4A-6A8B-40C3-30B96FF4D22A}"/>
            </a:ext>
          </a:extLst>
        </xdr:cNvPr>
        <xdr:cNvPicPr>
          <a:picLocks noChangeAspect="1"/>
        </xdr:cNvPicPr>
      </xdr:nvPicPr>
      <xdr:blipFill>
        <a:blip xmlns:r="http://schemas.openxmlformats.org/officeDocument/2006/relationships" r:embed="rId1"/>
        <a:stretch>
          <a:fillRect/>
        </a:stretch>
      </xdr:blipFill>
      <xdr:spPr>
        <a:xfrm>
          <a:off x="13992225" y="361950"/>
          <a:ext cx="4572000" cy="2095500"/>
        </a:xfrm>
        <a:prstGeom prst="rect">
          <a:avLst/>
        </a:prstGeom>
      </xdr:spPr>
    </xdr:pic>
    <xdr:clientData/>
  </xdr:twoCellAnchor>
  <xdr:twoCellAnchor editAs="oneCell">
    <xdr:from>
      <xdr:col>2</xdr:col>
      <xdr:colOff>133350</xdr:colOff>
      <xdr:row>26</xdr:row>
      <xdr:rowOff>57150</xdr:rowOff>
    </xdr:from>
    <xdr:to>
      <xdr:col>9</xdr:col>
      <xdr:colOff>438150</xdr:colOff>
      <xdr:row>37</xdr:row>
      <xdr:rowOff>131445</xdr:rowOff>
    </xdr:to>
    <xdr:pic>
      <xdr:nvPicPr>
        <xdr:cNvPr id="4" name="Picture 2">
          <a:extLst>
            <a:ext uri="{FF2B5EF4-FFF2-40B4-BE49-F238E27FC236}">
              <a16:creationId xmlns:a16="http://schemas.microsoft.com/office/drawing/2014/main" id="{730EF71F-632E-D1C4-BACD-0D7067F2D1A4}"/>
            </a:ext>
            <a:ext uri="{147F2762-F138-4A5C-976F-8EAC2B608ADB}">
              <a16:predDERef xmlns:a16="http://schemas.microsoft.com/office/drawing/2014/main" pred="{67BA4195-9B4A-6A8B-40C3-30B96FF4D22A}"/>
            </a:ext>
          </a:extLst>
        </xdr:cNvPr>
        <xdr:cNvPicPr>
          <a:picLocks noChangeAspect="1"/>
        </xdr:cNvPicPr>
      </xdr:nvPicPr>
      <xdr:blipFill>
        <a:blip xmlns:r="http://schemas.openxmlformats.org/officeDocument/2006/relationships" r:embed="rId2"/>
        <a:stretch>
          <a:fillRect/>
        </a:stretch>
      </xdr:blipFill>
      <xdr:spPr>
        <a:xfrm>
          <a:off x="13515975" y="4762500"/>
          <a:ext cx="4572000" cy="20859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304800</xdr:colOff>
      <xdr:row>12</xdr:row>
      <xdr:rowOff>142875</xdr:rowOff>
    </xdr:from>
    <xdr:to>
      <xdr:col>20</xdr:col>
      <xdr:colOff>465409</xdr:colOff>
      <xdr:row>40</xdr:row>
      <xdr:rowOff>147942</xdr:rowOff>
    </xdr:to>
    <xdr:pic>
      <xdr:nvPicPr>
        <xdr:cNvPr id="2" name="Picture 1">
          <a:extLst>
            <a:ext uri="{FF2B5EF4-FFF2-40B4-BE49-F238E27FC236}">
              <a16:creationId xmlns:a16="http://schemas.microsoft.com/office/drawing/2014/main" id="{2D22AFBB-0B9B-4583-447D-CD2A40493D4F}"/>
            </a:ext>
          </a:extLst>
        </xdr:cNvPr>
        <xdr:cNvPicPr>
          <a:picLocks noChangeAspect="1"/>
        </xdr:cNvPicPr>
      </xdr:nvPicPr>
      <xdr:blipFill>
        <a:blip xmlns:r="http://schemas.openxmlformats.org/officeDocument/2006/relationships" r:embed="rId1"/>
        <a:stretch>
          <a:fillRect/>
        </a:stretch>
      </xdr:blipFill>
      <xdr:spPr>
        <a:xfrm>
          <a:off x="13639800" y="2333625"/>
          <a:ext cx="10523809" cy="5125707"/>
        </a:xfrm>
        <a:prstGeom prst="rect">
          <a:avLst/>
        </a:prstGeom>
      </xdr:spPr>
    </xdr:pic>
    <xdr:clientData/>
  </xdr:twoCellAnchor>
  <xdr:twoCellAnchor editAs="oneCell">
    <xdr:from>
      <xdr:col>18</xdr:col>
      <xdr:colOff>5692</xdr:colOff>
      <xdr:row>0</xdr:row>
      <xdr:rowOff>1394</xdr:rowOff>
    </xdr:from>
    <xdr:to>
      <xdr:col>39</xdr:col>
      <xdr:colOff>143163</xdr:colOff>
      <xdr:row>47</xdr:row>
      <xdr:rowOff>150662</xdr:rowOff>
    </xdr:to>
    <xdr:pic>
      <xdr:nvPicPr>
        <xdr:cNvPr id="19" name="Picture 2">
          <a:extLst>
            <a:ext uri="{FF2B5EF4-FFF2-40B4-BE49-F238E27FC236}">
              <a16:creationId xmlns:a16="http://schemas.microsoft.com/office/drawing/2014/main" id="{5C1945E9-FF7C-8D52-6B26-091A4CA48CBE}"/>
            </a:ext>
            <a:ext uri="{147F2762-F138-4A5C-976F-8EAC2B608ADB}">
              <a16:predDERef xmlns:a16="http://schemas.microsoft.com/office/drawing/2014/main" pred="{2D22AFBB-0B9B-4583-447D-CD2A40493D4F}"/>
            </a:ext>
          </a:extLst>
        </xdr:cNvPr>
        <xdr:cNvPicPr>
          <a:picLocks noChangeAspect="1"/>
        </xdr:cNvPicPr>
      </xdr:nvPicPr>
      <xdr:blipFill>
        <a:blip xmlns:r="http://schemas.openxmlformats.org/officeDocument/2006/relationships" r:embed="rId2"/>
        <a:stretch>
          <a:fillRect/>
        </a:stretch>
      </xdr:blipFill>
      <xdr:spPr>
        <a:xfrm>
          <a:off x="22551367" y="1394"/>
          <a:ext cx="12939071" cy="8655093"/>
        </a:xfrm>
        <a:prstGeom prst="rect">
          <a:avLst/>
        </a:prstGeom>
      </xdr:spPr>
    </xdr:pic>
    <xdr:clientData/>
  </xdr:twoCellAnchor>
  <xdr:twoCellAnchor editAs="oneCell">
    <xdr:from>
      <xdr:col>15</xdr:col>
      <xdr:colOff>1</xdr:colOff>
      <xdr:row>49</xdr:row>
      <xdr:rowOff>9525</xdr:rowOff>
    </xdr:from>
    <xdr:to>
      <xdr:col>27</xdr:col>
      <xdr:colOff>132420</xdr:colOff>
      <xdr:row>73</xdr:row>
      <xdr:rowOff>12780</xdr:rowOff>
    </xdr:to>
    <xdr:pic>
      <xdr:nvPicPr>
        <xdr:cNvPr id="26" name="Picture 3">
          <a:extLst>
            <a:ext uri="{FF2B5EF4-FFF2-40B4-BE49-F238E27FC236}">
              <a16:creationId xmlns:a16="http://schemas.microsoft.com/office/drawing/2014/main" id="{E4A832E6-CEB5-4977-3487-04057E760718}"/>
            </a:ext>
            <a:ext uri="{147F2762-F138-4A5C-976F-8EAC2B608ADB}">
              <a16:predDERef xmlns:a16="http://schemas.microsoft.com/office/drawing/2014/main" pred="{5C1945E9-FF7C-8D52-6B26-091A4CA48CBE}"/>
            </a:ext>
          </a:extLst>
        </xdr:cNvPr>
        <xdr:cNvPicPr>
          <a:picLocks noChangeAspect="1"/>
        </xdr:cNvPicPr>
      </xdr:nvPicPr>
      <xdr:blipFill>
        <a:blip xmlns:r="http://schemas.openxmlformats.org/officeDocument/2006/relationships" r:embed="rId3"/>
        <a:stretch>
          <a:fillRect/>
        </a:stretch>
      </xdr:blipFill>
      <xdr:spPr>
        <a:xfrm>
          <a:off x="20716876" y="8877300"/>
          <a:ext cx="7447619" cy="4346655"/>
        </a:xfrm>
        <a:prstGeom prst="rect">
          <a:avLst/>
        </a:prstGeom>
      </xdr:spPr>
    </xdr:pic>
    <xdr:clientData/>
  </xdr:twoCellAnchor>
  <xdr:twoCellAnchor editAs="oneCell">
    <xdr:from>
      <xdr:col>27</xdr:col>
      <xdr:colOff>333375</xdr:colOff>
      <xdr:row>51</xdr:row>
      <xdr:rowOff>38100</xdr:rowOff>
    </xdr:from>
    <xdr:to>
      <xdr:col>41</xdr:col>
      <xdr:colOff>66675</xdr:colOff>
      <xdr:row>70</xdr:row>
      <xdr:rowOff>97155</xdr:rowOff>
    </xdr:to>
    <xdr:pic>
      <xdr:nvPicPr>
        <xdr:cNvPr id="24" name="Picture 1">
          <a:extLst>
            <a:ext uri="{FF2B5EF4-FFF2-40B4-BE49-F238E27FC236}">
              <a16:creationId xmlns:a16="http://schemas.microsoft.com/office/drawing/2014/main" id="{628ED687-1F3E-FCB8-FD04-44758673EB50}"/>
            </a:ext>
            <a:ext uri="{147F2762-F138-4A5C-976F-8EAC2B608ADB}">
              <a16:predDERef xmlns:a16="http://schemas.microsoft.com/office/drawing/2014/main" pred="{E4A832E6-CEB5-4977-3487-04057E760718}"/>
            </a:ext>
          </a:extLst>
        </xdr:cNvPr>
        <xdr:cNvPicPr>
          <a:picLocks noChangeAspect="1"/>
        </xdr:cNvPicPr>
      </xdr:nvPicPr>
      <xdr:blipFill>
        <a:blip xmlns:r="http://schemas.openxmlformats.org/officeDocument/2006/relationships" r:embed="rId4"/>
        <a:stretch>
          <a:fillRect/>
        </a:stretch>
      </xdr:blipFill>
      <xdr:spPr>
        <a:xfrm>
          <a:off x="28365450" y="9267825"/>
          <a:ext cx="8267700" cy="349758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ndreas Van Parys" id="{D2C9F5A1-E55F-46A1-8732-D7114FC099E4}" userId="S::avanparys@tudelft.nl::09aae432-cac0-43bb-9ff7-28b9dfd696a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0" dT="2023-05-31T14:49:57.49" personId="{D2C9F5A1-E55F-46A1-8732-D7114FC099E4}" id="{9A4CC087-609F-43FF-86FD-11C956AC59AF}">
    <text>Xband, since queqiao for similar link uses x band and x band can be used for manoeuvres and ephemeris data transmission.</text>
  </threadedComment>
</ThreadedComments>
</file>

<file path=xl/worksheets/_rels/sheet2.xml.rels><?xml version="1.0" encoding="UTF-8" standalone="yes"?>
<Relationships xmlns="http://schemas.openxmlformats.org/package/2006/relationships"><Relationship Id="rId3" Type="http://schemas.openxmlformats.org/officeDocument/2006/relationships/hyperlink" Target="https://www.gps.gov/systems/gps/space/" TargetMode="External"/><Relationship Id="rId7" Type="http://schemas.openxmlformats.org/officeDocument/2006/relationships/printerSettings" Target="../printerSettings/printerSettings1.bin"/><Relationship Id="rId2" Type="http://schemas.openxmlformats.org/officeDocument/2006/relationships/hyperlink" Target="https://www.spacex.com/vehicles/falcon-heavy/" TargetMode="External"/><Relationship Id="rId1" Type="http://schemas.openxmlformats.org/officeDocument/2006/relationships/hyperlink" Target="https://www.spacex.com/vehicles/falcon-heavy/" TargetMode="External"/><Relationship Id="rId6" Type="http://schemas.openxmlformats.org/officeDocument/2006/relationships/hyperlink" Target="https://www.gps.gov/systems/gps/space/" TargetMode="External"/><Relationship Id="rId5" Type="http://schemas.openxmlformats.org/officeDocument/2006/relationships/hyperlink" Target="https://www.eoportal.org/satellite-missions/galileo-foc" TargetMode="External"/><Relationship Id="rId4" Type="http://schemas.openxmlformats.org/officeDocument/2006/relationships/hyperlink" Target="http://www.xinhuanet.com/english/2020-06/23/c_139161359.ht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spacex.com/media/falcon-users-guide-2021-09.pdf" TargetMode="External"/><Relationship Id="rId1" Type="http://schemas.openxmlformats.org/officeDocument/2006/relationships/hyperlink" Target="https://www.spacex.com/media/falcon-users-guide-2021-09.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s://arc.aiaa.org/doi/pdf/10.2514/2.4060?casa_token=PUoZWbZHz1MAAAAA:mFTrKTNyV4k-ydcCxUMv5VAeOzqcLGXsDqbbpY2K48oOhWwdU2DxlDf2qw77n22d4OrpcAPYRcM" TargetMode="External"/><Relationship Id="rId7" Type="http://schemas.openxmlformats.org/officeDocument/2006/relationships/hyperlink" Target="https://www.esa.int/Enabling_Support/Preparing_for_the_Future/Discovery_and_Preparation/End-of-life_disposal_of_satellites" TargetMode="External"/><Relationship Id="rId2" Type="http://schemas.openxmlformats.org/officeDocument/2006/relationships/hyperlink" Target="https://epic-src.eu/wp-content/uploads/ESA-EP-Activities-2017-DRESDEN.pdf" TargetMode="External"/><Relationship Id="rId1" Type="http://schemas.openxmlformats.org/officeDocument/2006/relationships/hyperlink" Target="https://arc.aiaa.org/doi/pdf/10.2514/6.2012-4330" TargetMode="External"/><Relationship Id="rId6" Type="http://schemas.openxmlformats.org/officeDocument/2006/relationships/hyperlink" Target="https://ntrs.nasa.gov/api/citations/20200002143/downloads/20200002143.pdf" TargetMode="External"/><Relationship Id="rId5" Type="http://schemas.openxmlformats.org/officeDocument/2006/relationships/hyperlink" Target="https://s3-us-west-2.amazonaws.com/advspace.publicshare/BLT+(Ballistic+Lunar+Transfer)+Cheat+Sheet.pdf" TargetMode="External"/><Relationship Id="rId4" Type="http://schemas.openxmlformats.org/officeDocument/2006/relationships/hyperlink" Target="https://www.spacex.com/vehicles/falcon-heavy/"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lunar.gsfc.nasa.gov/images/lithos/LROlitho7temperaturevariation27May2014.pdf" TargetMode="External"/><Relationship Id="rId1" Type="http://schemas.openxmlformats.org/officeDocument/2006/relationships/hyperlink" Target="https://www.jstor.org/stable/44657705?searchText=&amp;searchUri=&amp;ab_segments=&amp;searchKey=&amp;refreqid=fastly-default%3Ad9cc05508cb0a9f8b39f3bb5e2f9ffe8&amp;seq=2"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navi.ion.org/content/navi/69/3/navi.535.full.pdf" TargetMode="External"/><Relationship Id="rId7" Type="http://schemas.openxmlformats.org/officeDocument/2006/relationships/drawing" Target="../drawings/drawing3.xml"/><Relationship Id="rId2" Type="http://schemas.openxmlformats.org/officeDocument/2006/relationships/hyperlink" Target="https://gssc.esa.int/navipedia/index.php/Accuracy" TargetMode="External"/><Relationship Id="rId1" Type="http://schemas.openxmlformats.org/officeDocument/2006/relationships/hyperlink" Target="https://ieeexplore.ieee.org/stamp/stamp.jsp?tp=&amp;arnumber=9038577" TargetMode="External"/><Relationship Id="rId6" Type="http://schemas.openxmlformats.org/officeDocument/2006/relationships/hyperlink" Target="https://www.researchgate.net/publication/223539908_A_simulation_system_for_GNSS_multipath_mitigation_using_spatial_statistical_methods" TargetMode="External"/><Relationship Id="rId5" Type="http://schemas.openxmlformats.org/officeDocument/2006/relationships/hyperlink" Target="https://ieeexplore.ieee.org/stamp/stamp.jsp?tp=&amp;arnumber=9038577&amp;tag=1" TargetMode="External"/><Relationship Id="rId4" Type="http://schemas.openxmlformats.org/officeDocument/2006/relationships/hyperlink" Target="https://www.gps.gov/governance/advisory/meetings/2016-12/cornwel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zoomScale="85" zoomScaleNormal="85" workbookViewId="0">
      <selection activeCell="C29" sqref="C29"/>
    </sheetView>
  </sheetViews>
  <sheetFormatPr defaultRowHeight="14.4" x14ac:dyDescent="0.3"/>
  <cols>
    <col min="1" max="1" width="14.5546875" customWidth="1"/>
    <col min="2" max="9" width="24" customWidth="1"/>
    <col min="10" max="10" width="20.5546875" customWidth="1"/>
  </cols>
  <sheetData>
    <row r="1" spans="1:9" x14ac:dyDescent="0.3">
      <c r="A1" s="1" t="s">
        <v>0</v>
      </c>
    </row>
    <row r="3" spans="1:9" x14ac:dyDescent="0.3">
      <c r="B3" s="1" t="s">
        <v>1</v>
      </c>
    </row>
    <row r="4" spans="1:9" x14ac:dyDescent="0.3">
      <c r="B4" t="s">
        <v>2</v>
      </c>
    </row>
    <row r="5" spans="1:9" x14ac:dyDescent="0.3">
      <c r="B5" t="s">
        <v>3</v>
      </c>
    </row>
    <row r="6" spans="1:9" ht="15" thickBot="1" x14ac:dyDescent="0.35">
      <c r="B6" s="51" t="s">
        <v>4</v>
      </c>
      <c r="C6" s="51"/>
      <c r="D6" s="51"/>
      <c r="E6" s="51"/>
      <c r="F6" s="51"/>
      <c r="G6" s="51"/>
      <c r="H6" s="51"/>
      <c r="I6" s="51"/>
    </row>
    <row r="7" spans="1:9" x14ac:dyDescent="0.3">
      <c r="B7" s="5" t="s">
        <v>5</v>
      </c>
      <c r="C7" s="6" t="s">
        <v>6</v>
      </c>
      <c r="D7" s="47" t="s">
        <v>7</v>
      </c>
      <c r="E7" s="54"/>
      <c r="F7" s="47" t="s">
        <v>8</v>
      </c>
      <c r="G7" s="54"/>
      <c r="H7" s="47" t="s">
        <v>9</v>
      </c>
      <c r="I7" s="48"/>
    </row>
    <row r="8" spans="1:9" ht="15" thickBot="1" x14ac:dyDescent="0.35">
      <c r="B8" s="7" t="s">
        <v>10</v>
      </c>
      <c r="C8" s="8" t="s">
        <v>11</v>
      </c>
      <c r="D8" s="52" t="s">
        <v>12</v>
      </c>
      <c r="E8" s="53"/>
      <c r="F8" s="52" t="s">
        <v>13</v>
      </c>
      <c r="G8" s="53"/>
      <c r="H8" s="49" t="s">
        <v>14</v>
      </c>
      <c r="I8" s="50"/>
    </row>
    <row r="9" spans="1:9" ht="15" thickBot="1" x14ac:dyDescent="0.35">
      <c r="B9" s="9" t="s">
        <v>15</v>
      </c>
      <c r="C9" s="10" t="s">
        <v>16</v>
      </c>
      <c r="D9" s="11" t="s">
        <v>17</v>
      </c>
      <c r="E9" s="10" t="s">
        <v>18</v>
      </c>
      <c r="F9" s="11" t="s">
        <v>19</v>
      </c>
      <c r="G9" s="10" t="s">
        <v>20</v>
      </c>
      <c r="H9" s="12" t="s">
        <v>21</v>
      </c>
      <c r="I9" s="13" t="s">
        <v>22</v>
      </c>
    </row>
    <row r="10" spans="1:9" ht="34.200000000000003" customHeight="1" x14ac:dyDescent="0.3">
      <c r="B10" s="14" t="s">
        <v>23</v>
      </c>
      <c r="C10" s="2" t="s">
        <v>24</v>
      </c>
      <c r="D10" s="3" t="s">
        <v>25</v>
      </c>
      <c r="E10" s="2" t="s">
        <v>26</v>
      </c>
      <c r="F10" s="15" t="s">
        <v>27</v>
      </c>
      <c r="G10" s="2" t="s">
        <v>28</v>
      </c>
      <c r="H10" s="16" t="s">
        <v>29</v>
      </c>
      <c r="I10" s="4" t="s">
        <v>30</v>
      </c>
    </row>
    <row r="11" spans="1:9" ht="34.200000000000003" customHeight="1" x14ac:dyDescent="0.3">
      <c r="B11" s="14" t="s">
        <v>31</v>
      </c>
      <c r="C11" s="2" t="s">
        <v>32</v>
      </c>
      <c r="D11" s="15" t="s">
        <v>33</v>
      </c>
      <c r="E11" s="2" t="s">
        <v>34</v>
      </c>
      <c r="F11" s="15" t="s">
        <v>35</v>
      </c>
      <c r="G11" s="2" t="s">
        <v>36</v>
      </c>
      <c r="H11" s="15" t="s">
        <v>37</v>
      </c>
      <c r="I11" s="4" t="s">
        <v>38</v>
      </c>
    </row>
    <row r="12" spans="1:9" ht="34.200000000000003" customHeight="1" x14ac:dyDescent="0.3">
      <c r="B12" s="14" t="s">
        <v>39</v>
      </c>
      <c r="C12" s="2" t="s">
        <v>40</v>
      </c>
      <c r="D12" s="15" t="s">
        <v>41</v>
      </c>
      <c r="E12" s="2" t="s">
        <v>42</v>
      </c>
      <c r="F12" s="15" t="s">
        <v>43</v>
      </c>
      <c r="G12" s="2" t="s">
        <v>44</v>
      </c>
      <c r="H12" s="15" t="s">
        <v>45</v>
      </c>
      <c r="I12" s="4" t="s">
        <v>46</v>
      </c>
    </row>
    <row r="13" spans="1:9" ht="34.200000000000003" customHeight="1" x14ac:dyDescent="0.3">
      <c r="B13" s="14" t="s">
        <v>47</v>
      </c>
      <c r="C13" s="2" t="s">
        <v>48</v>
      </c>
      <c r="D13" s="15" t="s">
        <v>49</v>
      </c>
      <c r="E13" s="2" t="s">
        <v>50</v>
      </c>
      <c r="F13" s="15" t="s">
        <v>51</v>
      </c>
      <c r="G13" s="2" t="s">
        <v>52</v>
      </c>
      <c r="H13" s="17" t="s">
        <v>53</v>
      </c>
      <c r="I13" s="4" t="s">
        <v>54</v>
      </c>
    </row>
    <row r="14" spans="1:9" ht="34.200000000000003" customHeight="1" x14ac:dyDescent="0.3">
      <c r="B14" s="14" t="s">
        <v>55</v>
      </c>
      <c r="C14" s="2" t="s">
        <v>56</v>
      </c>
      <c r="D14" s="15"/>
      <c r="E14" s="3" t="s">
        <v>57</v>
      </c>
      <c r="F14" s="15" t="s">
        <v>58</v>
      </c>
      <c r="G14" s="2" t="s">
        <v>59</v>
      </c>
      <c r="H14" s="18"/>
      <c r="I14" s="19" t="s">
        <v>60</v>
      </c>
    </row>
    <row r="15" spans="1:9" ht="34.200000000000003" customHeight="1" x14ac:dyDescent="0.3">
      <c r="B15" s="14" t="s">
        <v>61</v>
      </c>
      <c r="C15" s="2" t="s">
        <v>62</v>
      </c>
      <c r="D15" s="15"/>
      <c r="E15" s="2"/>
      <c r="F15" s="15" t="s">
        <v>63</v>
      </c>
      <c r="G15" s="2"/>
      <c r="H15" s="15"/>
      <c r="I15" s="4"/>
    </row>
    <row r="16" spans="1:9" ht="34.200000000000003" customHeight="1" x14ac:dyDescent="0.3">
      <c r="B16" s="20" t="s">
        <v>64</v>
      </c>
      <c r="C16" s="2"/>
      <c r="D16" s="15"/>
      <c r="E16" s="2"/>
      <c r="F16" s="15" t="s">
        <v>65</v>
      </c>
      <c r="G16" s="2"/>
      <c r="H16" s="15"/>
      <c r="I16" s="4"/>
    </row>
    <row r="17" spans="2:9" ht="34.200000000000003" customHeight="1" x14ac:dyDescent="0.3">
      <c r="B17" s="14" t="s">
        <v>66</v>
      </c>
      <c r="C17" s="2"/>
      <c r="D17" s="15"/>
      <c r="E17" s="2"/>
      <c r="F17" s="15"/>
      <c r="G17" s="2"/>
      <c r="H17" s="15"/>
      <c r="I17" s="4"/>
    </row>
    <row r="18" spans="2:9" ht="34.200000000000003" customHeight="1" x14ac:dyDescent="0.3">
      <c r="B18" s="14" t="s">
        <v>67</v>
      </c>
      <c r="C18" s="2"/>
      <c r="D18" s="15"/>
      <c r="E18" s="2"/>
      <c r="F18" s="15"/>
      <c r="G18" s="2"/>
      <c r="H18" s="15"/>
      <c r="I18" s="4"/>
    </row>
    <row r="19" spans="2:9" ht="34.200000000000003" customHeight="1" x14ac:dyDescent="0.3">
      <c r="B19" s="14" t="s">
        <v>68</v>
      </c>
      <c r="C19" s="2"/>
      <c r="D19" s="15"/>
      <c r="E19" s="2"/>
      <c r="F19" s="15"/>
      <c r="G19" s="2"/>
      <c r="H19" s="15"/>
      <c r="I19" s="4"/>
    </row>
    <row r="20" spans="2:9" ht="34.200000000000003" customHeight="1" x14ac:dyDescent="0.3">
      <c r="B20" s="14" t="s">
        <v>69</v>
      </c>
      <c r="C20" s="2"/>
      <c r="D20" s="15"/>
      <c r="E20" s="2"/>
      <c r="F20" s="15"/>
      <c r="G20" s="2"/>
      <c r="H20" s="15"/>
      <c r="I20" s="4"/>
    </row>
    <row r="21" spans="2:9" ht="34.200000000000003" customHeight="1" x14ac:dyDescent="0.3">
      <c r="B21" s="2" t="s">
        <v>70</v>
      </c>
      <c r="C21" s="2"/>
      <c r="D21" s="2"/>
      <c r="E21" s="2"/>
      <c r="F21" s="2"/>
      <c r="G21" s="2"/>
      <c r="H21" s="2"/>
      <c r="I21" s="2"/>
    </row>
    <row r="25" spans="2:9" x14ac:dyDescent="0.3">
      <c r="I25" t="s">
        <v>71</v>
      </c>
    </row>
    <row r="26" spans="2:9" x14ac:dyDescent="0.3">
      <c r="B26" t="s">
        <v>72</v>
      </c>
    </row>
    <row r="27" spans="2:9" ht="45.6" customHeight="1" x14ac:dyDescent="0.3"/>
    <row r="28" spans="2:9" ht="78.599999999999994" customHeight="1" x14ac:dyDescent="0.3"/>
    <row r="29" spans="2:9" ht="45.6" customHeight="1" x14ac:dyDescent="0.3"/>
    <row r="30" spans="2:9" ht="45.6" customHeight="1" x14ac:dyDescent="0.3"/>
    <row r="31" spans="2:9" ht="45.6" customHeight="1" x14ac:dyDescent="0.3"/>
    <row r="32" spans="2:9" ht="45.6" customHeight="1" x14ac:dyDescent="0.3"/>
    <row r="33" ht="45.6" customHeight="1" x14ac:dyDescent="0.3"/>
    <row r="34" ht="45.6" customHeight="1" x14ac:dyDescent="0.3"/>
    <row r="35" ht="42" customHeight="1" x14ac:dyDescent="0.3"/>
  </sheetData>
  <mergeCells count="7">
    <mergeCell ref="H7:I7"/>
    <mergeCell ref="H8:I8"/>
    <mergeCell ref="B6:I6"/>
    <mergeCell ref="F8:G8"/>
    <mergeCell ref="F7:G7"/>
    <mergeCell ref="D7:E7"/>
    <mergeCell ref="D8:E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18B25-8A99-45BC-889E-2FFD9474C40A}">
  <dimension ref="A1:E23"/>
  <sheetViews>
    <sheetView zoomScaleNormal="100" workbookViewId="0">
      <selection activeCell="B6" sqref="B6"/>
    </sheetView>
  </sheetViews>
  <sheetFormatPr defaultRowHeight="14.4" x14ac:dyDescent="0.3"/>
  <cols>
    <col min="1" max="1" width="16.6640625" customWidth="1"/>
    <col min="2" max="2" width="79.5546875" bestFit="1" customWidth="1"/>
    <col min="3" max="3" width="24.109375" customWidth="1"/>
    <col min="4" max="4" width="79.88671875" customWidth="1"/>
  </cols>
  <sheetData>
    <row r="1" spans="1:5" x14ac:dyDescent="0.3">
      <c r="A1" s="1" t="s">
        <v>73</v>
      </c>
      <c r="B1" s="1" t="s">
        <v>74</v>
      </c>
      <c r="D1" s="1" t="s">
        <v>75</v>
      </c>
    </row>
    <row r="2" spans="1:5" x14ac:dyDescent="0.3">
      <c r="A2" s="3" t="s">
        <v>76</v>
      </c>
      <c r="B2" t="s">
        <v>77</v>
      </c>
      <c r="C2" t="s">
        <v>78</v>
      </c>
      <c r="D2" s="23" t="s">
        <v>79</v>
      </c>
      <c r="E2" t="s">
        <v>80</v>
      </c>
    </row>
    <row r="3" spans="1:5" x14ac:dyDescent="0.3">
      <c r="A3" s="3" t="s">
        <v>81</v>
      </c>
      <c r="B3" t="s">
        <v>82</v>
      </c>
      <c r="D3" s="23" t="s">
        <v>79</v>
      </c>
      <c r="E3" t="s">
        <v>83</v>
      </c>
    </row>
    <row r="4" spans="1:5" x14ac:dyDescent="0.3">
      <c r="A4" s="3" t="s">
        <v>84</v>
      </c>
      <c r="B4" t="s">
        <v>85</v>
      </c>
      <c r="C4" t="s">
        <v>86</v>
      </c>
    </row>
    <row r="5" spans="1:5" x14ac:dyDescent="0.3">
      <c r="A5" s="3" t="s">
        <v>87</v>
      </c>
      <c r="B5" t="s">
        <v>88</v>
      </c>
      <c r="C5" t="s">
        <v>89</v>
      </c>
      <c r="D5" t="s">
        <v>776</v>
      </c>
    </row>
    <row r="6" spans="1:5" x14ac:dyDescent="0.3">
      <c r="A6" s="3" t="s">
        <v>87</v>
      </c>
      <c r="B6" t="s">
        <v>90</v>
      </c>
      <c r="C6" t="s">
        <v>91</v>
      </c>
      <c r="D6" s="23" t="s">
        <v>92</v>
      </c>
    </row>
    <row r="7" spans="1:5" x14ac:dyDescent="0.3">
      <c r="A7" s="3" t="s">
        <v>93</v>
      </c>
      <c r="B7" t="s">
        <v>94</v>
      </c>
    </row>
    <row r="8" spans="1:5" x14ac:dyDescent="0.3">
      <c r="A8" s="3" t="s">
        <v>95</v>
      </c>
      <c r="B8" t="s">
        <v>96</v>
      </c>
    </row>
    <row r="9" spans="1:5" x14ac:dyDescent="0.3">
      <c r="A9" s="3" t="s">
        <v>97</v>
      </c>
      <c r="B9" t="s">
        <v>98</v>
      </c>
      <c r="C9" t="s">
        <v>99</v>
      </c>
    </row>
    <row r="10" spans="1:5" x14ac:dyDescent="0.3">
      <c r="A10" s="3" t="s">
        <v>100</v>
      </c>
      <c r="B10" t="s">
        <v>101</v>
      </c>
    </row>
    <row r="11" spans="1:5" x14ac:dyDescent="0.3">
      <c r="A11" s="3" t="s">
        <v>102</v>
      </c>
      <c r="B11" t="s">
        <v>103</v>
      </c>
    </row>
    <row r="12" spans="1:5" x14ac:dyDescent="0.3">
      <c r="A12" s="3"/>
    </row>
    <row r="17" spans="1:3" x14ac:dyDescent="0.3">
      <c r="A17" t="s">
        <v>104</v>
      </c>
      <c r="B17" t="s">
        <v>105</v>
      </c>
    </row>
    <row r="18" spans="1:3" x14ac:dyDescent="0.3">
      <c r="A18" t="s">
        <v>106</v>
      </c>
      <c r="B18">
        <v>12</v>
      </c>
    </row>
    <row r="19" spans="1:3" x14ac:dyDescent="0.3">
      <c r="A19" t="s">
        <v>107</v>
      </c>
      <c r="B19">
        <v>7.5</v>
      </c>
      <c r="C19" s="23" t="s">
        <v>108</v>
      </c>
    </row>
    <row r="20" spans="1:3" x14ac:dyDescent="0.3">
      <c r="A20" t="s">
        <v>109</v>
      </c>
      <c r="B20">
        <v>12</v>
      </c>
    </row>
    <row r="21" spans="1:3" x14ac:dyDescent="0.3">
      <c r="A21" t="s">
        <v>110</v>
      </c>
      <c r="B21">
        <v>12</v>
      </c>
    </row>
    <row r="22" spans="1:3" x14ac:dyDescent="0.3">
      <c r="A22" t="s">
        <v>111</v>
      </c>
      <c r="B22">
        <v>15</v>
      </c>
      <c r="C22" s="23" t="s">
        <v>112</v>
      </c>
    </row>
    <row r="23" spans="1:3" x14ac:dyDescent="0.3">
      <c r="A23" t="s">
        <v>113</v>
      </c>
      <c r="B23">
        <v>12</v>
      </c>
      <c r="C23" s="23" t="s">
        <v>114</v>
      </c>
    </row>
  </sheetData>
  <hyperlinks>
    <hyperlink ref="D2" r:id="rId1" xr:uid="{7690584C-0367-4C65-BF2F-AC575280DFC6}"/>
    <hyperlink ref="D3" r:id="rId2" xr:uid="{491A679F-F389-4FD1-8DEF-3063E1050FF3}"/>
    <hyperlink ref="C19" r:id="rId3" xr:uid="{789E09E8-F953-4BCB-A419-528BDBAF906D}"/>
    <hyperlink ref="C23" r:id="rId4" location=":~:text=The%20designed%20lifespan%20of%20the,by%20China%20to%20improve%20accuracy" xr:uid="{B274F771-93A6-4DA4-AE27-8D059B50E9D7}"/>
    <hyperlink ref="D6" r:id="rId5" location="spacecraft-of-the-foc-series " xr:uid="{B642A949-0201-416B-A1C3-037BA11F6B8F}"/>
    <hyperlink ref="C22" r:id="rId6" location="III" xr:uid="{5291A9C7-BB57-4DD6-8E3C-A0EB12473F19}"/>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7434B-1372-4CAF-8C9E-B590782F23BD}">
  <dimension ref="A1:C28"/>
  <sheetViews>
    <sheetView zoomScale="85" zoomScaleNormal="85" workbookViewId="0">
      <selection activeCell="B14" sqref="B14"/>
    </sheetView>
  </sheetViews>
  <sheetFormatPr defaultRowHeight="14.4" x14ac:dyDescent="0.3"/>
  <cols>
    <col min="1" max="1" width="33.6640625" customWidth="1"/>
    <col min="2" max="2" width="169.6640625" customWidth="1"/>
    <col min="3" max="3" width="47.5546875" customWidth="1"/>
  </cols>
  <sheetData>
    <row r="1" spans="1:3" x14ac:dyDescent="0.3">
      <c r="A1" s="1" t="s">
        <v>73</v>
      </c>
      <c r="B1" s="1" t="s">
        <v>115</v>
      </c>
      <c r="C1" s="1" t="s">
        <v>116</v>
      </c>
    </row>
    <row r="2" spans="1:3" x14ac:dyDescent="0.3">
      <c r="A2" s="3" t="s">
        <v>117</v>
      </c>
      <c r="B2" t="s">
        <v>118</v>
      </c>
    </row>
    <row r="3" spans="1:3" x14ac:dyDescent="0.3">
      <c r="A3" s="3" t="s">
        <v>119</v>
      </c>
      <c r="B3" t="s">
        <v>120</v>
      </c>
    </row>
    <row r="4" spans="1:3" x14ac:dyDescent="0.3">
      <c r="A4" s="3" t="s">
        <v>121</v>
      </c>
      <c r="B4" t="s">
        <v>122</v>
      </c>
    </row>
    <row r="5" spans="1:3" x14ac:dyDescent="0.3">
      <c r="A5" s="3" t="s">
        <v>123</v>
      </c>
      <c r="B5" t="s">
        <v>124</v>
      </c>
    </row>
    <row r="6" spans="1:3" x14ac:dyDescent="0.3">
      <c r="A6" t="s">
        <v>125</v>
      </c>
      <c r="B6" t="s">
        <v>126</v>
      </c>
    </row>
    <row r="7" spans="1:3" x14ac:dyDescent="0.3">
      <c r="A7" t="s">
        <v>127</v>
      </c>
      <c r="B7" t="s">
        <v>128</v>
      </c>
    </row>
    <row r="8" spans="1:3" x14ac:dyDescent="0.3">
      <c r="A8" t="s">
        <v>129</v>
      </c>
      <c r="B8" t="s">
        <v>130</v>
      </c>
    </row>
    <row r="9" spans="1:3" x14ac:dyDescent="0.3">
      <c r="A9" t="s">
        <v>131</v>
      </c>
      <c r="B9" t="s">
        <v>132</v>
      </c>
    </row>
    <row r="10" spans="1:3" x14ac:dyDescent="0.3">
      <c r="A10" t="s">
        <v>133</v>
      </c>
      <c r="B10" t="s">
        <v>134</v>
      </c>
    </row>
    <row r="11" spans="1:3" x14ac:dyDescent="0.3">
      <c r="A11" t="s">
        <v>135</v>
      </c>
      <c r="B11" t="s">
        <v>136</v>
      </c>
    </row>
    <row r="12" spans="1:3" x14ac:dyDescent="0.3">
      <c r="A12" t="s">
        <v>137</v>
      </c>
      <c r="B12" t="s">
        <v>138</v>
      </c>
    </row>
    <row r="13" spans="1:3" x14ac:dyDescent="0.3">
      <c r="A13" t="s">
        <v>139</v>
      </c>
      <c r="B13" t="s">
        <v>140</v>
      </c>
    </row>
    <row r="14" spans="1:3" x14ac:dyDescent="0.3">
      <c r="A14" t="s">
        <v>141</v>
      </c>
      <c r="B14" t="s">
        <v>142</v>
      </c>
    </row>
    <row r="15" spans="1:3" x14ac:dyDescent="0.3">
      <c r="A15" s="3" t="s">
        <v>143</v>
      </c>
      <c r="B15" t="s">
        <v>144</v>
      </c>
      <c r="C15" s="23" t="s">
        <v>145</v>
      </c>
    </row>
    <row r="16" spans="1:3" x14ac:dyDescent="0.3">
      <c r="A16" s="3" t="s">
        <v>146</v>
      </c>
      <c r="B16" t="s">
        <v>147</v>
      </c>
      <c r="C16" s="23" t="s">
        <v>145</v>
      </c>
    </row>
    <row r="17" spans="1:3" x14ac:dyDescent="0.3">
      <c r="A17" s="3" t="s">
        <v>148</v>
      </c>
      <c r="B17" t="s">
        <v>149</v>
      </c>
      <c r="C17" s="22" t="s">
        <v>145</v>
      </c>
    </row>
    <row r="18" spans="1:3" x14ac:dyDescent="0.3">
      <c r="A18" s="3" t="s">
        <v>150</v>
      </c>
      <c r="B18" t="s">
        <v>151</v>
      </c>
      <c r="C18" s="22" t="s">
        <v>145</v>
      </c>
    </row>
    <row r="19" spans="1:3" x14ac:dyDescent="0.3">
      <c r="A19" s="3" t="s">
        <v>152</v>
      </c>
      <c r="B19" t="s">
        <v>153</v>
      </c>
      <c r="C19" s="22" t="s">
        <v>145</v>
      </c>
    </row>
    <row r="20" spans="1:3" x14ac:dyDescent="0.3">
      <c r="A20" s="3" t="s">
        <v>154</v>
      </c>
      <c r="B20" t="s">
        <v>155</v>
      </c>
    </row>
    <row r="21" spans="1:3" x14ac:dyDescent="0.3">
      <c r="A21" s="3" t="s">
        <v>156</v>
      </c>
      <c r="B21" t="s">
        <v>157</v>
      </c>
    </row>
    <row r="22" spans="1:3" x14ac:dyDescent="0.3">
      <c r="A22" s="3" t="s">
        <v>158</v>
      </c>
      <c r="B22" t="s">
        <v>159</v>
      </c>
    </row>
    <row r="23" spans="1:3" x14ac:dyDescent="0.3">
      <c r="A23" s="3" t="s">
        <v>160</v>
      </c>
      <c r="B23" s="3" t="s">
        <v>161</v>
      </c>
    </row>
    <row r="24" spans="1:3" x14ac:dyDescent="0.3">
      <c r="A24" s="3" t="s">
        <v>162</v>
      </c>
      <c r="B24" s="3" t="s">
        <v>163</v>
      </c>
    </row>
    <row r="25" spans="1:3" x14ac:dyDescent="0.3">
      <c r="A25" t="s">
        <v>164</v>
      </c>
      <c r="B25" t="s">
        <v>165</v>
      </c>
    </row>
    <row r="26" spans="1:3" x14ac:dyDescent="0.3">
      <c r="A26" t="s">
        <v>166</v>
      </c>
      <c r="B26" t="s">
        <v>167</v>
      </c>
    </row>
    <row r="27" spans="1:3" x14ac:dyDescent="0.3">
      <c r="A27" s="22" t="s">
        <v>168</v>
      </c>
      <c r="B27" t="s">
        <v>169</v>
      </c>
    </row>
    <row r="28" spans="1:3" x14ac:dyDescent="0.3">
      <c r="A28" s="3" t="s">
        <v>170</v>
      </c>
      <c r="B28" t="s">
        <v>171</v>
      </c>
    </row>
  </sheetData>
  <hyperlinks>
    <hyperlink ref="C15" r:id="rId1" xr:uid="{156EB813-3133-40A4-847E-B2A6725E2E7F}"/>
    <hyperlink ref="C16" r:id="rId2" xr:uid="{11830E0C-30A7-4476-87BB-5FAC33E8FE6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6BB30-2722-4F80-B632-A02E2318333F}">
  <dimension ref="A1:B34"/>
  <sheetViews>
    <sheetView topLeftCell="A6" workbookViewId="0">
      <selection activeCell="A2" sqref="A2:B24"/>
    </sheetView>
  </sheetViews>
  <sheetFormatPr defaultRowHeight="14.4" x14ac:dyDescent="0.3"/>
  <cols>
    <col min="1" max="1" width="22.88671875" customWidth="1"/>
    <col min="2" max="2" width="181.44140625" customWidth="1"/>
  </cols>
  <sheetData>
    <row r="1" spans="1:2" x14ac:dyDescent="0.3">
      <c r="A1" s="1" t="s">
        <v>73</v>
      </c>
      <c r="B1" s="1" t="s">
        <v>115</v>
      </c>
    </row>
    <row r="2" spans="1:2" x14ac:dyDescent="0.3">
      <c r="A2" t="s">
        <v>172</v>
      </c>
      <c r="B2" s="45" t="s">
        <v>173</v>
      </c>
    </row>
    <row r="3" spans="1:2" x14ac:dyDescent="0.3">
      <c r="B3" s="45" t="s">
        <v>174</v>
      </c>
    </row>
    <row r="4" spans="1:2" x14ac:dyDescent="0.3">
      <c r="B4" s="45" t="s">
        <v>175</v>
      </c>
    </row>
    <row r="5" spans="1:2" x14ac:dyDescent="0.3">
      <c r="B5" t="s">
        <v>71</v>
      </c>
    </row>
    <row r="6" spans="1:2" x14ac:dyDescent="0.3">
      <c r="B6" t="s">
        <v>176</v>
      </c>
    </row>
    <row r="7" spans="1:2" x14ac:dyDescent="0.3">
      <c r="B7" s="45" t="s">
        <v>177</v>
      </c>
    </row>
    <row r="8" spans="1:2" x14ac:dyDescent="0.3">
      <c r="B8" s="45" t="s">
        <v>178</v>
      </c>
    </row>
    <row r="9" spans="1:2" x14ac:dyDescent="0.3">
      <c r="B9" t="s">
        <v>179</v>
      </c>
    </row>
    <row r="10" spans="1:2" x14ac:dyDescent="0.3">
      <c r="B10" t="s">
        <v>180</v>
      </c>
    </row>
    <row r="11" spans="1:2" x14ac:dyDescent="0.3">
      <c r="B11" s="45" t="s">
        <v>181</v>
      </c>
    </row>
    <row r="12" spans="1:2" x14ac:dyDescent="0.3">
      <c r="B12" t="s">
        <v>182</v>
      </c>
    </row>
    <row r="13" spans="1:2" x14ac:dyDescent="0.3">
      <c r="B13" t="s">
        <v>183</v>
      </c>
    </row>
    <row r="14" spans="1:2" x14ac:dyDescent="0.3">
      <c r="B14" s="45" t="s">
        <v>184</v>
      </c>
    </row>
    <row r="16" spans="1:2" x14ac:dyDescent="0.3">
      <c r="B16" t="s">
        <v>185</v>
      </c>
    </row>
    <row r="17" spans="2:2" x14ac:dyDescent="0.3">
      <c r="B17" s="45" t="s">
        <v>186</v>
      </c>
    </row>
    <row r="18" spans="2:2" x14ac:dyDescent="0.3">
      <c r="B18" t="s">
        <v>187</v>
      </c>
    </row>
    <row r="19" spans="2:2" x14ac:dyDescent="0.3">
      <c r="B19" s="45" t="s">
        <v>188</v>
      </c>
    </row>
    <row r="20" spans="2:2" x14ac:dyDescent="0.3">
      <c r="B20" s="45" t="s">
        <v>189</v>
      </c>
    </row>
    <row r="21" spans="2:2" x14ac:dyDescent="0.3">
      <c r="B21" s="45" t="s">
        <v>190</v>
      </c>
    </row>
    <row r="22" spans="2:2" x14ac:dyDescent="0.3">
      <c r="B22" s="45" t="s">
        <v>191</v>
      </c>
    </row>
    <row r="23" spans="2:2" x14ac:dyDescent="0.3">
      <c r="B23" s="45" t="s">
        <v>192</v>
      </c>
    </row>
    <row r="24" spans="2:2" x14ac:dyDescent="0.3">
      <c r="B24" s="45" t="s">
        <v>193</v>
      </c>
    </row>
    <row r="33" spans="2:2" x14ac:dyDescent="0.3">
      <c r="B33" t="s">
        <v>194</v>
      </c>
    </row>
    <row r="34" spans="2:2" x14ac:dyDescent="0.3">
      <c r="B34" t="s">
        <v>195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181C5-1266-4CBA-8282-E1790A85468D}">
  <dimension ref="A1:U130"/>
  <sheetViews>
    <sheetView topLeftCell="B49" zoomScale="115" zoomScaleNormal="115" workbookViewId="0">
      <selection activeCell="E66" sqref="E66"/>
    </sheetView>
  </sheetViews>
  <sheetFormatPr defaultRowHeight="14.4" x14ac:dyDescent="0.3"/>
  <cols>
    <col min="1" max="1" width="39.33203125" customWidth="1"/>
    <col min="2" max="2" width="174.88671875" customWidth="1"/>
    <col min="3" max="3" width="21.6640625" customWidth="1"/>
    <col min="4" max="4" width="19.44140625" customWidth="1"/>
    <col min="5" max="5" width="32.33203125" customWidth="1"/>
    <col min="6" max="6" width="14.33203125" customWidth="1"/>
    <col min="7" max="7" width="25.5546875" customWidth="1"/>
    <col min="8" max="8" width="23.88671875" customWidth="1"/>
    <col min="9" max="9" width="14" customWidth="1"/>
    <col min="10" max="10" width="18.33203125" customWidth="1"/>
    <col min="11" max="11" width="27.6640625" customWidth="1"/>
    <col min="12" max="12" width="18.6640625" customWidth="1"/>
    <col min="13" max="13" width="27.33203125" customWidth="1"/>
    <col min="14" max="14" width="18.88671875" customWidth="1"/>
    <col min="15" max="15" width="27.33203125" customWidth="1"/>
  </cols>
  <sheetData>
    <row r="1" spans="1:3" x14ac:dyDescent="0.3">
      <c r="A1" s="1" t="s">
        <v>73</v>
      </c>
      <c r="B1" s="1" t="s">
        <v>115</v>
      </c>
    </row>
    <row r="2" spans="1:3" x14ac:dyDescent="0.3">
      <c r="A2" t="s">
        <v>196</v>
      </c>
      <c r="B2" s="3" t="s">
        <v>197</v>
      </c>
    </row>
    <row r="3" spans="1:3" x14ac:dyDescent="0.3">
      <c r="B3" t="s">
        <v>198</v>
      </c>
    </row>
    <row r="4" spans="1:3" x14ac:dyDescent="0.3">
      <c r="B4" t="s">
        <v>199</v>
      </c>
      <c r="C4" t="s">
        <v>200</v>
      </c>
    </row>
    <row r="5" spans="1:3" x14ac:dyDescent="0.3">
      <c r="B5" t="s">
        <v>201</v>
      </c>
    </row>
    <row r="6" spans="1:3" x14ac:dyDescent="0.3">
      <c r="B6" t="s">
        <v>202</v>
      </c>
    </row>
    <row r="7" spans="1:3" x14ac:dyDescent="0.3">
      <c r="B7" t="s">
        <v>203</v>
      </c>
    </row>
    <row r="8" spans="1:3" x14ac:dyDescent="0.3">
      <c r="B8" t="s">
        <v>204</v>
      </c>
    </row>
    <row r="9" spans="1:3" x14ac:dyDescent="0.3">
      <c r="B9" t="s">
        <v>205</v>
      </c>
    </row>
    <row r="10" spans="1:3" x14ac:dyDescent="0.3">
      <c r="B10" t="s">
        <v>206</v>
      </c>
    </row>
    <row r="11" spans="1:3" x14ac:dyDescent="0.3">
      <c r="B11" t="s">
        <v>207</v>
      </c>
    </row>
    <row r="12" spans="1:3" x14ac:dyDescent="0.3">
      <c r="B12" t="s">
        <v>208</v>
      </c>
    </row>
    <row r="14" spans="1:3" x14ac:dyDescent="0.3">
      <c r="B14" t="s">
        <v>209</v>
      </c>
    </row>
    <row r="15" spans="1:3" x14ac:dyDescent="0.3">
      <c r="B15" t="s">
        <v>210</v>
      </c>
    </row>
    <row r="20" spans="1:12" x14ac:dyDescent="0.3">
      <c r="E20" t="s">
        <v>211</v>
      </c>
      <c r="F20" t="s">
        <v>212</v>
      </c>
      <c r="G20" t="s">
        <v>213</v>
      </c>
      <c r="H20" t="s">
        <v>214</v>
      </c>
      <c r="I20" t="s">
        <v>215</v>
      </c>
      <c r="J20" t="s">
        <v>216</v>
      </c>
      <c r="K20" t="s">
        <v>217</v>
      </c>
    </row>
    <row r="21" spans="1:12" x14ac:dyDescent="0.3">
      <c r="D21" t="s">
        <v>218</v>
      </c>
      <c r="E21">
        <v>220</v>
      </c>
      <c r="F21">
        <v>350</v>
      </c>
      <c r="G21">
        <f>EXP(1250/(9.81*E21))</f>
        <v>1.7845858276892084</v>
      </c>
      <c r="H21">
        <f>EXP(1100/(9.81*F21))</f>
        <v>1.3776412497440225</v>
      </c>
      <c r="I21" t="s">
        <v>219</v>
      </c>
      <c r="J21" t="s">
        <v>220</v>
      </c>
    </row>
    <row r="22" spans="1:12" x14ac:dyDescent="0.3">
      <c r="A22" t="s">
        <v>221</v>
      </c>
      <c r="B22" s="23" t="s">
        <v>222</v>
      </c>
      <c r="D22" t="s">
        <v>223</v>
      </c>
      <c r="E22">
        <v>206</v>
      </c>
      <c r="F22">
        <v>276</v>
      </c>
      <c r="G22">
        <f>EXP(1000/(9.81*E22))</f>
        <v>1.6402338628896471</v>
      </c>
      <c r="H22">
        <f>EXP(1000/(9.81*F22))</f>
        <v>1.4467739691677741</v>
      </c>
      <c r="I22" t="s">
        <v>224</v>
      </c>
      <c r="J22" t="s">
        <v>220</v>
      </c>
    </row>
    <row r="23" spans="1:12" x14ac:dyDescent="0.3">
      <c r="A23" t="s">
        <v>225</v>
      </c>
      <c r="B23" s="23" t="s">
        <v>226</v>
      </c>
      <c r="D23" t="s">
        <v>227</v>
      </c>
      <c r="E23">
        <v>1630</v>
      </c>
      <c r="F23">
        <v>3000</v>
      </c>
      <c r="G23">
        <f>EXP(1000/(9.81*E23))</f>
        <v>1.0645348185108403</v>
      </c>
      <c r="H23">
        <f>EXP(1000/(9.81*F23))</f>
        <v>1.0345628114274177</v>
      </c>
      <c r="I23" t="s">
        <v>228</v>
      </c>
      <c r="J23" t="s">
        <v>220</v>
      </c>
      <c r="L23">
        <f>EXP(300/(9.81*1500))</f>
        <v>1.020596601600722</v>
      </c>
    </row>
    <row r="24" spans="1:12" x14ac:dyDescent="0.3">
      <c r="A24" t="s">
        <v>229</v>
      </c>
      <c r="B24" s="23" t="s">
        <v>230</v>
      </c>
      <c r="F24">
        <v>266</v>
      </c>
      <c r="H24">
        <f>EXP(300/(9.81*F24))</f>
        <v>1.1218356477555431</v>
      </c>
    </row>
    <row r="25" spans="1:12" x14ac:dyDescent="0.3">
      <c r="F25" t="s">
        <v>231</v>
      </c>
      <c r="G25">
        <f>H22*$E$36</f>
        <v>1483.0879957938851</v>
      </c>
      <c r="H25">
        <f>G25-1025.1</f>
        <v>457.98799579388515</v>
      </c>
    </row>
    <row r="26" spans="1:12" x14ac:dyDescent="0.3">
      <c r="F26" t="s">
        <v>232</v>
      </c>
      <c r="G26">
        <f>$E$36*H23</f>
        <v>1060.5303379942459</v>
      </c>
      <c r="H26">
        <f>G26-$E$36</f>
        <v>35.430337994245974</v>
      </c>
    </row>
    <row r="29" spans="1:12" x14ac:dyDescent="0.3">
      <c r="E29" s="26" t="s">
        <v>233</v>
      </c>
      <c r="F29" s="25" t="s">
        <v>232</v>
      </c>
    </row>
    <row r="30" spans="1:12" x14ac:dyDescent="0.3">
      <c r="D30" t="s">
        <v>234</v>
      </c>
      <c r="E30" s="26">
        <f>(H25*9.81*186)/22</f>
        <v>37985.108018421386</v>
      </c>
      <c r="F30" s="25">
        <f>H26*9.81*1630/0.088</f>
        <v>6437974.2457885388</v>
      </c>
    </row>
    <row r="31" spans="1:12" x14ac:dyDescent="0.3">
      <c r="E31" s="26">
        <f>E30/3600</f>
        <v>10.551418894005941</v>
      </c>
      <c r="F31" s="25">
        <f>F30/3600</f>
        <v>1788.3261793857052</v>
      </c>
      <c r="G31">
        <f>F31/24</f>
        <v>74.513590807737714</v>
      </c>
    </row>
    <row r="32" spans="1:12" x14ac:dyDescent="0.3">
      <c r="D32" t="s">
        <v>235</v>
      </c>
      <c r="E32">
        <f>0.0029*9.81*231*6/22</f>
        <v>1.7922869999999997</v>
      </c>
      <c r="F32" s="25">
        <f>F31/24</f>
        <v>74.513590807737714</v>
      </c>
    </row>
    <row r="36" spans="3:21" x14ac:dyDescent="0.3">
      <c r="D36" t="s">
        <v>236</v>
      </c>
      <c r="E36">
        <v>1025.0999999999999</v>
      </c>
      <c r="F36" t="s">
        <v>237</v>
      </c>
    </row>
    <row r="39" spans="3:21" x14ac:dyDescent="0.3">
      <c r="C39" t="s">
        <v>238</v>
      </c>
      <c r="D39" t="s">
        <v>239</v>
      </c>
      <c r="E39" t="s">
        <v>240</v>
      </c>
      <c r="G39" t="s">
        <v>241</v>
      </c>
      <c r="J39" s="23" t="s">
        <v>79</v>
      </c>
    </row>
    <row r="40" spans="3:21" x14ac:dyDescent="0.3">
      <c r="C40" t="s">
        <v>242</v>
      </c>
      <c r="D40" t="s">
        <v>243</v>
      </c>
      <c r="G40" t="s">
        <v>244</v>
      </c>
      <c r="J40" s="23" t="s">
        <v>245</v>
      </c>
      <c r="U40" s="23" t="s">
        <v>246</v>
      </c>
    </row>
    <row r="41" spans="3:21" x14ac:dyDescent="0.3">
      <c r="U41" t="s">
        <v>247</v>
      </c>
    </row>
    <row r="44" spans="3:21" x14ac:dyDescent="0.3">
      <c r="C44" s="1" t="s">
        <v>248</v>
      </c>
    </row>
    <row r="45" spans="3:21" x14ac:dyDescent="0.3">
      <c r="C45" s="1"/>
    </row>
    <row r="46" spans="3:21" x14ac:dyDescent="0.3">
      <c r="D46" t="s">
        <v>249</v>
      </c>
      <c r="E46" t="s">
        <v>250</v>
      </c>
      <c r="F46" t="s">
        <v>251</v>
      </c>
      <c r="G46" t="s">
        <v>252</v>
      </c>
      <c r="H46" t="s">
        <v>216</v>
      </c>
      <c r="I46" t="s">
        <v>253</v>
      </c>
    </row>
    <row r="47" spans="3:21" x14ac:dyDescent="0.3">
      <c r="C47" t="s">
        <v>232</v>
      </c>
      <c r="D47" t="s">
        <v>254</v>
      </c>
      <c r="E47" t="s">
        <v>255</v>
      </c>
      <c r="F47">
        <v>21.8</v>
      </c>
      <c r="G47" t="s">
        <v>256</v>
      </c>
      <c r="H47" t="s">
        <v>257</v>
      </c>
      <c r="I47" t="s">
        <v>258</v>
      </c>
    </row>
    <row r="48" spans="3:21" x14ac:dyDescent="0.3">
      <c r="C48" t="s">
        <v>259</v>
      </c>
      <c r="D48" t="s">
        <v>260</v>
      </c>
      <c r="E48" t="s">
        <v>261</v>
      </c>
      <c r="F48">
        <v>137.5</v>
      </c>
      <c r="G48" t="s">
        <v>262</v>
      </c>
      <c r="H48" t="s">
        <v>263</v>
      </c>
      <c r="I48" t="s">
        <v>264</v>
      </c>
    </row>
    <row r="51" spans="3:11" x14ac:dyDescent="0.3">
      <c r="C51" t="s">
        <v>265</v>
      </c>
    </row>
    <row r="52" spans="3:11" x14ac:dyDescent="0.3">
      <c r="C52" t="s">
        <v>266</v>
      </c>
      <c r="E52" t="s">
        <v>267</v>
      </c>
    </row>
    <row r="54" spans="3:11" x14ac:dyDescent="0.3">
      <c r="C54" t="s">
        <v>268</v>
      </c>
    </row>
    <row r="55" spans="3:11" x14ac:dyDescent="0.3">
      <c r="C55">
        <f>0.178*$H$26+7.69</f>
        <v>13.996600162975785</v>
      </c>
      <c r="D55" t="s">
        <v>237</v>
      </c>
    </row>
    <row r="58" spans="3:11" x14ac:dyDescent="0.3">
      <c r="C58" s="40" t="s">
        <v>269</v>
      </c>
      <c r="D58" s="41" t="s">
        <v>270</v>
      </c>
      <c r="E58" s="41" t="s">
        <v>271</v>
      </c>
      <c r="F58" s="42"/>
      <c r="G58" s="40" t="s">
        <v>272</v>
      </c>
      <c r="H58" s="41" t="s">
        <v>273</v>
      </c>
      <c r="J58" t="s">
        <v>274</v>
      </c>
    </row>
    <row r="59" spans="3:11" x14ac:dyDescent="0.3">
      <c r="C59" s="41"/>
      <c r="D59" s="41"/>
      <c r="E59" s="41"/>
      <c r="F59" s="42"/>
      <c r="G59" s="41"/>
      <c r="H59" s="41"/>
    </row>
    <row r="60" spans="3:11" x14ac:dyDescent="0.3">
      <c r="C60" s="41" t="s">
        <v>275</v>
      </c>
      <c r="D60" s="41">
        <f>EXP(E60/(249*9.81))*(D62+D63+D65+D64+D61)-D65-D63-D62-D64-D61</f>
        <v>82.395681943249315</v>
      </c>
      <c r="E60" s="41">
        <f>200</f>
        <v>200</v>
      </c>
      <c r="F60" s="42"/>
      <c r="G60" s="41" t="s">
        <v>276</v>
      </c>
      <c r="H60" s="41">
        <f>0.29*12</f>
        <v>3.4799999999999995</v>
      </c>
      <c r="I60" t="s">
        <v>277</v>
      </c>
      <c r="J60" t="s">
        <v>278</v>
      </c>
      <c r="K60">
        <f>0.178*(D60+D62+D63)+7.69</f>
        <v>29.179720701988487</v>
      </c>
    </row>
    <row r="61" spans="3:11" x14ac:dyDescent="0.3">
      <c r="C61" s="41" t="s">
        <v>279</v>
      </c>
      <c r="D61" s="41">
        <f>EXP(E61/(231*9.81))*(D63+D65+D64+D62)-D63-D65-D64-D62</f>
        <v>0.894497740846532</v>
      </c>
      <c r="E61" s="41">
        <v>2.1</v>
      </c>
      <c r="F61" s="42"/>
      <c r="G61" s="41"/>
      <c r="H61" s="41"/>
    </row>
    <row r="62" spans="3:11" x14ac:dyDescent="0.3">
      <c r="C62" s="41" t="s">
        <v>280</v>
      </c>
      <c r="D62" s="41">
        <f>EXP(E62/(231*9.81))*(D63+D65+D64)-D63-D65-D64</f>
        <v>26.45308604545005</v>
      </c>
      <c r="E62" s="41">
        <f>60+0.05*60</f>
        <v>63</v>
      </c>
      <c r="F62" s="42"/>
      <c r="G62" s="41" t="s">
        <v>281</v>
      </c>
      <c r="H62" s="41">
        <f>0.59*2</f>
        <v>1.18</v>
      </c>
    </row>
    <row r="63" spans="3:11" x14ac:dyDescent="0.3">
      <c r="C63" s="41" t="s">
        <v>282</v>
      </c>
      <c r="D63" s="41">
        <v>11.88</v>
      </c>
      <c r="E63" s="41">
        <f>231*9.81*LN((D63+D64+D65)/(D65+D64))+231*9.81*LN((D63+D64+D65)/(D65+D64))*0.05</f>
        <v>30.316888978248031</v>
      </c>
      <c r="F63" s="42"/>
      <c r="G63" s="41" t="s">
        <v>283</v>
      </c>
      <c r="H63" s="41">
        <v>3.5</v>
      </c>
    </row>
    <row r="64" spans="3:11" x14ac:dyDescent="0.3">
      <c r="C64" s="41" t="s">
        <v>284</v>
      </c>
      <c r="D64" s="41">
        <f>EXP(E64/(231*9.81))*(D65)-D65</f>
        <v>122.47224630904702</v>
      </c>
      <c r="E64" s="41">
        <f>306+0.05*306</f>
        <v>321.3</v>
      </c>
      <c r="F64" s="42"/>
      <c r="G64" s="41" t="s">
        <v>285</v>
      </c>
      <c r="H64" s="41">
        <f>D68*H69/100</f>
        <v>11.112722479380158</v>
      </c>
    </row>
    <row r="65" spans="3:16" x14ac:dyDescent="0.3">
      <c r="C65" s="43" t="s">
        <v>236</v>
      </c>
      <c r="D65" s="43">
        <f>670*1.2</f>
        <v>804</v>
      </c>
      <c r="E65" s="41">
        <f>SUM(E60:E64)</f>
        <v>616.71688897824811</v>
      </c>
      <c r="F65" s="42"/>
      <c r="G65" s="44"/>
      <c r="H65" s="42"/>
    </row>
    <row r="66" spans="3:16" x14ac:dyDescent="0.3">
      <c r="G66" s="1" t="s">
        <v>286</v>
      </c>
      <c r="H66" t="s">
        <v>287</v>
      </c>
    </row>
    <row r="67" spans="3:16" x14ac:dyDescent="0.3">
      <c r="C67" s="1" t="s">
        <v>288</v>
      </c>
      <c r="D67">
        <f>SUM(D60:D64)</f>
        <v>244.09551203859291</v>
      </c>
      <c r="G67" t="s">
        <v>289</v>
      </c>
      <c r="H67">
        <f>20/405*100</f>
        <v>4.9382716049382713</v>
      </c>
    </row>
    <row r="68" spans="3:16" x14ac:dyDescent="0.3">
      <c r="C68" s="1" t="s">
        <v>290</v>
      </c>
      <c r="D68">
        <f>(D60+D62+D63+H60+H62+D64+H63)*1/(1-H69/100)</f>
        <v>262.47373677712659</v>
      </c>
      <c r="G68" t="s">
        <v>291</v>
      </c>
      <c r="H68">
        <f>9/255*100</f>
        <v>3.5294117647058822</v>
      </c>
    </row>
    <row r="69" spans="3:16" x14ac:dyDescent="0.3">
      <c r="H69">
        <f>AVERAGE(H67, H68)</f>
        <v>4.2338416848220763</v>
      </c>
    </row>
    <row r="71" spans="3:16" x14ac:dyDescent="0.3">
      <c r="C71" s="1" t="s">
        <v>292</v>
      </c>
      <c r="D71" s="23" t="s">
        <v>293</v>
      </c>
      <c r="J71" s="1" t="s">
        <v>294</v>
      </c>
      <c r="N71" s="1" t="s">
        <v>295</v>
      </c>
    </row>
    <row r="72" spans="3:16" x14ac:dyDescent="0.3">
      <c r="J72" t="s">
        <v>296</v>
      </c>
      <c r="N72" t="s">
        <v>296</v>
      </c>
    </row>
    <row r="73" spans="3:16" x14ac:dyDescent="0.3">
      <c r="C73" s="27" t="s">
        <v>297</v>
      </c>
      <c r="D73" s="27">
        <f>SQRT($G$73*(2/($G$77)-1/(G75*10^3)))</f>
        <v>1731.8477954544971</v>
      </c>
      <c r="F73" s="27" t="s">
        <v>298</v>
      </c>
      <c r="G73" s="27">
        <f>4.9049*10^(12)</f>
        <v>4904900000000</v>
      </c>
      <c r="H73" s="27" t="s">
        <v>299</v>
      </c>
      <c r="J73" s="27" t="s">
        <v>298</v>
      </c>
      <c r="K73" s="27">
        <f>4.9049*10^(12)</f>
        <v>4904900000000</v>
      </c>
      <c r="L73" s="27" t="s">
        <v>299</v>
      </c>
      <c r="N73" s="27" t="s">
        <v>298</v>
      </c>
      <c r="O73" s="27">
        <f>4.9049*10^(12)</f>
        <v>4904900000000</v>
      </c>
      <c r="P73" s="27" t="s">
        <v>299</v>
      </c>
    </row>
    <row r="74" spans="3:16" x14ac:dyDescent="0.3">
      <c r="C74" s="27" t="s">
        <v>300</v>
      </c>
      <c r="D74" s="27">
        <f>SQRT($G$73*(2/($G$77)-1/(($G$77+$G$79)*0.5)))</f>
        <v>1899.0427973214003</v>
      </c>
      <c r="E74">
        <f>SQRT($G$73*(2/($G$77)-1/(($G$77+$G$79)*0.5)))</f>
        <v>1899.0427973214003</v>
      </c>
      <c r="F74" s="27" t="s">
        <v>301</v>
      </c>
      <c r="G74" s="27">
        <f>1737.4*10^3</f>
        <v>1737400</v>
      </c>
      <c r="H74" s="27" t="s">
        <v>299</v>
      </c>
      <c r="J74" s="27" t="s">
        <v>301</v>
      </c>
      <c r="K74" s="27">
        <f>1737.4*10^3</f>
        <v>1737400</v>
      </c>
      <c r="L74" s="27" t="s">
        <v>299</v>
      </c>
      <c r="N74" s="27" t="s">
        <v>301</v>
      </c>
      <c r="O74" s="27">
        <f>1737.4*10^3</f>
        <v>1737400</v>
      </c>
      <c r="P74" s="27" t="s">
        <v>299</v>
      </c>
    </row>
    <row r="75" spans="3:16" x14ac:dyDescent="0.3">
      <c r="C75" s="27" t="s">
        <v>27</v>
      </c>
      <c r="D75" s="27">
        <f>D74-D73</f>
        <v>167.19500186690311</v>
      </c>
      <c r="E75">
        <f>$E$74-$D$73</f>
        <v>167.19500186690311</v>
      </c>
      <c r="F75" s="27" t="s">
        <v>302</v>
      </c>
      <c r="G75" s="27">
        <v>6541.4</v>
      </c>
      <c r="H75" s="28" t="s">
        <v>303</v>
      </c>
      <c r="J75" s="27" t="s">
        <v>302</v>
      </c>
      <c r="K75" s="27">
        <v>10000</v>
      </c>
      <c r="L75" s="28" t="s">
        <v>303</v>
      </c>
      <c r="N75" s="27" t="s">
        <v>302</v>
      </c>
      <c r="O75" s="27">
        <v>6541.4</v>
      </c>
      <c r="P75" s="28" t="s">
        <v>303</v>
      </c>
    </row>
    <row r="76" spans="3:16" x14ac:dyDescent="0.3">
      <c r="F76" s="27" t="s">
        <v>304</v>
      </c>
      <c r="G76" s="27">
        <v>0.6</v>
      </c>
      <c r="H76" s="27"/>
      <c r="J76" s="27" t="s">
        <v>304</v>
      </c>
      <c r="K76" s="27">
        <v>3.7999999999999999E-2</v>
      </c>
      <c r="L76" s="27"/>
      <c r="N76" s="27" t="s">
        <v>304</v>
      </c>
      <c r="O76" s="27">
        <v>0.6</v>
      </c>
      <c r="P76" s="27"/>
    </row>
    <row r="77" spans="3:16" x14ac:dyDescent="0.3">
      <c r="C77" s="28" t="s">
        <v>305</v>
      </c>
      <c r="D77" s="27"/>
      <c r="F77" s="27" t="s">
        <v>306</v>
      </c>
      <c r="G77" s="27">
        <f>$G$75*10^3*(1-$G$76)</f>
        <v>2616560</v>
      </c>
      <c r="H77" s="28" t="s">
        <v>299</v>
      </c>
      <c r="J77" s="27" t="s">
        <v>306</v>
      </c>
      <c r="K77" s="27">
        <f>$K$75*10^3*(1-$K$76)</f>
        <v>9620000</v>
      </c>
      <c r="L77" s="28" t="s">
        <v>299</v>
      </c>
      <c r="N77" s="27" t="s">
        <v>306</v>
      </c>
      <c r="O77" s="27">
        <f>$O$75*10^3*(1-$O$76)</f>
        <v>2616560</v>
      </c>
      <c r="P77" s="28" t="s">
        <v>299</v>
      </c>
    </row>
    <row r="78" spans="3:16" x14ac:dyDescent="0.3">
      <c r="C78" s="27" t="s">
        <v>307</v>
      </c>
      <c r="D78" s="27">
        <v>-294</v>
      </c>
      <c r="E78" t="s">
        <v>308</v>
      </c>
      <c r="F78" s="27" t="s">
        <v>309</v>
      </c>
      <c r="G78" s="27">
        <f>($G$77+$G$74)*0.5</f>
        <v>2176980</v>
      </c>
      <c r="H78" s="27"/>
      <c r="J78" s="27" t="s">
        <v>309</v>
      </c>
      <c r="K78" s="27">
        <f>($K$77+$K$74)*0.5</f>
        <v>5678700</v>
      </c>
      <c r="L78" s="27"/>
      <c r="N78" s="27" t="s">
        <v>309</v>
      </c>
      <c r="O78" s="27">
        <f>($K$77+$K$74)*0.5</f>
        <v>5678700</v>
      </c>
      <c r="P78" s="27"/>
    </row>
    <row r="79" spans="3:16" x14ac:dyDescent="0.3">
      <c r="C79" s="27" t="s">
        <v>310</v>
      </c>
      <c r="D79" s="27">
        <v>-332</v>
      </c>
      <c r="E79" t="s">
        <v>308</v>
      </c>
      <c r="F79" s="27" t="s">
        <v>311</v>
      </c>
      <c r="G79" s="27">
        <f>66100*10^3</f>
        <v>66100000</v>
      </c>
      <c r="H79" s="28" t="s">
        <v>299</v>
      </c>
      <c r="J79" s="27" t="s">
        <v>311</v>
      </c>
      <c r="K79" s="27">
        <f>60000*10^3</f>
        <v>60000000</v>
      </c>
      <c r="L79" s="28" t="s">
        <v>299</v>
      </c>
      <c r="N79" s="27" t="s">
        <v>311</v>
      </c>
      <c r="O79" s="27">
        <f>60000*10^3</f>
        <v>60000000</v>
      </c>
      <c r="P79" s="28" t="s">
        <v>299</v>
      </c>
    </row>
    <row r="80" spans="3:16" x14ac:dyDescent="0.3">
      <c r="C80" s="27" t="s">
        <v>312</v>
      </c>
      <c r="D80" s="27">
        <v>-508</v>
      </c>
      <c r="E80" t="s">
        <v>308</v>
      </c>
      <c r="F80" s="31" t="s">
        <v>313</v>
      </c>
      <c r="G80" s="31">
        <f>$G$75*10^3*(1+G76)</f>
        <v>10466240</v>
      </c>
      <c r="H80" s="32" t="s">
        <v>299</v>
      </c>
      <c r="J80" s="31" t="s">
        <v>313</v>
      </c>
      <c r="K80" s="31">
        <f>$K$75*10^3*(1+K76)</f>
        <v>10380000</v>
      </c>
      <c r="L80" s="32" t="s">
        <v>299</v>
      </c>
      <c r="N80" s="31" t="s">
        <v>313</v>
      </c>
      <c r="O80" s="31">
        <f>$O$75*10^3*(1+O76)</f>
        <v>10466240</v>
      </c>
      <c r="P80" s="32" t="s">
        <v>299</v>
      </c>
    </row>
    <row r="81" spans="3:16" x14ac:dyDescent="0.3">
      <c r="F81" s="27" t="s">
        <v>314</v>
      </c>
      <c r="G81" s="27">
        <v>40.78</v>
      </c>
      <c r="H81" s="27" t="s">
        <v>315</v>
      </c>
      <c r="J81" s="27" t="s">
        <v>314</v>
      </c>
      <c r="K81" s="27">
        <v>10</v>
      </c>
      <c r="L81" s="27" t="s">
        <v>315</v>
      </c>
      <c r="N81" s="27" t="s">
        <v>314</v>
      </c>
      <c r="O81" s="27">
        <v>56.2</v>
      </c>
      <c r="P81" s="27" t="s">
        <v>315</v>
      </c>
    </row>
    <row r="82" spans="3:16" x14ac:dyDescent="0.3">
      <c r="C82" s="28" t="s">
        <v>316</v>
      </c>
      <c r="D82" s="27"/>
      <c r="F82" s="1"/>
    </row>
    <row r="83" spans="3:16" x14ac:dyDescent="0.3">
      <c r="C83" s="27" t="s">
        <v>307</v>
      </c>
      <c r="D83" s="27">
        <v>330</v>
      </c>
      <c r="E83" t="s">
        <v>308</v>
      </c>
      <c r="F83" s="1" t="s">
        <v>317</v>
      </c>
    </row>
    <row r="84" spans="3:16" x14ac:dyDescent="0.3">
      <c r="C84" s="27" t="s">
        <v>310</v>
      </c>
      <c r="D84" s="27">
        <v>216</v>
      </c>
      <c r="E84" t="s">
        <v>308</v>
      </c>
    </row>
    <row r="85" spans="3:16" x14ac:dyDescent="0.3">
      <c r="C85" s="27" t="s">
        <v>312</v>
      </c>
      <c r="D85" s="27">
        <v>167</v>
      </c>
      <c r="E85" t="s">
        <v>308</v>
      </c>
      <c r="F85" t="s">
        <v>297</v>
      </c>
      <c r="G85" s="27">
        <f>SQRT($K$73*(2/($K$80)-1/($K$75*10^3)))</f>
        <v>674.22358115062707</v>
      </c>
      <c r="L85" t="s">
        <v>297</v>
      </c>
      <c r="M85" s="27">
        <f>SQRT($K$73*(2/($K$77)-1/($K$75*10^3)))</f>
        <v>727.48864577375343</v>
      </c>
    </row>
    <row r="86" spans="3:16" x14ac:dyDescent="0.3">
      <c r="F86" t="s">
        <v>318</v>
      </c>
      <c r="G86" s="27">
        <f>SQRT($G$73*(2/($K$80)-1/(($G$77+$K$80)*0.5)))</f>
        <v>436.19686582813222</v>
      </c>
      <c r="H86">
        <f>G86-G85</f>
        <v>-238.02671532249485</v>
      </c>
      <c r="I86">
        <f>SQRT(G86^2+G85^2-2*G85*G86*COS(G89*PI()/180))</f>
        <v>373.51007129910067</v>
      </c>
      <c r="J86">
        <f>SQRT(G86^2+G85^2-2*G85*G86*COS(G89*0.5*PI()/180))</f>
        <v>278.83352019826242</v>
      </c>
      <c r="L86" t="s">
        <v>318</v>
      </c>
      <c r="M86" s="27">
        <f>SQRT($G$73*(2/($K$77)-1/(($O$80+$K$77)*0.5)))</f>
        <v>728.93459371632298</v>
      </c>
      <c r="N86">
        <f>M86-M85</f>
        <v>1.4459479425695463</v>
      </c>
      <c r="O86">
        <f>SQRT(M85^2+M86^2-2*M86*M85*COS(M89*PI()/180))</f>
        <v>571.41044220724802</v>
      </c>
      <c r="P86">
        <f>SQRT(M85^2+M86^2-2*M86*M85*COS(M89*0.5*PI()/180))</f>
        <v>291.61287727407125</v>
      </c>
    </row>
    <row r="87" spans="3:16" x14ac:dyDescent="0.3">
      <c r="C87" s="28" t="s">
        <v>319</v>
      </c>
      <c r="D87" s="27"/>
      <c r="F87" t="s">
        <v>320</v>
      </c>
      <c r="G87" s="27">
        <f>SQRT($G$73*(2/($G$77)-1/(($G$77+$K$80)*0.5)))</f>
        <v>1730.410717620086</v>
      </c>
      <c r="L87" t="s">
        <v>320</v>
      </c>
      <c r="M87" s="27">
        <f>SQRT($G$73*(2/($O$80)-1/(($O$80+$K$77)*0.5)))</f>
        <v>669.99713283385699</v>
      </c>
    </row>
    <row r="88" spans="3:16" x14ac:dyDescent="0.3">
      <c r="C88" s="27" t="s">
        <v>307</v>
      </c>
      <c r="D88" s="27">
        <v>-292</v>
      </c>
      <c r="E88" t="s">
        <v>308</v>
      </c>
      <c r="F88" t="s">
        <v>300</v>
      </c>
      <c r="G88" s="27">
        <f>SQRT($G$73*(2/($G$77)-1/($G$77)))</f>
        <v>1369.1458985944032</v>
      </c>
      <c r="H88">
        <f>G88-G87</f>
        <v>-361.26481902568275</v>
      </c>
      <c r="I88">
        <f>SQRT(G88^2+G87^2-2*G87*G88*COS(G89*PI()/180))</f>
        <v>893.28926781617872</v>
      </c>
      <c r="J88">
        <f>SQRT(G88^2+G87^2-2*G87*G88*COS(G89*0.5*PI()/180))</f>
        <v>548.10762108251504</v>
      </c>
      <c r="L88" t="s">
        <v>300</v>
      </c>
      <c r="M88" s="27">
        <f>SQRT($G$73*(2/($O$80)-1/(10^3*$O$75)))</f>
        <v>432.96194886362417</v>
      </c>
      <c r="N88">
        <f>M88-M87</f>
        <v>-237.03518397023282</v>
      </c>
      <c r="O88">
        <f>M87^2+M88^2-2*M87*M88*COS(M89*PI()/180)</f>
        <v>234793.90460111236</v>
      </c>
      <c r="P88">
        <f>M87^2+M88^2-2*M87*M88*COS(M89*0.5*PI()/180)</f>
        <v>102702.56201738445</v>
      </c>
    </row>
    <row r="89" spans="3:16" x14ac:dyDescent="0.3">
      <c r="C89" s="27" t="s">
        <v>310</v>
      </c>
      <c r="D89" s="27">
        <v>-306</v>
      </c>
      <c r="E89" t="s">
        <v>308</v>
      </c>
      <c r="F89" t="s">
        <v>321</v>
      </c>
      <c r="G89">
        <f>G81-K81</f>
        <v>30.78</v>
      </c>
      <c r="L89" t="s">
        <v>321</v>
      </c>
      <c r="M89">
        <f>O81-K81</f>
        <v>46.2</v>
      </c>
      <c r="N89">
        <f>ABS(N88)+O86</f>
        <v>808.44562617748079</v>
      </c>
    </row>
    <row r="90" spans="3:16" x14ac:dyDescent="0.3">
      <c r="C90" s="27" t="s">
        <v>312</v>
      </c>
      <c r="D90" s="27">
        <v>-67</v>
      </c>
      <c r="E90" t="s">
        <v>308</v>
      </c>
    </row>
    <row r="91" spans="3:16" x14ac:dyDescent="0.3">
      <c r="G91" s="1" t="s">
        <v>322</v>
      </c>
      <c r="H91">
        <f>ABS(H88)+I86</f>
        <v>734.77489032478343</v>
      </c>
      <c r="I91">
        <f>ABS(H86)+I88</f>
        <v>1131.3159831386736</v>
      </c>
      <c r="J91">
        <f>J86+J88</f>
        <v>826.9411412807774</v>
      </c>
    </row>
    <row r="93" spans="3:16" x14ac:dyDescent="0.3">
      <c r="C93" s="1" t="s">
        <v>323</v>
      </c>
      <c r="F93" s="1" t="s">
        <v>324</v>
      </c>
    </row>
    <row r="95" spans="3:16" x14ac:dyDescent="0.3">
      <c r="C95" t="s">
        <v>325</v>
      </c>
      <c r="D95">
        <v>231</v>
      </c>
      <c r="E95" t="s">
        <v>326</v>
      </c>
      <c r="F95">
        <f>999.4^2/(1.21*2154.65)</f>
        <v>383.10391152865043</v>
      </c>
    </row>
    <row r="96" spans="3:16" x14ac:dyDescent="0.3">
      <c r="C96" t="s">
        <v>327</v>
      </c>
      <c r="D96">
        <v>101325</v>
      </c>
      <c r="E96" t="s">
        <v>328</v>
      </c>
      <c r="F96">
        <v>287</v>
      </c>
    </row>
    <row r="97" spans="3:5" x14ac:dyDescent="0.3">
      <c r="C97" t="s">
        <v>329</v>
      </c>
      <c r="D97">
        <v>9.81</v>
      </c>
      <c r="E97" t="s">
        <v>330</v>
      </c>
    </row>
    <row r="98" spans="3:5" x14ac:dyDescent="0.3">
      <c r="C98" t="s">
        <v>331</v>
      </c>
      <c r="D98">
        <v>1.21</v>
      </c>
    </row>
    <row r="99" spans="3:5" x14ac:dyDescent="0.3">
      <c r="C99" t="s">
        <v>332</v>
      </c>
      <c r="D99">
        <v>383.1</v>
      </c>
      <c r="E99" t="s">
        <v>333</v>
      </c>
    </row>
    <row r="100" spans="3:5" x14ac:dyDescent="0.3">
      <c r="C100" t="s">
        <v>334</v>
      </c>
      <c r="D100">
        <v>2154.75</v>
      </c>
      <c r="E100" t="s">
        <v>335</v>
      </c>
    </row>
    <row r="101" spans="3:5" x14ac:dyDescent="0.3">
      <c r="C101" s="1" t="s">
        <v>336</v>
      </c>
      <c r="D101">
        <f>(1/$D$96)*(1-($D$95*$D$97)^(2)*(($D$98-1)/(2*$D$98*$D$100*$D$99)))^($D$98/($D$98-1))</f>
        <v>1.1273318804271054E-7</v>
      </c>
    </row>
    <row r="127" spans="3:5" x14ac:dyDescent="0.3">
      <c r="C127" t="s">
        <v>337</v>
      </c>
      <c r="D127">
        <v>10</v>
      </c>
    </row>
    <row r="128" spans="3:5" x14ac:dyDescent="0.3">
      <c r="C128" t="s">
        <v>338</v>
      </c>
      <c r="D128">
        <v>60</v>
      </c>
      <c r="E128">
        <f>EXP(D128/10)*D127</f>
        <v>4034.2879349273512</v>
      </c>
    </row>
    <row r="129" spans="3:5" x14ac:dyDescent="0.3">
      <c r="C129" t="s">
        <v>297</v>
      </c>
      <c r="D129">
        <v>20</v>
      </c>
      <c r="E129">
        <f>EXP(D129/10)*$D$127</f>
        <v>73.890560989306508</v>
      </c>
    </row>
    <row r="130" spans="3:5" x14ac:dyDescent="0.3">
      <c r="C130" t="s">
        <v>300</v>
      </c>
      <c r="D130">
        <v>40</v>
      </c>
      <c r="E130">
        <f>EXP(D130/10)*E129</f>
        <v>4034.2879349273512</v>
      </c>
    </row>
  </sheetData>
  <hyperlinks>
    <hyperlink ref="B22" r:id="rId1" xr:uid="{E97EA732-1A8E-45A4-B3B5-89A55665A21F}"/>
    <hyperlink ref="B23" r:id="rId2" xr:uid="{72F73AD7-4860-4DAE-9513-2F7071D65802}"/>
    <hyperlink ref="B24" r:id="rId3" xr:uid="{18DF6102-1C23-4195-B5D9-BA7301B7C965}"/>
    <hyperlink ref="J39" r:id="rId4" xr:uid="{9A5BECBF-D85C-4967-BC61-73A4B679D323}"/>
    <hyperlink ref="J40" r:id="rId5" xr:uid="{E8B40972-E40C-4D5E-9538-AE854D50203F}"/>
    <hyperlink ref="U40" r:id="rId6" xr:uid="{5C56E227-1548-488E-9D4D-B6456F415AA6}"/>
    <hyperlink ref="D71" r:id="rId7" xr:uid="{9463B007-295C-461E-93AA-2B87F6ACFE8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45B47-9566-408B-9809-2DA9E8DF78C3}">
  <dimension ref="A1:C25"/>
  <sheetViews>
    <sheetView zoomScale="85" zoomScaleNormal="85" workbookViewId="0">
      <selection activeCell="B56" sqref="B56"/>
    </sheetView>
  </sheetViews>
  <sheetFormatPr defaultRowHeight="14.4" x14ac:dyDescent="0.3"/>
  <cols>
    <col min="1" max="1" width="33" customWidth="1"/>
    <col min="2" max="2" width="169.6640625" customWidth="1"/>
  </cols>
  <sheetData>
    <row r="1" spans="1:3" ht="12" customHeight="1" x14ac:dyDescent="0.3">
      <c r="A1" s="1" t="s">
        <v>73</v>
      </c>
      <c r="B1" s="1" t="s">
        <v>115</v>
      </c>
    </row>
    <row r="2" spans="1:3" x14ac:dyDescent="0.3">
      <c r="A2" t="s">
        <v>339</v>
      </c>
      <c r="B2" t="s">
        <v>777</v>
      </c>
      <c r="C2" t="s">
        <v>788</v>
      </c>
    </row>
    <row r="3" spans="1:3" x14ac:dyDescent="0.3">
      <c r="A3" t="s">
        <v>341</v>
      </c>
      <c r="B3" t="s">
        <v>778</v>
      </c>
      <c r="C3" t="s">
        <v>788</v>
      </c>
    </row>
    <row r="4" spans="1:3" x14ac:dyDescent="0.3">
      <c r="A4" t="s">
        <v>343</v>
      </c>
      <c r="B4" t="s">
        <v>779</v>
      </c>
      <c r="C4" t="s">
        <v>788</v>
      </c>
    </row>
    <row r="5" spans="1:3" x14ac:dyDescent="0.3">
      <c r="A5" t="s">
        <v>345</v>
      </c>
      <c r="B5" t="s">
        <v>780</v>
      </c>
      <c r="C5" t="s">
        <v>788</v>
      </c>
    </row>
    <row r="6" spans="1:3" x14ac:dyDescent="0.3">
      <c r="A6" t="s">
        <v>347</v>
      </c>
      <c r="B6" t="s">
        <v>781</v>
      </c>
      <c r="C6" t="s">
        <v>790</v>
      </c>
    </row>
    <row r="7" spans="1:3" x14ac:dyDescent="0.3">
      <c r="A7" t="s">
        <v>349</v>
      </c>
      <c r="B7" t="s">
        <v>782</v>
      </c>
      <c r="C7" t="s">
        <v>788</v>
      </c>
    </row>
    <row r="8" spans="1:3" x14ac:dyDescent="0.3">
      <c r="A8" t="s">
        <v>351</v>
      </c>
      <c r="B8" t="s">
        <v>783</v>
      </c>
      <c r="C8" t="s">
        <v>788</v>
      </c>
    </row>
    <row r="9" spans="1:3" x14ac:dyDescent="0.3">
      <c r="A9" t="s">
        <v>353</v>
      </c>
      <c r="B9" t="s">
        <v>784</v>
      </c>
      <c r="C9" t="s">
        <v>788</v>
      </c>
    </row>
    <row r="10" spans="1:3" x14ac:dyDescent="0.3">
      <c r="A10" t="s">
        <v>355</v>
      </c>
      <c r="B10" t="s">
        <v>789</v>
      </c>
      <c r="C10" t="s">
        <v>788</v>
      </c>
    </row>
    <row r="11" spans="1:3" x14ac:dyDescent="0.3">
      <c r="A11" t="s">
        <v>357</v>
      </c>
      <c r="B11" t="s">
        <v>362</v>
      </c>
      <c r="C11" t="s">
        <v>788</v>
      </c>
    </row>
    <row r="12" spans="1:3" x14ac:dyDescent="0.3">
      <c r="A12" t="s">
        <v>359</v>
      </c>
      <c r="B12" t="s">
        <v>791</v>
      </c>
      <c r="C12" t="s">
        <v>788</v>
      </c>
    </row>
    <row r="13" spans="1:3" x14ac:dyDescent="0.3">
      <c r="A13" t="s">
        <v>361</v>
      </c>
      <c r="B13" t="s">
        <v>366</v>
      </c>
      <c r="C13" t="s">
        <v>788</v>
      </c>
    </row>
    <row r="14" spans="1:3" x14ac:dyDescent="0.3">
      <c r="A14" t="s">
        <v>363</v>
      </c>
      <c r="B14" t="s">
        <v>368</v>
      </c>
      <c r="C14" t="s">
        <v>790</v>
      </c>
    </row>
    <row r="15" spans="1:3" x14ac:dyDescent="0.3">
      <c r="A15" t="s">
        <v>373</v>
      </c>
      <c r="B15" t="s">
        <v>376</v>
      </c>
      <c r="C15" t="s">
        <v>790</v>
      </c>
    </row>
    <row r="16" spans="1:3" x14ac:dyDescent="0.3">
      <c r="A16" t="s">
        <v>375</v>
      </c>
      <c r="B16" t="s">
        <v>378</v>
      </c>
      <c r="C16" t="s">
        <v>790</v>
      </c>
    </row>
    <row r="17" spans="1:3" x14ac:dyDescent="0.3">
      <c r="A17" t="s">
        <v>377</v>
      </c>
      <c r="B17" t="s">
        <v>797</v>
      </c>
      <c r="C17" t="s">
        <v>788</v>
      </c>
    </row>
    <row r="18" spans="1:3" x14ac:dyDescent="0.3">
      <c r="A18" t="s">
        <v>379</v>
      </c>
      <c r="B18" t="s">
        <v>796</v>
      </c>
      <c r="C18" t="s">
        <v>788</v>
      </c>
    </row>
    <row r="19" spans="1:3" x14ac:dyDescent="0.3">
      <c r="A19" t="s">
        <v>381</v>
      </c>
      <c r="B19" t="s">
        <v>795</v>
      </c>
      <c r="C19" t="s">
        <v>788</v>
      </c>
    </row>
    <row r="20" spans="1:3" x14ac:dyDescent="0.3">
      <c r="A20" t="s">
        <v>383</v>
      </c>
      <c r="B20" t="s">
        <v>792</v>
      </c>
      <c r="C20" t="s">
        <v>788</v>
      </c>
    </row>
    <row r="21" spans="1:3" x14ac:dyDescent="0.3">
      <c r="A21" t="s">
        <v>403</v>
      </c>
      <c r="B21" t="s">
        <v>793</v>
      </c>
      <c r="C21" t="s">
        <v>788</v>
      </c>
    </row>
    <row r="22" spans="1:3" x14ac:dyDescent="0.3">
      <c r="A22" t="s">
        <v>405</v>
      </c>
      <c r="B22" t="s">
        <v>794</v>
      </c>
      <c r="C22" t="s">
        <v>788</v>
      </c>
    </row>
    <row r="23" spans="1:3" x14ac:dyDescent="0.3">
      <c r="A23" t="s">
        <v>407</v>
      </c>
      <c r="B23" t="s">
        <v>785</v>
      </c>
      <c r="C23" t="s">
        <v>788</v>
      </c>
    </row>
    <row r="24" spans="1:3" x14ac:dyDescent="0.3">
      <c r="A24" t="s">
        <v>409</v>
      </c>
      <c r="B24" t="s">
        <v>786</v>
      </c>
      <c r="C24" t="s">
        <v>788</v>
      </c>
    </row>
    <row r="25" spans="1:3" x14ac:dyDescent="0.3">
      <c r="A25" t="s">
        <v>413</v>
      </c>
      <c r="B25" t="s">
        <v>787</v>
      </c>
      <c r="C25" t="s">
        <v>790</v>
      </c>
    </row>
  </sheetData>
  <phoneticPr fontId="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3F29C-DE51-4275-8560-F454832171D8}">
  <dimension ref="A1:E51"/>
  <sheetViews>
    <sheetView topLeftCell="A32" zoomScaleNormal="100" workbookViewId="0">
      <selection activeCell="A32" sqref="A32:C51"/>
    </sheetView>
  </sheetViews>
  <sheetFormatPr defaultRowHeight="14.4" x14ac:dyDescent="0.3"/>
  <cols>
    <col min="1" max="1" width="37.44140625" customWidth="1"/>
    <col min="2" max="2" width="168" customWidth="1"/>
    <col min="3" max="3" width="24" customWidth="1"/>
    <col min="4" max="4" width="64.6640625" customWidth="1"/>
    <col min="5" max="5" width="28.109375" customWidth="1"/>
  </cols>
  <sheetData>
    <row r="1" spans="1:5" x14ac:dyDescent="0.3">
      <c r="A1" t="s">
        <v>73</v>
      </c>
      <c r="B1" t="s">
        <v>115</v>
      </c>
      <c r="D1" s="24"/>
      <c r="E1" s="24"/>
    </row>
    <row r="2" spans="1:5" x14ac:dyDescent="0.3">
      <c r="A2" s="1" t="s">
        <v>459</v>
      </c>
      <c r="B2" t="s">
        <v>465</v>
      </c>
      <c r="C2" t="s">
        <v>788</v>
      </c>
    </row>
    <row r="3" spans="1:5" x14ac:dyDescent="0.3">
      <c r="A3" s="1" t="s">
        <v>460</v>
      </c>
      <c r="B3" t="s">
        <v>470</v>
      </c>
      <c r="C3" t="s">
        <v>790</v>
      </c>
    </row>
    <row r="4" spans="1:5" x14ac:dyDescent="0.3">
      <c r="A4" s="1" t="s">
        <v>461</v>
      </c>
      <c r="B4" t="s">
        <v>474</v>
      </c>
      <c r="C4" t="s">
        <v>788</v>
      </c>
    </row>
    <row r="5" spans="1:5" x14ac:dyDescent="0.3">
      <c r="A5" s="1" t="s">
        <v>462</v>
      </c>
      <c r="B5" t="s">
        <v>804</v>
      </c>
      <c r="C5" t="s">
        <v>790</v>
      </c>
    </row>
    <row r="6" spans="1:5" x14ac:dyDescent="0.3">
      <c r="A6" s="1" t="s">
        <v>421</v>
      </c>
      <c r="B6" t="s">
        <v>422</v>
      </c>
      <c r="C6" t="s">
        <v>788</v>
      </c>
    </row>
    <row r="7" spans="1:5" x14ac:dyDescent="0.3">
      <c r="A7" s="1" t="s">
        <v>423</v>
      </c>
      <c r="B7" t="s">
        <v>799</v>
      </c>
      <c r="C7" t="s">
        <v>790</v>
      </c>
    </row>
    <row r="8" spans="1:5" x14ac:dyDescent="0.3">
      <c r="A8" s="1" t="s">
        <v>425</v>
      </c>
      <c r="B8" t="s">
        <v>798</v>
      </c>
      <c r="C8" t="s">
        <v>788</v>
      </c>
    </row>
    <row r="9" spans="1:5" x14ac:dyDescent="0.3">
      <c r="A9" s="1" t="s">
        <v>427</v>
      </c>
      <c r="B9" t="s">
        <v>803</v>
      </c>
      <c r="C9" t="s">
        <v>788</v>
      </c>
    </row>
    <row r="10" spans="1:5" x14ac:dyDescent="0.3">
      <c r="A10" s="1" t="s">
        <v>431</v>
      </c>
      <c r="B10" t="s">
        <v>376</v>
      </c>
      <c r="C10" t="s">
        <v>788</v>
      </c>
    </row>
    <row r="11" spans="1:5" x14ac:dyDescent="0.3">
      <c r="A11" s="1" t="s">
        <v>432</v>
      </c>
      <c r="B11" t="s">
        <v>440</v>
      </c>
    </row>
    <row r="12" spans="1:5" x14ac:dyDescent="0.3">
      <c r="A12" s="1" t="s">
        <v>441</v>
      </c>
      <c r="B12" t="s">
        <v>418</v>
      </c>
      <c r="C12" t="s">
        <v>788</v>
      </c>
    </row>
    <row r="13" spans="1:5" x14ac:dyDescent="0.3">
      <c r="A13" s="1" t="s">
        <v>444</v>
      </c>
      <c r="B13" t="s">
        <v>408</v>
      </c>
      <c r="C13" t="s">
        <v>788</v>
      </c>
    </row>
    <row r="14" spans="1:5" x14ac:dyDescent="0.3">
      <c r="A14" s="1" t="s">
        <v>445</v>
      </c>
      <c r="B14" t="s">
        <v>410</v>
      </c>
      <c r="C14" t="s">
        <v>788</v>
      </c>
    </row>
    <row r="15" spans="1:5" x14ac:dyDescent="0.3">
      <c r="A15" s="1" t="s">
        <v>447</v>
      </c>
      <c r="B15" t="s">
        <v>448</v>
      </c>
      <c r="C15" t="s">
        <v>788</v>
      </c>
    </row>
    <row r="16" spans="1:5" x14ac:dyDescent="0.3">
      <c r="A16" s="1" t="s">
        <v>449</v>
      </c>
      <c r="B16" t="s">
        <v>404</v>
      </c>
      <c r="C16" t="s">
        <v>788</v>
      </c>
    </row>
    <row r="17" spans="1:3" x14ac:dyDescent="0.3">
      <c r="A17" s="1" t="s">
        <v>450</v>
      </c>
      <c r="B17" t="s">
        <v>406</v>
      </c>
      <c r="C17" t="s">
        <v>788</v>
      </c>
    </row>
    <row r="18" spans="1:3" x14ac:dyDescent="0.3">
      <c r="A18" s="1" t="s">
        <v>451</v>
      </c>
      <c r="B18" t="s">
        <v>452</v>
      </c>
      <c r="C18" t="s">
        <v>788</v>
      </c>
    </row>
    <row r="19" spans="1:3" x14ac:dyDescent="0.3">
      <c r="A19" s="1" t="s">
        <v>453</v>
      </c>
      <c r="B19" t="s">
        <v>802</v>
      </c>
      <c r="C19" t="s">
        <v>788</v>
      </c>
    </row>
    <row r="20" spans="1:3" x14ac:dyDescent="0.3">
      <c r="A20" s="1" t="s">
        <v>456</v>
      </c>
      <c r="B20" t="s">
        <v>800</v>
      </c>
      <c r="C20" t="s">
        <v>788</v>
      </c>
    </row>
    <row r="21" spans="1:3" x14ac:dyDescent="0.3">
      <c r="A21" s="1" t="s">
        <v>457</v>
      </c>
      <c r="B21" t="s">
        <v>801</v>
      </c>
      <c r="C21" t="s">
        <v>788</v>
      </c>
    </row>
    <row r="22" spans="1:3" x14ac:dyDescent="0.3">
      <c r="A22" s="1" t="s">
        <v>454</v>
      </c>
      <c r="B22" t="s">
        <v>455</v>
      </c>
      <c r="C22" t="s">
        <v>788</v>
      </c>
    </row>
    <row r="23" spans="1:3" x14ac:dyDescent="0.3">
      <c r="A23" s="1" t="s">
        <v>481</v>
      </c>
      <c r="B23" t="s">
        <v>356</v>
      </c>
      <c r="C23" t="s">
        <v>788</v>
      </c>
    </row>
    <row r="24" spans="1:3" x14ac:dyDescent="0.3">
      <c r="A24" s="1" t="s">
        <v>483</v>
      </c>
      <c r="B24" t="s">
        <v>484</v>
      </c>
      <c r="C24" t="s">
        <v>790</v>
      </c>
    </row>
    <row r="25" spans="1:3" x14ac:dyDescent="0.3">
      <c r="A25" s="1" t="s">
        <v>485</v>
      </c>
      <c r="B25" t="s">
        <v>486</v>
      </c>
      <c r="C25" t="s">
        <v>788</v>
      </c>
    </row>
    <row r="26" spans="1:3" x14ac:dyDescent="0.3">
      <c r="A26" s="1" t="s">
        <v>487</v>
      </c>
      <c r="B26" t="s">
        <v>354</v>
      </c>
      <c r="C26" t="s">
        <v>788</v>
      </c>
    </row>
    <row r="32" spans="1:3" x14ac:dyDescent="0.3">
      <c r="A32" t="s">
        <v>805</v>
      </c>
    </row>
    <row r="33" spans="1:1" x14ac:dyDescent="0.3">
      <c r="A33" t="s">
        <v>806</v>
      </c>
    </row>
    <row r="34" spans="1:1" x14ac:dyDescent="0.3">
      <c r="A34" t="s">
        <v>807</v>
      </c>
    </row>
    <row r="35" spans="1:1" x14ac:dyDescent="0.3">
      <c r="A35" t="s">
        <v>808</v>
      </c>
    </row>
    <row r="36" spans="1:1" x14ac:dyDescent="0.3">
      <c r="A36" t="s">
        <v>809</v>
      </c>
    </row>
    <row r="37" spans="1:1" x14ac:dyDescent="0.3">
      <c r="A37" t="s">
        <v>810</v>
      </c>
    </row>
    <row r="38" spans="1:1" x14ac:dyDescent="0.3">
      <c r="A38" t="s">
        <v>811</v>
      </c>
    </row>
    <row r="39" spans="1:1" x14ac:dyDescent="0.3">
      <c r="A39" t="s">
        <v>812</v>
      </c>
    </row>
    <row r="40" spans="1:1" x14ac:dyDescent="0.3">
      <c r="A40" t="s">
        <v>813</v>
      </c>
    </row>
    <row r="41" spans="1:1" x14ac:dyDescent="0.3">
      <c r="A41" t="s">
        <v>814</v>
      </c>
    </row>
    <row r="42" spans="1:1" x14ac:dyDescent="0.3">
      <c r="A42" t="s">
        <v>815</v>
      </c>
    </row>
    <row r="43" spans="1:1" x14ac:dyDescent="0.3">
      <c r="A43" t="s">
        <v>816</v>
      </c>
    </row>
    <row r="44" spans="1:1" x14ac:dyDescent="0.3">
      <c r="A44" t="s">
        <v>817</v>
      </c>
    </row>
    <row r="45" spans="1:1" x14ac:dyDescent="0.3">
      <c r="A45" t="s">
        <v>818</v>
      </c>
    </row>
    <row r="46" spans="1:1" x14ac:dyDescent="0.3">
      <c r="A46" t="s">
        <v>819</v>
      </c>
    </row>
    <row r="47" spans="1:1" x14ac:dyDescent="0.3">
      <c r="A47" t="s">
        <v>820</v>
      </c>
    </row>
    <row r="48" spans="1:1" x14ac:dyDescent="0.3">
      <c r="A48" t="s">
        <v>821</v>
      </c>
    </row>
    <row r="49" spans="1:1" x14ac:dyDescent="0.3">
      <c r="A49" t="s">
        <v>822</v>
      </c>
    </row>
    <row r="50" spans="1:1" x14ac:dyDescent="0.3">
      <c r="A50" t="s">
        <v>823</v>
      </c>
    </row>
    <row r="51" spans="1:1" x14ac:dyDescent="0.3">
      <c r="A51" t="s">
        <v>824</v>
      </c>
    </row>
  </sheetData>
  <phoneticPr fontId="8"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DA505-3F8F-44DF-9BA2-BE9EECDA3F1E}">
  <dimension ref="A1:F54"/>
  <sheetViews>
    <sheetView zoomScale="40" zoomScaleNormal="40" workbookViewId="0">
      <selection activeCell="A2" sqref="A2:B54"/>
    </sheetView>
  </sheetViews>
  <sheetFormatPr defaultRowHeight="14.4" x14ac:dyDescent="0.3"/>
  <cols>
    <col min="1" max="1" width="46.33203125" customWidth="1"/>
    <col min="2" max="2" width="157.88671875" customWidth="1"/>
  </cols>
  <sheetData>
    <row r="1" spans="1:6" x14ac:dyDescent="0.3">
      <c r="A1" s="1" t="s">
        <v>73</v>
      </c>
      <c r="B1" s="1" t="s">
        <v>115</v>
      </c>
    </row>
    <row r="2" spans="1:6" x14ac:dyDescent="0.3">
      <c r="A2" t="s">
        <v>489</v>
      </c>
      <c r="B2" t="s">
        <v>490</v>
      </c>
    </row>
    <row r="3" spans="1:6" x14ac:dyDescent="0.3">
      <c r="A3" t="s">
        <v>491</v>
      </c>
      <c r="B3" t="s">
        <v>492</v>
      </c>
      <c r="E3" t="s">
        <v>493</v>
      </c>
      <c r="F3" t="s">
        <v>494</v>
      </c>
    </row>
    <row r="4" spans="1:6" x14ac:dyDescent="0.3">
      <c r="A4" t="s">
        <v>491</v>
      </c>
      <c r="B4" t="s">
        <v>495</v>
      </c>
    </row>
    <row r="5" spans="1:6" x14ac:dyDescent="0.3">
      <c r="A5" t="s">
        <v>491</v>
      </c>
      <c r="B5" t="s">
        <v>496</v>
      </c>
    </row>
    <row r="6" spans="1:6" x14ac:dyDescent="0.3">
      <c r="A6" t="s">
        <v>491</v>
      </c>
      <c r="B6" t="s">
        <v>497</v>
      </c>
    </row>
    <row r="7" spans="1:6" x14ac:dyDescent="0.3">
      <c r="A7" t="s">
        <v>491</v>
      </c>
      <c r="B7" t="s">
        <v>498</v>
      </c>
    </row>
    <row r="8" spans="1:6" x14ac:dyDescent="0.3">
      <c r="A8" t="s">
        <v>491</v>
      </c>
      <c r="B8" t="s">
        <v>499</v>
      </c>
    </row>
    <row r="9" spans="1:6" x14ac:dyDescent="0.3">
      <c r="A9" t="s">
        <v>491</v>
      </c>
      <c r="B9" t="s">
        <v>500</v>
      </c>
    </row>
    <row r="10" spans="1:6" x14ac:dyDescent="0.3">
      <c r="A10" t="s">
        <v>491</v>
      </c>
      <c r="B10" t="s">
        <v>501</v>
      </c>
    </row>
    <row r="11" spans="1:6" x14ac:dyDescent="0.3">
      <c r="A11" t="s">
        <v>491</v>
      </c>
      <c r="B11" t="s">
        <v>502</v>
      </c>
    </row>
    <row r="12" spans="1:6" x14ac:dyDescent="0.3">
      <c r="A12" t="s">
        <v>491</v>
      </c>
      <c r="B12" t="s">
        <v>503</v>
      </c>
    </row>
    <row r="13" spans="1:6" x14ac:dyDescent="0.3">
      <c r="A13" t="s">
        <v>491</v>
      </c>
      <c r="B13" t="s">
        <v>504</v>
      </c>
    </row>
    <row r="14" spans="1:6" x14ac:dyDescent="0.3">
      <c r="B14" t="s">
        <v>505</v>
      </c>
    </row>
    <row r="15" spans="1:6" x14ac:dyDescent="0.3">
      <c r="B15" t="s">
        <v>506</v>
      </c>
    </row>
    <row r="16" spans="1:6" x14ac:dyDescent="0.3">
      <c r="B16" t="s">
        <v>507</v>
      </c>
    </row>
    <row r="17" spans="1:2" x14ac:dyDescent="0.3">
      <c r="B17" t="s">
        <v>508</v>
      </c>
    </row>
    <row r="18" spans="1:2" x14ac:dyDescent="0.3">
      <c r="A18" t="s">
        <v>509</v>
      </c>
      <c r="B18" t="s">
        <v>510</v>
      </c>
    </row>
    <row r="19" spans="1:2" x14ac:dyDescent="0.3">
      <c r="A19" t="s">
        <v>511</v>
      </c>
      <c r="B19" t="s">
        <v>512</v>
      </c>
    </row>
    <row r="20" spans="1:2" x14ac:dyDescent="0.3">
      <c r="A20" t="s">
        <v>513</v>
      </c>
    </row>
    <row r="21" spans="1:2" x14ac:dyDescent="0.3">
      <c r="A21" t="s">
        <v>514</v>
      </c>
    </row>
    <row r="22" spans="1:2" x14ac:dyDescent="0.3">
      <c r="A22" t="s">
        <v>515</v>
      </c>
    </row>
    <row r="23" spans="1:2" ht="43.2" x14ac:dyDescent="0.3">
      <c r="A23" s="22" t="s">
        <v>489</v>
      </c>
      <c r="B23" s="2" t="s">
        <v>516</v>
      </c>
    </row>
    <row r="24" spans="1:2" x14ac:dyDescent="0.3">
      <c r="A24" s="22" t="s">
        <v>517</v>
      </c>
      <c r="B24" t="s">
        <v>518</v>
      </c>
    </row>
    <row r="25" spans="1:2" x14ac:dyDescent="0.3">
      <c r="A25" s="22" t="s">
        <v>519</v>
      </c>
      <c r="B25" t="s">
        <v>520</v>
      </c>
    </row>
    <row r="26" spans="1:2" x14ac:dyDescent="0.3">
      <c r="A26" s="22" t="s">
        <v>521</v>
      </c>
      <c r="B26" t="s">
        <v>522</v>
      </c>
    </row>
    <row r="27" spans="1:2" x14ac:dyDescent="0.3">
      <c r="A27" s="22" t="s">
        <v>523</v>
      </c>
      <c r="B27" t="s">
        <v>524</v>
      </c>
    </row>
    <row r="28" spans="1:2" x14ac:dyDescent="0.3">
      <c r="A28" s="22" t="s">
        <v>525</v>
      </c>
      <c r="B28" t="s">
        <v>526</v>
      </c>
    </row>
    <row r="29" spans="1:2" x14ac:dyDescent="0.3">
      <c r="A29" s="22" t="s">
        <v>527</v>
      </c>
      <c r="B29" t="s">
        <v>528</v>
      </c>
    </row>
    <row r="30" spans="1:2" x14ac:dyDescent="0.3">
      <c r="A30" s="22" t="s">
        <v>529</v>
      </c>
      <c r="B30" t="s">
        <v>530</v>
      </c>
    </row>
    <row r="31" spans="1:2" x14ac:dyDescent="0.3">
      <c r="A31" s="22" t="s">
        <v>531</v>
      </c>
    </row>
    <row r="33" spans="1:2" x14ac:dyDescent="0.3">
      <c r="A33" s="22" t="s">
        <v>532</v>
      </c>
    </row>
    <row r="34" spans="1:2" x14ac:dyDescent="0.3">
      <c r="A34" t="s">
        <v>533</v>
      </c>
      <c r="B34" t="s">
        <v>503</v>
      </c>
    </row>
    <row r="35" spans="1:2" x14ac:dyDescent="0.3">
      <c r="A35" t="s">
        <v>534</v>
      </c>
      <c r="B35" t="s">
        <v>535</v>
      </c>
    </row>
    <row r="36" spans="1:2" x14ac:dyDescent="0.3">
      <c r="A36" t="s">
        <v>536</v>
      </c>
    </row>
    <row r="37" spans="1:2" x14ac:dyDescent="0.3">
      <c r="A37" t="s">
        <v>537</v>
      </c>
      <c r="B37" t="s">
        <v>538</v>
      </c>
    </row>
    <row r="38" spans="1:2" x14ac:dyDescent="0.3">
      <c r="A38" t="s">
        <v>539</v>
      </c>
      <c r="B38" t="s">
        <v>540</v>
      </c>
    </row>
    <row r="39" spans="1:2" x14ac:dyDescent="0.3">
      <c r="A39" t="s">
        <v>541</v>
      </c>
    </row>
    <row r="43" spans="1:2" x14ac:dyDescent="0.3">
      <c r="A43" t="s">
        <v>542</v>
      </c>
    </row>
    <row r="44" spans="1:2" x14ac:dyDescent="0.3">
      <c r="A44" t="s">
        <v>543</v>
      </c>
      <c r="B44" t="s">
        <v>544</v>
      </c>
    </row>
    <row r="45" spans="1:2" x14ac:dyDescent="0.3">
      <c r="A45" t="s">
        <v>545</v>
      </c>
      <c r="B45" s="2" t="s">
        <v>546</v>
      </c>
    </row>
    <row r="46" spans="1:2" x14ac:dyDescent="0.3">
      <c r="A46" t="s">
        <v>547</v>
      </c>
      <c r="B46" t="s">
        <v>548</v>
      </c>
    </row>
    <row r="47" spans="1:2" x14ac:dyDescent="0.3">
      <c r="A47" t="s">
        <v>549</v>
      </c>
      <c r="B47" t="s">
        <v>550</v>
      </c>
    </row>
    <row r="51" spans="1:2" x14ac:dyDescent="0.3">
      <c r="A51" t="s">
        <v>551</v>
      </c>
    </row>
    <row r="52" spans="1:2" x14ac:dyDescent="0.3">
      <c r="A52" t="s">
        <v>552</v>
      </c>
      <c r="B52" t="s">
        <v>553</v>
      </c>
    </row>
    <row r="53" spans="1:2" x14ac:dyDescent="0.3">
      <c r="A53" t="s">
        <v>554</v>
      </c>
      <c r="B53" t="s">
        <v>555</v>
      </c>
    </row>
    <row r="54" spans="1:2" x14ac:dyDescent="0.3">
      <c r="A54" t="s">
        <v>556</v>
      </c>
      <c r="B54" t="s">
        <v>557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CDBD7-0650-481F-A0EA-02EDA088B5BF}">
  <dimension ref="A1:C43"/>
  <sheetViews>
    <sheetView topLeftCell="A5" zoomScale="70" zoomScaleNormal="70" workbookViewId="0">
      <selection activeCell="A2" sqref="A2:B43"/>
    </sheetView>
  </sheetViews>
  <sheetFormatPr defaultRowHeight="14.4" x14ac:dyDescent="0.3"/>
  <cols>
    <col min="1" max="1" width="36.33203125" customWidth="1"/>
    <col min="2" max="2" width="164.44140625" customWidth="1"/>
  </cols>
  <sheetData>
    <row r="1" spans="1:3" x14ac:dyDescent="0.3">
      <c r="A1" s="1" t="s">
        <v>73</v>
      </c>
      <c r="B1" s="1" t="s">
        <v>115</v>
      </c>
      <c r="C1" s="1" t="s">
        <v>116</v>
      </c>
    </row>
    <row r="2" spans="1:3" x14ac:dyDescent="0.3">
      <c r="A2" t="s">
        <v>558</v>
      </c>
      <c r="B2" t="s">
        <v>559</v>
      </c>
    </row>
    <row r="3" spans="1:3" x14ac:dyDescent="0.3">
      <c r="A3" t="s">
        <v>558</v>
      </c>
    </row>
    <row r="4" spans="1:3" x14ac:dyDescent="0.3">
      <c r="A4" t="s">
        <v>558</v>
      </c>
    </row>
    <row r="5" spans="1:3" x14ac:dyDescent="0.3">
      <c r="A5" t="s">
        <v>558</v>
      </c>
    </row>
    <row r="6" spans="1:3" x14ac:dyDescent="0.3">
      <c r="A6" t="s">
        <v>558</v>
      </c>
    </row>
    <row r="7" spans="1:3" x14ac:dyDescent="0.3">
      <c r="A7" t="s">
        <v>558</v>
      </c>
    </row>
    <row r="8" spans="1:3" x14ac:dyDescent="0.3">
      <c r="A8" t="s">
        <v>558</v>
      </c>
    </row>
    <row r="9" spans="1:3" x14ac:dyDescent="0.3">
      <c r="A9" t="s">
        <v>558</v>
      </c>
    </row>
    <row r="10" spans="1:3" x14ac:dyDescent="0.3">
      <c r="A10" t="s">
        <v>558</v>
      </c>
    </row>
    <row r="11" spans="1:3" x14ac:dyDescent="0.3">
      <c r="A11" t="s">
        <v>558</v>
      </c>
      <c r="B11" t="s">
        <v>560</v>
      </c>
    </row>
    <row r="12" spans="1:3" x14ac:dyDescent="0.3">
      <c r="A12" t="s">
        <v>558</v>
      </c>
      <c r="B12" t="s">
        <v>561</v>
      </c>
    </row>
    <row r="13" spans="1:3" x14ac:dyDescent="0.3">
      <c r="B13" t="s">
        <v>562</v>
      </c>
    </row>
    <row r="14" spans="1:3" x14ac:dyDescent="0.3">
      <c r="B14" t="s">
        <v>563</v>
      </c>
    </row>
    <row r="16" spans="1:3" x14ac:dyDescent="0.3">
      <c r="A16" t="s">
        <v>564</v>
      </c>
      <c r="B16" t="s">
        <v>565</v>
      </c>
    </row>
    <row r="17" spans="1:3" x14ac:dyDescent="0.3">
      <c r="A17" t="s">
        <v>566</v>
      </c>
    </row>
    <row r="18" spans="1:3" x14ac:dyDescent="0.3">
      <c r="A18" t="s">
        <v>567</v>
      </c>
    </row>
    <row r="19" spans="1:3" x14ac:dyDescent="0.3">
      <c r="A19" t="s">
        <v>568</v>
      </c>
      <c r="B19" t="s">
        <v>569</v>
      </c>
    </row>
    <row r="20" spans="1:3" x14ac:dyDescent="0.3">
      <c r="A20" t="s">
        <v>570</v>
      </c>
      <c r="B20" t="s">
        <v>571</v>
      </c>
    </row>
    <row r="22" spans="1:3" x14ac:dyDescent="0.3">
      <c r="B22" s="23" t="s">
        <v>572</v>
      </c>
    </row>
    <row r="23" spans="1:3" x14ac:dyDescent="0.3">
      <c r="A23" t="s">
        <v>573</v>
      </c>
      <c r="B23" t="s">
        <v>574</v>
      </c>
    </row>
    <row r="25" spans="1:3" x14ac:dyDescent="0.3">
      <c r="B25" t="s">
        <v>575</v>
      </c>
      <c r="C25" s="23" t="s">
        <v>576</v>
      </c>
    </row>
    <row r="28" spans="1:3" x14ac:dyDescent="0.3">
      <c r="A28" t="s">
        <v>577</v>
      </c>
      <c r="B28" t="s">
        <v>578</v>
      </c>
    </row>
    <row r="29" spans="1:3" x14ac:dyDescent="0.3">
      <c r="B29" t="s">
        <v>559</v>
      </c>
    </row>
    <row r="30" spans="1:3" x14ac:dyDescent="0.3">
      <c r="B30" t="s">
        <v>579</v>
      </c>
    </row>
    <row r="31" spans="1:3" x14ac:dyDescent="0.3">
      <c r="B31" s="22" t="s">
        <v>580</v>
      </c>
    </row>
    <row r="32" spans="1:3" x14ac:dyDescent="0.3">
      <c r="B32" t="s">
        <v>581</v>
      </c>
    </row>
    <row r="36" spans="1:2" x14ac:dyDescent="0.3">
      <c r="A36" t="s">
        <v>582</v>
      </c>
      <c r="B36" t="s">
        <v>583</v>
      </c>
    </row>
    <row r="40" spans="1:2" x14ac:dyDescent="0.3">
      <c r="A40" t="s">
        <v>584</v>
      </c>
      <c r="B40" t="s">
        <v>585</v>
      </c>
    </row>
    <row r="43" spans="1:2" x14ac:dyDescent="0.3">
      <c r="A43" t="s">
        <v>586</v>
      </c>
    </row>
  </sheetData>
  <hyperlinks>
    <hyperlink ref="B22" r:id="rId1" xr:uid="{322AAA06-A2C6-417B-BF27-0F21121AD8A7}"/>
    <hyperlink ref="C25" r:id="rId2" xr:uid="{7A88608D-8E6A-4333-B9DD-213E79195422}"/>
  </hyperlinks>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DD698-1EF4-4909-A808-36D7CED732BF}">
  <dimension ref="A1:N58"/>
  <sheetViews>
    <sheetView tabSelected="1" topLeftCell="A21" zoomScale="98" zoomScaleNormal="55" workbookViewId="0">
      <selection activeCell="B27" sqref="B27"/>
    </sheetView>
  </sheetViews>
  <sheetFormatPr defaultRowHeight="14.4" x14ac:dyDescent="0.3"/>
  <cols>
    <col min="1" max="1" width="21.33203125" customWidth="1"/>
    <col min="2" max="2" width="144.6640625" customWidth="1"/>
    <col min="3" max="3" width="22.33203125" customWidth="1"/>
    <col min="9" max="9" width="21.88671875" customWidth="1"/>
  </cols>
  <sheetData>
    <row r="1" spans="1:9" x14ac:dyDescent="0.3">
      <c r="A1" s="29" t="s">
        <v>73</v>
      </c>
      <c r="B1" s="29" t="s">
        <v>115</v>
      </c>
      <c r="C1" s="21" t="s">
        <v>587</v>
      </c>
    </row>
    <row r="2" spans="1:9" ht="14.4" customHeight="1" x14ac:dyDescent="0.3">
      <c r="A2" s="30" t="s">
        <v>588</v>
      </c>
      <c r="B2" s="30" t="s">
        <v>589</v>
      </c>
      <c r="C2" t="s">
        <v>590</v>
      </c>
    </row>
    <row r="3" spans="1:9" x14ac:dyDescent="0.3">
      <c r="A3" s="30" t="s">
        <v>591</v>
      </c>
      <c r="B3" s="30" t="s">
        <v>592</v>
      </c>
      <c r="C3" t="s">
        <v>593</v>
      </c>
    </row>
    <row r="4" spans="1:9" x14ac:dyDescent="0.3">
      <c r="A4" s="30" t="s">
        <v>594</v>
      </c>
      <c r="B4" s="30" t="s">
        <v>595</v>
      </c>
      <c r="C4" t="s">
        <v>596</v>
      </c>
    </row>
    <row r="5" spans="1:9" x14ac:dyDescent="0.3">
      <c r="A5" s="30" t="s">
        <v>597</v>
      </c>
      <c r="B5" s="30" t="s">
        <v>598</v>
      </c>
      <c r="C5" t="s">
        <v>596</v>
      </c>
    </row>
    <row r="6" spans="1:9" x14ac:dyDescent="0.3">
      <c r="A6" s="30" t="s">
        <v>599</v>
      </c>
      <c r="B6" s="30" t="s">
        <v>600</v>
      </c>
      <c r="C6" t="s">
        <v>596</v>
      </c>
    </row>
    <row r="7" spans="1:9" x14ac:dyDescent="0.3">
      <c r="A7" s="30" t="s">
        <v>601</v>
      </c>
      <c r="B7" s="30" t="s">
        <v>602</v>
      </c>
      <c r="C7" t="s">
        <v>603</v>
      </c>
      <c r="I7" s="23" t="s">
        <v>604</v>
      </c>
    </row>
    <row r="8" spans="1:9" x14ac:dyDescent="0.3">
      <c r="A8" s="30" t="s">
        <v>605</v>
      </c>
      <c r="B8" s="30" t="s">
        <v>606</v>
      </c>
      <c r="C8" t="s">
        <v>607</v>
      </c>
      <c r="I8" s="23" t="s">
        <v>608</v>
      </c>
    </row>
    <row r="9" spans="1:9" x14ac:dyDescent="0.3">
      <c r="A9" s="30"/>
      <c r="B9" s="30"/>
      <c r="I9" s="23" t="s">
        <v>609</v>
      </c>
    </row>
    <row r="10" spans="1:9" x14ac:dyDescent="0.3">
      <c r="A10" s="30" t="s">
        <v>610</v>
      </c>
      <c r="B10" s="30" t="s">
        <v>611</v>
      </c>
      <c r="C10" t="s">
        <v>612</v>
      </c>
      <c r="I10" s="23" t="s">
        <v>613</v>
      </c>
    </row>
    <row r="11" spans="1:9" x14ac:dyDescent="0.3">
      <c r="A11" s="30" t="s">
        <v>614</v>
      </c>
      <c r="B11" s="30" t="s">
        <v>615</v>
      </c>
      <c r="C11" t="s">
        <v>612</v>
      </c>
    </row>
    <row r="12" spans="1:9" x14ac:dyDescent="0.3">
      <c r="A12" s="30" t="s">
        <v>616</v>
      </c>
      <c r="B12" s="30" t="s">
        <v>617</v>
      </c>
      <c r="C12" t="s">
        <v>607</v>
      </c>
    </row>
    <row r="13" spans="1:9" x14ac:dyDescent="0.3">
      <c r="A13" s="30" t="s">
        <v>618</v>
      </c>
      <c r="B13" s="30" t="s">
        <v>619</v>
      </c>
      <c r="C13" t="s">
        <v>607</v>
      </c>
    </row>
    <row r="14" spans="1:9" x14ac:dyDescent="0.3">
      <c r="A14" s="30"/>
      <c r="B14" s="30"/>
    </row>
    <row r="15" spans="1:9" x14ac:dyDescent="0.3">
      <c r="A15" s="30" t="s">
        <v>620</v>
      </c>
      <c r="B15" s="30" t="s">
        <v>621</v>
      </c>
      <c r="C15" t="s">
        <v>603</v>
      </c>
    </row>
    <row r="16" spans="1:9" x14ac:dyDescent="0.3">
      <c r="A16" s="30" t="s">
        <v>622</v>
      </c>
      <c r="B16" s="30" t="s">
        <v>623</v>
      </c>
      <c r="C16" t="s">
        <v>607</v>
      </c>
    </row>
    <row r="17" spans="1:3" x14ac:dyDescent="0.3">
      <c r="A17" s="30" t="s">
        <v>624</v>
      </c>
      <c r="B17" s="30" t="s">
        <v>625</v>
      </c>
      <c r="C17" t="s">
        <v>607</v>
      </c>
    </row>
    <row r="18" spans="1:3" x14ac:dyDescent="0.3">
      <c r="A18" s="30" t="s">
        <v>626</v>
      </c>
      <c r="B18" s="30" t="s">
        <v>627</v>
      </c>
      <c r="C18" t="s">
        <v>607</v>
      </c>
    </row>
    <row r="19" spans="1:3" x14ac:dyDescent="0.3">
      <c r="A19" s="30" t="s">
        <v>628</v>
      </c>
      <c r="B19" s="30" t="s">
        <v>629</v>
      </c>
      <c r="C19" t="s">
        <v>630</v>
      </c>
    </row>
    <row r="20" spans="1:3" x14ac:dyDescent="0.3">
      <c r="A20" s="30" t="s">
        <v>631</v>
      </c>
      <c r="B20" s="30" t="s">
        <v>632</v>
      </c>
      <c r="C20" t="s">
        <v>633</v>
      </c>
    </row>
    <row r="21" spans="1:3" x14ac:dyDescent="0.3">
      <c r="A21" s="30" t="s">
        <v>634</v>
      </c>
      <c r="B21" s="30" t="s">
        <v>635</v>
      </c>
      <c r="C21" t="s">
        <v>612</v>
      </c>
    </row>
    <row r="22" spans="1:3" x14ac:dyDescent="0.3">
      <c r="A22" s="30" t="s">
        <v>636</v>
      </c>
      <c r="B22" s="30" t="s">
        <v>637</v>
      </c>
      <c r="C22" t="s">
        <v>612</v>
      </c>
    </row>
    <row r="23" spans="1:3" x14ac:dyDescent="0.3">
      <c r="A23" s="30" t="s">
        <v>638</v>
      </c>
      <c r="B23" s="30" t="s">
        <v>639</v>
      </c>
      <c r="C23" t="s">
        <v>596</v>
      </c>
    </row>
    <row r="24" spans="1:3" x14ac:dyDescent="0.3">
      <c r="A24" s="30"/>
      <c r="B24" s="30"/>
    </row>
    <row r="25" spans="1:3" x14ac:dyDescent="0.3">
      <c r="A25" s="30" t="s">
        <v>640</v>
      </c>
      <c r="B25" s="30" t="s">
        <v>641</v>
      </c>
      <c r="C25" t="s">
        <v>642</v>
      </c>
    </row>
    <row r="26" spans="1:3" x14ac:dyDescent="0.3">
      <c r="A26" s="30" t="s">
        <v>643</v>
      </c>
      <c r="B26" s="30" t="s">
        <v>644</v>
      </c>
      <c r="C26" t="s">
        <v>607</v>
      </c>
    </row>
    <row r="27" spans="1:3" x14ac:dyDescent="0.3">
      <c r="A27" s="30" t="s">
        <v>645</v>
      </c>
      <c r="B27" s="30" t="s">
        <v>646</v>
      </c>
      <c r="C27" t="s">
        <v>612</v>
      </c>
    </row>
    <row r="28" spans="1:3" x14ac:dyDescent="0.3">
      <c r="A28" s="30" t="s">
        <v>647</v>
      </c>
      <c r="B28" s="30" t="s">
        <v>648</v>
      </c>
      <c r="C28" t="s">
        <v>607</v>
      </c>
    </row>
    <row r="29" spans="1:3" x14ac:dyDescent="0.3">
      <c r="A29" s="30" t="s">
        <v>649</v>
      </c>
      <c r="B29" s="30" t="s">
        <v>650</v>
      </c>
      <c r="C29" t="s">
        <v>607</v>
      </c>
    </row>
    <row r="30" spans="1:3" x14ac:dyDescent="0.3">
      <c r="A30" s="30" t="s">
        <v>651</v>
      </c>
      <c r="B30" s="30" t="s">
        <v>378</v>
      </c>
      <c r="C30" t="s">
        <v>607</v>
      </c>
    </row>
    <row r="31" spans="1:3" x14ac:dyDescent="0.3">
      <c r="A31" s="30" t="s">
        <v>652</v>
      </c>
      <c r="B31" s="30" t="s">
        <v>653</v>
      </c>
      <c r="C31" t="s">
        <v>612</v>
      </c>
    </row>
    <row r="32" spans="1:3" x14ac:dyDescent="0.3">
      <c r="A32" s="30" t="s">
        <v>654</v>
      </c>
      <c r="B32" s="30" t="s">
        <v>655</v>
      </c>
      <c r="C32" t="s">
        <v>612</v>
      </c>
    </row>
    <row r="33" spans="1:14" x14ac:dyDescent="0.3">
      <c r="A33" s="30" t="s">
        <v>656</v>
      </c>
      <c r="B33" s="30" t="s">
        <v>657</v>
      </c>
      <c r="C33" t="s">
        <v>658</v>
      </c>
    </row>
    <row r="34" spans="1:14" x14ac:dyDescent="0.3">
      <c r="A34" s="30" t="s">
        <v>659</v>
      </c>
      <c r="B34" s="30" t="s">
        <v>660</v>
      </c>
      <c r="C34" t="s">
        <v>612</v>
      </c>
    </row>
    <row r="35" spans="1:14" x14ac:dyDescent="0.3">
      <c r="A35" s="30" t="s">
        <v>661</v>
      </c>
      <c r="B35" s="30" t="s">
        <v>662</v>
      </c>
      <c r="C35" t="s">
        <v>612</v>
      </c>
    </row>
    <row r="36" spans="1:14" x14ac:dyDescent="0.3">
      <c r="A36" s="30" t="s">
        <v>663</v>
      </c>
      <c r="B36" s="30" t="s">
        <v>664</v>
      </c>
      <c r="C36" t="s">
        <v>612</v>
      </c>
    </row>
    <row r="37" spans="1:14" x14ac:dyDescent="0.3">
      <c r="A37" s="30" t="s">
        <v>665</v>
      </c>
      <c r="B37" s="30" t="s">
        <v>666</v>
      </c>
      <c r="C37" t="s">
        <v>612</v>
      </c>
    </row>
    <row r="38" spans="1:14" x14ac:dyDescent="0.3">
      <c r="A38" s="30" t="s">
        <v>667</v>
      </c>
      <c r="B38" s="30" t="s">
        <v>668</v>
      </c>
      <c r="C38" t="s">
        <v>658</v>
      </c>
    </row>
    <row r="39" spans="1:14" x14ac:dyDescent="0.3">
      <c r="A39" s="30" t="s">
        <v>669</v>
      </c>
      <c r="B39" s="30" t="s">
        <v>670</v>
      </c>
      <c r="C39" t="s">
        <v>612</v>
      </c>
    </row>
    <row r="40" spans="1:14" x14ac:dyDescent="0.3">
      <c r="A40" s="30" t="s">
        <v>671</v>
      </c>
      <c r="B40" s="30" t="s">
        <v>672</v>
      </c>
      <c r="C40" t="s">
        <v>612</v>
      </c>
    </row>
    <row r="41" spans="1:14" x14ac:dyDescent="0.3">
      <c r="A41" s="30" t="s">
        <v>673</v>
      </c>
      <c r="B41" s="30" t="s">
        <v>674</v>
      </c>
      <c r="C41" t="s">
        <v>658</v>
      </c>
    </row>
    <row r="42" spans="1:14" x14ac:dyDescent="0.3">
      <c r="A42" s="30"/>
      <c r="B42" s="30"/>
    </row>
    <row r="43" spans="1:14" x14ac:dyDescent="0.3">
      <c r="A43" s="30" t="s">
        <v>675</v>
      </c>
      <c r="B43" s="30" t="s">
        <v>676</v>
      </c>
      <c r="C43" t="s">
        <v>596</v>
      </c>
    </row>
    <row r="44" spans="1:14" x14ac:dyDescent="0.3">
      <c r="A44" s="30" t="s">
        <v>677</v>
      </c>
      <c r="B44" s="30" t="s">
        <v>678</v>
      </c>
      <c r="C44" t="s">
        <v>596</v>
      </c>
    </row>
    <row r="45" spans="1:14" x14ac:dyDescent="0.3">
      <c r="A45" s="30" t="s">
        <v>679</v>
      </c>
      <c r="B45" s="30" t="s">
        <v>680</v>
      </c>
      <c r="C45" t="s">
        <v>658</v>
      </c>
    </row>
    <row r="46" spans="1:14" x14ac:dyDescent="0.3">
      <c r="A46" s="30" t="s">
        <v>681</v>
      </c>
      <c r="B46" s="30" t="s">
        <v>682</v>
      </c>
      <c r="C46" t="s">
        <v>607</v>
      </c>
    </row>
    <row r="48" spans="1:14" x14ac:dyDescent="0.3">
      <c r="M48" s="23" t="s">
        <v>683</v>
      </c>
      <c r="N48" s="23" t="s">
        <v>684</v>
      </c>
    </row>
    <row r="49" spans="1:14" x14ac:dyDescent="0.3">
      <c r="I49" t="s">
        <v>685</v>
      </c>
      <c r="J49">
        <v>0.4</v>
      </c>
      <c r="K49">
        <v>0.4</v>
      </c>
      <c r="L49" t="s">
        <v>686</v>
      </c>
      <c r="N49">
        <v>1.43</v>
      </c>
    </row>
    <row r="50" spans="1:14" x14ac:dyDescent="0.3">
      <c r="I50" t="s">
        <v>687</v>
      </c>
      <c r="J50">
        <v>0.3</v>
      </c>
      <c r="K50">
        <v>0.3</v>
      </c>
      <c r="L50" t="s">
        <v>688</v>
      </c>
      <c r="M50">
        <v>0.67</v>
      </c>
      <c r="N50">
        <v>0.56999999999999995</v>
      </c>
    </row>
    <row r="51" spans="1:14" x14ac:dyDescent="0.3">
      <c r="I51" t="s">
        <v>689</v>
      </c>
      <c r="J51">
        <v>7</v>
      </c>
      <c r="K51">
        <v>7</v>
      </c>
      <c r="L51" t="s">
        <v>690</v>
      </c>
      <c r="M51">
        <v>6</v>
      </c>
      <c r="N51">
        <v>7</v>
      </c>
    </row>
    <row r="52" spans="1:14" x14ac:dyDescent="0.3">
      <c r="A52" s="30"/>
      <c r="B52" s="2"/>
      <c r="I52" t="s">
        <v>691</v>
      </c>
      <c r="J52">
        <v>0.2</v>
      </c>
      <c r="K52">
        <v>0.2</v>
      </c>
      <c r="L52">
        <v>0.2</v>
      </c>
      <c r="M52">
        <v>1.35</v>
      </c>
      <c r="N52">
        <v>0.25</v>
      </c>
    </row>
    <row r="53" spans="1:14" x14ac:dyDescent="0.3">
      <c r="A53" s="30"/>
      <c r="B53" s="2"/>
      <c r="I53" t="s">
        <v>692</v>
      </c>
      <c r="J53">
        <v>0.1</v>
      </c>
      <c r="K53">
        <v>0.1</v>
      </c>
      <c r="L53" t="s">
        <v>693</v>
      </c>
    </row>
    <row r="54" spans="1:14" x14ac:dyDescent="0.3">
      <c r="A54" s="30"/>
      <c r="B54" s="2"/>
      <c r="I54" t="s">
        <v>694</v>
      </c>
      <c r="J54">
        <v>0.2</v>
      </c>
      <c r="K54">
        <v>0.2</v>
      </c>
      <c r="L54" t="s">
        <v>695</v>
      </c>
    </row>
    <row r="55" spans="1:14" x14ac:dyDescent="0.3">
      <c r="A55" s="30"/>
      <c r="B55" s="2"/>
      <c r="I55" t="s">
        <v>696</v>
      </c>
      <c r="J55">
        <v>0.15</v>
      </c>
      <c r="L55" t="s">
        <v>697</v>
      </c>
    </row>
    <row r="58" spans="1:14" x14ac:dyDescent="0.3">
      <c r="K58">
        <f>0.03</f>
        <v>0.03</v>
      </c>
    </row>
  </sheetData>
  <hyperlinks>
    <hyperlink ref="I9" r:id="rId1" xr:uid="{A1452880-163B-404C-90F0-544ABCBD482F}"/>
    <hyperlink ref="I10" r:id="rId2" location=":~:text=Relationship%20between%20Accuracy%20Measurements,-Assuming%20normal%20distributions&amp;text=There%20is%20a%20correspondence%20between,and%20xm%20(x%20sigma" xr:uid="{E918D637-11FF-4B81-877C-F2F9F44F59AE}"/>
    <hyperlink ref="I8" r:id="rId3" xr:uid="{BE90FA46-59EA-4AAB-8708-684C22F1122A}"/>
    <hyperlink ref="I7" r:id="rId4" xr:uid="{80EB383C-642D-4FAE-8912-41239B277137}"/>
    <hyperlink ref="M48" r:id="rId5" xr:uid="{D814D1A9-D4AE-401D-85D4-40C7595688EC}"/>
    <hyperlink ref="N48" r:id="rId6" xr:uid="{A32C7B97-75A2-4073-A0A5-BD3F415F71AA}"/>
  </hyperlinks>
  <pageMargins left="0.7" right="0.7" top="0.75" bottom="0.75" header="0.3" footer="0.3"/>
  <drawing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7C955-FA5D-45B2-89AB-8B95A009C244}">
  <dimension ref="A1:I243"/>
  <sheetViews>
    <sheetView zoomScale="49" zoomScaleNormal="100" workbookViewId="0">
      <selection sqref="A1:C1"/>
    </sheetView>
  </sheetViews>
  <sheetFormatPr defaultColWidth="8.88671875" defaultRowHeight="14.4" x14ac:dyDescent="0.3"/>
  <cols>
    <col min="1" max="1" width="22.109375" style="2" customWidth="1"/>
    <col min="2" max="2" width="60.109375" style="2" customWidth="1"/>
    <col min="3" max="3" width="15.33203125" style="2" customWidth="1"/>
    <col min="4" max="16384" width="8.88671875" style="2"/>
  </cols>
  <sheetData>
    <row r="1" spans="1:9" x14ac:dyDescent="0.3">
      <c r="A1" s="33" t="s">
        <v>73</v>
      </c>
      <c r="B1" s="33" t="s">
        <v>74</v>
      </c>
      <c r="C1" s="33" t="s">
        <v>698</v>
      </c>
      <c r="D1" s="33"/>
    </row>
    <row r="2" spans="1:9" x14ac:dyDescent="0.3">
      <c r="A2" s="55" t="s">
        <v>699</v>
      </c>
      <c r="B2" s="55"/>
      <c r="C2" s="55"/>
      <c r="F2" s="39"/>
      <c r="G2" s="34" t="s">
        <v>700</v>
      </c>
      <c r="H2" s="1" t="s">
        <v>701</v>
      </c>
      <c r="I2" s="33"/>
    </row>
    <row r="3" spans="1:9" x14ac:dyDescent="0.3">
      <c r="A3" s="35" t="s">
        <v>76</v>
      </c>
      <c r="B3" s="2" t="s">
        <v>77</v>
      </c>
      <c r="F3" s="33"/>
      <c r="G3" s="33"/>
      <c r="H3" s="33"/>
      <c r="I3" s="33"/>
    </row>
    <row r="4" spans="1:9" x14ac:dyDescent="0.3">
      <c r="A4" s="35" t="s">
        <v>81</v>
      </c>
      <c r="B4" s="2" t="s">
        <v>82</v>
      </c>
    </row>
    <row r="5" spans="1:9" x14ac:dyDescent="0.3">
      <c r="A5" s="35" t="s">
        <v>84</v>
      </c>
      <c r="B5" s="2" t="s">
        <v>85</v>
      </c>
    </row>
    <row r="6" spans="1:9" x14ac:dyDescent="0.3">
      <c r="A6" s="35" t="s">
        <v>87</v>
      </c>
      <c r="B6" s="2" t="s">
        <v>88</v>
      </c>
    </row>
    <row r="7" spans="1:9" x14ac:dyDescent="0.3">
      <c r="A7" s="35" t="s">
        <v>87</v>
      </c>
      <c r="B7" s="2" t="s">
        <v>90</v>
      </c>
    </row>
    <row r="8" spans="1:9" x14ac:dyDescent="0.3">
      <c r="A8" s="35" t="s">
        <v>93</v>
      </c>
      <c r="B8" s="2" t="s">
        <v>94</v>
      </c>
    </row>
    <row r="9" spans="1:9" x14ac:dyDescent="0.3">
      <c r="A9" s="35" t="s">
        <v>95</v>
      </c>
      <c r="B9" s="2" t="s">
        <v>96</v>
      </c>
    </row>
    <row r="10" spans="1:9" x14ac:dyDescent="0.3">
      <c r="A10" s="35" t="s">
        <v>97</v>
      </c>
      <c r="B10" s="2" t="s">
        <v>98</v>
      </c>
    </row>
    <row r="11" spans="1:9" ht="28.8" x14ac:dyDescent="0.3">
      <c r="A11" s="35" t="s">
        <v>100</v>
      </c>
      <c r="B11" s="2" t="s">
        <v>101</v>
      </c>
    </row>
    <row r="12" spans="1:9" ht="28.8" x14ac:dyDescent="0.3">
      <c r="A12" s="35" t="s">
        <v>102</v>
      </c>
      <c r="B12" s="2" t="s">
        <v>103</v>
      </c>
    </row>
    <row r="13" spans="1:9" x14ac:dyDescent="0.3">
      <c r="A13" s="56" t="s">
        <v>20</v>
      </c>
      <c r="B13" s="56"/>
      <c r="C13" s="56"/>
    </row>
    <row r="14" spans="1:9" x14ac:dyDescent="0.3">
      <c r="A14" s="2" t="s">
        <v>702</v>
      </c>
      <c r="B14" s="38" t="s">
        <v>703</v>
      </c>
      <c r="D14"/>
    </row>
    <row r="15" spans="1:9" ht="28.8" x14ac:dyDescent="0.3">
      <c r="A15" s="2" t="s">
        <v>704</v>
      </c>
      <c r="B15" s="2" t="s">
        <v>174</v>
      </c>
    </row>
    <row r="16" spans="1:9" ht="28.8" x14ac:dyDescent="0.3">
      <c r="A16" s="2" t="s">
        <v>705</v>
      </c>
      <c r="B16" s="38" t="s">
        <v>706</v>
      </c>
    </row>
    <row r="17" spans="1:2" ht="28.8" x14ac:dyDescent="0.3">
      <c r="A17" s="2" t="s">
        <v>707</v>
      </c>
      <c r="B17" s="38" t="s">
        <v>176</v>
      </c>
    </row>
    <row r="18" spans="1:2" ht="28.8" x14ac:dyDescent="0.3">
      <c r="A18" s="2" t="s">
        <v>708</v>
      </c>
      <c r="B18" s="38" t="s">
        <v>709</v>
      </c>
    </row>
    <row r="19" spans="1:2" ht="28.8" x14ac:dyDescent="0.3">
      <c r="A19" s="2" t="s">
        <v>710</v>
      </c>
      <c r="B19" s="38" t="s">
        <v>178</v>
      </c>
    </row>
    <row r="20" spans="1:2" ht="28.8" x14ac:dyDescent="0.3">
      <c r="A20" s="2" t="s">
        <v>711</v>
      </c>
      <c r="B20" s="38" t="s">
        <v>179</v>
      </c>
    </row>
    <row r="21" spans="1:2" ht="28.8" x14ac:dyDescent="0.3">
      <c r="A21" s="2" t="s">
        <v>712</v>
      </c>
      <c r="B21" s="38" t="s">
        <v>180</v>
      </c>
    </row>
    <row r="22" spans="1:2" x14ac:dyDescent="0.3">
      <c r="A22" s="2" t="s">
        <v>713</v>
      </c>
      <c r="B22" s="2" t="s">
        <v>181</v>
      </c>
    </row>
    <row r="23" spans="1:2" ht="28.8" x14ac:dyDescent="0.3">
      <c r="A23" s="2" t="s">
        <v>714</v>
      </c>
      <c r="B23" s="38" t="s">
        <v>182</v>
      </c>
    </row>
    <row r="24" spans="1:2" ht="28.8" x14ac:dyDescent="0.3">
      <c r="A24" s="2" t="s">
        <v>715</v>
      </c>
      <c r="B24" s="2" t="s">
        <v>183</v>
      </c>
    </row>
    <row r="25" spans="1:2" ht="28.8" x14ac:dyDescent="0.3">
      <c r="A25" s="2" t="s">
        <v>716</v>
      </c>
      <c r="B25" s="2" t="s">
        <v>184</v>
      </c>
    </row>
    <row r="26" spans="1:2" x14ac:dyDescent="0.3">
      <c r="A26" s="2" t="s">
        <v>717</v>
      </c>
      <c r="B26" s="38" t="s">
        <v>185</v>
      </c>
    </row>
    <row r="27" spans="1:2" ht="28.8" x14ac:dyDescent="0.3">
      <c r="A27" s="2" t="s">
        <v>718</v>
      </c>
      <c r="B27" s="2" t="s">
        <v>719</v>
      </c>
    </row>
    <row r="28" spans="1:2" ht="28.8" x14ac:dyDescent="0.3">
      <c r="A28" s="2" t="s">
        <v>720</v>
      </c>
      <c r="B28" s="38" t="s">
        <v>187</v>
      </c>
    </row>
    <row r="29" spans="1:2" x14ac:dyDescent="0.3">
      <c r="A29" s="2" t="s">
        <v>721</v>
      </c>
      <c r="B29" s="38" t="s">
        <v>188</v>
      </c>
    </row>
    <row r="30" spans="1:2" x14ac:dyDescent="0.3">
      <c r="A30" s="2" t="s">
        <v>722</v>
      </c>
      <c r="B30" s="38" t="s">
        <v>723</v>
      </c>
    </row>
    <row r="31" spans="1:2" x14ac:dyDescent="0.3">
      <c r="A31" s="2" t="s">
        <v>724</v>
      </c>
      <c r="B31" s="38" t="s">
        <v>190</v>
      </c>
    </row>
    <row r="32" spans="1:2" x14ac:dyDescent="0.3">
      <c r="A32" s="2" t="s">
        <v>725</v>
      </c>
      <c r="B32" s="2" t="s">
        <v>191</v>
      </c>
    </row>
    <row r="33" spans="1:3" x14ac:dyDescent="0.3">
      <c r="A33" s="2" t="s">
        <v>726</v>
      </c>
      <c r="B33" s="2" t="s">
        <v>192</v>
      </c>
    </row>
    <row r="34" spans="1:3" x14ac:dyDescent="0.3">
      <c r="A34" s="2" t="s">
        <v>727</v>
      </c>
      <c r="B34" s="38" t="s">
        <v>193</v>
      </c>
    </row>
    <row r="35" spans="1:3" x14ac:dyDescent="0.3">
      <c r="A35" s="55" t="s">
        <v>728</v>
      </c>
      <c r="B35" s="55"/>
      <c r="C35" s="55"/>
    </row>
    <row r="36" spans="1:3" ht="28.8" x14ac:dyDescent="0.3">
      <c r="A36" s="2" t="s">
        <v>729</v>
      </c>
      <c r="B36" s="35" t="s">
        <v>197</v>
      </c>
    </row>
    <row r="37" spans="1:3" ht="28.8" x14ac:dyDescent="0.3">
      <c r="A37" s="2" t="s">
        <v>730</v>
      </c>
      <c r="B37" s="2" t="s">
        <v>198</v>
      </c>
    </row>
    <row r="38" spans="1:3" ht="28.8" x14ac:dyDescent="0.3">
      <c r="A38" s="2" t="s">
        <v>731</v>
      </c>
      <c r="B38" s="2" t="s">
        <v>199</v>
      </c>
    </row>
    <row r="39" spans="1:3" ht="28.8" x14ac:dyDescent="0.3">
      <c r="A39" s="2" t="s">
        <v>732</v>
      </c>
      <c r="B39" s="2" t="s">
        <v>201</v>
      </c>
    </row>
    <row r="40" spans="1:3" ht="28.8" x14ac:dyDescent="0.3">
      <c r="A40" s="2" t="s">
        <v>733</v>
      </c>
      <c r="B40" s="2" t="s">
        <v>202</v>
      </c>
    </row>
    <row r="41" spans="1:3" ht="43.2" x14ac:dyDescent="0.3">
      <c r="A41" s="2" t="s">
        <v>734</v>
      </c>
      <c r="B41" s="2" t="s">
        <v>203</v>
      </c>
    </row>
    <row r="42" spans="1:3" x14ac:dyDescent="0.3">
      <c r="A42" s="2" t="s">
        <v>735</v>
      </c>
      <c r="B42" s="38" t="s">
        <v>204</v>
      </c>
    </row>
    <row r="43" spans="1:3" x14ac:dyDescent="0.3">
      <c r="A43" s="2" t="s">
        <v>736</v>
      </c>
      <c r="B43" s="2" t="s">
        <v>205</v>
      </c>
    </row>
    <row r="44" spans="1:3" x14ac:dyDescent="0.3">
      <c r="A44" s="2" t="s">
        <v>737</v>
      </c>
      <c r="B44" s="2" t="s">
        <v>206</v>
      </c>
    </row>
    <row r="45" spans="1:3" x14ac:dyDescent="0.3">
      <c r="A45" s="2" t="s">
        <v>738</v>
      </c>
      <c r="B45" s="2" t="s">
        <v>207</v>
      </c>
    </row>
    <row r="46" spans="1:3" x14ac:dyDescent="0.3">
      <c r="A46" s="2" t="s">
        <v>739</v>
      </c>
      <c r="B46" s="2" t="s">
        <v>208</v>
      </c>
    </row>
    <row r="47" spans="1:3" x14ac:dyDescent="0.3">
      <c r="A47" s="55" t="s">
        <v>17</v>
      </c>
      <c r="B47" s="55"/>
      <c r="C47" s="55"/>
    </row>
    <row r="48" spans="1:3" ht="28.8" x14ac:dyDescent="0.3">
      <c r="A48" s="2" t="s">
        <v>339</v>
      </c>
      <c r="B48" s="2" t="s">
        <v>340</v>
      </c>
    </row>
    <row r="49" spans="1:2" ht="28.8" x14ac:dyDescent="0.3">
      <c r="A49" s="2" t="s">
        <v>341</v>
      </c>
      <c r="B49" s="2" t="s">
        <v>342</v>
      </c>
    </row>
    <row r="50" spans="1:2" ht="43.2" x14ac:dyDescent="0.3">
      <c r="A50" s="2" t="s">
        <v>343</v>
      </c>
      <c r="B50" s="2" t="s">
        <v>344</v>
      </c>
    </row>
    <row r="51" spans="1:2" ht="28.8" x14ac:dyDescent="0.3">
      <c r="A51" s="2" t="s">
        <v>345</v>
      </c>
      <c r="B51" s="2" t="s">
        <v>346</v>
      </c>
    </row>
    <row r="52" spans="1:2" ht="28.8" x14ac:dyDescent="0.3">
      <c r="A52" s="2" t="s">
        <v>347</v>
      </c>
      <c r="B52" s="2" t="s">
        <v>348</v>
      </c>
    </row>
    <row r="53" spans="1:2" ht="28.8" x14ac:dyDescent="0.3">
      <c r="A53" s="2" t="s">
        <v>349</v>
      </c>
      <c r="B53" s="2" t="s">
        <v>350</v>
      </c>
    </row>
    <row r="54" spans="1:2" ht="28.8" x14ac:dyDescent="0.3">
      <c r="A54" s="2" t="s">
        <v>351</v>
      </c>
      <c r="B54" s="2" t="s">
        <v>352</v>
      </c>
    </row>
    <row r="55" spans="1:2" ht="28.8" x14ac:dyDescent="0.3">
      <c r="A55" s="2" t="s">
        <v>353</v>
      </c>
      <c r="B55" s="2" t="s">
        <v>354</v>
      </c>
    </row>
    <row r="56" spans="1:2" ht="28.8" x14ac:dyDescent="0.3">
      <c r="A56" s="2" t="s">
        <v>355</v>
      </c>
      <c r="B56" s="2" t="s">
        <v>356</v>
      </c>
    </row>
    <row r="57" spans="1:2" x14ac:dyDescent="0.3">
      <c r="A57" s="2" t="s">
        <v>357</v>
      </c>
      <c r="B57" s="38" t="s">
        <v>358</v>
      </c>
    </row>
    <row r="58" spans="1:2" x14ac:dyDescent="0.3">
      <c r="A58" s="2" t="s">
        <v>359</v>
      </c>
      <c r="B58" s="38" t="s">
        <v>360</v>
      </c>
    </row>
    <row r="59" spans="1:2" ht="28.8" x14ac:dyDescent="0.3">
      <c r="A59" s="2" t="s">
        <v>361</v>
      </c>
      <c r="B59" s="2" t="s">
        <v>362</v>
      </c>
    </row>
    <row r="60" spans="1:2" ht="28.8" x14ac:dyDescent="0.3">
      <c r="A60" s="2" t="s">
        <v>363</v>
      </c>
      <c r="B60" s="2" t="s">
        <v>364</v>
      </c>
    </row>
    <row r="61" spans="1:2" ht="28.8" x14ac:dyDescent="0.3">
      <c r="A61" s="2" t="s">
        <v>365</v>
      </c>
      <c r="B61" s="2" t="s">
        <v>366</v>
      </c>
    </row>
    <row r="62" spans="1:2" ht="28.8" x14ac:dyDescent="0.3">
      <c r="A62" s="2" t="s">
        <v>367</v>
      </c>
      <c r="B62" s="2" t="s">
        <v>368</v>
      </c>
    </row>
    <row r="63" spans="1:2" x14ac:dyDescent="0.3">
      <c r="A63" s="2" t="s">
        <v>369</v>
      </c>
      <c r="B63" s="38" t="s">
        <v>370</v>
      </c>
    </row>
    <row r="64" spans="1:2" x14ac:dyDescent="0.3">
      <c r="A64" s="2" t="s">
        <v>371</v>
      </c>
      <c r="B64" s="38" t="s">
        <v>372</v>
      </c>
    </row>
    <row r="65" spans="1:2" ht="28.8" x14ac:dyDescent="0.3">
      <c r="A65" s="2" t="s">
        <v>373</v>
      </c>
      <c r="B65" s="2" t="s">
        <v>374</v>
      </c>
    </row>
    <row r="66" spans="1:2" ht="28.8" x14ac:dyDescent="0.3">
      <c r="A66" s="2" t="s">
        <v>375</v>
      </c>
      <c r="B66" s="2" t="s">
        <v>376</v>
      </c>
    </row>
    <row r="67" spans="1:2" ht="43.2" x14ac:dyDescent="0.3">
      <c r="A67" s="2" t="s">
        <v>377</v>
      </c>
      <c r="B67" s="2" t="s">
        <v>378</v>
      </c>
    </row>
    <row r="68" spans="1:2" x14ac:dyDescent="0.3">
      <c r="A68" s="2" t="s">
        <v>379</v>
      </c>
      <c r="B68" s="2" t="s">
        <v>380</v>
      </c>
    </row>
    <row r="69" spans="1:2" ht="28.8" x14ac:dyDescent="0.3">
      <c r="A69" s="2" t="s">
        <v>381</v>
      </c>
      <c r="B69" s="2" t="s">
        <v>382</v>
      </c>
    </row>
    <row r="70" spans="1:2" ht="43.2" x14ac:dyDescent="0.3">
      <c r="A70" s="2" t="s">
        <v>383</v>
      </c>
      <c r="B70" s="2" t="s">
        <v>384</v>
      </c>
    </row>
    <row r="71" spans="1:2" ht="43.2" x14ac:dyDescent="0.3">
      <c r="A71" s="2" t="s">
        <v>385</v>
      </c>
      <c r="B71" s="2" t="s">
        <v>386</v>
      </c>
    </row>
    <row r="72" spans="1:2" ht="57.6" x14ac:dyDescent="0.3">
      <c r="A72" s="2" t="s">
        <v>387</v>
      </c>
      <c r="B72" s="2" t="s">
        <v>388</v>
      </c>
    </row>
    <row r="73" spans="1:2" ht="43.2" x14ac:dyDescent="0.3">
      <c r="A73" s="2" t="s">
        <v>389</v>
      </c>
      <c r="B73" s="2" t="s">
        <v>390</v>
      </c>
    </row>
    <row r="74" spans="1:2" ht="43.2" x14ac:dyDescent="0.3">
      <c r="A74" s="2" t="s">
        <v>391</v>
      </c>
      <c r="B74" s="2" t="s">
        <v>392</v>
      </c>
    </row>
    <row r="75" spans="1:2" ht="43.2" x14ac:dyDescent="0.3">
      <c r="A75" s="2" t="s">
        <v>393</v>
      </c>
      <c r="B75" s="2" t="s">
        <v>394</v>
      </c>
    </row>
    <row r="76" spans="1:2" x14ac:dyDescent="0.3">
      <c r="A76" s="2" t="s">
        <v>395</v>
      </c>
      <c r="B76" s="38" t="s">
        <v>396</v>
      </c>
    </row>
    <row r="77" spans="1:2" x14ac:dyDescent="0.3">
      <c r="A77" s="2" t="s">
        <v>397</v>
      </c>
      <c r="B77" s="38" t="s">
        <v>398</v>
      </c>
    </row>
    <row r="78" spans="1:2" x14ac:dyDescent="0.3">
      <c r="A78" s="2" t="s">
        <v>399</v>
      </c>
      <c r="B78" s="38" t="s">
        <v>400</v>
      </c>
    </row>
    <row r="79" spans="1:2" ht="28.8" x14ac:dyDescent="0.3">
      <c r="A79" s="2" t="s">
        <v>401</v>
      </c>
      <c r="B79" s="38" t="s">
        <v>402</v>
      </c>
    </row>
    <row r="80" spans="1:2" ht="28.8" x14ac:dyDescent="0.3">
      <c r="A80" s="2" t="s">
        <v>403</v>
      </c>
      <c r="B80" s="2" t="s">
        <v>404</v>
      </c>
    </row>
    <row r="81" spans="1:3" ht="43.2" x14ac:dyDescent="0.3">
      <c r="A81" s="2" t="s">
        <v>405</v>
      </c>
      <c r="B81" s="2" t="s">
        <v>406</v>
      </c>
    </row>
    <row r="82" spans="1:3" ht="28.8" x14ac:dyDescent="0.3">
      <c r="A82" s="2" t="s">
        <v>407</v>
      </c>
      <c r="B82" s="2" t="s">
        <v>408</v>
      </c>
    </row>
    <row r="83" spans="1:3" x14ac:dyDescent="0.3">
      <c r="A83" s="2" t="s">
        <v>409</v>
      </c>
      <c r="B83" s="2" t="s">
        <v>410</v>
      </c>
    </row>
    <row r="84" spans="1:3" ht="28.8" x14ac:dyDescent="0.3">
      <c r="A84" s="2" t="s">
        <v>411</v>
      </c>
      <c r="B84" s="2" t="s">
        <v>412</v>
      </c>
    </row>
    <row r="85" spans="1:3" ht="28.8" x14ac:dyDescent="0.3">
      <c r="A85" s="2" t="s">
        <v>413</v>
      </c>
      <c r="B85" s="2" t="s">
        <v>414</v>
      </c>
    </row>
    <row r="86" spans="1:3" ht="28.8" x14ac:dyDescent="0.3">
      <c r="A86" s="2" t="s">
        <v>415</v>
      </c>
      <c r="B86" s="2" t="s">
        <v>416</v>
      </c>
    </row>
    <row r="87" spans="1:3" ht="28.8" x14ac:dyDescent="0.3">
      <c r="A87" s="2" t="s">
        <v>417</v>
      </c>
      <c r="B87" s="2" t="s">
        <v>418</v>
      </c>
    </row>
    <row r="88" spans="1:3" x14ac:dyDescent="0.3">
      <c r="A88" s="2" t="s">
        <v>419</v>
      </c>
      <c r="B88" s="2" t="s">
        <v>420</v>
      </c>
    </row>
    <row r="89" spans="1:3" x14ac:dyDescent="0.3">
      <c r="A89" s="55" t="s">
        <v>18</v>
      </c>
      <c r="B89" s="55"/>
      <c r="C89" s="55"/>
    </row>
    <row r="90" spans="1:3" ht="28.8" x14ac:dyDescent="0.3">
      <c r="A90" s="2" t="s">
        <v>421</v>
      </c>
      <c r="B90" s="2" t="s">
        <v>422</v>
      </c>
    </row>
    <row r="91" spans="1:3" x14ac:dyDescent="0.3">
      <c r="A91" s="2" t="s">
        <v>423</v>
      </c>
      <c r="B91" s="38" t="s">
        <v>424</v>
      </c>
    </row>
    <row r="92" spans="1:3" x14ac:dyDescent="0.3">
      <c r="A92" s="2" t="s">
        <v>425</v>
      </c>
      <c r="B92" s="38" t="s">
        <v>426</v>
      </c>
    </row>
    <row r="93" spans="1:3" x14ac:dyDescent="0.3">
      <c r="A93" s="2" t="s">
        <v>427</v>
      </c>
      <c r="B93" s="38" t="s">
        <v>428</v>
      </c>
    </row>
    <row r="94" spans="1:3" x14ac:dyDescent="0.3">
      <c r="A94" s="2" t="s">
        <v>429</v>
      </c>
      <c r="B94" s="38" t="s">
        <v>430</v>
      </c>
    </row>
    <row r="95" spans="1:3" ht="28.8" x14ac:dyDescent="0.3">
      <c r="A95" s="2" t="s">
        <v>431</v>
      </c>
      <c r="B95" s="2" t="s">
        <v>376</v>
      </c>
    </row>
    <row r="96" spans="1:3" ht="43.2" x14ac:dyDescent="0.3">
      <c r="A96" s="2" t="s">
        <v>432</v>
      </c>
      <c r="B96" s="2" t="s">
        <v>378</v>
      </c>
    </row>
    <row r="97" spans="1:2" ht="28.8" x14ac:dyDescent="0.3">
      <c r="A97" s="2" t="s">
        <v>433</v>
      </c>
      <c r="B97" s="2" t="s">
        <v>374</v>
      </c>
    </row>
    <row r="98" spans="1:2" ht="43.2" x14ac:dyDescent="0.3">
      <c r="A98" s="2" t="s">
        <v>434</v>
      </c>
      <c r="B98" s="2" t="s">
        <v>390</v>
      </c>
    </row>
    <row r="99" spans="1:2" ht="43.2" x14ac:dyDescent="0.3">
      <c r="A99" s="2" t="s">
        <v>435</v>
      </c>
      <c r="B99" s="2" t="s">
        <v>392</v>
      </c>
    </row>
    <row r="100" spans="1:2" ht="43.2" x14ac:dyDescent="0.3">
      <c r="A100" s="2" t="s">
        <v>436</v>
      </c>
      <c r="B100" s="2" t="s">
        <v>394</v>
      </c>
    </row>
    <row r="101" spans="1:2" x14ac:dyDescent="0.3">
      <c r="A101" s="2" t="s">
        <v>437</v>
      </c>
      <c r="B101" s="2" t="s">
        <v>380</v>
      </c>
    </row>
    <row r="102" spans="1:2" ht="57.6" x14ac:dyDescent="0.3">
      <c r="A102" s="2" t="s">
        <v>438</v>
      </c>
      <c r="B102" s="2" t="s">
        <v>388</v>
      </c>
    </row>
    <row r="103" spans="1:2" x14ac:dyDescent="0.3">
      <c r="A103" s="2" t="s">
        <v>439</v>
      </c>
      <c r="B103" s="38" t="s">
        <v>440</v>
      </c>
    </row>
    <row r="104" spans="1:2" x14ac:dyDescent="0.3">
      <c r="A104" s="2" t="s">
        <v>740</v>
      </c>
      <c r="B104" s="38" t="s">
        <v>488</v>
      </c>
    </row>
    <row r="105" spans="1:2" ht="28.8" x14ac:dyDescent="0.3">
      <c r="A105" s="2" t="s">
        <v>441</v>
      </c>
      <c r="B105" s="2" t="s">
        <v>414</v>
      </c>
    </row>
    <row r="106" spans="1:2" ht="28.8" x14ac:dyDescent="0.3">
      <c r="A106" s="2" t="s">
        <v>442</v>
      </c>
      <c r="B106" s="2" t="s">
        <v>416</v>
      </c>
    </row>
    <row r="107" spans="1:2" ht="28.8" x14ac:dyDescent="0.3">
      <c r="A107" s="2" t="s">
        <v>443</v>
      </c>
      <c r="B107" s="2" t="s">
        <v>418</v>
      </c>
    </row>
    <row r="108" spans="1:2" ht="28.8" x14ac:dyDescent="0.3">
      <c r="A108" s="2" t="s">
        <v>444</v>
      </c>
      <c r="B108" s="2" t="s">
        <v>408</v>
      </c>
    </row>
    <row r="109" spans="1:2" x14ac:dyDescent="0.3">
      <c r="A109" s="2" t="s">
        <v>445</v>
      </c>
      <c r="B109" s="2" t="s">
        <v>410</v>
      </c>
    </row>
    <row r="110" spans="1:2" ht="28.8" x14ac:dyDescent="0.3">
      <c r="A110" s="2" t="s">
        <v>446</v>
      </c>
      <c r="B110" s="2" t="s">
        <v>412</v>
      </c>
    </row>
    <row r="111" spans="1:2" ht="28.8" x14ac:dyDescent="0.3">
      <c r="A111" s="2" t="s">
        <v>447</v>
      </c>
      <c r="B111" s="2" t="s">
        <v>448</v>
      </c>
    </row>
    <row r="112" spans="1:2" ht="28.8" x14ac:dyDescent="0.3">
      <c r="A112" s="2" t="s">
        <v>449</v>
      </c>
      <c r="B112" s="2" t="s">
        <v>404</v>
      </c>
    </row>
    <row r="113" spans="1:2" ht="43.2" x14ac:dyDescent="0.3">
      <c r="A113" s="2" t="s">
        <v>450</v>
      </c>
      <c r="B113" s="2" t="s">
        <v>406</v>
      </c>
    </row>
    <row r="114" spans="1:2" ht="28.8" x14ac:dyDescent="0.3">
      <c r="A114" s="2" t="s">
        <v>451</v>
      </c>
      <c r="B114" s="2" t="s">
        <v>452</v>
      </c>
    </row>
    <row r="115" spans="1:2" ht="28.8" x14ac:dyDescent="0.3">
      <c r="A115" s="2" t="s">
        <v>454</v>
      </c>
      <c r="B115" s="2" t="s">
        <v>455</v>
      </c>
    </row>
    <row r="116" spans="1:2" x14ac:dyDescent="0.3">
      <c r="A116" s="2" t="s">
        <v>458</v>
      </c>
      <c r="B116" s="2" t="s">
        <v>420</v>
      </c>
    </row>
    <row r="117" spans="1:2" ht="28.8" x14ac:dyDescent="0.3">
      <c r="A117" s="2" t="s">
        <v>459</v>
      </c>
      <c r="B117" s="2" t="s">
        <v>340</v>
      </c>
    </row>
    <row r="118" spans="1:2" ht="28.8" x14ac:dyDescent="0.3">
      <c r="A118" s="2" t="s">
        <v>460</v>
      </c>
      <c r="B118" s="2" t="s">
        <v>342</v>
      </c>
    </row>
    <row r="119" spans="1:2" ht="43.2" x14ac:dyDescent="0.3">
      <c r="A119" s="2" t="s">
        <v>461</v>
      </c>
      <c r="B119" s="2" t="s">
        <v>344</v>
      </c>
    </row>
    <row r="120" spans="1:2" ht="28.8" x14ac:dyDescent="0.3">
      <c r="A120" s="2" t="s">
        <v>462</v>
      </c>
      <c r="B120" s="2" t="s">
        <v>348</v>
      </c>
    </row>
    <row r="121" spans="1:2" ht="28.8" x14ac:dyDescent="0.3">
      <c r="A121" s="2" t="s">
        <v>463</v>
      </c>
      <c r="B121" s="2" t="s">
        <v>350</v>
      </c>
    </row>
    <row r="122" spans="1:2" ht="28.8" x14ac:dyDescent="0.3">
      <c r="A122" s="2" t="s">
        <v>464</v>
      </c>
      <c r="B122" s="2" t="s">
        <v>465</v>
      </c>
    </row>
    <row r="123" spans="1:2" ht="28.8" x14ac:dyDescent="0.3">
      <c r="A123" s="2" t="s">
        <v>466</v>
      </c>
      <c r="B123" s="2" t="s">
        <v>382</v>
      </c>
    </row>
    <row r="124" spans="1:2" ht="43.2" x14ac:dyDescent="0.3">
      <c r="A124" s="2" t="s">
        <v>467</v>
      </c>
      <c r="B124" s="2" t="s">
        <v>384</v>
      </c>
    </row>
    <row r="125" spans="1:2" ht="43.2" x14ac:dyDescent="0.3">
      <c r="A125" s="2" t="s">
        <v>468</v>
      </c>
      <c r="B125" s="2" t="s">
        <v>386</v>
      </c>
    </row>
    <row r="126" spans="1:2" x14ac:dyDescent="0.3">
      <c r="A126" s="2" t="s">
        <v>469</v>
      </c>
      <c r="B126" s="2" t="s">
        <v>470</v>
      </c>
    </row>
    <row r="127" spans="1:2" x14ac:dyDescent="0.3">
      <c r="A127" s="2" t="s">
        <v>471</v>
      </c>
      <c r="B127" s="38" t="s">
        <v>472</v>
      </c>
    </row>
    <row r="128" spans="1:2" ht="28.8" x14ac:dyDescent="0.3">
      <c r="A128" s="2" t="s">
        <v>473</v>
      </c>
      <c r="B128" s="2" t="s">
        <v>474</v>
      </c>
    </row>
    <row r="129" spans="1:3" x14ac:dyDescent="0.3">
      <c r="A129" s="2" t="s">
        <v>475</v>
      </c>
      <c r="B129" s="38" t="s">
        <v>476</v>
      </c>
    </row>
    <row r="130" spans="1:3" x14ac:dyDescent="0.3">
      <c r="A130" s="2" t="s">
        <v>477</v>
      </c>
      <c r="B130" s="38" t="s">
        <v>478</v>
      </c>
    </row>
    <row r="131" spans="1:3" x14ac:dyDescent="0.3">
      <c r="A131" s="2" t="s">
        <v>741</v>
      </c>
      <c r="B131" s="38" t="s">
        <v>479</v>
      </c>
    </row>
    <row r="132" spans="1:3" x14ac:dyDescent="0.3">
      <c r="A132" s="2" t="s">
        <v>742</v>
      </c>
      <c r="B132" s="38" t="s">
        <v>480</v>
      </c>
    </row>
    <row r="133" spans="1:3" ht="28.8" x14ac:dyDescent="0.3">
      <c r="A133" s="2" t="s">
        <v>481</v>
      </c>
      <c r="B133" s="2" t="s">
        <v>352</v>
      </c>
    </row>
    <row r="134" spans="1:3" ht="28.8" x14ac:dyDescent="0.3">
      <c r="A134" s="2" t="s">
        <v>482</v>
      </c>
      <c r="B134" s="2" t="s">
        <v>356</v>
      </c>
    </row>
    <row r="135" spans="1:3" ht="43.2" x14ac:dyDescent="0.3">
      <c r="A135" s="2" t="s">
        <v>483</v>
      </c>
      <c r="B135" s="2" t="s">
        <v>484</v>
      </c>
    </row>
    <row r="136" spans="1:3" ht="43.2" x14ac:dyDescent="0.3">
      <c r="A136" s="2" t="s">
        <v>485</v>
      </c>
      <c r="B136" s="2" t="s">
        <v>486</v>
      </c>
    </row>
    <row r="137" spans="1:3" ht="28.8" x14ac:dyDescent="0.3">
      <c r="A137" s="2" t="s">
        <v>487</v>
      </c>
      <c r="B137" s="2" t="s">
        <v>354</v>
      </c>
    </row>
    <row r="138" spans="1:3" x14ac:dyDescent="0.3">
      <c r="A138" s="55" t="s">
        <v>21</v>
      </c>
      <c r="B138" s="55"/>
      <c r="C138" s="55"/>
    </row>
    <row r="139" spans="1:3" x14ac:dyDescent="0.3">
      <c r="A139" s="2" t="s">
        <v>489</v>
      </c>
      <c r="B139" s="38" t="s">
        <v>490</v>
      </c>
    </row>
    <row r="140" spans="1:3" x14ac:dyDescent="0.3">
      <c r="A140" s="36" t="s">
        <v>491</v>
      </c>
      <c r="B140" s="2" t="s">
        <v>492</v>
      </c>
    </row>
    <row r="141" spans="1:3" x14ac:dyDescent="0.3">
      <c r="A141" s="36" t="s">
        <v>491</v>
      </c>
      <c r="B141" s="2" t="s">
        <v>495</v>
      </c>
    </row>
    <row r="142" spans="1:3" x14ac:dyDescent="0.3">
      <c r="A142" s="36" t="s">
        <v>491</v>
      </c>
      <c r="B142" s="2" t="s">
        <v>496</v>
      </c>
    </row>
    <row r="143" spans="1:3" x14ac:dyDescent="0.3">
      <c r="A143" s="36" t="s">
        <v>491</v>
      </c>
      <c r="B143" s="2" t="s">
        <v>497</v>
      </c>
    </row>
    <row r="144" spans="1:3" x14ac:dyDescent="0.3">
      <c r="A144" s="36" t="s">
        <v>491</v>
      </c>
      <c r="B144" s="38" t="s">
        <v>498</v>
      </c>
    </row>
    <row r="145" spans="1:2" x14ac:dyDescent="0.3">
      <c r="A145" s="36" t="s">
        <v>491</v>
      </c>
      <c r="B145" s="38" t="s">
        <v>499</v>
      </c>
    </row>
    <row r="146" spans="1:2" x14ac:dyDescent="0.3">
      <c r="A146" s="36" t="s">
        <v>491</v>
      </c>
      <c r="B146" s="2" t="s">
        <v>500</v>
      </c>
    </row>
    <row r="147" spans="1:2" x14ac:dyDescent="0.3">
      <c r="A147" s="36" t="s">
        <v>491</v>
      </c>
      <c r="B147" s="2" t="s">
        <v>501</v>
      </c>
    </row>
    <row r="148" spans="1:2" ht="28.8" x14ac:dyDescent="0.3">
      <c r="A148" s="36" t="s">
        <v>491</v>
      </c>
      <c r="B148" s="2" t="s">
        <v>502</v>
      </c>
    </row>
    <row r="149" spans="1:2" ht="28.8" x14ac:dyDescent="0.3">
      <c r="A149" s="36" t="s">
        <v>491</v>
      </c>
      <c r="B149" s="2" t="s">
        <v>503</v>
      </c>
    </row>
    <row r="150" spans="1:2" ht="28.8" x14ac:dyDescent="0.3">
      <c r="A150" s="36" t="s">
        <v>491</v>
      </c>
      <c r="B150" s="2" t="s">
        <v>504</v>
      </c>
    </row>
    <row r="151" spans="1:2" ht="28.8" x14ac:dyDescent="0.3">
      <c r="A151" s="36"/>
      <c r="B151" s="2" t="s">
        <v>505</v>
      </c>
    </row>
    <row r="152" spans="1:2" x14ac:dyDescent="0.3">
      <c r="A152" s="36"/>
      <c r="B152" s="2" t="s">
        <v>506</v>
      </c>
    </row>
    <row r="153" spans="1:2" x14ac:dyDescent="0.3">
      <c r="A153" s="36"/>
      <c r="B153" s="38" t="s">
        <v>507</v>
      </c>
    </row>
    <row r="154" spans="1:2" x14ac:dyDescent="0.3">
      <c r="A154" s="36"/>
      <c r="B154" s="2" t="s">
        <v>508</v>
      </c>
    </row>
    <row r="155" spans="1:2" x14ac:dyDescent="0.3">
      <c r="A155" s="36" t="s">
        <v>509</v>
      </c>
      <c r="B155" s="2" t="s">
        <v>510</v>
      </c>
    </row>
    <row r="156" spans="1:2" x14ac:dyDescent="0.3">
      <c r="A156" s="36" t="s">
        <v>511</v>
      </c>
      <c r="B156" s="38" t="s">
        <v>512</v>
      </c>
    </row>
    <row r="157" spans="1:2" x14ac:dyDescent="0.3">
      <c r="A157" s="36" t="s">
        <v>513</v>
      </c>
    </row>
    <row r="158" spans="1:2" x14ac:dyDescent="0.3">
      <c r="A158" s="36" t="s">
        <v>514</v>
      </c>
    </row>
    <row r="159" spans="1:2" x14ac:dyDescent="0.3">
      <c r="A159" s="36" t="s">
        <v>515</v>
      </c>
    </row>
    <row r="160" spans="1:2" ht="57.6" x14ac:dyDescent="0.3">
      <c r="A160" s="46" t="s">
        <v>489</v>
      </c>
      <c r="B160" s="2" t="s">
        <v>516</v>
      </c>
    </row>
    <row r="161" spans="1:2" x14ac:dyDescent="0.3">
      <c r="A161" s="46" t="s">
        <v>517</v>
      </c>
      <c r="B161" s="2" t="s">
        <v>518</v>
      </c>
    </row>
    <row r="162" spans="1:2" ht="28.8" x14ac:dyDescent="0.3">
      <c r="A162" s="46" t="s">
        <v>519</v>
      </c>
      <c r="B162" s="38" t="s">
        <v>520</v>
      </c>
    </row>
    <row r="163" spans="1:2" ht="28.8" x14ac:dyDescent="0.3">
      <c r="A163" s="46" t="s">
        <v>521</v>
      </c>
      <c r="B163" s="38" t="s">
        <v>522</v>
      </c>
    </row>
    <row r="164" spans="1:2" ht="28.8" x14ac:dyDescent="0.3">
      <c r="A164" s="46" t="s">
        <v>523</v>
      </c>
      <c r="B164" s="38" t="s">
        <v>524</v>
      </c>
    </row>
    <row r="165" spans="1:2" x14ac:dyDescent="0.3">
      <c r="A165" s="46" t="s">
        <v>525</v>
      </c>
      <c r="B165" s="38" t="s">
        <v>526</v>
      </c>
    </row>
    <row r="166" spans="1:2" x14ac:dyDescent="0.3">
      <c r="A166" s="46" t="s">
        <v>527</v>
      </c>
      <c r="B166" s="38" t="s">
        <v>528</v>
      </c>
    </row>
    <row r="167" spans="1:2" x14ac:dyDescent="0.3">
      <c r="A167" s="46" t="s">
        <v>529</v>
      </c>
      <c r="B167" s="2" t="s">
        <v>530</v>
      </c>
    </row>
    <row r="168" spans="1:2" x14ac:dyDescent="0.3">
      <c r="A168" s="46" t="s">
        <v>531</v>
      </c>
    </row>
    <row r="169" spans="1:2" ht="28.8" x14ac:dyDescent="0.3">
      <c r="A169" s="2" t="s">
        <v>533</v>
      </c>
      <c r="B169" s="2" t="s">
        <v>503</v>
      </c>
    </row>
    <row r="170" spans="1:2" ht="28.8" x14ac:dyDescent="0.3">
      <c r="A170" s="2" t="s">
        <v>534</v>
      </c>
      <c r="B170" s="38" t="s">
        <v>535</v>
      </c>
    </row>
    <row r="171" spans="1:2" ht="28.8" x14ac:dyDescent="0.3">
      <c r="A171" s="2" t="s">
        <v>537</v>
      </c>
      <c r="B171" s="38" t="s">
        <v>538</v>
      </c>
    </row>
    <row r="172" spans="1:2" ht="28.8" x14ac:dyDescent="0.3">
      <c r="A172" s="2" t="s">
        <v>539</v>
      </c>
      <c r="B172" s="38" t="s">
        <v>540</v>
      </c>
    </row>
    <row r="173" spans="1:2" x14ac:dyDescent="0.3">
      <c r="A173" s="2" t="s">
        <v>541</v>
      </c>
    </row>
    <row r="174" spans="1:2" x14ac:dyDescent="0.3">
      <c r="A174" s="2" t="s">
        <v>543</v>
      </c>
      <c r="B174" s="38" t="s">
        <v>544</v>
      </c>
    </row>
    <row r="175" spans="1:2" x14ac:dyDescent="0.3">
      <c r="A175" s="2" t="s">
        <v>545</v>
      </c>
      <c r="B175" s="2" t="s">
        <v>546</v>
      </c>
    </row>
    <row r="176" spans="1:2" ht="28.8" x14ac:dyDescent="0.3">
      <c r="A176" s="2" t="s">
        <v>547</v>
      </c>
      <c r="B176" s="38" t="s">
        <v>548</v>
      </c>
    </row>
    <row r="177" spans="1:3" x14ac:dyDescent="0.3">
      <c r="A177" s="2" t="s">
        <v>549</v>
      </c>
      <c r="B177" s="38" t="s">
        <v>550</v>
      </c>
    </row>
    <row r="178" spans="1:3" x14ac:dyDescent="0.3">
      <c r="A178" s="2" t="s">
        <v>552</v>
      </c>
      <c r="B178" s="2" t="s">
        <v>553</v>
      </c>
    </row>
    <row r="179" spans="1:3" x14ac:dyDescent="0.3">
      <c r="A179" s="2" t="s">
        <v>554</v>
      </c>
      <c r="B179" s="38" t="s">
        <v>555</v>
      </c>
    </row>
    <row r="180" spans="1:3" x14ac:dyDescent="0.3">
      <c r="A180" s="2" t="s">
        <v>556</v>
      </c>
      <c r="B180" s="2" t="s">
        <v>557</v>
      </c>
    </row>
    <row r="181" spans="1:3" x14ac:dyDescent="0.3">
      <c r="A181" s="55" t="s">
        <v>22</v>
      </c>
      <c r="B181" s="55"/>
      <c r="C181" s="55"/>
    </row>
    <row r="182" spans="1:3" ht="28.8" x14ac:dyDescent="0.3">
      <c r="A182" s="36" t="s">
        <v>558</v>
      </c>
      <c r="B182" s="38" t="s">
        <v>559</v>
      </c>
    </row>
    <row r="183" spans="1:3" x14ac:dyDescent="0.3">
      <c r="A183" s="36" t="s">
        <v>558</v>
      </c>
      <c r="B183" s="2" t="s">
        <v>560</v>
      </c>
    </row>
    <row r="184" spans="1:3" ht="28.8" x14ac:dyDescent="0.3">
      <c r="A184" s="36" t="s">
        <v>558</v>
      </c>
      <c r="B184" s="2" t="s">
        <v>561</v>
      </c>
    </row>
    <row r="185" spans="1:3" ht="28.8" x14ac:dyDescent="0.3">
      <c r="A185" s="36"/>
      <c r="B185" s="2" t="s">
        <v>562</v>
      </c>
    </row>
    <row r="186" spans="1:3" x14ac:dyDescent="0.3">
      <c r="A186" s="36"/>
      <c r="B186" s="2" t="s">
        <v>563</v>
      </c>
    </row>
    <row r="187" spans="1:3" x14ac:dyDescent="0.3">
      <c r="A187" s="36" t="s">
        <v>564</v>
      </c>
      <c r="B187" s="2" t="s">
        <v>565</v>
      </c>
    </row>
    <row r="188" spans="1:3" x14ac:dyDescent="0.3">
      <c r="A188" s="36" t="s">
        <v>566</v>
      </c>
    </row>
    <row r="189" spans="1:3" x14ac:dyDescent="0.3">
      <c r="A189" s="36" t="s">
        <v>567</v>
      </c>
    </row>
    <row r="190" spans="1:3" ht="28.8" x14ac:dyDescent="0.3">
      <c r="A190" s="36" t="s">
        <v>568</v>
      </c>
      <c r="B190" s="2" t="s">
        <v>569</v>
      </c>
    </row>
    <row r="191" spans="1:3" x14ac:dyDescent="0.3">
      <c r="A191" s="36" t="s">
        <v>570</v>
      </c>
      <c r="B191" s="2" t="s">
        <v>571</v>
      </c>
    </row>
    <row r="192" spans="1:3" ht="28.8" x14ac:dyDescent="0.3">
      <c r="A192" s="2" t="s">
        <v>573</v>
      </c>
      <c r="B192" s="2" t="s">
        <v>574</v>
      </c>
    </row>
    <row r="193" spans="1:3" ht="28.8" x14ac:dyDescent="0.3">
      <c r="A193" s="36"/>
      <c r="B193" s="2" t="s">
        <v>575</v>
      </c>
    </row>
    <row r="194" spans="1:3" ht="28.8" x14ac:dyDescent="0.3">
      <c r="A194" s="2" t="s">
        <v>577</v>
      </c>
      <c r="B194" s="38" t="s">
        <v>578</v>
      </c>
    </row>
    <row r="195" spans="1:3" ht="28.8" x14ac:dyDescent="0.3">
      <c r="A195" s="36"/>
      <c r="B195" s="38" t="s">
        <v>559</v>
      </c>
    </row>
    <row r="196" spans="1:3" ht="28.8" x14ac:dyDescent="0.3">
      <c r="A196" s="36"/>
      <c r="B196" s="38" t="s">
        <v>579</v>
      </c>
    </row>
    <row r="197" spans="1:3" ht="28.8" x14ac:dyDescent="0.3">
      <c r="A197" s="36"/>
      <c r="B197" s="38" t="s">
        <v>580</v>
      </c>
    </row>
    <row r="198" spans="1:3" ht="28.8" x14ac:dyDescent="0.3">
      <c r="A198" s="36"/>
      <c r="B198" s="38" t="s">
        <v>581</v>
      </c>
    </row>
    <row r="199" spans="1:3" x14ac:dyDescent="0.3">
      <c r="A199" s="2" t="s">
        <v>582</v>
      </c>
      <c r="B199" s="38" t="s">
        <v>583</v>
      </c>
    </row>
    <row r="200" spans="1:3" ht="28.8" x14ac:dyDescent="0.3">
      <c r="A200" s="2" t="s">
        <v>584</v>
      </c>
      <c r="B200" s="38" t="s">
        <v>585</v>
      </c>
    </row>
    <row r="201" spans="1:3" x14ac:dyDescent="0.3">
      <c r="A201" s="36" t="s">
        <v>586</v>
      </c>
    </row>
    <row r="202" spans="1:3" x14ac:dyDescent="0.3">
      <c r="A202" s="55" t="s">
        <v>743</v>
      </c>
      <c r="B202" s="55"/>
      <c r="C202" s="55"/>
    </row>
    <row r="203" spans="1:3" ht="43.2" x14ac:dyDescent="0.3">
      <c r="A203" s="37" t="s">
        <v>588</v>
      </c>
      <c r="B203" s="37" t="s">
        <v>589</v>
      </c>
    </row>
    <row r="204" spans="1:3" x14ac:dyDescent="0.3">
      <c r="A204" s="37" t="s">
        <v>591</v>
      </c>
      <c r="B204" s="37" t="s">
        <v>592</v>
      </c>
    </row>
    <row r="205" spans="1:3" ht="28.8" x14ac:dyDescent="0.3">
      <c r="A205" s="37" t="s">
        <v>594</v>
      </c>
      <c r="B205" s="37" t="s">
        <v>595</v>
      </c>
    </row>
    <row r="206" spans="1:3" ht="28.8" x14ac:dyDescent="0.3">
      <c r="A206" s="37" t="s">
        <v>597</v>
      </c>
      <c r="B206" s="37" t="s">
        <v>598</v>
      </c>
    </row>
    <row r="207" spans="1:3" ht="28.8" x14ac:dyDescent="0.3">
      <c r="A207" s="37" t="s">
        <v>599</v>
      </c>
      <c r="B207" s="37" t="s">
        <v>600</v>
      </c>
    </row>
    <row r="208" spans="1:3" ht="28.8" x14ac:dyDescent="0.3">
      <c r="A208" s="37" t="s">
        <v>601</v>
      </c>
      <c r="B208" s="37" t="s">
        <v>602</v>
      </c>
    </row>
    <row r="209" spans="1:2" ht="28.8" x14ac:dyDescent="0.3">
      <c r="A209" s="37" t="s">
        <v>605</v>
      </c>
      <c r="B209" s="37" t="s">
        <v>606</v>
      </c>
    </row>
    <row r="210" spans="1:2" ht="43.2" x14ac:dyDescent="0.3">
      <c r="A210" s="37" t="s">
        <v>610</v>
      </c>
      <c r="B210" s="37" t="s">
        <v>611</v>
      </c>
    </row>
    <row r="211" spans="1:2" ht="43.2" x14ac:dyDescent="0.3">
      <c r="A211" s="37" t="s">
        <v>614</v>
      </c>
      <c r="B211" s="37" t="s">
        <v>615</v>
      </c>
    </row>
    <row r="212" spans="1:2" ht="28.8" x14ac:dyDescent="0.3">
      <c r="A212" s="37" t="s">
        <v>616</v>
      </c>
      <c r="B212" s="37" t="s">
        <v>617</v>
      </c>
    </row>
    <row r="213" spans="1:2" ht="28.8" x14ac:dyDescent="0.3">
      <c r="A213" s="37" t="s">
        <v>618</v>
      </c>
      <c r="B213" s="37" t="s">
        <v>619</v>
      </c>
    </row>
    <row r="214" spans="1:2" x14ac:dyDescent="0.3">
      <c r="A214" s="37" t="s">
        <v>620</v>
      </c>
      <c r="B214" s="37" t="s">
        <v>621</v>
      </c>
    </row>
    <row r="215" spans="1:2" ht="28.8" x14ac:dyDescent="0.3">
      <c r="A215" s="37" t="s">
        <v>622</v>
      </c>
      <c r="B215" s="37" t="s">
        <v>623</v>
      </c>
    </row>
    <row r="216" spans="1:2" ht="43.2" x14ac:dyDescent="0.3">
      <c r="A216" s="37" t="s">
        <v>624</v>
      </c>
      <c r="B216" s="37" t="s">
        <v>625</v>
      </c>
    </row>
    <row r="217" spans="1:2" ht="28.8" x14ac:dyDescent="0.3">
      <c r="A217" s="37" t="s">
        <v>626</v>
      </c>
      <c r="B217" s="37" t="s">
        <v>627</v>
      </c>
    </row>
    <row r="218" spans="1:2" x14ac:dyDescent="0.3">
      <c r="A218" s="37" t="s">
        <v>628</v>
      </c>
      <c r="B218" s="37" t="s">
        <v>629</v>
      </c>
    </row>
    <row r="219" spans="1:2" x14ac:dyDescent="0.3">
      <c r="A219" s="37" t="s">
        <v>631</v>
      </c>
      <c r="B219" s="37" t="s">
        <v>632</v>
      </c>
    </row>
    <row r="220" spans="1:2" ht="43.2" x14ac:dyDescent="0.3">
      <c r="A220" s="37" t="s">
        <v>634</v>
      </c>
      <c r="B220" s="37" t="s">
        <v>635</v>
      </c>
    </row>
    <row r="221" spans="1:2" ht="43.2" x14ac:dyDescent="0.3">
      <c r="A221" s="37" t="s">
        <v>636</v>
      </c>
      <c r="B221" s="37" t="s">
        <v>637</v>
      </c>
    </row>
    <row r="222" spans="1:2" ht="28.8" x14ac:dyDescent="0.3">
      <c r="A222" s="37" t="s">
        <v>638</v>
      </c>
      <c r="B222" s="37" t="s">
        <v>639</v>
      </c>
    </row>
    <row r="223" spans="1:2" ht="43.2" x14ac:dyDescent="0.3">
      <c r="A223" s="37" t="s">
        <v>640</v>
      </c>
      <c r="B223" s="37" t="s">
        <v>641</v>
      </c>
    </row>
    <row r="224" spans="1:2" ht="28.8" x14ac:dyDescent="0.3">
      <c r="A224" s="37" t="s">
        <v>643</v>
      </c>
      <c r="B224" s="37" t="s">
        <v>644</v>
      </c>
    </row>
    <row r="225" spans="1:2" ht="28.8" x14ac:dyDescent="0.3">
      <c r="A225" s="37" t="s">
        <v>645</v>
      </c>
      <c r="B225" s="37" t="s">
        <v>646</v>
      </c>
    </row>
    <row r="226" spans="1:2" ht="28.8" x14ac:dyDescent="0.3">
      <c r="A226" s="37" t="s">
        <v>647</v>
      </c>
      <c r="B226" s="37" t="s">
        <v>648</v>
      </c>
    </row>
    <row r="227" spans="1:2" ht="28.8" x14ac:dyDescent="0.3">
      <c r="A227" s="37" t="s">
        <v>649</v>
      </c>
      <c r="B227" s="37" t="s">
        <v>650</v>
      </c>
    </row>
    <row r="228" spans="1:2" ht="43.2" x14ac:dyDescent="0.3">
      <c r="A228" s="37" t="s">
        <v>651</v>
      </c>
      <c r="B228" s="37" t="s">
        <v>378</v>
      </c>
    </row>
    <row r="229" spans="1:2" ht="28.8" x14ac:dyDescent="0.3">
      <c r="A229" s="37" t="s">
        <v>652</v>
      </c>
      <c r="B229" s="37" t="s">
        <v>653</v>
      </c>
    </row>
    <row r="230" spans="1:2" ht="28.8" x14ac:dyDescent="0.3">
      <c r="A230" s="37" t="s">
        <v>654</v>
      </c>
      <c r="B230" s="37" t="s">
        <v>655</v>
      </c>
    </row>
    <row r="231" spans="1:2" ht="28.8" x14ac:dyDescent="0.3">
      <c r="A231" s="37" t="s">
        <v>656</v>
      </c>
      <c r="B231" s="37" t="s">
        <v>657</v>
      </c>
    </row>
    <row r="232" spans="1:2" ht="28.8" x14ac:dyDescent="0.3">
      <c r="A232" s="37" t="s">
        <v>659</v>
      </c>
      <c r="B232" s="37" t="s">
        <v>660</v>
      </c>
    </row>
    <row r="233" spans="1:2" ht="28.8" x14ac:dyDescent="0.3">
      <c r="A233" s="37" t="s">
        <v>661</v>
      </c>
      <c r="B233" s="37" t="s">
        <v>662</v>
      </c>
    </row>
    <row r="234" spans="1:2" ht="28.8" x14ac:dyDescent="0.3">
      <c r="A234" s="37" t="s">
        <v>663</v>
      </c>
      <c r="B234" s="37" t="s">
        <v>664</v>
      </c>
    </row>
    <row r="235" spans="1:2" ht="28.8" x14ac:dyDescent="0.3">
      <c r="A235" s="37" t="s">
        <v>665</v>
      </c>
      <c r="B235" s="37" t="s">
        <v>666</v>
      </c>
    </row>
    <row r="236" spans="1:2" ht="28.8" x14ac:dyDescent="0.3">
      <c r="A236" s="37" t="s">
        <v>667</v>
      </c>
      <c r="B236" s="37" t="s">
        <v>668</v>
      </c>
    </row>
    <row r="237" spans="1:2" ht="28.8" x14ac:dyDescent="0.3">
      <c r="A237" s="37" t="s">
        <v>669</v>
      </c>
      <c r="B237" s="37" t="s">
        <v>670</v>
      </c>
    </row>
    <row r="238" spans="1:2" ht="28.8" x14ac:dyDescent="0.3">
      <c r="A238" s="37" t="s">
        <v>671</v>
      </c>
      <c r="B238" s="37" t="s">
        <v>672</v>
      </c>
    </row>
    <row r="239" spans="1:2" ht="28.8" x14ac:dyDescent="0.3">
      <c r="A239" s="37" t="s">
        <v>673</v>
      </c>
      <c r="B239" s="37" t="s">
        <v>674</v>
      </c>
    </row>
    <row r="240" spans="1:2" ht="28.8" x14ac:dyDescent="0.3">
      <c r="A240" s="37" t="s">
        <v>675</v>
      </c>
      <c r="B240" s="37" t="s">
        <v>676</v>
      </c>
    </row>
    <row r="241" spans="1:2" ht="28.8" x14ac:dyDescent="0.3">
      <c r="A241" s="37" t="s">
        <v>677</v>
      </c>
      <c r="B241" s="37" t="s">
        <v>678</v>
      </c>
    </row>
    <row r="242" spans="1:2" x14ac:dyDescent="0.3">
      <c r="A242" s="37" t="s">
        <v>679</v>
      </c>
      <c r="B242" s="37" t="s">
        <v>680</v>
      </c>
    </row>
    <row r="243" spans="1:2" ht="28.8" x14ac:dyDescent="0.3">
      <c r="A243" s="37" t="s">
        <v>681</v>
      </c>
      <c r="B243" s="37" t="s">
        <v>682</v>
      </c>
    </row>
  </sheetData>
  <mergeCells count="8">
    <mergeCell ref="A89:C89"/>
    <mergeCell ref="A138:C138"/>
    <mergeCell ref="A181:C181"/>
    <mergeCell ref="A202:C202"/>
    <mergeCell ref="A2:C2"/>
    <mergeCell ref="A13:C13"/>
    <mergeCell ref="A35:C35"/>
    <mergeCell ref="A47:C47"/>
  </mergeCells>
  <phoneticPr fontId="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A5C29-8A48-4D45-91A9-0BEEF41EF008}">
  <dimension ref="A1:D13"/>
  <sheetViews>
    <sheetView zoomScale="85" zoomScaleNormal="85" workbookViewId="0">
      <selection activeCell="B30" sqref="B30"/>
    </sheetView>
  </sheetViews>
  <sheetFormatPr defaultRowHeight="14.4" x14ac:dyDescent="0.3"/>
  <cols>
    <col min="1" max="1" width="13.5546875" customWidth="1"/>
    <col min="2" max="2" width="120" customWidth="1"/>
    <col min="3" max="3" width="13" customWidth="1"/>
    <col min="4" max="4" width="10.33203125" customWidth="1"/>
  </cols>
  <sheetData>
    <row r="1" spans="1:4" x14ac:dyDescent="0.3">
      <c r="A1" s="33" t="s">
        <v>73</v>
      </c>
      <c r="B1" s="33" t="s">
        <v>74</v>
      </c>
      <c r="C1" s="33" t="s">
        <v>698</v>
      </c>
      <c r="D1" s="33" t="s">
        <v>744</v>
      </c>
    </row>
    <row r="2" spans="1:4" x14ac:dyDescent="0.3">
      <c r="A2" s="1" t="s">
        <v>745</v>
      </c>
      <c r="B2" t="s">
        <v>746</v>
      </c>
      <c r="C2" t="s">
        <v>747</v>
      </c>
    </row>
    <row r="3" spans="1:4" x14ac:dyDescent="0.3">
      <c r="A3" s="1" t="s">
        <v>748</v>
      </c>
      <c r="B3" t="s">
        <v>749</v>
      </c>
      <c r="C3" t="s">
        <v>747</v>
      </c>
    </row>
    <row r="4" spans="1:4" x14ac:dyDescent="0.3">
      <c r="A4" s="1" t="s">
        <v>750</v>
      </c>
      <c r="B4" t="s">
        <v>751</v>
      </c>
      <c r="C4" t="s">
        <v>747</v>
      </c>
    </row>
    <row r="5" spans="1:4" x14ac:dyDescent="0.3">
      <c r="A5" s="1" t="s">
        <v>752</v>
      </c>
      <c r="B5" t="s">
        <v>753</v>
      </c>
      <c r="C5" t="s">
        <v>754</v>
      </c>
    </row>
    <row r="6" spans="1:4" x14ac:dyDescent="0.3">
      <c r="A6" s="1" t="s">
        <v>755</v>
      </c>
      <c r="B6" t="s">
        <v>756</v>
      </c>
      <c r="C6" t="s">
        <v>747</v>
      </c>
    </row>
    <row r="7" spans="1:4" x14ac:dyDescent="0.3">
      <c r="A7" s="1" t="s">
        <v>757</v>
      </c>
      <c r="B7" t="s">
        <v>758</v>
      </c>
      <c r="C7" t="s">
        <v>754</v>
      </c>
    </row>
    <row r="8" spans="1:4" x14ac:dyDescent="0.3">
      <c r="A8" s="1" t="s">
        <v>759</v>
      </c>
      <c r="B8" t="s">
        <v>760</v>
      </c>
      <c r="C8" t="s">
        <v>761</v>
      </c>
    </row>
    <row r="9" spans="1:4" x14ac:dyDescent="0.3">
      <c r="A9" s="1" t="s">
        <v>762</v>
      </c>
      <c r="B9" t="s">
        <v>763</v>
      </c>
      <c r="C9" t="s">
        <v>764</v>
      </c>
    </row>
    <row r="10" spans="1:4" x14ac:dyDescent="0.3">
      <c r="A10" s="1" t="s">
        <v>765</v>
      </c>
      <c r="B10" t="s">
        <v>766</v>
      </c>
      <c r="C10" t="s">
        <v>767</v>
      </c>
    </row>
    <row r="11" spans="1:4" x14ac:dyDescent="0.3">
      <c r="A11" s="1" t="s">
        <v>768</v>
      </c>
      <c r="B11" t="s">
        <v>769</v>
      </c>
      <c r="C11" t="s">
        <v>747</v>
      </c>
    </row>
    <row r="12" spans="1:4" x14ac:dyDescent="0.3">
      <c r="A12" s="1" t="s">
        <v>770</v>
      </c>
      <c r="B12" t="s">
        <v>771</v>
      </c>
      <c r="C12" t="s">
        <v>747</v>
      </c>
    </row>
    <row r="13" spans="1:4" x14ac:dyDescent="0.3">
      <c r="A13" s="1" t="s">
        <v>772</v>
      </c>
      <c r="B13" t="s">
        <v>773</v>
      </c>
      <c r="C13" t="s">
        <v>774</v>
      </c>
      <c r="D13" t="s">
        <v>775</v>
      </c>
    </row>
  </sheetData>
  <phoneticPr fontId="8" type="noConversion"/>
  <conditionalFormatting sqref="C2:C13">
    <cfRule type="cellIs" dxfId="1" priority="2" operator="equal">
      <formula>"x"</formula>
    </cfRule>
  </conditionalFormatting>
  <conditionalFormatting sqref="E22">
    <cfRule type="cellIs" dxfId="0" priority="1" operator="equal">
      <formula>"x"</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4CD06F652B6BC46AC8D64402CEB0444" ma:contentTypeVersion="11" ma:contentTypeDescription="Een nieuw document maken." ma:contentTypeScope="" ma:versionID="4fb7d3430a1f9cc7b8f7972b7a688664">
  <xsd:schema xmlns:xsd="http://www.w3.org/2001/XMLSchema" xmlns:xs="http://www.w3.org/2001/XMLSchema" xmlns:p="http://schemas.microsoft.com/office/2006/metadata/properties" xmlns:ns2="6cc18823-851f-4ac5-944d-a441ffe74ee3" xmlns:ns3="03d0fe02-680f-4612-8dd0-2311c6ba531e" targetNamespace="http://schemas.microsoft.com/office/2006/metadata/properties" ma:root="true" ma:fieldsID="c18fffd61236a1ea899023d6e2dc683d" ns2:_="" ns3:_="">
    <xsd:import namespace="6cc18823-851f-4ac5-944d-a441ffe74ee3"/>
    <xsd:import namespace="03d0fe02-680f-4612-8dd0-2311c6ba53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c18823-851f-4ac5-944d-a441ffe74e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Afbeeldingtags" ma:readOnly="false" ma:fieldId="{5cf76f15-5ced-4ddc-b409-7134ff3c332f}" ma:taxonomyMulti="true" ma:sspId="0d2f2e1c-c095-4710-afda-8e7acdb03340"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3d0fe02-680f-4612-8dd0-2311c6ba531e"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c74d97c-42bf-4c8e-b7cc-dddee3d921ea}" ma:internalName="TaxCatchAll" ma:showField="CatchAllData" ma:web="03d0fe02-680f-4612-8dd0-2311c6ba531e">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cc18823-851f-4ac5-944d-a441ffe74ee3">
      <Terms xmlns="http://schemas.microsoft.com/office/infopath/2007/PartnerControls"/>
    </lcf76f155ced4ddcb4097134ff3c332f>
    <TaxCatchAll xmlns="03d0fe02-680f-4612-8dd0-2311c6ba531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96D0C1-ABAD-4F98-96FE-D1C9D9EAE2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c18823-851f-4ac5-944d-a441ffe74ee3"/>
    <ds:schemaRef ds:uri="03d0fe02-680f-4612-8dd0-2311c6ba53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76F814-3378-4F13-9268-46616995AB74}">
  <ds:schemaRefs>
    <ds:schemaRef ds:uri="http://purl.org/dc/elements/1.1/"/>
    <ds:schemaRef ds:uri="http://purl.org/dc/dcmitype/"/>
    <ds:schemaRef ds:uri="03d0fe02-680f-4612-8dd0-2311c6ba531e"/>
    <ds:schemaRef ds:uri="http://www.w3.org/XML/1998/namespace"/>
    <ds:schemaRef ds:uri="http://schemas.microsoft.com/office/2006/documentManagement/types"/>
    <ds:schemaRef ds:uri="http://purl.org/dc/terms/"/>
    <ds:schemaRef ds:uri="http://schemas.microsoft.com/office/2006/metadata/properties"/>
    <ds:schemaRef ds:uri="http://schemas.microsoft.com/office/infopath/2007/PartnerControls"/>
    <ds:schemaRef ds:uri="http://schemas.openxmlformats.org/package/2006/metadata/core-properties"/>
    <ds:schemaRef ds:uri="6cc18823-851f-4ac5-944d-a441ffe74ee3"/>
  </ds:schemaRefs>
</ds:datastoreItem>
</file>

<file path=customXml/itemProps3.xml><?xml version="1.0" encoding="utf-8"?>
<ds:datastoreItem xmlns:ds="http://schemas.openxmlformats.org/officeDocument/2006/customXml" ds:itemID="{B1552E40-E9FF-4CDD-9702-239C668AFF6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Division</vt:lpstr>
      <vt:lpstr>System Req</vt:lpstr>
      <vt:lpstr>Struc Subsystem Req</vt:lpstr>
      <vt:lpstr>ADCS Subsystem Req</vt:lpstr>
      <vt:lpstr>Prop Subsystem Req</vt:lpstr>
      <vt:lpstr>CDH Subsystem Req</vt:lpstr>
      <vt:lpstr>TT&amp;C Subsystem Req</vt:lpstr>
      <vt:lpstr>Power Subsystem Req</vt:lpstr>
      <vt:lpstr>Thermal Subsystem Req</vt:lpstr>
      <vt:lpstr>Navigation Subsytem Req </vt:lpstr>
      <vt:lpstr>subsystem requirements matrix</vt:lpstr>
      <vt:lpstr>Compliance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Nikolaus Ricker</dc:creator>
  <cp:keywords/>
  <dc:description/>
  <cp:lastModifiedBy>Nikolaus Ricker</cp:lastModifiedBy>
  <cp:revision/>
  <dcterms:created xsi:type="dcterms:W3CDTF">2023-05-26T09:56:58Z</dcterms:created>
  <dcterms:modified xsi:type="dcterms:W3CDTF">2023-06-27T11:58:45Z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0x01010014CD06F652B6BC46AC8D64402CEB0444</vt:lpwstr>
  </property>
  <property fmtid="{D5CDD505-2E9C-101B-9397-08002B2CF9AE}" pid="3" name="MediaServiceImageTags">
    <vt:lpwstr/>
  </property>
</Properties>
</file>