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showInkAnnotation="0" autoCompressPictures="0"/>
  <mc:AlternateContent xmlns:mc="http://schemas.openxmlformats.org/markup-compatibility/2006">
    <mc:Choice Requires="x15">
      <x15ac:absPath xmlns:x15ac="http://schemas.microsoft.com/office/spreadsheetml/2010/11/ac" url="/Users/meghanbellerose/Documents/Syphilis/MA Contact Tracing/"/>
    </mc:Choice>
  </mc:AlternateContent>
  <bookViews>
    <workbookView xWindow="29160" yWindow="460" windowWidth="25600" windowHeight="14900" tabRatio="500" activeTab="2"/>
  </bookViews>
  <sheets>
    <sheet name="P syphilis cases-rates" sheetId="2" r:id="rId1"/>
    <sheet name="S syphilis cases-rates" sheetId="6" r:id="rId2"/>
    <sheet name="EL syphilis cases-rates" sheetId="7" r:id="rId3"/>
    <sheet name="MSM + HIV" sheetId="5" r:id="rId4"/>
    <sheet name="calculations for model" sheetId="8" r:id="rId5"/>
    <sheet name="calculations ii" sheetId="9" r:id="rId6"/>
    <sheet name="Sheet1" sheetId="10" r:id="rId7"/>
  </sheets>
  <definedNames>
    <definedName name="_xlnm.Print_Area" localSheetId="1">'S syphilis cases-rates'!$A$6:$AK$29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N10" i="7" l="1"/>
  <c r="AR16" i="2"/>
  <c r="AR17" i="2"/>
  <c r="AR18" i="2"/>
  <c r="AR19" i="2"/>
  <c r="AR20" i="2"/>
  <c r="AR21" i="2"/>
  <c r="AR22" i="2"/>
  <c r="AR23" i="2"/>
  <c r="AR24" i="2"/>
  <c r="AR25" i="2"/>
  <c r="AR26" i="2"/>
  <c r="AR15" i="2"/>
  <c r="AQ15" i="2"/>
  <c r="AM10" i="7"/>
  <c r="AN11" i="2"/>
  <c r="AN12" i="2"/>
  <c r="AN13" i="2"/>
  <c r="AN14" i="2"/>
  <c r="AN15" i="2"/>
  <c r="AN16" i="2"/>
  <c r="AN17" i="2"/>
  <c r="AN18" i="2"/>
  <c r="AN19" i="2"/>
  <c r="AN20" i="2"/>
  <c r="AN21" i="2"/>
  <c r="AN22" i="2"/>
  <c r="AN23" i="2"/>
  <c r="AN24" i="2"/>
  <c r="AN25" i="2"/>
  <c r="AN26" i="2"/>
  <c r="AN10" i="2"/>
  <c r="AM11" i="2"/>
  <c r="AM12" i="2"/>
  <c r="AM13" i="2"/>
  <c r="AM14" i="2"/>
  <c r="AM15" i="2"/>
  <c r="AM16" i="2"/>
  <c r="AM17" i="2"/>
  <c r="AM18" i="2"/>
  <c r="AM19" i="2"/>
  <c r="AM20" i="2"/>
  <c r="AM21" i="2"/>
  <c r="AM22" i="2"/>
  <c r="AM23" i="2"/>
  <c r="AM24" i="2"/>
  <c r="AM25" i="2"/>
  <c r="AM26" i="2"/>
  <c r="AM10" i="2"/>
  <c r="AN10" i="6"/>
  <c r="AM10" i="6"/>
  <c r="AT10" i="6"/>
  <c r="AS10" i="6"/>
  <c r="AR10" i="6"/>
  <c r="AQ10" i="6"/>
  <c r="AP11" i="6"/>
  <c r="AP12" i="6"/>
  <c r="AP13" i="6"/>
  <c r="AP14" i="6"/>
  <c r="AP15" i="6"/>
  <c r="AP16" i="6"/>
  <c r="AP17" i="6"/>
  <c r="AP18" i="6"/>
  <c r="AP19" i="6"/>
  <c r="AP20" i="6"/>
  <c r="AP21" i="6"/>
  <c r="AP22" i="6"/>
  <c r="AP23" i="6"/>
  <c r="AP24" i="6"/>
  <c r="AP25" i="6"/>
  <c r="AP26" i="6"/>
  <c r="AP10" i="6"/>
  <c r="AO26" i="6"/>
  <c r="AO25" i="6"/>
  <c r="AO24" i="6"/>
  <c r="AO23" i="6"/>
  <c r="AO22" i="6"/>
  <c r="AO21" i="6"/>
  <c r="AO20" i="6"/>
  <c r="AO19" i="6"/>
  <c r="AO18" i="6"/>
  <c r="AO17" i="6"/>
  <c r="AO16" i="6"/>
  <c r="AO15" i="6"/>
  <c r="AO14" i="6"/>
  <c r="AO13" i="6"/>
  <c r="AO12" i="6"/>
  <c r="AO11" i="6"/>
  <c r="AO10" i="6"/>
  <c r="AN11" i="6"/>
  <c r="AN12" i="6"/>
  <c r="AN13" i="6"/>
  <c r="AN14" i="6"/>
  <c r="AN15" i="6"/>
  <c r="AN16" i="6"/>
  <c r="AN17" i="6"/>
  <c r="AN18" i="6"/>
  <c r="AN19" i="6"/>
  <c r="AN20" i="6"/>
  <c r="AN21" i="6"/>
  <c r="AN22" i="6"/>
  <c r="AN23" i="6"/>
  <c r="AN24" i="6"/>
  <c r="AN25" i="6"/>
  <c r="AN26" i="6"/>
  <c r="AM11" i="6"/>
  <c r="AM12" i="6"/>
  <c r="AM13" i="6"/>
  <c r="AM14" i="6"/>
  <c r="AM15" i="6"/>
  <c r="AM16" i="6"/>
  <c r="AM17" i="6"/>
  <c r="AM18" i="6"/>
  <c r="AM19" i="6"/>
  <c r="AM20" i="6"/>
  <c r="AM21" i="6"/>
  <c r="AM22" i="6"/>
  <c r="AM23" i="6"/>
  <c r="AM24" i="6"/>
  <c r="AM25" i="6"/>
  <c r="AM26" i="6"/>
  <c r="AQ11" i="7"/>
  <c r="AR11" i="7"/>
  <c r="AS11" i="7"/>
  <c r="AT11" i="7"/>
  <c r="AQ12" i="7"/>
  <c r="AR12" i="7"/>
  <c r="AS12" i="7"/>
  <c r="AT12" i="7"/>
  <c r="AQ13" i="7"/>
  <c r="AR13" i="7"/>
  <c r="AS13" i="7"/>
  <c r="AT13" i="7"/>
  <c r="AQ14" i="7"/>
  <c r="AR14" i="7"/>
  <c r="AS14" i="7"/>
  <c r="AT14" i="7"/>
  <c r="AQ15" i="7"/>
  <c r="AR15" i="7"/>
  <c r="AS15" i="7"/>
  <c r="AT15" i="7"/>
  <c r="AQ16" i="7"/>
  <c r="AR16" i="7"/>
  <c r="AS16" i="7"/>
  <c r="AT16" i="7"/>
  <c r="AQ17" i="7"/>
  <c r="AR17" i="7"/>
  <c r="AS17" i="7"/>
  <c r="AT17" i="7"/>
  <c r="AQ18" i="7"/>
  <c r="AR18" i="7"/>
  <c r="AS18" i="7"/>
  <c r="AT18" i="7"/>
  <c r="AQ19" i="7"/>
  <c r="AR19" i="7"/>
  <c r="AS19" i="7"/>
  <c r="AT19" i="7"/>
  <c r="AQ20" i="7"/>
  <c r="AR20" i="7"/>
  <c r="AS20" i="7"/>
  <c r="AT20" i="7"/>
  <c r="AQ21" i="7"/>
  <c r="AR21" i="7"/>
  <c r="AS21" i="7"/>
  <c r="AT21" i="7"/>
  <c r="AQ22" i="7"/>
  <c r="AR22" i="7"/>
  <c r="AS22" i="7"/>
  <c r="AT22" i="7"/>
  <c r="AQ23" i="7"/>
  <c r="AR23" i="7"/>
  <c r="AS23" i="7"/>
  <c r="AT23" i="7"/>
  <c r="AQ24" i="7"/>
  <c r="AR24" i="7"/>
  <c r="AS24" i="7"/>
  <c r="AT24" i="7"/>
  <c r="AQ25" i="7"/>
  <c r="AR25" i="7"/>
  <c r="AS25" i="7"/>
  <c r="AT25" i="7"/>
  <c r="AQ26" i="7"/>
  <c r="AR26" i="7"/>
  <c r="AS26" i="7"/>
  <c r="AT26" i="7"/>
  <c r="AT10" i="7"/>
  <c r="AS10" i="7"/>
  <c r="AR10" i="7"/>
  <c r="AQ10" i="7"/>
  <c r="AQ11" i="6"/>
  <c r="AR11" i="6"/>
  <c r="AS11" i="6"/>
  <c r="AT11" i="6"/>
  <c r="AQ12" i="6"/>
  <c r="AR12" i="6"/>
  <c r="AS12" i="6"/>
  <c r="AT12" i="6"/>
  <c r="AQ13" i="6"/>
  <c r="AR13" i="6"/>
  <c r="AS13" i="6"/>
  <c r="AT13" i="6"/>
  <c r="AQ14" i="6"/>
  <c r="AR14" i="6"/>
  <c r="AS14" i="6"/>
  <c r="AT14" i="6"/>
  <c r="AQ15" i="6"/>
  <c r="AR15" i="6"/>
  <c r="AS15" i="6"/>
  <c r="AT15" i="6"/>
  <c r="AQ16" i="6"/>
  <c r="AR16" i="6"/>
  <c r="AS16" i="6"/>
  <c r="AT16" i="6"/>
  <c r="AQ17" i="6"/>
  <c r="AR17" i="6"/>
  <c r="AS17" i="6"/>
  <c r="AT17" i="6"/>
  <c r="AQ18" i="6"/>
  <c r="AR18" i="6"/>
  <c r="AS18" i="6"/>
  <c r="AT18" i="6"/>
  <c r="AQ19" i="6"/>
  <c r="AR19" i="6"/>
  <c r="AS19" i="6"/>
  <c r="AT19" i="6"/>
  <c r="AQ20" i="6"/>
  <c r="AR20" i="6"/>
  <c r="AS20" i="6"/>
  <c r="AT20" i="6"/>
  <c r="AQ21" i="6"/>
  <c r="AR21" i="6"/>
  <c r="AS21" i="6"/>
  <c r="AT21" i="6"/>
  <c r="AQ22" i="6"/>
  <c r="AR22" i="6"/>
  <c r="AS22" i="6"/>
  <c r="AT22" i="6"/>
  <c r="AQ23" i="6"/>
  <c r="AR23" i="6"/>
  <c r="AS23" i="6"/>
  <c r="AT23" i="6"/>
  <c r="AQ24" i="6"/>
  <c r="AR24" i="6"/>
  <c r="AS24" i="6"/>
  <c r="AT24" i="6"/>
  <c r="AQ25" i="6"/>
  <c r="AR25" i="6"/>
  <c r="AS25" i="6"/>
  <c r="AT25" i="6"/>
  <c r="AQ26" i="6"/>
  <c r="AR26" i="6"/>
  <c r="AS26" i="6"/>
  <c r="AT26" i="6"/>
  <c r="AU11" i="2"/>
  <c r="AV11" i="2"/>
  <c r="AW11" i="2"/>
  <c r="AX11" i="2"/>
  <c r="AU12" i="2"/>
  <c r="AV12" i="2"/>
  <c r="AW12" i="2"/>
  <c r="AX12" i="2"/>
  <c r="AU13" i="2"/>
  <c r="AV13" i="2"/>
  <c r="AW13" i="2"/>
  <c r="AX13" i="2"/>
  <c r="AU14" i="2"/>
  <c r="AV14" i="2"/>
  <c r="AW14" i="2"/>
  <c r="AX14" i="2"/>
  <c r="AU15" i="2"/>
  <c r="AV15" i="2"/>
  <c r="AW15" i="2"/>
  <c r="AX15" i="2"/>
  <c r="AU16" i="2"/>
  <c r="AV16" i="2"/>
  <c r="AW16" i="2"/>
  <c r="AX16" i="2"/>
  <c r="AU17" i="2"/>
  <c r="AV17" i="2"/>
  <c r="AW17" i="2"/>
  <c r="AX17" i="2"/>
  <c r="AU18" i="2"/>
  <c r="AV18" i="2"/>
  <c r="AW18" i="2"/>
  <c r="AX18" i="2"/>
  <c r="AU19" i="2"/>
  <c r="AV19" i="2"/>
  <c r="AW19" i="2"/>
  <c r="AX19" i="2"/>
  <c r="AU20" i="2"/>
  <c r="AV20" i="2"/>
  <c r="AW20" i="2"/>
  <c r="AX20" i="2"/>
  <c r="AU21" i="2"/>
  <c r="AV21" i="2"/>
  <c r="AW21" i="2"/>
  <c r="AX21" i="2"/>
  <c r="AU22" i="2"/>
  <c r="AV22" i="2"/>
  <c r="AW22" i="2"/>
  <c r="AX22" i="2"/>
  <c r="AU23" i="2"/>
  <c r="AV23" i="2"/>
  <c r="AW23" i="2"/>
  <c r="AX23" i="2"/>
  <c r="AU24" i="2"/>
  <c r="AV24" i="2"/>
  <c r="AW24" i="2"/>
  <c r="AX24" i="2"/>
  <c r="AU25" i="2"/>
  <c r="AV25" i="2"/>
  <c r="AW25" i="2"/>
  <c r="AX25" i="2"/>
  <c r="AU26" i="2"/>
  <c r="AV26" i="2"/>
  <c r="AW26" i="2"/>
  <c r="AX26" i="2"/>
  <c r="AX10" i="2"/>
  <c r="AW10" i="2"/>
  <c r="AV10" i="2"/>
  <c r="AU10" i="2"/>
  <c r="AT11" i="2"/>
  <c r="AT12" i="2"/>
  <c r="AT13" i="2"/>
  <c r="AT14" i="2"/>
  <c r="AT15" i="2"/>
  <c r="AT16" i="2"/>
  <c r="AT17" i="2"/>
  <c r="AT18" i="2"/>
  <c r="AT19" i="2"/>
  <c r="AT20" i="2"/>
  <c r="AT21" i="2"/>
  <c r="AT22" i="2"/>
  <c r="AT23" i="2"/>
  <c r="AT24" i="2"/>
  <c r="AT25" i="2"/>
  <c r="AT26" i="2"/>
  <c r="AT10" i="2"/>
  <c r="AS11" i="2"/>
  <c r="AS12" i="2"/>
  <c r="AS13" i="2"/>
  <c r="AS14" i="2"/>
  <c r="AS15" i="2"/>
  <c r="AS16" i="2"/>
  <c r="AS17" i="2"/>
  <c r="AS18" i="2"/>
  <c r="AS19" i="2"/>
  <c r="AS20" i="2"/>
  <c r="AS21" i="2"/>
  <c r="AS22" i="2"/>
  <c r="AS23" i="2"/>
  <c r="AS24" i="2"/>
  <c r="AS25" i="2"/>
  <c r="AS26" i="2"/>
  <c r="AS10" i="2"/>
  <c r="AP11" i="7"/>
  <c r="AP12" i="7"/>
  <c r="AP13" i="7"/>
  <c r="AP14" i="7"/>
  <c r="AP15" i="7"/>
  <c r="AP16" i="7"/>
  <c r="AP17" i="7"/>
  <c r="AP18" i="7"/>
  <c r="AP19" i="7"/>
  <c r="AP20" i="7"/>
  <c r="AP21" i="7"/>
  <c r="AP22" i="7"/>
  <c r="AP23" i="7"/>
  <c r="AP24" i="7"/>
  <c r="AP25" i="7"/>
  <c r="AP26" i="7"/>
  <c r="AP10" i="7"/>
  <c r="AO11" i="7"/>
  <c r="AO12" i="7"/>
  <c r="AO13" i="7"/>
  <c r="AO14" i="7"/>
  <c r="AO15" i="7"/>
  <c r="AO16" i="7"/>
  <c r="AO17" i="7"/>
  <c r="AO18" i="7"/>
  <c r="AO19" i="7"/>
  <c r="AO20" i="7"/>
  <c r="AO21" i="7"/>
  <c r="AO22" i="7"/>
  <c r="AO23" i="7"/>
  <c r="AO24" i="7"/>
  <c r="AO25" i="7"/>
  <c r="AO26" i="7"/>
  <c r="AO10" i="7"/>
  <c r="AN11" i="7"/>
  <c r="AN12" i="7"/>
  <c r="AN13" i="7"/>
  <c r="AN14" i="7"/>
  <c r="AN15" i="7"/>
  <c r="AN16" i="7"/>
  <c r="AN17" i="7"/>
  <c r="AN18" i="7"/>
  <c r="AN19" i="7"/>
  <c r="AN20" i="7"/>
  <c r="AN21" i="7"/>
  <c r="AN22" i="7"/>
  <c r="AN23" i="7"/>
  <c r="AN24" i="7"/>
  <c r="AN25" i="7"/>
  <c r="AN26" i="7"/>
  <c r="AM11" i="7"/>
  <c r="AM12" i="7"/>
  <c r="AM13" i="7"/>
  <c r="AM14" i="7"/>
  <c r="AM15" i="7"/>
  <c r="AM16" i="7"/>
  <c r="AM17" i="7"/>
  <c r="AM18" i="7"/>
  <c r="AM19" i="7"/>
  <c r="AM20" i="7"/>
  <c r="AM21" i="7"/>
  <c r="AM22" i="7"/>
  <c r="AM23" i="7"/>
  <c r="AM24" i="7"/>
  <c r="AM25" i="7"/>
  <c r="AM26" i="7"/>
  <c r="AR11" i="2"/>
  <c r="AR12" i="2"/>
  <c r="AR13" i="2"/>
  <c r="AR14" i="2"/>
  <c r="AR10" i="2"/>
  <c r="AQ11" i="2"/>
  <c r="AQ12" i="2"/>
  <c r="AQ13" i="2"/>
  <c r="AQ14" i="2"/>
  <c r="AQ16" i="2"/>
  <c r="AQ17" i="2"/>
  <c r="AQ18" i="2"/>
  <c r="AQ19" i="2"/>
  <c r="AQ20" i="2"/>
  <c r="AQ21" i="2"/>
  <c r="AQ22" i="2"/>
  <c r="AQ23" i="2"/>
  <c r="AQ24" i="2"/>
  <c r="AQ25" i="2"/>
  <c r="AQ26" i="2"/>
  <c r="AQ10" i="2"/>
  <c r="F55" i="2"/>
  <c r="F56" i="2"/>
  <c r="F57" i="2"/>
  <c r="G57" i="2"/>
  <c r="G56" i="2"/>
  <c r="G55" i="2"/>
  <c r="D80" i="9"/>
  <c r="O80" i="9"/>
  <c r="C80" i="9"/>
  <c r="N80" i="9"/>
  <c r="B80" i="9"/>
  <c r="M80" i="9"/>
  <c r="D79" i="9"/>
  <c r="O79" i="9"/>
  <c r="C79" i="9"/>
  <c r="N79" i="9"/>
  <c r="B79" i="9"/>
  <c r="M79" i="9"/>
  <c r="D78" i="9"/>
  <c r="O78" i="9"/>
  <c r="C78" i="9"/>
  <c r="N78" i="9"/>
  <c r="B78" i="9"/>
  <c r="M78" i="9"/>
  <c r="D77" i="9"/>
  <c r="O77" i="9"/>
  <c r="C77" i="9"/>
  <c r="N77" i="9"/>
  <c r="B77" i="9"/>
  <c r="M77" i="9"/>
  <c r="D76" i="9"/>
  <c r="O76" i="9"/>
  <c r="C76" i="9"/>
  <c r="N76" i="9"/>
  <c r="B76" i="9"/>
  <c r="M76" i="9"/>
  <c r="D75" i="9"/>
  <c r="O75" i="9"/>
  <c r="C75" i="9"/>
  <c r="N75" i="9"/>
  <c r="B75" i="9"/>
  <c r="M75" i="9"/>
  <c r="D74" i="9"/>
  <c r="O74" i="9"/>
  <c r="C74" i="9"/>
  <c r="N74" i="9"/>
  <c r="B74" i="9"/>
  <c r="M74" i="9"/>
  <c r="D73" i="9"/>
  <c r="O73" i="9"/>
  <c r="C73" i="9"/>
  <c r="N73" i="9"/>
  <c r="B73" i="9"/>
  <c r="M73" i="9"/>
  <c r="D72" i="9"/>
  <c r="O72" i="9"/>
  <c r="C72" i="9"/>
  <c r="N72" i="9"/>
  <c r="B72" i="9"/>
  <c r="M72" i="9"/>
  <c r="D71" i="9"/>
  <c r="O71" i="9"/>
  <c r="C71" i="9"/>
  <c r="N71" i="9"/>
  <c r="B71" i="9"/>
  <c r="M71" i="9"/>
  <c r="D70" i="9"/>
  <c r="O70" i="9"/>
  <c r="C70" i="9"/>
  <c r="N70" i="9"/>
  <c r="B70" i="9"/>
  <c r="M70" i="9"/>
  <c r="D69" i="9"/>
  <c r="O69" i="9"/>
  <c r="C69" i="9"/>
  <c r="N69" i="9"/>
  <c r="B69" i="9"/>
  <c r="M69" i="9"/>
  <c r="D68" i="9"/>
  <c r="O68" i="9"/>
  <c r="C68" i="9"/>
  <c r="N68" i="9"/>
  <c r="B68" i="9"/>
  <c r="M68" i="9"/>
  <c r="D67" i="9"/>
  <c r="O67" i="9"/>
  <c r="C67" i="9"/>
  <c r="N67" i="9"/>
  <c r="B67" i="9"/>
  <c r="M67" i="9"/>
  <c r="D66" i="9"/>
  <c r="O66" i="9"/>
  <c r="C66" i="9"/>
  <c r="N66" i="9"/>
  <c r="B66" i="9"/>
  <c r="M66" i="9"/>
  <c r="D65" i="9"/>
  <c r="O65" i="9"/>
  <c r="C65" i="9"/>
  <c r="N65" i="9"/>
  <c r="B65" i="9"/>
  <c r="M65" i="9"/>
  <c r="D64" i="9"/>
  <c r="O64" i="9"/>
  <c r="C64" i="9"/>
  <c r="N64" i="9"/>
  <c r="B64" i="9"/>
  <c r="M64" i="9"/>
  <c r="D60" i="9"/>
  <c r="O60" i="9"/>
  <c r="C60" i="9"/>
  <c r="N60" i="9"/>
  <c r="B60" i="9"/>
  <c r="M60" i="9"/>
  <c r="D59" i="9"/>
  <c r="O59" i="9"/>
  <c r="C59" i="9"/>
  <c r="N59" i="9"/>
  <c r="B59" i="9"/>
  <c r="M59" i="9"/>
  <c r="D58" i="9"/>
  <c r="O58" i="9"/>
  <c r="C58" i="9"/>
  <c r="N58" i="9"/>
  <c r="B58" i="9"/>
  <c r="M58" i="9"/>
  <c r="D57" i="9"/>
  <c r="O57" i="9"/>
  <c r="C57" i="9"/>
  <c r="N57" i="9"/>
  <c r="M57" i="9"/>
  <c r="D56" i="9"/>
  <c r="O56" i="9"/>
  <c r="C56" i="9"/>
  <c r="N56" i="9"/>
  <c r="B56" i="9"/>
  <c r="M56" i="9"/>
  <c r="D55" i="9"/>
  <c r="O55" i="9"/>
  <c r="C55" i="9"/>
  <c r="N55" i="9"/>
  <c r="B55" i="9"/>
  <c r="M55" i="9"/>
  <c r="D54" i="9"/>
  <c r="O54" i="9"/>
  <c r="C54" i="9"/>
  <c r="N54" i="9"/>
  <c r="B54" i="9"/>
  <c r="M54" i="9"/>
  <c r="D53" i="9"/>
  <c r="O53" i="9"/>
  <c r="C53" i="9"/>
  <c r="N53" i="9"/>
  <c r="B53" i="9"/>
  <c r="M53" i="9"/>
  <c r="D52" i="9"/>
  <c r="O52" i="9"/>
  <c r="C52" i="9"/>
  <c r="N52" i="9"/>
  <c r="B52" i="9"/>
  <c r="M52" i="9"/>
  <c r="D51" i="9"/>
  <c r="O51" i="9"/>
  <c r="C51" i="9"/>
  <c r="N51" i="9"/>
  <c r="B51" i="9"/>
  <c r="M51" i="9"/>
  <c r="D50" i="9"/>
  <c r="O50" i="9"/>
  <c r="C50" i="9"/>
  <c r="N50" i="9"/>
  <c r="B50" i="9"/>
  <c r="M50" i="9"/>
  <c r="D49" i="9"/>
  <c r="O49" i="9"/>
  <c r="C49" i="9"/>
  <c r="N49" i="9"/>
  <c r="B49" i="9"/>
  <c r="M49" i="9"/>
  <c r="D48" i="9"/>
  <c r="O48" i="9"/>
  <c r="C48" i="9"/>
  <c r="N48" i="9"/>
  <c r="B48" i="9"/>
  <c r="M48" i="9"/>
  <c r="D47" i="9"/>
  <c r="O47" i="9"/>
  <c r="C47" i="9"/>
  <c r="N47" i="9"/>
  <c r="B47" i="9"/>
  <c r="M47" i="9"/>
  <c r="D46" i="9"/>
  <c r="O46" i="9"/>
  <c r="C46" i="9"/>
  <c r="N46" i="9"/>
  <c r="B46" i="9"/>
  <c r="M46" i="9"/>
  <c r="D45" i="9"/>
  <c r="O45" i="9"/>
  <c r="C45" i="9"/>
  <c r="N45" i="9"/>
  <c r="B45" i="9"/>
  <c r="M45" i="9"/>
  <c r="D44" i="9"/>
  <c r="O44" i="9"/>
  <c r="C44" i="9"/>
  <c r="N44" i="9"/>
  <c r="B44" i="9"/>
  <c r="M44" i="9"/>
  <c r="D40" i="9"/>
  <c r="O40" i="9"/>
  <c r="C40" i="9"/>
  <c r="N40" i="9"/>
  <c r="B40" i="9"/>
  <c r="M40" i="9"/>
  <c r="D39" i="9"/>
  <c r="O39" i="9"/>
  <c r="C39" i="9"/>
  <c r="N39" i="9"/>
  <c r="B39" i="9"/>
  <c r="M39" i="9"/>
  <c r="D38" i="9"/>
  <c r="O38" i="9"/>
  <c r="C38" i="9"/>
  <c r="N38" i="9"/>
  <c r="B38" i="9"/>
  <c r="M38" i="9"/>
  <c r="D37" i="9"/>
  <c r="O37" i="9"/>
  <c r="C37" i="9"/>
  <c r="N37" i="9"/>
  <c r="B37" i="9"/>
  <c r="M37" i="9"/>
  <c r="D36" i="9"/>
  <c r="O36" i="9"/>
  <c r="C36" i="9"/>
  <c r="N36" i="9"/>
  <c r="B36" i="9"/>
  <c r="M36" i="9"/>
  <c r="D35" i="9"/>
  <c r="O35" i="9"/>
  <c r="C35" i="9"/>
  <c r="N35" i="9"/>
  <c r="B35" i="9"/>
  <c r="M35" i="9"/>
  <c r="D34" i="9"/>
  <c r="O34" i="9"/>
  <c r="C34" i="9"/>
  <c r="N34" i="9"/>
  <c r="B34" i="9"/>
  <c r="M34" i="9"/>
  <c r="D33" i="9"/>
  <c r="O33" i="9"/>
  <c r="C33" i="9"/>
  <c r="N33" i="9"/>
  <c r="B33" i="9"/>
  <c r="M33" i="9"/>
  <c r="D32" i="9"/>
  <c r="O32" i="9"/>
  <c r="C32" i="9"/>
  <c r="N32" i="9"/>
  <c r="B32" i="9"/>
  <c r="M32" i="9"/>
  <c r="D31" i="9"/>
  <c r="O31" i="9"/>
  <c r="C31" i="9"/>
  <c r="N31" i="9"/>
  <c r="B31" i="9"/>
  <c r="M31" i="9"/>
  <c r="D30" i="9"/>
  <c r="O30" i="9"/>
  <c r="C30" i="9"/>
  <c r="N30" i="9"/>
  <c r="B30" i="9"/>
  <c r="M30" i="9"/>
  <c r="D29" i="9"/>
  <c r="O29" i="9"/>
  <c r="C29" i="9"/>
  <c r="N29" i="9"/>
  <c r="B29" i="9"/>
  <c r="M29" i="9"/>
  <c r="D28" i="9"/>
  <c r="O28" i="9"/>
  <c r="C28" i="9"/>
  <c r="N28" i="9"/>
  <c r="B28" i="9"/>
  <c r="M28" i="9"/>
  <c r="D27" i="9"/>
  <c r="O27" i="9"/>
  <c r="C27" i="9"/>
  <c r="N27" i="9"/>
  <c r="B27" i="9"/>
  <c r="M27" i="9"/>
  <c r="D26" i="9"/>
  <c r="O26" i="9"/>
  <c r="C26" i="9"/>
  <c r="N26" i="9"/>
  <c r="B26" i="9"/>
  <c r="M26" i="9"/>
  <c r="D25" i="9"/>
  <c r="O25" i="9"/>
  <c r="C25" i="9"/>
  <c r="N25" i="9"/>
  <c r="B25" i="9"/>
  <c r="M25" i="9"/>
  <c r="D24" i="9"/>
  <c r="O24" i="9"/>
  <c r="C24" i="9"/>
  <c r="N24" i="9"/>
  <c r="B24" i="9"/>
  <c r="M24" i="9"/>
  <c r="B5" i="9"/>
  <c r="M5" i="9"/>
  <c r="C5" i="9"/>
  <c r="N5" i="9"/>
  <c r="D5" i="9"/>
  <c r="O5" i="9"/>
  <c r="B6" i="9"/>
  <c r="M6" i="9"/>
  <c r="C6" i="9"/>
  <c r="N6" i="9"/>
  <c r="D6" i="9"/>
  <c r="O6" i="9"/>
  <c r="B7" i="9"/>
  <c r="M7" i="9"/>
  <c r="C7" i="9"/>
  <c r="N7" i="9"/>
  <c r="D7" i="9"/>
  <c r="O7" i="9"/>
  <c r="B8" i="9"/>
  <c r="M8" i="9"/>
  <c r="C8" i="9"/>
  <c r="N8" i="9"/>
  <c r="D8" i="9"/>
  <c r="O8" i="9"/>
  <c r="B9" i="9"/>
  <c r="M9" i="9"/>
  <c r="C9" i="9"/>
  <c r="N9" i="9"/>
  <c r="D9" i="9"/>
  <c r="O9" i="9"/>
  <c r="B10" i="9"/>
  <c r="M10" i="9"/>
  <c r="C10" i="9"/>
  <c r="N10" i="9"/>
  <c r="D10" i="9"/>
  <c r="O10" i="9"/>
  <c r="B11" i="9"/>
  <c r="M11" i="9"/>
  <c r="C11" i="9"/>
  <c r="N11" i="9"/>
  <c r="D11" i="9"/>
  <c r="O11" i="9"/>
  <c r="B12" i="9"/>
  <c r="M12" i="9"/>
  <c r="C12" i="9"/>
  <c r="N12" i="9"/>
  <c r="D12" i="9"/>
  <c r="O12" i="9"/>
  <c r="B13" i="9"/>
  <c r="M13" i="9"/>
  <c r="C13" i="9"/>
  <c r="N13" i="9"/>
  <c r="D13" i="9"/>
  <c r="O13" i="9"/>
  <c r="B14" i="9"/>
  <c r="M14" i="9"/>
  <c r="C14" i="9"/>
  <c r="N14" i="9"/>
  <c r="D14" i="9"/>
  <c r="O14" i="9"/>
  <c r="B15" i="9"/>
  <c r="M15" i="9"/>
  <c r="C15" i="9"/>
  <c r="N15" i="9"/>
  <c r="D15" i="9"/>
  <c r="O15" i="9"/>
  <c r="B16" i="9"/>
  <c r="M16" i="9"/>
  <c r="C16" i="9"/>
  <c r="N16" i="9"/>
  <c r="D16" i="9"/>
  <c r="O16" i="9"/>
  <c r="B17" i="9"/>
  <c r="M17" i="9"/>
  <c r="C17" i="9"/>
  <c r="N17" i="9"/>
  <c r="D17" i="9"/>
  <c r="O17" i="9"/>
  <c r="B18" i="9"/>
  <c r="M18" i="9"/>
  <c r="C18" i="9"/>
  <c r="N18" i="9"/>
  <c r="D18" i="9"/>
  <c r="O18" i="9"/>
  <c r="B19" i="9"/>
  <c r="M19" i="9"/>
  <c r="C19" i="9"/>
  <c r="N19" i="9"/>
  <c r="D19" i="9"/>
  <c r="O19" i="9"/>
  <c r="B20" i="9"/>
  <c r="M20" i="9"/>
  <c r="C20" i="9"/>
  <c r="N20" i="9"/>
  <c r="D20" i="9"/>
  <c r="O20" i="9"/>
  <c r="B4" i="9"/>
  <c r="M4" i="9"/>
  <c r="C4" i="9"/>
  <c r="N4" i="9"/>
  <c r="D4" i="9"/>
  <c r="O4" i="9"/>
  <c r="K16" i="9"/>
  <c r="K17" i="9"/>
  <c r="K18" i="9"/>
  <c r="K19" i="9"/>
  <c r="K20" i="9"/>
  <c r="K21" i="9"/>
  <c r="J16" i="9"/>
  <c r="J17" i="9"/>
  <c r="J18" i="9"/>
  <c r="J19" i="9"/>
  <c r="J20" i="9"/>
  <c r="J21" i="9"/>
  <c r="K36" i="9"/>
  <c r="K37" i="9"/>
  <c r="K38" i="9"/>
  <c r="K39" i="9"/>
  <c r="K40" i="9"/>
  <c r="K41" i="9"/>
  <c r="J36" i="9"/>
  <c r="J37" i="9"/>
  <c r="J38" i="9"/>
  <c r="J39" i="9"/>
  <c r="J40" i="9"/>
  <c r="J41" i="9"/>
  <c r="K56" i="9"/>
  <c r="K57" i="9"/>
  <c r="K58" i="9"/>
  <c r="K59" i="9"/>
  <c r="K60" i="9"/>
  <c r="K61" i="9"/>
  <c r="J56" i="9"/>
  <c r="J58" i="9"/>
  <c r="J59" i="9"/>
  <c r="J60" i="9"/>
  <c r="J57" i="9"/>
  <c r="J61" i="9"/>
  <c r="K76" i="9"/>
  <c r="K77" i="9"/>
  <c r="K78" i="9"/>
  <c r="K79" i="9"/>
  <c r="K80" i="9"/>
  <c r="K81" i="9"/>
  <c r="J76" i="9"/>
  <c r="J77" i="9"/>
  <c r="J78" i="9"/>
  <c r="J79" i="9"/>
  <c r="J80" i="9"/>
  <c r="J81" i="9"/>
  <c r="J65" i="9"/>
  <c r="K65" i="9"/>
  <c r="J66" i="9"/>
  <c r="K66" i="9"/>
  <c r="J67" i="9"/>
  <c r="K67" i="9"/>
  <c r="J68" i="9"/>
  <c r="K68" i="9"/>
  <c r="J69" i="9"/>
  <c r="K69" i="9"/>
  <c r="J70" i="9"/>
  <c r="K70" i="9"/>
  <c r="J71" i="9"/>
  <c r="K71" i="9"/>
  <c r="J72" i="9"/>
  <c r="K72" i="9"/>
  <c r="J73" i="9"/>
  <c r="K73" i="9"/>
  <c r="J74" i="9"/>
  <c r="K74" i="9"/>
  <c r="J75" i="9"/>
  <c r="K75" i="9"/>
  <c r="K64" i="9"/>
  <c r="J64" i="9"/>
  <c r="A65" i="9"/>
  <c r="A66" i="9"/>
  <c r="A67" i="9"/>
  <c r="A68" i="9"/>
  <c r="A69" i="9"/>
  <c r="A70" i="9"/>
  <c r="A71" i="9"/>
  <c r="A72" i="9"/>
  <c r="A73" i="9"/>
  <c r="A74" i="9"/>
  <c r="A75" i="9"/>
  <c r="A76" i="9"/>
  <c r="A77" i="9"/>
  <c r="A78" i="9"/>
  <c r="A79" i="9"/>
  <c r="A80" i="9"/>
  <c r="K45" i="9"/>
  <c r="K46" i="9"/>
  <c r="K47" i="9"/>
  <c r="K48" i="9"/>
  <c r="K49" i="9"/>
  <c r="K50" i="9"/>
  <c r="K51" i="9"/>
  <c r="K52" i="9"/>
  <c r="K53" i="9"/>
  <c r="K54" i="9"/>
  <c r="K55" i="9"/>
  <c r="K44" i="9"/>
  <c r="J45" i="9"/>
  <c r="J46" i="9"/>
  <c r="J47" i="9"/>
  <c r="J48" i="9"/>
  <c r="J49" i="9"/>
  <c r="J50" i="9"/>
  <c r="J51" i="9"/>
  <c r="J52" i="9"/>
  <c r="J53" i="9"/>
  <c r="J54" i="9"/>
  <c r="J55" i="9"/>
  <c r="J44" i="9"/>
  <c r="A45" i="9"/>
  <c r="A46" i="9"/>
  <c r="A47" i="9"/>
  <c r="A48" i="9"/>
  <c r="A49" i="9"/>
  <c r="A50" i="9"/>
  <c r="A51" i="9"/>
  <c r="A52" i="9"/>
  <c r="A53" i="9"/>
  <c r="A54" i="9"/>
  <c r="A55" i="9"/>
  <c r="A56" i="9"/>
  <c r="A57" i="9"/>
  <c r="A58" i="9"/>
  <c r="A59" i="9"/>
  <c r="A60" i="9"/>
  <c r="K24" i="9"/>
  <c r="J24" i="9"/>
  <c r="J25" i="9"/>
  <c r="K25" i="9"/>
  <c r="J26" i="9"/>
  <c r="K26" i="9"/>
  <c r="J27" i="9"/>
  <c r="K27" i="9"/>
  <c r="J28" i="9"/>
  <c r="K28" i="9"/>
  <c r="J29" i="9"/>
  <c r="K29" i="9"/>
  <c r="J30" i="9"/>
  <c r="K30" i="9"/>
  <c r="J31" i="9"/>
  <c r="K31" i="9"/>
  <c r="J32" i="9"/>
  <c r="K32" i="9"/>
  <c r="J33" i="9"/>
  <c r="K33" i="9"/>
  <c r="J34" i="9"/>
  <c r="K34" i="9"/>
  <c r="J35" i="9"/>
  <c r="K35" i="9"/>
  <c r="B35" i="8"/>
  <c r="A25" i="9"/>
  <c r="A26" i="9"/>
  <c r="A27" i="9"/>
  <c r="A28" i="9"/>
  <c r="A29" i="9"/>
  <c r="A30" i="9"/>
  <c r="A31" i="9"/>
  <c r="A32" i="9"/>
  <c r="A33" i="9"/>
  <c r="A34" i="9"/>
  <c r="A35" i="9"/>
  <c r="A36" i="9"/>
  <c r="A37" i="9"/>
  <c r="A38" i="9"/>
  <c r="A39" i="9"/>
  <c r="A40" i="9"/>
  <c r="K5" i="9"/>
  <c r="K6" i="9"/>
  <c r="K7" i="9"/>
  <c r="K8" i="9"/>
  <c r="K9" i="9"/>
  <c r="K10" i="9"/>
  <c r="K11" i="9"/>
  <c r="K12" i="9"/>
  <c r="K13" i="9"/>
  <c r="K14" i="9"/>
  <c r="K15" i="9"/>
  <c r="K4" i="9"/>
  <c r="J5" i="9"/>
  <c r="J6" i="9"/>
  <c r="J7" i="9"/>
  <c r="J8" i="9"/>
  <c r="J9" i="9"/>
  <c r="J10" i="9"/>
  <c r="J11" i="9"/>
  <c r="J12" i="9"/>
  <c r="J13" i="9"/>
  <c r="J14" i="9"/>
  <c r="J15" i="9"/>
  <c r="J4" i="9"/>
  <c r="A5" i="9"/>
  <c r="A6" i="9"/>
  <c r="A7" i="9"/>
  <c r="A8" i="9"/>
  <c r="A9" i="9"/>
  <c r="A10" i="9"/>
  <c r="A11" i="9"/>
  <c r="A12" i="9"/>
  <c r="A13" i="9"/>
  <c r="A14" i="9"/>
  <c r="A15" i="9"/>
  <c r="A16" i="9"/>
  <c r="A17" i="9"/>
  <c r="A18" i="9"/>
  <c r="A19" i="9"/>
  <c r="A20" i="9"/>
  <c r="D83" i="8"/>
  <c r="K83" i="8"/>
  <c r="M83" i="8"/>
  <c r="J83" i="8"/>
  <c r="L83" i="8"/>
  <c r="D82" i="8"/>
  <c r="K82" i="8"/>
  <c r="M82" i="8"/>
  <c r="J82" i="8"/>
  <c r="L82" i="8"/>
  <c r="D81" i="8"/>
  <c r="K81" i="8"/>
  <c r="M81" i="8"/>
  <c r="J81" i="8"/>
  <c r="L81" i="8"/>
  <c r="D80" i="8"/>
  <c r="K80" i="8"/>
  <c r="M80" i="8"/>
  <c r="J80" i="8"/>
  <c r="L80" i="8"/>
  <c r="D79" i="8"/>
  <c r="K79" i="8"/>
  <c r="M79" i="8"/>
  <c r="J79" i="8"/>
  <c r="L79" i="8"/>
  <c r="D78" i="8"/>
  <c r="K78" i="8"/>
  <c r="M78" i="8"/>
  <c r="J78" i="8"/>
  <c r="L78" i="8"/>
  <c r="D77" i="8"/>
  <c r="K77" i="8"/>
  <c r="M77" i="8"/>
  <c r="J77" i="8"/>
  <c r="L77" i="8"/>
  <c r="D76" i="8"/>
  <c r="K76" i="8"/>
  <c r="M76" i="8"/>
  <c r="J76" i="8"/>
  <c r="L76" i="8"/>
  <c r="D75" i="8"/>
  <c r="K75" i="8"/>
  <c r="M75" i="8"/>
  <c r="J75" i="8"/>
  <c r="L75" i="8"/>
  <c r="D74" i="8"/>
  <c r="K74" i="8"/>
  <c r="M74" i="8"/>
  <c r="J74" i="8"/>
  <c r="L74" i="8"/>
  <c r="D73" i="8"/>
  <c r="K73" i="8"/>
  <c r="M73" i="8"/>
  <c r="J73" i="8"/>
  <c r="L73" i="8"/>
  <c r="D72" i="8"/>
  <c r="K72" i="8"/>
  <c r="M72" i="8"/>
  <c r="J72" i="8"/>
  <c r="L72" i="8"/>
  <c r="D71" i="8"/>
  <c r="K71" i="8"/>
  <c r="M71" i="8"/>
  <c r="J71" i="8"/>
  <c r="L71" i="8"/>
  <c r="D70" i="8"/>
  <c r="K70" i="8"/>
  <c r="M70" i="8"/>
  <c r="J70" i="8"/>
  <c r="L70" i="8"/>
  <c r="D69" i="8"/>
  <c r="K69" i="8"/>
  <c r="M69" i="8"/>
  <c r="J69" i="8"/>
  <c r="L69" i="8"/>
  <c r="D68" i="8"/>
  <c r="K68" i="8"/>
  <c r="M68" i="8"/>
  <c r="J68" i="8"/>
  <c r="L68" i="8"/>
  <c r="D67" i="8"/>
  <c r="K67" i="8"/>
  <c r="M67" i="8"/>
  <c r="J67" i="8"/>
  <c r="L67" i="8"/>
  <c r="C62" i="8"/>
  <c r="D62" i="8"/>
  <c r="K62" i="8"/>
  <c r="M62" i="8"/>
  <c r="J62" i="8"/>
  <c r="L62" i="8"/>
  <c r="C61" i="8"/>
  <c r="D61" i="8"/>
  <c r="K61" i="8"/>
  <c r="M61" i="8"/>
  <c r="J61" i="8"/>
  <c r="L61" i="8"/>
  <c r="C60" i="8"/>
  <c r="D60" i="8"/>
  <c r="K60" i="8"/>
  <c r="M60" i="8"/>
  <c r="J60" i="8"/>
  <c r="L60" i="8"/>
  <c r="C59" i="8"/>
  <c r="D59" i="8"/>
  <c r="K59" i="8"/>
  <c r="M59" i="8"/>
  <c r="J59" i="8"/>
  <c r="L59" i="8"/>
  <c r="C58" i="8"/>
  <c r="D58" i="8"/>
  <c r="K58" i="8"/>
  <c r="M58" i="8"/>
  <c r="J58" i="8"/>
  <c r="L58" i="8"/>
  <c r="C57" i="8"/>
  <c r="D57" i="8"/>
  <c r="K57" i="8"/>
  <c r="M57" i="8"/>
  <c r="J57" i="8"/>
  <c r="L57" i="8"/>
  <c r="C56" i="8"/>
  <c r="D56" i="8"/>
  <c r="K56" i="8"/>
  <c r="M56" i="8"/>
  <c r="J56" i="8"/>
  <c r="L56" i="8"/>
  <c r="C55" i="8"/>
  <c r="D55" i="8"/>
  <c r="K55" i="8"/>
  <c r="M55" i="8"/>
  <c r="J55" i="8"/>
  <c r="L55" i="8"/>
  <c r="C54" i="8"/>
  <c r="D54" i="8"/>
  <c r="K54" i="8"/>
  <c r="M54" i="8"/>
  <c r="J54" i="8"/>
  <c r="L54" i="8"/>
  <c r="C53" i="8"/>
  <c r="D53" i="8"/>
  <c r="K53" i="8"/>
  <c r="M53" i="8"/>
  <c r="J53" i="8"/>
  <c r="L53" i="8"/>
  <c r="C52" i="8"/>
  <c r="D52" i="8"/>
  <c r="K52" i="8"/>
  <c r="M52" i="8"/>
  <c r="J52" i="8"/>
  <c r="L52" i="8"/>
  <c r="C51" i="8"/>
  <c r="D51" i="8"/>
  <c r="K51" i="8"/>
  <c r="M51" i="8"/>
  <c r="J51" i="8"/>
  <c r="L51" i="8"/>
  <c r="C50" i="8"/>
  <c r="D50" i="8"/>
  <c r="K50" i="8"/>
  <c r="M50" i="8"/>
  <c r="J50" i="8"/>
  <c r="L50" i="8"/>
  <c r="C49" i="8"/>
  <c r="D49" i="8"/>
  <c r="K49" i="8"/>
  <c r="M49" i="8"/>
  <c r="J49" i="8"/>
  <c r="L49" i="8"/>
  <c r="C48" i="8"/>
  <c r="D48" i="8"/>
  <c r="K48" i="8"/>
  <c r="M48" i="8"/>
  <c r="J48" i="8"/>
  <c r="L48" i="8"/>
  <c r="C47" i="8"/>
  <c r="D47" i="8"/>
  <c r="K47" i="8"/>
  <c r="M47" i="8"/>
  <c r="J47" i="8"/>
  <c r="L47" i="8"/>
  <c r="C46" i="8"/>
  <c r="D46" i="8"/>
  <c r="K46" i="8"/>
  <c r="M46" i="8"/>
  <c r="J46" i="8"/>
  <c r="L46" i="8"/>
  <c r="C41" i="8"/>
  <c r="D41" i="8"/>
  <c r="K41" i="8"/>
  <c r="M41" i="8"/>
  <c r="J41" i="8"/>
  <c r="L41" i="8"/>
  <c r="C40" i="8"/>
  <c r="D40" i="8"/>
  <c r="K40" i="8"/>
  <c r="M40" i="8"/>
  <c r="J40" i="8"/>
  <c r="L40" i="8"/>
  <c r="C39" i="8"/>
  <c r="D39" i="8"/>
  <c r="K39" i="8"/>
  <c r="M39" i="8"/>
  <c r="J39" i="8"/>
  <c r="L39" i="8"/>
  <c r="C38" i="8"/>
  <c r="D38" i="8"/>
  <c r="K38" i="8"/>
  <c r="M38" i="8"/>
  <c r="J38" i="8"/>
  <c r="L38" i="8"/>
  <c r="C37" i="8"/>
  <c r="D37" i="8"/>
  <c r="K37" i="8"/>
  <c r="M37" i="8"/>
  <c r="J37" i="8"/>
  <c r="L37" i="8"/>
  <c r="C36" i="8"/>
  <c r="D36" i="8"/>
  <c r="K36" i="8"/>
  <c r="M36" i="8"/>
  <c r="J36" i="8"/>
  <c r="L36" i="8"/>
  <c r="C35" i="8"/>
  <c r="D35" i="8"/>
  <c r="K35" i="8"/>
  <c r="M35" i="8"/>
  <c r="J35" i="8"/>
  <c r="L35" i="8"/>
  <c r="C34" i="8"/>
  <c r="D34" i="8"/>
  <c r="K34" i="8"/>
  <c r="M34" i="8"/>
  <c r="J34" i="8"/>
  <c r="L34" i="8"/>
  <c r="C33" i="8"/>
  <c r="D33" i="8"/>
  <c r="K33" i="8"/>
  <c r="M33" i="8"/>
  <c r="J33" i="8"/>
  <c r="L33" i="8"/>
  <c r="C32" i="8"/>
  <c r="D32" i="8"/>
  <c r="K32" i="8"/>
  <c r="M32" i="8"/>
  <c r="J32" i="8"/>
  <c r="L32" i="8"/>
  <c r="C31" i="8"/>
  <c r="D31" i="8"/>
  <c r="K31" i="8"/>
  <c r="M31" i="8"/>
  <c r="J31" i="8"/>
  <c r="L31" i="8"/>
  <c r="C30" i="8"/>
  <c r="D30" i="8"/>
  <c r="K30" i="8"/>
  <c r="M30" i="8"/>
  <c r="J30" i="8"/>
  <c r="L30" i="8"/>
  <c r="C29" i="8"/>
  <c r="D29" i="8"/>
  <c r="K29" i="8"/>
  <c r="M29" i="8"/>
  <c r="J29" i="8"/>
  <c r="L29" i="8"/>
  <c r="C28" i="8"/>
  <c r="D28" i="8"/>
  <c r="K28" i="8"/>
  <c r="M28" i="8"/>
  <c r="J28" i="8"/>
  <c r="L28" i="8"/>
  <c r="C27" i="8"/>
  <c r="D27" i="8"/>
  <c r="K27" i="8"/>
  <c r="M27" i="8"/>
  <c r="J27" i="8"/>
  <c r="L27" i="8"/>
  <c r="C26" i="8"/>
  <c r="D26" i="8"/>
  <c r="K26" i="8"/>
  <c r="M26" i="8"/>
  <c r="J26" i="8"/>
  <c r="L26" i="8"/>
  <c r="C25" i="8"/>
  <c r="D25" i="8"/>
  <c r="K25" i="8"/>
  <c r="M25" i="8"/>
  <c r="J25" i="8"/>
  <c r="L25" i="8"/>
  <c r="D5" i="8"/>
  <c r="J5" i="8"/>
  <c r="L5" i="8"/>
  <c r="C5" i="8"/>
  <c r="K5" i="8"/>
  <c r="M5" i="8"/>
  <c r="D6" i="8"/>
  <c r="J6" i="8"/>
  <c r="L6" i="8"/>
  <c r="C6" i="8"/>
  <c r="K6" i="8"/>
  <c r="M6" i="8"/>
  <c r="D7" i="8"/>
  <c r="J7" i="8"/>
  <c r="L7" i="8"/>
  <c r="C7" i="8"/>
  <c r="K7" i="8"/>
  <c r="M7" i="8"/>
  <c r="D8" i="8"/>
  <c r="J8" i="8"/>
  <c r="L8" i="8"/>
  <c r="C8" i="8"/>
  <c r="K8" i="8"/>
  <c r="M8" i="8"/>
  <c r="D9" i="8"/>
  <c r="J9" i="8"/>
  <c r="L9" i="8"/>
  <c r="C9" i="8"/>
  <c r="K9" i="8"/>
  <c r="M9" i="8"/>
  <c r="D10" i="8"/>
  <c r="J10" i="8"/>
  <c r="L10" i="8"/>
  <c r="C10" i="8"/>
  <c r="K10" i="8"/>
  <c r="M10" i="8"/>
  <c r="D11" i="8"/>
  <c r="J11" i="8"/>
  <c r="L11" i="8"/>
  <c r="C11" i="8"/>
  <c r="K11" i="8"/>
  <c r="M11" i="8"/>
  <c r="D12" i="8"/>
  <c r="J12" i="8"/>
  <c r="L12" i="8"/>
  <c r="C12" i="8"/>
  <c r="K12" i="8"/>
  <c r="M12" i="8"/>
  <c r="D13" i="8"/>
  <c r="J13" i="8"/>
  <c r="L13" i="8"/>
  <c r="C13" i="8"/>
  <c r="K13" i="8"/>
  <c r="M13" i="8"/>
  <c r="D14" i="8"/>
  <c r="J14" i="8"/>
  <c r="L14" i="8"/>
  <c r="C14" i="8"/>
  <c r="K14" i="8"/>
  <c r="M14" i="8"/>
  <c r="D15" i="8"/>
  <c r="J15" i="8"/>
  <c r="L15" i="8"/>
  <c r="C15" i="8"/>
  <c r="K15" i="8"/>
  <c r="M15" i="8"/>
  <c r="D16" i="8"/>
  <c r="J16" i="8"/>
  <c r="L16" i="8"/>
  <c r="C16" i="8"/>
  <c r="K16" i="8"/>
  <c r="M16" i="8"/>
  <c r="D17" i="8"/>
  <c r="J17" i="8"/>
  <c r="L17" i="8"/>
  <c r="C17" i="8"/>
  <c r="K17" i="8"/>
  <c r="M17" i="8"/>
  <c r="D18" i="8"/>
  <c r="J18" i="8"/>
  <c r="L18" i="8"/>
  <c r="C18" i="8"/>
  <c r="K18" i="8"/>
  <c r="M18" i="8"/>
  <c r="D19" i="8"/>
  <c r="J19" i="8"/>
  <c r="L19" i="8"/>
  <c r="C19" i="8"/>
  <c r="K19" i="8"/>
  <c r="M19" i="8"/>
  <c r="D20" i="8"/>
  <c r="J20" i="8"/>
  <c r="L20" i="8"/>
  <c r="C20" i="8"/>
  <c r="K20" i="8"/>
  <c r="M20" i="8"/>
  <c r="C4" i="8"/>
  <c r="D4" i="8"/>
  <c r="K4" i="8"/>
  <c r="M4" i="8"/>
  <c r="J4" i="8"/>
  <c r="L4" i="8"/>
  <c r="Q41" i="8"/>
  <c r="P41" i="8"/>
  <c r="T41" i="8"/>
  <c r="U41" i="8"/>
  <c r="Q40" i="8"/>
  <c r="P40" i="8"/>
  <c r="T40" i="8"/>
  <c r="U40" i="8"/>
  <c r="Q39" i="8"/>
  <c r="P39" i="8"/>
  <c r="T39" i="8"/>
  <c r="U39" i="8"/>
  <c r="Q38" i="8"/>
  <c r="P38" i="8"/>
  <c r="T38" i="8"/>
  <c r="U38" i="8"/>
  <c r="Q37" i="8"/>
  <c r="P37" i="8"/>
  <c r="T37" i="8"/>
  <c r="U37" i="8"/>
  <c r="Q36" i="8"/>
  <c r="P36" i="8"/>
  <c r="T36" i="8"/>
  <c r="U36" i="8"/>
  <c r="Q35" i="8"/>
  <c r="P35" i="8"/>
  <c r="T35" i="8"/>
  <c r="U35" i="8"/>
  <c r="Q34" i="8"/>
  <c r="P34" i="8"/>
  <c r="T34" i="8"/>
  <c r="U34" i="8"/>
  <c r="Q33" i="8"/>
  <c r="P33" i="8"/>
  <c r="T33" i="8"/>
  <c r="U33" i="8"/>
  <c r="Q32" i="8"/>
  <c r="P32" i="8"/>
  <c r="T32" i="8"/>
  <c r="U32" i="8"/>
  <c r="R41" i="8"/>
  <c r="S41" i="8"/>
  <c r="R40" i="8"/>
  <c r="S40" i="8"/>
  <c r="R39" i="8"/>
  <c r="S39" i="8"/>
  <c r="R38" i="8"/>
  <c r="S38" i="8"/>
  <c r="R37" i="8"/>
  <c r="S37" i="8"/>
  <c r="R36" i="8"/>
  <c r="S36" i="8"/>
  <c r="R35" i="8"/>
  <c r="S35" i="8"/>
  <c r="R34" i="8"/>
  <c r="S34" i="8"/>
  <c r="R33" i="8"/>
  <c r="S33" i="8"/>
  <c r="R32" i="8"/>
  <c r="S32" i="8"/>
  <c r="Q12" i="8"/>
  <c r="P12" i="8"/>
  <c r="T12" i="8"/>
  <c r="U12" i="8"/>
  <c r="Q13" i="8"/>
  <c r="P13" i="8"/>
  <c r="T13" i="8"/>
  <c r="U13" i="8"/>
  <c r="Q14" i="8"/>
  <c r="P14" i="8"/>
  <c r="T14" i="8"/>
  <c r="U14" i="8"/>
  <c r="Q15" i="8"/>
  <c r="P15" i="8"/>
  <c r="T15" i="8"/>
  <c r="U15" i="8"/>
  <c r="Q16" i="8"/>
  <c r="P16" i="8"/>
  <c r="T16" i="8"/>
  <c r="U16" i="8"/>
  <c r="Q17" i="8"/>
  <c r="P17" i="8"/>
  <c r="T17" i="8"/>
  <c r="U17" i="8"/>
  <c r="Q18" i="8"/>
  <c r="P18" i="8"/>
  <c r="T18" i="8"/>
  <c r="U18" i="8"/>
  <c r="Q19" i="8"/>
  <c r="P19" i="8"/>
  <c r="T19" i="8"/>
  <c r="U19" i="8"/>
  <c r="Q20" i="8"/>
  <c r="P20" i="8"/>
  <c r="T20" i="8"/>
  <c r="U20" i="8"/>
  <c r="Q11" i="8"/>
  <c r="P11" i="8"/>
  <c r="T11" i="8"/>
  <c r="U11" i="8"/>
  <c r="R12" i="8"/>
  <c r="S12" i="8"/>
  <c r="R13" i="8"/>
  <c r="S13" i="8"/>
  <c r="R14" i="8"/>
  <c r="S14" i="8"/>
  <c r="R15" i="8"/>
  <c r="S15" i="8"/>
  <c r="R16" i="8"/>
  <c r="S16" i="8"/>
  <c r="R17" i="8"/>
  <c r="S17" i="8"/>
  <c r="R18" i="8"/>
  <c r="S18" i="8"/>
  <c r="R19" i="8"/>
  <c r="S19" i="8"/>
  <c r="R20" i="8"/>
  <c r="S20" i="8"/>
  <c r="R11" i="8"/>
  <c r="S11" i="8"/>
  <c r="E83" i="8"/>
  <c r="H83" i="8"/>
  <c r="N83" i="8"/>
  <c r="E82" i="8"/>
  <c r="H82" i="8"/>
  <c r="N82" i="8"/>
  <c r="E81" i="8"/>
  <c r="H81" i="8"/>
  <c r="N81" i="8"/>
  <c r="E80" i="8"/>
  <c r="H80" i="8"/>
  <c r="N80" i="8"/>
  <c r="E79" i="8"/>
  <c r="H79" i="8"/>
  <c r="N79" i="8"/>
  <c r="E78" i="8"/>
  <c r="H78" i="8"/>
  <c r="N78" i="8"/>
  <c r="E77" i="8"/>
  <c r="H77" i="8"/>
  <c r="N77" i="8"/>
  <c r="E76" i="8"/>
  <c r="H76" i="8"/>
  <c r="N76" i="8"/>
  <c r="E75" i="8"/>
  <c r="H75" i="8"/>
  <c r="N75" i="8"/>
  <c r="E74" i="8"/>
  <c r="H74" i="8"/>
  <c r="N74" i="8"/>
  <c r="E73" i="8"/>
  <c r="H73" i="8"/>
  <c r="N73" i="8"/>
  <c r="E72" i="8"/>
  <c r="H72" i="8"/>
  <c r="N72" i="8"/>
  <c r="E71" i="8"/>
  <c r="H71" i="8"/>
  <c r="N71" i="8"/>
  <c r="E70" i="8"/>
  <c r="H70" i="8"/>
  <c r="N70" i="8"/>
  <c r="E69" i="8"/>
  <c r="H69" i="8"/>
  <c r="N69" i="8"/>
  <c r="E68" i="8"/>
  <c r="H68" i="8"/>
  <c r="N68" i="8"/>
  <c r="E67" i="8"/>
  <c r="H67" i="8"/>
  <c r="N67" i="8"/>
  <c r="E62" i="8"/>
  <c r="H62" i="8"/>
  <c r="N62" i="8"/>
  <c r="E61" i="8"/>
  <c r="H61" i="8"/>
  <c r="N61" i="8"/>
  <c r="E60" i="8"/>
  <c r="H60" i="8"/>
  <c r="N60" i="8"/>
  <c r="E59" i="8"/>
  <c r="H59" i="8"/>
  <c r="N59" i="8"/>
  <c r="E58" i="8"/>
  <c r="H58" i="8"/>
  <c r="N58" i="8"/>
  <c r="E57" i="8"/>
  <c r="H57" i="8"/>
  <c r="N57" i="8"/>
  <c r="E56" i="8"/>
  <c r="H56" i="8"/>
  <c r="N56" i="8"/>
  <c r="E55" i="8"/>
  <c r="H55" i="8"/>
  <c r="N55" i="8"/>
  <c r="E54" i="8"/>
  <c r="H54" i="8"/>
  <c r="N54" i="8"/>
  <c r="E53" i="8"/>
  <c r="H53" i="8"/>
  <c r="N53" i="8"/>
  <c r="E52" i="8"/>
  <c r="H52" i="8"/>
  <c r="N52" i="8"/>
  <c r="E51" i="8"/>
  <c r="H51" i="8"/>
  <c r="N51" i="8"/>
  <c r="E50" i="8"/>
  <c r="H50" i="8"/>
  <c r="N50" i="8"/>
  <c r="E49" i="8"/>
  <c r="H49" i="8"/>
  <c r="N49" i="8"/>
  <c r="E48" i="8"/>
  <c r="H48" i="8"/>
  <c r="N48" i="8"/>
  <c r="E47" i="8"/>
  <c r="H47" i="8"/>
  <c r="N47" i="8"/>
  <c r="E46" i="8"/>
  <c r="H46" i="8"/>
  <c r="N46" i="8"/>
  <c r="E41" i="8"/>
  <c r="H41" i="8"/>
  <c r="N41" i="8"/>
  <c r="E40" i="8"/>
  <c r="H40" i="8"/>
  <c r="N40" i="8"/>
  <c r="E39" i="8"/>
  <c r="H39" i="8"/>
  <c r="N39" i="8"/>
  <c r="E38" i="8"/>
  <c r="H38" i="8"/>
  <c r="N38" i="8"/>
  <c r="E37" i="8"/>
  <c r="H37" i="8"/>
  <c r="N37" i="8"/>
  <c r="E36" i="8"/>
  <c r="H36" i="8"/>
  <c r="N36" i="8"/>
  <c r="E35" i="8"/>
  <c r="H35" i="8"/>
  <c r="N35" i="8"/>
  <c r="E34" i="8"/>
  <c r="H34" i="8"/>
  <c r="N34" i="8"/>
  <c r="E33" i="8"/>
  <c r="H33" i="8"/>
  <c r="N33" i="8"/>
  <c r="E32" i="8"/>
  <c r="H32" i="8"/>
  <c r="N32" i="8"/>
  <c r="E31" i="8"/>
  <c r="H31" i="8"/>
  <c r="N31" i="8"/>
  <c r="E30" i="8"/>
  <c r="H30" i="8"/>
  <c r="N30" i="8"/>
  <c r="E29" i="8"/>
  <c r="H29" i="8"/>
  <c r="N29" i="8"/>
  <c r="E28" i="8"/>
  <c r="H28" i="8"/>
  <c r="N28" i="8"/>
  <c r="E27" i="8"/>
  <c r="H27" i="8"/>
  <c r="N27" i="8"/>
  <c r="E26" i="8"/>
  <c r="H26" i="8"/>
  <c r="N26" i="8"/>
  <c r="E25" i="8"/>
  <c r="H25" i="8"/>
  <c r="N25" i="8"/>
  <c r="E5" i="8"/>
  <c r="H5" i="8"/>
  <c r="N5" i="8"/>
  <c r="E6" i="8"/>
  <c r="H6" i="8"/>
  <c r="N6" i="8"/>
  <c r="E7" i="8"/>
  <c r="H7" i="8"/>
  <c r="N7" i="8"/>
  <c r="E8" i="8"/>
  <c r="H8" i="8"/>
  <c r="N8" i="8"/>
  <c r="E9" i="8"/>
  <c r="H9" i="8"/>
  <c r="N9" i="8"/>
  <c r="E10" i="8"/>
  <c r="H10" i="8"/>
  <c r="N10" i="8"/>
  <c r="E11" i="8"/>
  <c r="H11" i="8"/>
  <c r="N11" i="8"/>
  <c r="E12" i="8"/>
  <c r="H12" i="8"/>
  <c r="N12" i="8"/>
  <c r="E13" i="8"/>
  <c r="H13" i="8"/>
  <c r="N13" i="8"/>
  <c r="E14" i="8"/>
  <c r="H14" i="8"/>
  <c r="N14" i="8"/>
  <c r="E15" i="8"/>
  <c r="H15" i="8"/>
  <c r="N15" i="8"/>
  <c r="E16" i="8"/>
  <c r="H16" i="8"/>
  <c r="N16" i="8"/>
  <c r="E17" i="8"/>
  <c r="H17" i="8"/>
  <c r="N17" i="8"/>
  <c r="E18" i="8"/>
  <c r="H18" i="8"/>
  <c r="N18" i="8"/>
  <c r="E19" i="8"/>
  <c r="H19" i="8"/>
  <c r="N19" i="8"/>
  <c r="E20" i="8"/>
  <c r="H20" i="8"/>
  <c r="N20" i="8"/>
  <c r="E4" i="8"/>
  <c r="H4" i="8"/>
  <c r="N4" i="8"/>
  <c r="I68" i="8"/>
  <c r="I69" i="8"/>
  <c r="I70" i="8"/>
  <c r="I71" i="8"/>
  <c r="I72" i="8"/>
  <c r="I73" i="8"/>
  <c r="I74" i="8"/>
  <c r="I75" i="8"/>
  <c r="I76" i="8"/>
  <c r="I77" i="8"/>
  <c r="I78" i="8"/>
  <c r="I79" i="8"/>
  <c r="I80" i="8"/>
  <c r="I81" i="8"/>
  <c r="I82" i="8"/>
  <c r="I83" i="8"/>
  <c r="I67" i="8"/>
  <c r="B68" i="8"/>
  <c r="F68" i="8"/>
  <c r="C68" i="8"/>
  <c r="G68" i="8"/>
  <c r="B69" i="8"/>
  <c r="F69" i="8"/>
  <c r="C69" i="8"/>
  <c r="G69" i="8"/>
  <c r="B70" i="8"/>
  <c r="F70" i="8"/>
  <c r="C70" i="8"/>
  <c r="G70" i="8"/>
  <c r="B71" i="8"/>
  <c r="F71" i="8"/>
  <c r="C71" i="8"/>
  <c r="G71" i="8"/>
  <c r="B72" i="8"/>
  <c r="F72" i="8"/>
  <c r="C72" i="8"/>
  <c r="G72" i="8"/>
  <c r="B73" i="8"/>
  <c r="F73" i="8"/>
  <c r="C73" i="8"/>
  <c r="G73" i="8"/>
  <c r="B74" i="8"/>
  <c r="F74" i="8"/>
  <c r="C74" i="8"/>
  <c r="G74" i="8"/>
  <c r="B75" i="8"/>
  <c r="F75" i="8"/>
  <c r="C75" i="8"/>
  <c r="G75" i="8"/>
  <c r="B76" i="8"/>
  <c r="F76" i="8"/>
  <c r="C76" i="8"/>
  <c r="G76" i="8"/>
  <c r="B77" i="8"/>
  <c r="F77" i="8"/>
  <c r="C77" i="8"/>
  <c r="G77" i="8"/>
  <c r="B78" i="8"/>
  <c r="F78" i="8"/>
  <c r="C78" i="8"/>
  <c r="G78" i="8"/>
  <c r="B79" i="8"/>
  <c r="F79" i="8"/>
  <c r="C79" i="8"/>
  <c r="G79" i="8"/>
  <c r="B80" i="8"/>
  <c r="F80" i="8"/>
  <c r="C80" i="8"/>
  <c r="G80" i="8"/>
  <c r="B81" i="8"/>
  <c r="F81" i="8"/>
  <c r="C81" i="8"/>
  <c r="G81" i="8"/>
  <c r="B82" i="8"/>
  <c r="F82" i="8"/>
  <c r="C82" i="8"/>
  <c r="G82" i="8"/>
  <c r="B83" i="8"/>
  <c r="F83" i="8"/>
  <c r="C83" i="8"/>
  <c r="G83" i="8"/>
  <c r="C67" i="8"/>
  <c r="G67" i="8"/>
  <c r="B67" i="8"/>
  <c r="F67" i="8"/>
  <c r="A67" i="8"/>
  <c r="A68" i="8"/>
  <c r="A69" i="8"/>
  <c r="A70" i="8"/>
  <c r="A71" i="8"/>
  <c r="A72" i="8"/>
  <c r="A73" i="8"/>
  <c r="A74" i="8"/>
  <c r="A75" i="8"/>
  <c r="A76" i="8"/>
  <c r="A77" i="8"/>
  <c r="A78" i="8"/>
  <c r="A79" i="8"/>
  <c r="A80" i="8"/>
  <c r="A81" i="8"/>
  <c r="A82" i="8"/>
  <c r="A83" i="8"/>
  <c r="I47" i="8"/>
  <c r="I48" i="8"/>
  <c r="I49" i="8"/>
  <c r="I50" i="8"/>
  <c r="I51" i="8"/>
  <c r="I52" i="8"/>
  <c r="I53" i="8"/>
  <c r="I54" i="8"/>
  <c r="I55" i="8"/>
  <c r="I56" i="8"/>
  <c r="I57" i="8"/>
  <c r="I58" i="8"/>
  <c r="I59" i="8"/>
  <c r="I60" i="8"/>
  <c r="I61" i="8"/>
  <c r="I62" i="8"/>
  <c r="I46" i="8"/>
  <c r="G62" i="8"/>
  <c r="G47" i="8"/>
  <c r="G48" i="8"/>
  <c r="G49" i="8"/>
  <c r="G50" i="8"/>
  <c r="G51" i="8"/>
  <c r="G52" i="8"/>
  <c r="G53" i="8"/>
  <c r="G54" i="8"/>
  <c r="G55" i="8"/>
  <c r="G56" i="8"/>
  <c r="G57" i="8"/>
  <c r="G58" i="8"/>
  <c r="G59" i="8"/>
  <c r="G60" i="8"/>
  <c r="G61" i="8"/>
  <c r="G46" i="8"/>
  <c r="B47" i="8"/>
  <c r="F47" i="8"/>
  <c r="B48" i="8"/>
  <c r="F48" i="8"/>
  <c r="B49" i="8"/>
  <c r="F49" i="8"/>
  <c r="B50" i="8"/>
  <c r="F50" i="8"/>
  <c r="B51" i="8"/>
  <c r="F51" i="8"/>
  <c r="B52" i="8"/>
  <c r="F52" i="8"/>
  <c r="B53" i="8"/>
  <c r="F53" i="8"/>
  <c r="B54" i="8"/>
  <c r="F54" i="8"/>
  <c r="B55" i="8"/>
  <c r="F55" i="8"/>
  <c r="B56" i="8"/>
  <c r="F56" i="8"/>
  <c r="B57" i="8"/>
  <c r="F57" i="8"/>
  <c r="B58" i="8"/>
  <c r="F58" i="8"/>
  <c r="B59" i="8"/>
  <c r="F59" i="8"/>
  <c r="B60" i="8"/>
  <c r="F60" i="8"/>
  <c r="B61" i="8"/>
  <c r="F61" i="8"/>
  <c r="B62" i="8"/>
  <c r="F62" i="8"/>
  <c r="B46" i="8"/>
  <c r="F46" i="8"/>
  <c r="A46" i="8"/>
  <c r="A47" i="8"/>
  <c r="A48" i="8"/>
  <c r="A49" i="8"/>
  <c r="A50" i="8"/>
  <c r="A51" i="8"/>
  <c r="A52" i="8"/>
  <c r="A53" i="8"/>
  <c r="A54" i="8"/>
  <c r="A55" i="8"/>
  <c r="A56" i="8"/>
  <c r="A57" i="8"/>
  <c r="A58" i="8"/>
  <c r="A59" i="8"/>
  <c r="A60" i="8"/>
  <c r="A61" i="8"/>
  <c r="A62" i="8"/>
  <c r="I26" i="8"/>
  <c r="I27" i="8"/>
  <c r="I28" i="8"/>
  <c r="I29" i="8"/>
  <c r="I30" i="8"/>
  <c r="I31" i="8"/>
  <c r="I32" i="8"/>
  <c r="I33" i="8"/>
  <c r="I34" i="8"/>
  <c r="I35" i="8"/>
  <c r="I36" i="8"/>
  <c r="I37" i="8"/>
  <c r="I38" i="8"/>
  <c r="I39" i="8"/>
  <c r="I40" i="8"/>
  <c r="I41" i="8"/>
  <c r="I25" i="8"/>
  <c r="B26" i="8"/>
  <c r="F26" i="8"/>
  <c r="G26" i="8"/>
  <c r="B27" i="8"/>
  <c r="F27" i="8"/>
  <c r="G27" i="8"/>
  <c r="B28" i="8"/>
  <c r="F28" i="8"/>
  <c r="G28" i="8"/>
  <c r="B29" i="8"/>
  <c r="F29" i="8"/>
  <c r="G29" i="8"/>
  <c r="B30" i="8"/>
  <c r="F30" i="8"/>
  <c r="G30" i="8"/>
  <c r="B31" i="8"/>
  <c r="F31" i="8"/>
  <c r="G31" i="8"/>
  <c r="B32" i="8"/>
  <c r="F32" i="8"/>
  <c r="G32" i="8"/>
  <c r="B33" i="8"/>
  <c r="F33" i="8"/>
  <c r="G33" i="8"/>
  <c r="B34" i="8"/>
  <c r="F34" i="8"/>
  <c r="G34" i="8"/>
  <c r="F35" i="8"/>
  <c r="G35" i="8"/>
  <c r="B36" i="8"/>
  <c r="F36" i="8"/>
  <c r="G36" i="8"/>
  <c r="B37" i="8"/>
  <c r="F37" i="8"/>
  <c r="G37" i="8"/>
  <c r="B38" i="8"/>
  <c r="F38" i="8"/>
  <c r="G38" i="8"/>
  <c r="B39" i="8"/>
  <c r="F39" i="8"/>
  <c r="G39" i="8"/>
  <c r="B40" i="8"/>
  <c r="F40" i="8"/>
  <c r="G40" i="8"/>
  <c r="B41" i="8"/>
  <c r="F41" i="8"/>
  <c r="G41" i="8"/>
  <c r="G25" i="8"/>
  <c r="B25" i="8"/>
  <c r="F25" i="8"/>
  <c r="A4" i="8"/>
  <c r="A5" i="8"/>
  <c r="A6" i="8"/>
  <c r="A7" i="8"/>
  <c r="A8" i="8"/>
  <c r="A9" i="8"/>
  <c r="A10" i="8"/>
  <c r="A11" i="8"/>
  <c r="A12" i="8"/>
  <c r="A13" i="8"/>
  <c r="A14" i="8"/>
  <c r="A15" i="8"/>
  <c r="A16" i="8"/>
  <c r="A17" i="8"/>
  <c r="A18" i="8"/>
  <c r="A19" i="8"/>
  <c r="A20" i="8"/>
  <c r="A25" i="8"/>
  <c r="A26" i="8"/>
  <c r="A27" i="8"/>
  <c r="A28" i="8"/>
  <c r="A29" i="8"/>
  <c r="A30" i="8"/>
  <c r="A31" i="8"/>
  <c r="A32" i="8"/>
  <c r="A33" i="8"/>
  <c r="A34" i="8"/>
  <c r="A35" i="8"/>
  <c r="A36" i="8"/>
  <c r="A37" i="8"/>
  <c r="A38" i="8"/>
  <c r="A39" i="8"/>
  <c r="A40" i="8"/>
  <c r="A41" i="8"/>
  <c r="I5" i="8"/>
  <c r="I6" i="8"/>
  <c r="I7" i="8"/>
  <c r="I8" i="8"/>
  <c r="I9" i="8"/>
  <c r="I10" i="8"/>
  <c r="I11" i="8"/>
  <c r="I12" i="8"/>
  <c r="I13" i="8"/>
  <c r="I14" i="8"/>
  <c r="I15" i="8"/>
  <c r="I16" i="8"/>
  <c r="I17" i="8"/>
  <c r="I18" i="8"/>
  <c r="I19" i="8"/>
  <c r="I20" i="8"/>
  <c r="I4" i="8"/>
  <c r="B5" i="8"/>
  <c r="F5" i="8"/>
  <c r="G5" i="8"/>
  <c r="B6" i="8"/>
  <c r="F6" i="8"/>
  <c r="G6" i="8"/>
  <c r="B7" i="8"/>
  <c r="F7" i="8"/>
  <c r="G7" i="8"/>
  <c r="B8" i="8"/>
  <c r="F8" i="8"/>
  <c r="G8" i="8"/>
  <c r="B9" i="8"/>
  <c r="F9" i="8"/>
  <c r="G9" i="8"/>
  <c r="B10" i="8"/>
  <c r="F10" i="8"/>
  <c r="G10" i="8"/>
  <c r="B11" i="8"/>
  <c r="F11" i="8"/>
  <c r="G11" i="8"/>
  <c r="B12" i="8"/>
  <c r="F12" i="8"/>
  <c r="G12" i="8"/>
  <c r="B13" i="8"/>
  <c r="F13" i="8"/>
  <c r="G13" i="8"/>
  <c r="B14" i="8"/>
  <c r="F14" i="8"/>
  <c r="G14" i="8"/>
  <c r="B15" i="8"/>
  <c r="F15" i="8"/>
  <c r="G15" i="8"/>
  <c r="B16" i="8"/>
  <c r="F16" i="8"/>
  <c r="G16" i="8"/>
  <c r="B17" i="8"/>
  <c r="F17" i="8"/>
  <c r="G17" i="8"/>
  <c r="B18" i="8"/>
  <c r="F18" i="8"/>
  <c r="G18" i="8"/>
  <c r="B19" i="8"/>
  <c r="F19" i="8"/>
  <c r="G19" i="8"/>
  <c r="B20" i="8"/>
  <c r="F20" i="8"/>
  <c r="G20" i="8"/>
  <c r="G4" i="8"/>
  <c r="B4" i="8"/>
  <c r="F4" i="8"/>
  <c r="D55" i="2"/>
  <c r="E55" i="2"/>
  <c r="C55" i="2"/>
  <c r="D56" i="2"/>
  <c r="E56" i="2"/>
  <c r="C56" i="2"/>
  <c r="F50" i="2"/>
  <c r="F54" i="2"/>
  <c r="F53" i="2"/>
  <c r="D49" i="2"/>
  <c r="E49" i="2"/>
  <c r="F49" i="2"/>
  <c r="D50" i="2"/>
  <c r="E50" i="2"/>
  <c r="C50" i="2"/>
  <c r="C49" i="2"/>
  <c r="D48" i="2"/>
  <c r="E48" i="2"/>
  <c r="F48" i="2"/>
  <c r="C48" i="2"/>
  <c r="C10" i="6"/>
  <c r="E10" i="6"/>
  <c r="G10" i="6"/>
  <c r="I10" i="6"/>
  <c r="K10" i="6"/>
  <c r="M10" i="6"/>
  <c r="Q10" i="6"/>
  <c r="S10" i="6"/>
  <c r="U10" i="6"/>
  <c r="W10" i="6"/>
  <c r="Y10" i="6"/>
  <c r="AA10" i="6"/>
  <c r="AC10" i="6"/>
  <c r="AE10" i="6"/>
  <c r="AG10" i="6"/>
  <c r="W21" i="2"/>
  <c r="W23" i="2"/>
  <c r="W24" i="2"/>
  <c r="C24" i="6"/>
  <c r="C19" i="2"/>
  <c r="C26" i="2"/>
  <c r="C10" i="2"/>
  <c r="C25" i="2"/>
  <c r="C13" i="2"/>
  <c r="S25" i="7"/>
  <c r="AG26" i="7"/>
  <c r="AE26" i="7"/>
  <c r="AC26" i="7"/>
  <c r="AA26" i="7"/>
  <c r="Y26" i="7"/>
  <c r="W26" i="7"/>
  <c r="U26" i="7"/>
  <c r="S26" i="7"/>
  <c r="Q26" i="7"/>
  <c r="O26" i="7"/>
  <c r="M26" i="7"/>
  <c r="K26" i="7"/>
  <c r="I26" i="7"/>
  <c r="G26" i="7"/>
  <c r="E26" i="7"/>
  <c r="C26" i="7"/>
  <c r="AG25" i="7"/>
  <c r="AE25" i="7"/>
  <c r="AC25" i="7"/>
  <c r="AA25" i="7"/>
  <c r="Y25" i="7"/>
  <c r="W25" i="7"/>
  <c r="U25" i="7"/>
  <c r="Q25" i="7"/>
  <c r="O25" i="7"/>
  <c r="M25" i="7"/>
  <c r="K25" i="7"/>
  <c r="I25" i="7"/>
  <c r="G25" i="7"/>
  <c r="E25" i="7"/>
  <c r="C25" i="7"/>
  <c r="AG24" i="7"/>
  <c r="AE24" i="7"/>
  <c r="AC24" i="7"/>
  <c r="AA24" i="7"/>
  <c r="Y24" i="7"/>
  <c r="W24" i="7"/>
  <c r="U24" i="7"/>
  <c r="S24" i="7"/>
  <c r="O24" i="7"/>
  <c r="M24" i="7"/>
  <c r="K24" i="7"/>
  <c r="I24" i="7"/>
  <c r="G24" i="7"/>
  <c r="E24" i="7"/>
  <c r="C24" i="7"/>
  <c r="AG23" i="7"/>
  <c r="AE23" i="7"/>
  <c r="AC23" i="7"/>
  <c r="AA23" i="7"/>
  <c r="Y23" i="7"/>
  <c r="W23" i="7"/>
  <c r="U23" i="7"/>
  <c r="S23" i="7"/>
  <c r="Q23" i="7"/>
  <c r="O23" i="7"/>
  <c r="M23" i="7"/>
  <c r="K23" i="7"/>
  <c r="I23" i="7"/>
  <c r="G23" i="7"/>
  <c r="E23" i="7"/>
  <c r="C23" i="7"/>
  <c r="AG22" i="7"/>
  <c r="AE22" i="7"/>
  <c r="AC22" i="7"/>
  <c r="AA22" i="7"/>
  <c r="Y22" i="7"/>
  <c r="W22" i="7"/>
  <c r="U22" i="7"/>
  <c r="S22" i="7"/>
  <c r="Q22" i="7"/>
  <c r="M22" i="7"/>
  <c r="K22" i="7"/>
  <c r="I22" i="7"/>
  <c r="G22" i="7"/>
  <c r="E22" i="7"/>
  <c r="C22" i="7"/>
  <c r="AG21" i="7"/>
  <c r="AE21" i="7"/>
  <c r="AC21" i="7"/>
  <c r="AA21" i="7"/>
  <c r="Y21" i="7"/>
  <c r="W21" i="7"/>
  <c r="U21" i="7"/>
  <c r="S21" i="7"/>
  <c r="M21" i="7"/>
  <c r="K21" i="7"/>
  <c r="I21" i="7"/>
  <c r="G21" i="7"/>
  <c r="E21" i="7"/>
  <c r="C21" i="7"/>
  <c r="AG20" i="7"/>
  <c r="AE20" i="7"/>
  <c r="AC20" i="7"/>
  <c r="AA20" i="7"/>
  <c r="Y20" i="7"/>
  <c r="W20" i="7"/>
  <c r="U20" i="7"/>
  <c r="S20" i="7"/>
  <c r="Q20" i="7"/>
  <c r="O20" i="7"/>
  <c r="M20" i="7"/>
  <c r="K20" i="7"/>
  <c r="I20" i="7"/>
  <c r="G20" i="7"/>
  <c r="E20" i="7"/>
  <c r="C20" i="7"/>
  <c r="AG19" i="7"/>
  <c r="AE19" i="7"/>
  <c r="AC19" i="7"/>
  <c r="AA19" i="7"/>
  <c r="Y19" i="7"/>
  <c r="W19" i="7"/>
  <c r="U19" i="7"/>
  <c r="S19" i="7"/>
  <c r="M19" i="7"/>
  <c r="K19" i="7"/>
  <c r="I19" i="7"/>
  <c r="G19" i="7"/>
  <c r="E19" i="7"/>
  <c r="C19" i="7"/>
  <c r="AG18" i="7"/>
  <c r="AE18" i="7"/>
  <c r="AC18" i="7"/>
  <c r="AA18" i="7"/>
  <c r="Y18" i="7"/>
  <c r="W18" i="7"/>
  <c r="U18" i="7"/>
  <c r="S18" i="7"/>
  <c r="M18" i="7"/>
  <c r="K18" i="7"/>
  <c r="I18" i="7"/>
  <c r="G18" i="7"/>
  <c r="E18" i="7"/>
  <c r="C18" i="7"/>
  <c r="AG17" i="7"/>
  <c r="AE17" i="7"/>
  <c r="AC17" i="7"/>
  <c r="AA17" i="7"/>
  <c r="Y17" i="7"/>
  <c r="W17" i="7"/>
  <c r="U17" i="7"/>
  <c r="S17" i="7"/>
  <c r="M17" i="7"/>
  <c r="K17" i="7"/>
  <c r="I17" i="7"/>
  <c r="G17" i="7"/>
  <c r="E17" i="7"/>
  <c r="C17" i="7"/>
  <c r="AG16" i="7"/>
  <c r="AE16" i="7"/>
  <c r="AC16" i="7"/>
  <c r="AA16" i="7"/>
  <c r="U16" i="7"/>
  <c r="S16" i="7"/>
  <c r="Q16" i="7"/>
  <c r="O16" i="7"/>
  <c r="M16" i="7"/>
  <c r="K16" i="7"/>
  <c r="I16" i="7"/>
  <c r="G16" i="7"/>
  <c r="E16" i="7"/>
  <c r="C16" i="7"/>
  <c r="AG15" i="7"/>
  <c r="AE15" i="7"/>
  <c r="AC15" i="7"/>
  <c r="AA15" i="7"/>
  <c r="Y15" i="7"/>
  <c r="W15" i="7"/>
  <c r="U15" i="7"/>
  <c r="S15" i="7"/>
  <c r="Q15" i="7"/>
  <c r="M15" i="7"/>
  <c r="K15" i="7"/>
  <c r="I15" i="7"/>
  <c r="G15" i="7"/>
  <c r="E15" i="7"/>
  <c r="C15" i="7"/>
  <c r="AG14" i="7"/>
  <c r="AE14" i="7"/>
  <c r="AC14" i="7"/>
  <c r="AA14" i="7"/>
  <c r="Y14" i="7"/>
  <c r="U14" i="7"/>
  <c r="S14" i="7"/>
  <c r="M14" i="7"/>
  <c r="K14" i="7"/>
  <c r="I14" i="7"/>
  <c r="G14" i="7"/>
  <c r="E14" i="7"/>
  <c r="C14" i="7"/>
  <c r="AG13" i="7"/>
  <c r="AE13" i="7"/>
  <c r="AC13" i="7"/>
  <c r="AA13" i="7"/>
  <c r="Y13" i="7"/>
  <c r="W13" i="7"/>
  <c r="U13" i="7"/>
  <c r="S13" i="7"/>
  <c r="M13" i="7"/>
  <c r="K13" i="7"/>
  <c r="I13" i="7"/>
  <c r="G13" i="7"/>
  <c r="E13" i="7"/>
  <c r="C13" i="7"/>
  <c r="AG12" i="7"/>
  <c r="AE12" i="7"/>
  <c r="AC12" i="7"/>
  <c r="AA12" i="7"/>
  <c r="Y12" i="7"/>
  <c r="U12" i="7"/>
  <c r="S12" i="7"/>
  <c r="M12" i="7"/>
  <c r="K12" i="7"/>
  <c r="I12" i="7"/>
  <c r="G12" i="7"/>
  <c r="E12" i="7"/>
  <c r="C12" i="7"/>
  <c r="AG11" i="7"/>
  <c r="AE11" i="7"/>
  <c r="AC11" i="7"/>
  <c r="AA11" i="7"/>
  <c r="W11" i="7"/>
  <c r="U11" i="7"/>
  <c r="S11" i="7"/>
  <c r="Q11" i="7"/>
  <c r="M11" i="7"/>
  <c r="K11" i="7"/>
  <c r="I11" i="7"/>
  <c r="G11" i="7"/>
  <c r="E11" i="7"/>
  <c r="C11" i="7"/>
  <c r="AG10" i="7"/>
  <c r="AE10" i="7"/>
  <c r="AC10" i="7"/>
  <c r="AA10" i="7"/>
  <c r="Y10" i="7"/>
  <c r="U10" i="7"/>
  <c r="S10" i="7"/>
  <c r="Q10" i="7"/>
  <c r="M10" i="7"/>
  <c r="K10" i="7"/>
  <c r="I10" i="7"/>
  <c r="G10" i="7"/>
  <c r="E10" i="7"/>
  <c r="C10" i="7"/>
  <c r="E22" i="6"/>
  <c r="AG26" i="6"/>
  <c r="AE26" i="6"/>
  <c r="AC26" i="6"/>
  <c r="AA26" i="6"/>
  <c r="Y26" i="6"/>
  <c r="W26" i="6"/>
  <c r="U26" i="6"/>
  <c r="S26" i="6"/>
  <c r="Q26" i="6"/>
  <c r="O26" i="6"/>
  <c r="M26" i="6"/>
  <c r="K26" i="6"/>
  <c r="I26" i="6"/>
  <c r="G26" i="6"/>
  <c r="E26" i="6"/>
  <c r="C26" i="6"/>
  <c r="AG25" i="6"/>
  <c r="AE25" i="6"/>
  <c r="AC25" i="6"/>
  <c r="AA25" i="6"/>
  <c r="Y25" i="6"/>
  <c r="W25" i="6"/>
  <c r="U25" i="6"/>
  <c r="S25" i="6"/>
  <c r="Q25" i="6"/>
  <c r="O25" i="6"/>
  <c r="M25" i="6"/>
  <c r="K25" i="6"/>
  <c r="I25" i="6"/>
  <c r="G25" i="6"/>
  <c r="E25" i="6"/>
  <c r="C25" i="6"/>
  <c r="AG24" i="6"/>
  <c r="AE24" i="6"/>
  <c r="AC24" i="6"/>
  <c r="AA24" i="6"/>
  <c r="Y24" i="6"/>
  <c r="W24" i="6"/>
  <c r="U24" i="6"/>
  <c r="S24" i="6"/>
  <c r="Q24" i="6"/>
  <c r="M24" i="6"/>
  <c r="K24" i="6"/>
  <c r="I24" i="6"/>
  <c r="G24" i="6"/>
  <c r="E24" i="6"/>
  <c r="AG23" i="6"/>
  <c r="AE23" i="6"/>
  <c r="AC23" i="6"/>
  <c r="AA23" i="6"/>
  <c r="Y23" i="6"/>
  <c r="W23" i="6"/>
  <c r="U23" i="6"/>
  <c r="S23" i="6"/>
  <c r="M23" i="6"/>
  <c r="K23" i="6"/>
  <c r="I23" i="6"/>
  <c r="G23" i="6"/>
  <c r="E23" i="6"/>
  <c r="C23" i="6"/>
  <c r="AG22" i="6"/>
  <c r="AE22" i="6"/>
  <c r="AC22" i="6"/>
  <c r="AA22" i="6"/>
  <c r="Y22" i="6"/>
  <c r="W22" i="6"/>
  <c r="U22" i="6"/>
  <c r="S22" i="6"/>
  <c r="Q22" i="6"/>
  <c r="M22" i="6"/>
  <c r="K22" i="6"/>
  <c r="I22" i="6"/>
  <c r="G22" i="6"/>
  <c r="C22" i="6"/>
  <c r="AG21" i="6"/>
  <c r="AE21" i="6"/>
  <c r="AC21" i="6"/>
  <c r="AA21" i="6"/>
  <c r="Y21" i="6"/>
  <c r="W21" i="6"/>
  <c r="U21" i="6"/>
  <c r="S21" i="6"/>
  <c r="Q21" i="6"/>
  <c r="O21" i="6"/>
  <c r="M21" i="6"/>
  <c r="K21" i="6"/>
  <c r="I21" i="6"/>
  <c r="G21" i="6"/>
  <c r="E21" i="6"/>
  <c r="C21" i="6"/>
  <c r="AG20" i="6"/>
  <c r="AE20" i="6"/>
  <c r="AC20" i="6"/>
  <c r="AA20" i="6"/>
  <c r="Y20" i="6"/>
  <c r="W20" i="6"/>
  <c r="U20" i="6"/>
  <c r="S20" i="6"/>
  <c r="Q20" i="6"/>
  <c r="M20" i="6"/>
  <c r="K20" i="6"/>
  <c r="I20" i="6"/>
  <c r="G20" i="6"/>
  <c r="E20" i="6"/>
  <c r="C20" i="6"/>
  <c r="AG19" i="6"/>
  <c r="AE19" i="6"/>
  <c r="AC19" i="6"/>
  <c r="AA19" i="6"/>
  <c r="Y19" i="6"/>
  <c r="W19" i="6"/>
  <c r="U19" i="6"/>
  <c r="S19" i="6"/>
  <c r="Q19" i="6"/>
  <c r="M19" i="6"/>
  <c r="K19" i="6"/>
  <c r="I19" i="6"/>
  <c r="G19" i="6"/>
  <c r="E19" i="6"/>
  <c r="C19" i="6"/>
  <c r="AG18" i="6"/>
  <c r="AE18" i="6"/>
  <c r="AC18" i="6"/>
  <c r="AA18" i="6"/>
  <c r="Y18" i="6"/>
  <c r="U18" i="6"/>
  <c r="S18" i="6"/>
  <c r="M18" i="6"/>
  <c r="K18" i="6"/>
  <c r="I18" i="6"/>
  <c r="G18" i="6"/>
  <c r="E18" i="6"/>
  <c r="C18" i="6"/>
  <c r="AG17" i="6"/>
  <c r="AE17" i="6"/>
  <c r="AC17" i="6"/>
  <c r="AA17" i="6"/>
  <c r="Y17" i="6"/>
  <c r="U17" i="6"/>
  <c r="S17" i="6"/>
  <c r="Q17" i="6"/>
  <c r="M17" i="6"/>
  <c r="K17" i="6"/>
  <c r="I17" i="6"/>
  <c r="G17" i="6"/>
  <c r="E17" i="6"/>
  <c r="C17" i="6"/>
  <c r="AG16" i="6"/>
  <c r="AE16" i="6"/>
  <c r="AC16" i="6"/>
  <c r="AA16" i="6"/>
  <c r="Y16" i="6"/>
  <c r="U16" i="6"/>
  <c r="S16" i="6"/>
  <c r="Q16" i="6"/>
  <c r="M16" i="6"/>
  <c r="K16" i="6"/>
  <c r="I16" i="6"/>
  <c r="G16" i="6"/>
  <c r="E16" i="6"/>
  <c r="C16" i="6"/>
  <c r="AG15" i="6"/>
  <c r="AE15" i="6"/>
  <c r="AC15" i="6"/>
  <c r="AA15" i="6"/>
  <c r="Y15" i="6"/>
  <c r="U15" i="6"/>
  <c r="S15" i="6"/>
  <c r="Q15" i="6"/>
  <c r="O15" i="6"/>
  <c r="M15" i="6"/>
  <c r="K15" i="6"/>
  <c r="I15" i="6"/>
  <c r="G15" i="6"/>
  <c r="E15" i="6"/>
  <c r="C15" i="6"/>
  <c r="AG14" i="6"/>
  <c r="AE14" i="6"/>
  <c r="AC14" i="6"/>
  <c r="AA14" i="6"/>
  <c r="Y14" i="6"/>
  <c r="U14" i="6"/>
  <c r="S14" i="6"/>
  <c r="Q14" i="6"/>
  <c r="O14" i="6"/>
  <c r="M14" i="6"/>
  <c r="K14" i="6"/>
  <c r="I14" i="6"/>
  <c r="G14" i="6"/>
  <c r="E14" i="6"/>
  <c r="C14" i="6"/>
  <c r="AG13" i="6"/>
  <c r="AE13" i="6"/>
  <c r="AC13" i="6"/>
  <c r="AA13" i="6"/>
  <c r="Y13" i="6"/>
  <c r="U13" i="6"/>
  <c r="S13" i="6"/>
  <c r="Q13" i="6"/>
  <c r="O13" i="6"/>
  <c r="M13" i="6"/>
  <c r="K13" i="6"/>
  <c r="I13" i="6"/>
  <c r="G13" i="6"/>
  <c r="E13" i="6"/>
  <c r="C13" i="6"/>
  <c r="AG12" i="6"/>
  <c r="AE12" i="6"/>
  <c r="AC12" i="6"/>
  <c r="AA12" i="6"/>
  <c r="Y12" i="6"/>
  <c r="W12" i="6"/>
  <c r="U12" i="6"/>
  <c r="S12" i="6"/>
  <c r="Q12" i="6"/>
  <c r="O12" i="6"/>
  <c r="M12" i="6"/>
  <c r="K12" i="6"/>
  <c r="I12" i="6"/>
  <c r="G12" i="6"/>
  <c r="E12" i="6"/>
  <c r="C12" i="6"/>
  <c r="AG11" i="6"/>
  <c r="AE11" i="6"/>
  <c r="AC11" i="6"/>
  <c r="AA11" i="6"/>
  <c r="Y11" i="6"/>
  <c r="W11" i="6"/>
  <c r="U11" i="6"/>
  <c r="S11" i="6"/>
  <c r="Q11" i="6"/>
  <c r="M11" i="6"/>
  <c r="K11" i="6"/>
  <c r="I11" i="6"/>
  <c r="G11" i="6"/>
  <c r="E11" i="6"/>
  <c r="C11" i="6"/>
  <c r="AG26" i="2"/>
  <c r="AG25" i="2"/>
  <c r="AG21" i="2"/>
  <c r="AG22" i="2"/>
  <c r="AG23" i="2"/>
  <c r="AG24" i="2"/>
  <c r="AG20" i="2"/>
  <c r="AG16" i="2"/>
  <c r="AG17" i="2"/>
  <c r="AG18" i="2"/>
  <c r="AG19" i="2"/>
  <c r="AG15" i="2"/>
  <c r="AG11" i="2"/>
  <c r="AG12" i="2"/>
  <c r="AG13" i="2"/>
  <c r="AG14" i="2"/>
  <c r="AG10" i="2"/>
  <c r="AC26" i="2"/>
  <c r="AC25" i="2"/>
  <c r="AC24" i="2"/>
  <c r="AC21" i="2"/>
  <c r="AC22" i="2"/>
  <c r="AC23" i="2"/>
  <c r="AC20" i="2"/>
  <c r="AC16" i="2"/>
  <c r="AC17" i="2"/>
  <c r="AC18" i="2"/>
  <c r="AC19" i="2"/>
  <c r="AC15" i="2"/>
  <c r="AC11" i="2"/>
  <c r="AC12" i="2"/>
  <c r="AC13" i="2"/>
  <c r="AC14" i="2"/>
  <c r="AC10" i="2"/>
  <c r="AE26" i="2"/>
  <c r="AE25" i="2"/>
  <c r="AE21" i="2"/>
  <c r="AE22" i="2"/>
  <c r="AE23" i="2"/>
  <c r="AE24" i="2"/>
  <c r="AE20" i="2"/>
  <c r="AE16" i="2"/>
  <c r="AE17" i="2"/>
  <c r="AE18" i="2"/>
  <c r="AE19" i="2"/>
  <c r="AE15" i="2"/>
  <c r="AE11" i="2"/>
  <c r="AE12" i="2"/>
  <c r="AE13" i="2"/>
  <c r="AE14" i="2"/>
  <c r="AE10" i="2"/>
  <c r="AA26" i="2"/>
  <c r="AA25" i="2"/>
  <c r="AA21" i="2"/>
  <c r="AA22" i="2"/>
  <c r="AA23" i="2"/>
  <c r="AA24" i="2"/>
  <c r="AA20" i="2"/>
  <c r="AA16" i="2"/>
  <c r="AA17" i="2"/>
  <c r="AA18" i="2"/>
  <c r="AA19" i="2"/>
  <c r="AA15" i="2"/>
  <c r="AA11" i="2"/>
  <c r="AA12" i="2"/>
  <c r="AA13" i="2"/>
  <c r="AA14" i="2"/>
  <c r="AA10" i="2"/>
  <c r="Y26" i="2"/>
  <c r="Y25" i="2"/>
  <c r="Y21" i="2"/>
  <c r="Y22" i="2"/>
  <c r="Y23" i="2"/>
  <c r="Y24" i="2"/>
  <c r="Y20" i="2"/>
  <c r="Y16" i="2"/>
  <c r="Y17" i="2"/>
  <c r="Y18" i="2"/>
  <c r="Y19" i="2"/>
  <c r="Y15" i="2"/>
  <c r="Y11" i="2"/>
  <c r="Y12" i="2"/>
  <c r="Y13" i="2"/>
  <c r="Y14" i="2"/>
  <c r="Y10" i="2"/>
  <c r="U10" i="2"/>
  <c r="U26" i="2"/>
  <c r="U25" i="2"/>
  <c r="U21" i="2"/>
  <c r="U22" i="2"/>
  <c r="U23" i="2"/>
  <c r="U24" i="2"/>
  <c r="U20" i="2"/>
  <c r="U16" i="2"/>
  <c r="U17" i="2"/>
  <c r="U18" i="2"/>
  <c r="U19" i="2"/>
  <c r="U15" i="2"/>
  <c r="U11" i="2"/>
  <c r="U12" i="2"/>
  <c r="U13" i="2"/>
  <c r="U14" i="2"/>
  <c r="E10" i="2"/>
  <c r="W26" i="2"/>
  <c r="W25" i="2"/>
  <c r="W22" i="2"/>
  <c r="W20" i="2"/>
  <c r="W11" i="2"/>
  <c r="W12" i="2"/>
  <c r="W14" i="2"/>
  <c r="S26" i="2"/>
  <c r="S25" i="2"/>
  <c r="S21" i="2"/>
  <c r="S22" i="2"/>
  <c r="S23" i="2"/>
  <c r="S24" i="2"/>
  <c r="S20" i="2"/>
  <c r="S16" i="2"/>
  <c r="S17" i="2"/>
  <c r="S18" i="2"/>
  <c r="S19" i="2"/>
  <c r="S15" i="2"/>
  <c r="S11" i="2"/>
  <c r="S12" i="2"/>
  <c r="S13" i="2"/>
  <c r="S14" i="2"/>
  <c r="S10" i="2"/>
  <c r="G10" i="2"/>
  <c r="Q26" i="2"/>
  <c r="Q25" i="2"/>
  <c r="Q21" i="2"/>
  <c r="Q22" i="2"/>
  <c r="Q24" i="2"/>
  <c r="Q20" i="2"/>
  <c r="Q16" i="2"/>
  <c r="Q17" i="2"/>
  <c r="Q18" i="2"/>
  <c r="Q19" i="2"/>
  <c r="Q15" i="2"/>
  <c r="Q11" i="2"/>
  <c r="Q12" i="2"/>
  <c r="Q13" i="2"/>
  <c r="Q14" i="2"/>
  <c r="Q10" i="2"/>
  <c r="M26" i="2"/>
  <c r="M25" i="2"/>
  <c r="M21" i="2"/>
  <c r="M22" i="2"/>
  <c r="M23" i="2"/>
  <c r="M24" i="2"/>
  <c r="M20" i="2"/>
  <c r="M16" i="2"/>
  <c r="M17" i="2"/>
  <c r="M18" i="2"/>
  <c r="M19" i="2"/>
  <c r="M15" i="2"/>
  <c r="M11" i="2"/>
  <c r="M12" i="2"/>
  <c r="M13" i="2"/>
  <c r="M14" i="2"/>
  <c r="M10" i="2"/>
  <c r="O26" i="2"/>
  <c r="O25" i="2"/>
  <c r="O23" i="2"/>
  <c r="O16" i="2"/>
  <c r="O17" i="2"/>
  <c r="O11" i="2"/>
  <c r="O12" i="2"/>
  <c r="O13" i="2"/>
  <c r="O14" i="2"/>
  <c r="O10" i="2"/>
  <c r="K26" i="2"/>
  <c r="K25" i="2"/>
  <c r="K24" i="2"/>
  <c r="K21" i="2"/>
  <c r="K22" i="2"/>
  <c r="K23" i="2"/>
  <c r="K20" i="2"/>
  <c r="K16" i="2"/>
  <c r="K17" i="2"/>
  <c r="K18" i="2"/>
  <c r="K19" i="2"/>
  <c r="K15" i="2"/>
  <c r="K11" i="2"/>
  <c r="K12" i="2"/>
  <c r="K13" i="2"/>
  <c r="K14" i="2"/>
  <c r="K10" i="2"/>
  <c r="E20" i="2"/>
  <c r="E21" i="2"/>
  <c r="E22" i="2"/>
  <c r="E23" i="2"/>
  <c r="E24" i="2"/>
  <c r="E25" i="2"/>
  <c r="E26" i="2"/>
  <c r="E16" i="2"/>
  <c r="E17" i="2"/>
  <c r="E18" i="2"/>
  <c r="E19" i="2"/>
  <c r="E15" i="2"/>
  <c r="E11" i="2"/>
  <c r="E12" i="2"/>
  <c r="E13" i="2"/>
  <c r="E14" i="2"/>
  <c r="C21" i="2"/>
  <c r="C22" i="2"/>
  <c r="C23" i="2"/>
  <c r="C24" i="2"/>
  <c r="C20" i="2"/>
  <c r="C15" i="2"/>
  <c r="C16" i="2"/>
  <c r="C17" i="2"/>
  <c r="C18" i="2"/>
  <c r="C11" i="2"/>
  <c r="C12" i="2"/>
  <c r="C14" i="2"/>
  <c r="I26" i="2"/>
  <c r="I25" i="2"/>
  <c r="I21" i="2"/>
  <c r="I22" i="2"/>
  <c r="I23" i="2"/>
  <c r="I24" i="2"/>
  <c r="I20" i="2"/>
  <c r="I16" i="2"/>
  <c r="I17" i="2"/>
  <c r="I18" i="2"/>
  <c r="I19" i="2"/>
  <c r="I15" i="2"/>
  <c r="I10" i="2"/>
  <c r="G26" i="2"/>
  <c r="G25" i="2"/>
  <c r="G21" i="2"/>
  <c r="G22" i="2"/>
  <c r="G23" i="2"/>
  <c r="G24" i="2"/>
  <c r="G20" i="2"/>
  <c r="G16" i="2"/>
  <c r="G17" i="2"/>
  <c r="G18" i="2"/>
  <c r="G19" i="2"/>
  <c r="G15" i="2"/>
  <c r="I11" i="2"/>
  <c r="I12" i="2"/>
  <c r="I13" i="2"/>
  <c r="I14" i="2"/>
  <c r="G11" i="2"/>
  <c r="G12" i="2"/>
  <c r="G13" i="2"/>
  <c r="G14" i="2"/>
  <c r="A10" i="5"/>
  <c r="A11" i="5"/>
  <c r="A12" i="5"/>
  <c r="A13" i="5"/>
  <c r="A14" i="5"/>
  <c r="A15" i="5"/>
  <c r="A16" i="5"/>
  <c r="A17" i="5"/>
  <c r="A18" i="5"/>
  <c r="A19" i="5"/>
  <c r="A20" i="5"/>
  <c r="A21" i="5"/>
  <c r="A22" i="5"/>
  <c r="A25" i="5"/>
</calcChain>
</file>

<file path=xl/sharedStrings.xml><?xml version="1.0" encoding="utf-8"?>
<sst xmlns="http://schemas.openxmlformats.org/spreadsheetml/2006/main" count="742" uniqueCount="172">
  <si>
    <t>Year</t>
  </si>
  <si>
    <t>Age</t>
  </si>
  <si>
    <t>20-44y</t>
  </si>
  <si>
    <t>45-65y</t>
  </si>
  <si>
    <t>Race/ethnicity</t>
  </si>
  <si>
    <t>All</t>
  </si>
  <si>
    <t>Non-Hispanic black</t>
  </si>
  <si>
    <t>Hispanic</t>
  </si>
  <si>
    <t>Non-Hispanic non-black</t>
  </si>
  <si>
    <t>Number of cases in MSM</t>
  </si>
  <si>
    <t>Age 20-44 y</t>
  </si>
  <si>
    <t>Age 45-65 y</t>
  </si>
  <si>
    <t>Count</t>
  </si>
  <si>
    <t>Rate per 100K</t>
  </si>
  <si>
    <t>Category</t>
  </si>
  <si>
    <t>non-black NH female</t>
  </si>
  <si>
    <t>black NH female</t>
  </si>
  <si>
    <t>hispanic female</t>
  </si>
  <si>
    <t>non-black NH male</t>
  </si>
  <si>
    <t>black NH male</t>
  </si>
  <si>
    <t>hispanic male</t>
  </si>
  <si>
    <t>Total male</t>
  </si>
  <si>
    <t>45 to 65</t>
  </si>
  <si>
    <t>2000 Population</t>
  </si>
  <si>
    <t>2005 Population</t>
  </si>
  <si>
    <t>2010 Population</t>
  </si>
  <si>
    <t>2015 Population</t>
  </si>
  <si>
    <t>Total female</t>
  </si>
  <si>
    <t xml:space="preserve">Age Range </t>
  </si>
  <si>
    <t>20-44</t>
  </si>
  <si>
    <t>Primary</t>
  </si>
  <si>
    <t>Secondary</t>
  </si>
  <si>
    <t>Early Latent</t>
  </si>
  <si>
    <t>Unknown/Unreported</t>
  </si>
  <si>
    <t>Male</t>
  </si>
  <si>
    <t>Female</t>
  </si>
  <si>
    <t>Sex*</t>
  </si>
  <si>
    <t>2014**</t>
  </si>
  <si>
    <t>*Transgender and those with unknown or unreported sex were excluded from the analysis, those excluded represent less than 1% of cases per year</t>
  </si>
  <si>
    <t xml:space="preserve">** The 2014 Syphilis case counts should be interpreted with caution due to mid-year data system transition form STD*MIS to MAVEN. </t>
  </si>
  <si>
    <t>Note: The 2000-2013 data are current as of July 28, 2014, the 2014 data are current as of August 3, 2015, the 2015 data are current as of September 26, 2016  and the 2016 data is current as of February 13, 2017 and are subject to change.</t>
  </si>
  <si>
    <t>2014*</t>
  </si>
  <si>
    <t>Number of cases in MSM with HIV co-infection*</t>
  </si>
  <si>
    <t xml:space="preserve">* A data match between the eHARS HIV data system and the infectious syphilis cases was conducted June 7, 2017. </t>
  </si>
  <si>
    <t>Diagnosed After Syphilis Event</t>
  </si>
  <si>
    <t>&lt;5</t>
  </si>
  <si>
    <t xml:space="preserve">***Population estimates of MSM in Massachusetts, base on the 2010 Census, is less that 50,000. Therefore any observation with less than 5 cases is suppress to protect confidentiality. </t>
  </si>
  <si>
    <t>*</t>
  </si>
  <si>
    <t>Massachusetts Department of Public Health
Bureau of Infectious Disease and Laboratory Sciences
Office of Integrated Surveillance and Informatics Services
Division of STD Prevention</t>
  </si>
  <si>
    <t>Total</t>
  </si>
  <si>
    <t>Total MSM</t>
  </si>
  <si>
    <t>45-65</t>
  </si>
  <si>
    <t xml:space="preserve">pHIV+ MSM </t>
  </si>
  <si>
    <t>Total HIV+*</t>
  </si>
  <si>
    <t>*from MA_HIV_Atuite0617.pdf</t>
  </si>
  <si>
    <t>pBlack</t>
  </si>
  <si>
    <t>pHispanic</t>
  </si>
  <si>
    <t>P&amp;S</t>
  </si>
  <si>
    <t>Early</t>
  </si>
  <si>
    <t>Male, 20-44y</t>
  </si>
  <si>
    <t>Pop</t>
  </si>
  <si>
    <t>Rates</t>
  </si>
  <si>
    <t>Cases</t>
  </si>
  <si>
    <t>Male, 45-64y</t>
  </si>
  <si>
    <t>Female, 45-64y</t>
  </si>
  <si>
    <t>Female, 20-44y</t>
  </si>
  <si>
    <t>diag_all_y_m</t>
  </si>
  <si>
    <t>diag_all_o_m</t>
  </si>
  <si>
    <t>diag_all_y_f</t>
  </si>
  <si>
    <t>diag_all_o_f</t>
  </si>
  <si>
    <t>diag_all_o_m_sd</t>
  </si>
  <si>
    <t>diag_all_y_m_sd</t>
  </si>
  <si>
    <t>diag_all_y_f_sd</t>
  </si>
  <si>
    <t>diag_all_o_f_sd</t>
  </si>
  <si>
    <t>SD for diagnosed cases calculated assuming normal distribution with 95% CI = +/-20% of mean</t>
  </si>
  <si>
    <t>pMSM</t>
  </si>
  <si>
    <t>cases in MSM</t>
  </si>
  <si>
    <t>cases in HIV+MSM</t>
  </si>
  <si>
    <t>pHIV+ if MSM</t>
  </si>
  <si>
    <t>pMSM_var</t>
  </si>
  <si>
    <t>pHIV_var</t>
  </si>
  <si>
    <t>pSec_y_m</t>
  </si>
  <si>
    <t>pEL_y_m</t>
  </si>
  <si>
    <t>pSec_var_y_m</t>
  </si>
  <si>
    <t>pEL_var_y_m</t>
  </si>
  <si>
    <t>pPrimary_y_m</t>
  </si>
  <si>
    <t>pPrimary_o_m</t>
  </si>
  <si>
    <t>pSec_o_m</t>
  </si>
  <si>
    <t>pEL_o_m</t>
  </si>
  <si>
    <t>pSec_var_o_m</t>
  </si>
  <si>
    <t>pEL_var_o_m</t>
  </si>
  <si>
    <t>pPrimary_y_f</t>
  </si>
  <si>
    <t>pSec_y_f</t>
  </si>
  <si>
    <t>pEL_y_f</t>
  </si>
  <si>
    <t>pSec_var_y_f</t>
  </si>
  <si>
    <t>pEL_var_y_f</t>
  </si>
  <si>
    <t>pPrimary_o_f</t>
  </si>
  <si>
    <t>pSec_o_f</t>
  </si>
  <si>
    <t>pEL_o_f</t>
  </si>
  <si>
    <t>pSec_var_o_f</t>
  </si>
  <si>
    <t>pEL_var_o_f</t>
  </si>
  <si>
    <t>cases_y_m_all</t>
  </si>
  <si>
    <t>cases_y_m_b</t>
  </si>
  <si>
    <t>cases_y_m_o</t>
  </si>
  <si>
    <t>cases_y_m_h</t>
  </si>
  <si>
    <t>pop_y_m_b</t>
  </si>
  <si>
    <t>pop_y_m_h</t>
  </si>
  <si>
    <t>pop_y_m_all</t>
  </si>
  <si>
    <t>diag_rr_y_m_b</t>
  </si>
  <si>
    <t>diag_rr_y_m_h</t>
  </si>
  <si>
    <t>cases_o_m_b</t>
  </si>
  <si>
    <t>cases_o_m_o</t>
  </si>
  <si>
    <t>cases_o_m_h</t>
  </si>
  <si>
    <t>cases_o_m_all</t>
  </si>
  <si>
    <t>pop_o_m_b</t>
  </si>
  <si>
    <t>pop_o_m_h</t>
  </si>
  <si>
    <t>pop_o_m_all</t>
  </si>
  <si>
    <t>diag_rr_o_m_h</t>
  </si>
  <si>
    <t>cells with values = &lt;5 in original file replaced with 2 for calculation of relative rates</t>
  </si>
  <si>
    <t>diag_rr_o_m_b</t>
  </si>
  <si>
    <t>cases_y_f_b</t>
  </si>
  <si>
    <t>cases_y_f_o</t>
  </si>
  <si>
    <t>cases_y_f_h</t>
  </si>
  <si>
    <t>cases_y_f_all</t>
  </si>
  <si>
    <t>pop_y_f_b</t>
  </si>
  <si>
    <t>pop_y_f_h</t>
  </si>
  <si>
    <t>pop_y_f_all</t>
  </si>
  <si>
    <t>diag_rr_y_f_b</t>
  </si>
  <si>
    <t>diag_rr_y_f_h</t>
  </si>
  <si>
    <t>cases_o_f_b</t>
  </si>
  <si>
    <t>cases_o_f_o</t>
  </si>
  <si>
    <t>cases_o_f_h</t>
  </si>
  <si>
    <t>cases_o_f_all</t>
  </si>
  <si>
    <t>pop_o_f_b</t>
  </si>
  <si>
    <t>pop_o_f_h</t>
  </si>
  <si>
    <t>pop_o_f_all</t>
  </si>
  <si>
    <t>diag_rr_o_f_b</t>
  </si>
  <si>
    <t>diag_rr_o_f_h</t>
  </si>
  <si>
    <t>5-yr avg</t>
  </si>
  <si>
    <t>5-year avg</t>
  </si>
  <si>
    <t>pop_y_m_o</t>
  </si>
  <si>
    <t>pop_o_m_o</t>
  </si>
  <si>
    <t>pop_y_f_o</t>
  </si>
  <si>
    <t>pop_o_f_o</t>
  </si>
  <si>
    <t>y_m_b</t>
  </si>
  <si>
    <t>y_m_o</t>
  </si>
  <si>
    <t>y_m_h</t>
  </si>
  <si>
    <t>o_m_b</t>
  </si>
  <si>
    <t>o_m_o</t>
  </si>
  <si>
    <t>y_f_b</t>
  </si>
  <si>
    <t>y_f_o</t>
  </si>
  <si>
    <t>y_f_h</t>
  </si>
  <si>
    <t>o_m_h</t>
  </si>
  <si>
    <t>o_f_b</t>
  </si>
  <si>
    <t>o_f_o</t>
  </si>
  <si>
    <t>o_f_h</t>
  </si>
  <si>
    <t>pOther</t>
  </si>
  <si>
    <t>all male cases</t>
  </si>
  <si>
    <t>All races</t>
  </si>
  <si>
    <t>All ages</t>
  </si>
  <si>
    <t>PRIMARY</t>
  </si>
  <si>
    <t>SECONDARY</t>
  </si>
  <si>
    <t>all races</t>
  </si>
  <si>
    <t>all ages</t>
  </si>
  <si>
    <t>FEMALES</t>
  </si>
  <si>
    <t>MALES</t>
  </si>
  <si>
    <t>count</t>
  </si>
  <si>
    <t>EL</t>
  </si>
  <si>
    <t>NON-BLACK</t>
  </si>
  <si>
    <t>NON_BLACK</t>
  </si>
  <si>
    <t>BLACK</t>
  </si>
  <si>
    <t>HISPANIC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</si>
</sst>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
    <numFmt numFmtId="166" formatCode="0.000"/>
    <numFmt numFmtId="167" formatCode="0.00E+00;\_x0000_"/>
  </numFmts>
  <fonts count="13"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000000"/>
      <name val="Arial"/>
      <family val="2"/>
    </font>
    <font>
      <sz val="12"/>
      <color theme="1"/>
      <name val="Arial"/>
      <family val="2"/>
    </font>
    <font>
      <sz val="11"/>
      <color theme="1"/>
      <name val="Arial"/>
      <family val="2"/>
    </font>
    <font>
      <sz val="12"/>
      <name val="Arial"/>
      <family val="2"/>
    </font>
    <font>
      <b/>
      <sz val="14"/>
      <color theme="1"/>
      <name val="Arial"/>
      <family val="2"/>
    </font>
    <font>
      <sz val="11"/>
      <color rgb="FF000000"/>
      <name val="Lucida Sans"/>
      <family val="2"/>
    </font>
    <font>
      <b/>
      <sz val="11"/>
      <color rgb="FF555555"/>
      <name val="Lucida Sans"/>
      <family val="2"/>
    </font>
    <font>
      <sz val="11"/>
      <color rgb="FF000000"/>
      <name val="Arial"/>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4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6">
    <xf numFmtId="0" fontId="0" fillId="0" borderId="0" xfId="0"/>
    <xf numFmtId="0" fontId="5" fillId="0" borderId="1" xfId="0" applyFont="1" applyFill="1" applyBorder="1"/>
    <xf numFmtId="0" fontId="5" fillId="0" borderId="0" xfId="0" applyFont="1" applyFill="1"/>
    <xf numFmtId="0" fontId="4" fillId="0" borderId="1" xfId="0" applyFont="1" applyFill="1" applyBorder="1" applyAlignment="1"/>
    <xf numFmtId="0" fontId="4" fillId="0" borderId="1" xfId="0" applyFont="1" applyFill="1" applyBorder="1" applyAlignment="1">
      <alignment horizontal="right"/>
    </xf>
    <xf numFmtId="0" fontId="7" fillId="0" borderId="1" xfId="0" applyFont="1" applyFill="1" applyBorder="1" applyAlignment="1">
      <alignment horizontal="right"/>
    </xf>
    <xf numFmtId="0" fontId="5" fillId="0" borderId="1" xfId="0" applyFont="1" applyFill="1" applyBorder="1" applyAlignment="1">
      <alignment horizontal="right"/>
    </xf>
    <xf numFmtId="0" fontId="5" fillId="0" borderId="0" xfId="0" applyFont="1" applyFill="1" applyAlignment="1"/>
    <xf numFmtId="0" fontId="5" fillId="0" borderId="1" xfId="0" applyFont="1" applyFill="1" applyBorder="1" applyAlignment="1"/>
    <xf numFmtId="0" fontId="7" fillId="0" borderId="1" xfId="0" applyFont="1" applyFill="1" applyBorder="1" applyAlignment="1"/>
    <xf numFmtId="164" fontId="7" fillId="0" borderId="1" xfId="0" applyNumberFormat="1" applyFont="1" applyFill="1" applyBorder="1" applyAlignment="1"/>
    <xf numFmtId="0" fontId="7" fillId="0" borderId="0" xfId="0" applyFont="1" applyFill="1" applyAlignment="1"/>
    <xf numFmtId="164" fontId="5" fillId="0" borderId="1" xfId="0" applyNumberFormat="1" applyFont="1" applyFill="1" applyBorder="1" applyAlignment="1"/>
    <xf numFmtId="0" fontId="5" fillId="0" borderId="0" xfId="0" applyFont="1" applyFill="1" applyBorder="1" applyAlignment="1"/>
    <xf numFmtId="1" fontId="5" fillId="0" borderId="0" xfId="0" applyNumberFormat="1" applyFont="1" applyFill="1" applyBorder="1" applyAlignment="1"/>
    <xf numFmtId="1" fontId="5" fillId="0" borderId="0" xfId="0" applyNumberFormat="1" applyFont="1" applyFill="1" applyBorder="1" applyAlignment="1">
      <alignment horizontal="right"/>
    </xf>
    <xf numFmtId="0" fontId="5" fillId="0" borderId="0" xfId="0" applyFont="1" applyFill="1" applyBorder="1" applyAlignment="1">
      <alignment horizontal="right"/>
    </xf>
    <xf numFmtId="0" fontId="5" fillId="0" borderId="0" xfId="0" applyFont="1" applyFill="1" applyAlignment="1">
      <alignment horizontal="right"/>
    </xf>
    <xf numFmtId="1" fontId="5" fillId="0" borderId="1" xfId="0" applyNumberFormat="1" applyFont="1" applyFill="1" applyBorder="1" applyAlignment="1">
      <alignment horizontal="right"/>
    </xf>
    <xf numFmtId="1" fontId="5" fillId="0" borderId="1" xfId="0" applyNumberFormat="1" applyFont="1" applyFill="1" applyBorder="1" applyAlignment="1"/>
    <xf numFmtId="164" fontId="5" fillId="0" borderId="0" xfId="0" applyNumberFormat="1" applyFont="1" applyFill="1" applyAlignment="1"/>
    <xf numFmtId="1" fontId="5" fillId="0" borderId="0" xfId="0" applyNumberFormat="1" applyFont="1" applyFill="1" applyAlignment="1"/>
    <xf numFmtId="0" fontId="6" fillId="0" borderId="0" xfId="0" applyFont="1" applyFill="1" applyAlignment="1"/>
    <xf numFmtId="1" fontId="6" fillId="0" borderId="0" xfId="0" applyNumberFormat="1" applyFont="1" applyFill="1" applyAlignment="1"/>
    <xf numFmtId="0" fontId="6" fillId="0" borderId="0" xfId="0" applyFont="1" applyFill="1" applyBorder="1" applyAlignment="1"/>
    <xf numFmtId="1" fontId="6" fillId="0" borderId="0" xfId="0" applyNumberFormat="1" applyFont="1" applyFill="1" applyBorder="1" applyAlignment="1"/>
    <xf numFmtId="1" fontId="6" fillId="0" borderId="0" xfId="0" applyNumberFormat="1" applyFont="1" applyFill="1" applyBorder="1" applyAlignment="1">
      <alignment horizontal="right"/>
    </xf>
    <xf numFmtId="0" fontId="6" fillId="0" borderId="0" xfId="0" applyFont="1" applyFill="1" applyBorder="1" applyAlignment="1">
      <alignment horizontal="right"/>
    </xf>
    <xf numFmtId="0" fontId="6" fillId="0" borderId="0" xfId="0" applyFont="1" applyFill="1" applyAlignment="1">
      <alignment horizontal="right"/>
    </xf>
    <xf numFmtId="0" fontId="5" fillId="0" borderId="6" xfId="0" applyFont="1" applyFill="1" applyBorder="1"/>
    <xf numFmtId="0" fontId="5" fillId="0" borderId="6" xfId="0" applyFont="1" applyFill="1" applyBorder="1" applyAlignment="1">
      <alignment horizontal="right"/>
    </xf>
    <xf numFmtId="0" fontId="5" fillId="0" borderId="0" xfId="0" applyFont="1" applyFill="1" applyBorder="1"/>
    <xf numFmtId="0" fontId="5" fillId="0" borderId="9" xfId="0" applyFont="1" applyFill="1" applyBorder="1"/>
    <xf numFmtId="0" fontId="5" fillId="0" borderId="10" xfId="0" applyFont="1" applyFill="1" applyBorder="1"/>
    <xf numFmtId="0" fontId="5" fillId="0" borderId="11" xfId="0" applyFont="1" applyFill="1" applyBorder="1"/>
    <xf numFmtId="0" fontId="5" fillId="0" borderId="12" xfId="0" applyFont="1" applyFill="1" applyBorder="1"/>
    <xf numFmtId="0" fontId="5" fillId="0" borderId="13" xfId="0" applyFont="1" applyFill="1" applyBorder="1"/>
    <xf numFmtId="0" fontId="5" fillId="0" borderId="14" xfId="0" applyFont="1" applyFill="1" applyBorder="1"/>
    <xf numFmtId="0" fontId="6" fillId="0" borderId="0" xfId="0" applyFont="1" applyFill="1" applyAlignment="1">
      <alignment horizontal="left"/>
    </xf>
    <xf numFmtId="0" fontId="5" fillId="0" borderId="1" xfId="0" applyFont="1" applyFill="1" applyBorder="1" applyAlignment="1">
      <alignment horizontal="center"/>
    </xf>
    <xf numFmtId="164" fontId="5" fillId="0" borderId="1" xfId="0" applyNumberFormat="1" applyFont="1" applyFill="1" applyBorder="1" applyAlignment="1">
      <alignment horizontal="right"/>
    </xf>
    <xf numFmtId="164" fontId="7" fillId="0" borderId="1" xfId="0" applyNumberFormat="1" applyFont="1" applyFill="1" applyBorder="1" applyAlignment="1">
      <alignment horizontal="right"/>
    </xf>
    <xf numFmtId="0" fontId="4" fillId="0" borderId="1" xfId="15" applyFont="1" applyBorder="1" applyAlignment="1">
      <alignment horizontal="right"/>
    </xf>
    <xf numFmtId="0" fontId="5" fillId="0" borderId="11" xfId="0" applyFont="1" applyFill="1" applyBorder="1" applyAlignment="1"/>
    <xf numFmtId="0" fontId="5" fillId="0" borderId="0" xfId="0" applyFont="1" applyFill="1" applyAlignment="1">
      <alignment horizontal="right" wrapText="1"/>
    </xf>
    <xf numFmtId="166" fontId="5" fillId="0" borderId="0" xfId="0" applyNumberFormat="1" applyFont="1" applyFill="1" applyAlignment="1"/>
    <xf numFmtId="2" fontId="5" fillId="0" borderId="0" xfId="0" applyNumberFormat="1" applyFont="1" applyFill="1" applyAlignment="1"/>
    <xf numFmtId="1" fontId="0" fillId="0" borderId="0" xfId="0" applyNumberFormat="1"/>
    <xf numFmtId="165" fontId="0" fillId="0" borderId="0" xfId="0" applyNumberFormat="1"/>
    <xf numFmtId="166" fontId="0" fillId="0" borderId="0" xfId="0" applyNumberFormat="1"/>
    <xf numFmtId="2" fontId="0" fillId="0" borderId="0" xfId="0" applyNumberFormat="1"/>
    <xf numFmtId="167" fontId="0" fillId="0" borderId="0" xfId="0" applyNumberFormat="1"/>
    <xf numFmtId="0" fontId="9" fillId="0" borderId="0" xfId="0" applyFont="1"/>
    <xf numFmtId="0" fontId="10" fillId="0" borderId="0" xfId="0" applyFont="1"/>
    <xf numFmtId="0" fontId="9" fillId="2" borderId="0" xfId="0" applyFont="1" applyFill="1"/>
    <xf numFmtId="164" fontId="0" fillId="0" borderId="0" xfId="0" applyNumberFormat="1"/>
    <xf numFmtId="1" fontId="11" fillId="0" borderId="0" xfId="0" applyNumberFormat="1" applyFont="1" applyAlignment="1">
      <alignment horizontal="right"/>
    </xf>
    <xf numFmtId="0" fontId="11" fillId="0" borderId="0" xfId="0" applyFont="1" applyAlignment="1">
      <alignment horizontal="right"/>
    </xf>
    <xf numFmtId="0" fontId="7" fillId="2" borderId="1" xfId="0" applyFont="1" applyFill="1" applyBorder="1" applyAlignment="1">
      <alignment horizontal="right"/>
    </xf>
    <xf numFmtId="0" fontId="5" fillId="2" borderId="0" xfId="0" applyFont="1" applyFill="1" applyAlignment="1"/>
    <xf numFmtId="0" fontId="5" fillId="2" borderId="1" xfId="0" applyFont="1" applyFill="1" applyBorder="1" applyAlignment="1">
      <alignment horizontal="right"/>
    </xf>
    <xf numFmtId="0" fontId="0" fillId="2" borderId="0" xfId="0" applyFill="1"/>
    <xf numFmtId="0" fontId="6" fillId="2" borderId="0" xfId="0" applyFont="1" applyFill="1" applyAlignment="1"/>
    <xf numFmtId="2" fontId="0" fillId="2" borderId="0" xfId="0" applyNumberFormat="1" applyFill="1"/>
    <xf numFmtId="2" fontId="6" fillId="0" borderId="0" xfId="0" applyNumberFormat="1" applyFont="1" applyFill="1" applyAlignment="1"/>
    <xf numFmtId="2" fontId="0" fillId="0" borderId="0" xfId="0" applyNumberFormat="1" applyFill="1"/>
    <xf numFmtId="0" fontId="0" fillId="0" borderId="0" xfId="0" applyFill="1"/>
    <xf numFmtId="0" fontId="6" fillId="2" borderId="0" xfId="0" applyFont="1" applyFill="1" applyBorder="1" applyAlignment="1">
      <alignment horizontal="right"/>
    </xf>
    <xf numFmtId="164" fontId="0" fillId="2" borderId="0" xfId="0" applyNumberFormat="1" applyFill="1"/>
    <xf numFmtId="1" fontId="0" fillId="2" borderId="0" xfId="0" applyNumberFormat="1" applyFill="1"/>
    <xf numFmtId="0" fontId="11" fillId="2" borderId="0" xfId="0" applyFont="1" applyFill="1" applyAlignment="1">
      <alignment horizontal="right"/>
    </xf>
    <xf numFmtId="0" fontId="6" fillId="2" borderId="0" xfId="0" applyFont="1" applyFill="1" applyBorder="1" applyAlignment="1"/>
    <xf numFmtId="164" fontId="0" fillId="0" borderId="0" xfId="0" applyNumberFormat="1" applyFill="1"/>
    <xf numFmtId="0" fontId="12" fillId="0" borderId="0" xfId="0" applyFont="1"/>
    <xf numFmtId="0" fontId="4" fillId="0" borderId="0" xfId="0" applyFont="1"/>
    <xf numFmtId="0" fontId="5" fillId="0" borderId="0" xfId="0" applyFont="1" applyFill="1" applyAlignment="1">
      <alignment horizontal="center"/>
    </xf>
    <xf numFmtId="0" fontId="6" fillId="0" borderId="0" xfId="0" applyFont="1" applyFill="1" applyAlignment="1">
      <alignment horizontal="left"/>
    </xf>
    <xf numFmtId="0" fontId="5" fillId="0" borderId="2" xfId="0" applyFont="1" applyFill="1" applyBorder="1" applyAlignment="1">
      <alignment horizontal="center"/>
    </xf>
    <xf numFmtId="0" fontId="5" fillId="0" borderId="3" xfId="0" applyFont="1" applyFill="1" applyBorder="1" applyAlignment="1">
      <alignment horizontal="center"/>
    </xf>
    <xf numFmtId="0" fontId="6" fillId="0" borderId="4" xfId="0" applyFont="1" applyFill="1" applyBorder="1" applyAlignment="1">
      <alignment horizontal="left"/>
    </xf>
    <xf numFmtId="0" fontId="8" fillId="0" borderId="8" xfId="0" applyFont="1" applyBorder="1" applyAlignment="1">
      <alignment horizontal="center" wrapText="1"/>
    </xf>
    <xf numFmtId="0" fontId="8" fillId="0" borderId="4" xfId="0" applyFont="1" applyBorder="1" applyAlignment="1">
      <alignment horizontal="center" wrapText="1"/>
    </xf>
    <xf numFmtId="0" fontId="8" fillId="0" borderId="9" xfId="0" applyFont="1" applyBorder="1" applyAlignment="1">
      <alignment horizontal="center" wrapText="1"/>
    </xf>
    <xf numFmtId="0" fontId="8" fillId="0" borderId="10" xfId="0" applyFont="1" applyBorder="1" applyAlignment="1">
      <alignment horizontal="center" wrapText="1"/>
    </xf>
    <xf numFmtId="0" fontId="8" fillId="0" borderId="0" xfId="0" applyFont="1" applyBorder="1" applyAlignment="1">
      <alignment horizontal="center" wrapText="1"/>
    </xf>
    <xf numFmtId="0" fontId="8" fillId="0" borderId="11" xfId="0" applyFont="1" applyBorder="1" applyAlignment="1">
      <alignment horizontal="center" wrapText="1"/>
    </xf>
    <xf numFmtId="0" fontId="8" fillId="0" borderId="12" xfId="0" applyFont="1" applyBorder="1" applyAlignment="1">
      <alignment horizontal="center" wrapText="1"/>
    </xf>
    <xf numFmtId="0" fontId="8" fillId="0" borderId="13" xfId="0" applyFont="1" applyBorder="1" applyAlignment="1">
      <alignment horizontal="center" wrapText="1"/>
    </xf>
    <xf numFmtId="0" fontId="8" fillId="0" borderId="14" xfId="0" applyFont="1" applyBorder="1" applyAlignment="1">
      <alignment horizontal="center" wrapText="1"/>
    </xf>
    <xf numFmtId="0" fontId="5" fillId="0" borderId="5" xfId="0" applyFont="1" applyFill="1" applyBorder="1" applyAlignment="1">
      <alignment horizontal="center"/>
    </xf>
    <xf numFmtId="0" fontId="5" fillId="0" borderId="1" xfId="0" applyFont="1" applyFill="1" applyBorder="1" applyAlignment="1">
      <alignment horizontal="center"/>
    </xf>
    <xf numFmtId="0" fontId="4" fillId="0" borderId="1" xfId="0" applyFont="1" applyFill="1" applyBorder="1" applyAlignment="1">
      <alignment horizontal="center"/>
    </xf>
    <xf numFmtId="0" fontId="4" fillId="0" borderId="2" xfId="0" applyFont="1" applyFill="1" applyBorder="1" applyAlignment="1">
      <alignment horizontal="center"/>
    </xf>
    <xf numFmtId="0" fontId="4" fillId="0" borderId="5" xfId="0" applyFont="1" applyFill="1" applyBorder="1" applyAlignment="1">
      <alignment horizontal="center"/>
    </xf>
    <xf numFmtId="0" fontId="4" fillId="0" borderId="3" xfId="0" applyFont="1" applyFill="1" applyBorder="1" applyAlignment="1">
      <alignment horizontal="center"/>
    </xf>
    <xf numFmtId="0" fontId="6" fillId="0" borderId="0" xfId="0" applyFont="1" applyFill="1" applyAlignment="1">
      <alignment horizontal="left" wrapText="1"/>
    </xf>
    <xf numFmtId="0" fontId="6" fillId="0" borderId="4" xfId="0" applyFont="1" applyFill="1" applyBorder="1" applyAlignment="1"/>
    <xf numFmtId="0" fontId="4" fillId="0" borderId="0" xfId="0" applyFont="1" applyAlignment="1">
      <alignment horizontal="center"/>
    </xf>
    <xf numFmtId="0" fontId="5" fillId="0" borderId="6" xfId="0" applyFont="1" applyFill="1" applyBorder="1" applyAlignment="1">
      <alignment horizontal="center" wrapText="1"/>
    </xf>
    <xf numFmtId="0" fontId="5" fillId="0" borderId="7" xfId="0" applyFont="1" applyFill="1" applyBorder="1" applyAlignment="1">
      <alignment horizontal="center" wrapText="1"/>
    </xf>
    <xf numFmtId="0" fontId="5" fillId="0" borderId="10" xfId="0" applyFont="1" applyFill="1" applyBorder="1" applyAlignment="1">
      <alignment horizontal="left"/>
    </xf>
    <xf numFmtId="0" fontId="5" fillId="0" borderId="0" xfId="0" applyFont="1" applyFill="1" applyBorder="1" applyAlignment="1">
      <alignment horizontal="left"/>
    </xf>
    <xf numFmtId="0" fontId="5" fillId="0" borderId="10" xfId="0" applyFont="1" applyFill="1" applyBorder="1" applyAlignment="1">
      <alignment horizontal="left" wrapText="1"/>
    </xf>
    <xf numFmtId="0" fontId="5" fillId="0" borderId="0" xfId="0" applyFont="1" applyFill="1" applyBorder="1" applyAlignment="1">
      <alignment horizontal="left" wrapText="1"/>
    </xf>
    <xf numFmtId="0" fontId="5" fillId="0" borderId="8" xfId="0" applyFont="1" applyFill="1" applyBorder="1" applyAlignment="1">
      <alignment horizontal="left"/>
    </xf>
    <xf numFmtId="0" fontId="5" fillId="0" borderId="4" xfId="0" applyFont="1" applyFill="1" applyBorder="1" applyAlignment="1">
      <alignment horizontal="left"/>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Normal" xfId="0" builtinId="0"/>
    <cellStyle name="Normal 2" xfId="1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4"/>
  <sheetViews>
    <sheetView workbookViewId="0">
      <pane xSplit="1" topLeftCell="V1" activePane="topRight" state="frozen"/>
      <selection pane="topRight" activeCell="AB17" sqref="AB17"/>
    </sheetView>
  </sheetViews>
  <sheetFormatPr baseColWidth="10" defaultColWidth="12.6640625" defaultRowHeight="16" x14ac:dyDescent="0.2"/>
  <cols>
    <col min="1" max="1" width="18.33203125" style="17" customWidth="1"/>
    <col min="2" max="2" width="18" style="7" bestFit="1" customWidth="1"/>
    <col min="3" max="7" width="14" style="7" bestFit="1" customWidth="1"/>
    <col min="8" max="8" width="6.6640625" style="7" bestFit="1" customWidth="1"/>
    <col min="9" max="9" width="14" style="7" bestFit="1" customWidth="1"/>
    <col min="10" max="10" width="6.6640625" style="7" bestFit="1" customWidth="1"/>
    <col min="11" max="11" width="14" style="7" bestFit="1" customWidth="1"/>
    <col min="12" max="12" width="6.1640625" style="7" bestFit="1" customWidth="1"/>
    <col min="13" max="13" width="14" style="7" bestFit="1" customWidth="1"/>
    <col min="14" max="14" width="6.1640625" style="7" bestFit="1" customWidth="1"/>
    <col min="15" max="15" width="14" style="7" bestFit="1" customWidth="1"/>
    <col min="16" max="16" width="6.1640625" style="7" bestFit="1" customWidth="1"/>
    <col min="17" max="17" width="14" style="7" bestFit="1" customWidth="1"/>
    <col min="18" max="18" width="6.1640625" style="7" bestFit="1" customWidth="1"/>
    <col min="19" max="19" width="14" style="7" bestFit="1" customWidth="1"/>
    <col min="20" max="20" width="6.1640625" style="7" bestFit="1" customWidth="1"/>
    <col min="21" max="21" width="14" style="7" bestFit="1" customWidth="1"/>
    <col min="22" max="22" width="6.1640625" style="7" bestFit="1" customWidth="1"/>
    <col min="23" max="23" width="14" style="7" bestFit="1" customWidth="1"/>
    <col min="24" max="24" width="6.1640625" style="7" bestFit="1" customWidth="1"/>
    <col min="25" max="25" width="14" style="7" bestFit="1" customWidth="1"/>
    <col min="26" max="26" width="6.1640625" style="7" bestFit="1" customWidth="1"/>
    <col min="27" max="27" width="14" style="7" bestFit="1" customWidth="1"/>
    <col min="28" max="28" width="6.1640625" style="7" bestFit="1" customWidth="1"/>
    <col min="29" max="29" width="14" style="7" bestFit="1" customWidth="1"/>
    <col min="30" max="30" width="6.1640625" style="7" bestFit="1" customWidth="1"/>
    <col min="31" max="31" width="14" style="7" bestFit="1" customWidth="1"/>
    <col min="32" max="32" width="6.1640625" style="7" bestFit="1" customWidth="1"/>
    <col min="33" max="33" width="14" style="7" bestFit="1" customWidth="1"/>
    <col min="34" max="34" width="6.1640625" style="7" bestFit="1" customWidth="1"/>
    <col min="35" max="35" width="7.6640625" style="7" bestFit="1" customWidth="1"/>
    <col min="36" max="36" width="6.1640625" style="7" bestFit="1" customWidth="1"/>
    <col min="37" max="37" width="7.6640625" style="7" bestFit="1" customWidth="1"/>
    <col min="38" max="38" width="5.6640625" style="7" bestFit="1" customWidth="1"/>
    <col min="39" max="39" width="12.1640625" style="7" bestFit="1" customWidth="1"/>
    <col min="40" max="40" width="9.6640625" style="7" customWidth="1"/>
    <col min="41" max="41" width="12.1640625" style="7" bestFit="1" customWidth="1"/>
    <col min="42" max="42" width="10" style="7" customWidth="1"/>
    <col min="43" max="43" width="12.1640625" style="7" bestFit="1" customWidth="1"/>
    <col min="44" max="44" width="8" style="7" customWidth="1"/>
    <col min="45" max="46" width="12.83203125" style="7" bestFit="1" customWidth="1"/>
    <col min="47" max="47" width="12.1640625" style="7" bestFit="1" customWidth="1"/>
    <col min="48" max="48" width="12.83203125" style="7" bestFit="1" customWidth="1"/>
    <col min="49" max="49" width="12.1640625" style="7" customWidth="1"/>
    <col min="50" max="50" width="10.5" style="7" bestFit="1" customWidth="1"/>
    <col min="51" max="51" width="1.83203125" style="7" bestFit="1" customWidth="1"/>
    <col min="52" max="52" width="2.5" style="7" bestFit="1" customWidth="1"/>
    <col min="53" max="53" width="1.83203125" style="7" bestFit="1" customWidth="1"/>
    <col min="54" max="54" width="2.5" style="7" bestFit="1" customWidth="1"/>
    <col min="55" max="55" width="1.83203125" style="7" bestFit="1" customWidth="1"/>
    <col min="56" max="16384" width="12.6640625" style="7"/>
  </cols>
  <sheetData>
    <row r="1" spans="1:50" ht="18" customHeight="1" x14ac:dyDescent="0.2">
      <c r="A1" s="80" t="s">
        <v>48</v>
      </c>
      <c r="B1" s="81"/>
      <c r="C1" s="81"/>
      <c r="D1" s="81"/>
      <c r="E1" s="81"/>
      <c r="F1" s="81"/>
      <c r="G1" s="81"/>
      <c r="H1" s="82"/>
    </row>
    <row r="2" spans="1:50" ht="18" customHeight="1" x14ac:dyDescent="0.2">
      <c r="A2" s="83"/>
      <c r="B2" s="84"/>
      <c r="C2" s="84"/>
      <c r="D2" s="84"/>
      <c r="E2" s="84"/>
      <c r="F2" s="84"/>
      <c r="G2" s="84"/>
      <c r="H2" s="85"/>
    </row>
    <row r="3" spans="1:50" ht="18" customHeight="1" x14ac:dyDescent="0.2">
      <c r="A3" s="83"/>
      <c r="B3" s="84"/>
      <c r="C3" s="84"/>
      <c r="D3" s="84"/>
      <c r="E3" s="84"/>
      <c r="F3" s="84"/>
      <c r="G3" s="84"/>
      <c r="H3" s="85"/>
    </row>
    <row r="4" spans="1:50" ht="18" customHeight="1" x14ac:dyDescent="0.2">
      <c r="A4" s="83"/>
      <c r="B4" s="84"/>
      <c r="C4" s="84"/>
      <c r="D4" s="84"/>
      <c r="E4" s="84"/>
      <c r="F4" s="84"/>
      <c r="G4" s="84"/>
      <c r="H4" s="85"/>
    </row>
    <row r="5" spans="1:50" ht="18" customHeight="1" x14ac:dyDescent="0.2">
      <c r="A5" s="86"/>
      <c r="B5" s="87"/>
      <c r="C5" s="87"/>
      <c r="D5" s="87"/>
      <c r="E5" s="87"/>
      <c r="F5" s="87"/>
      <c r="G5" s="87"/>
      <c r="H5" s="88"/>
      <c r="AM5" s="75" t="s">
        <v>160</v>
      </c>
      <c r="AN5" s="75"/>
      <c r="AO5" s="75" t="s">
        <v>161</v>
      </c>
      <c r="AP5" s="75"/>
      <c r="AQ5" s="75" t="s">
        <v>57</v>
      </c>
      <c r="AR5" s="75"/>
      <c r="AS5" s="75" t="s">
        <v>160</v>
      </c>
      <c r="AT5" s="75"/>
      <c r="AU5" s="75" t="s">
        <v>160</v>
      </c>
      <c r="AV5" s="75"/>
      <c r="AW5" s="75" t="s">
        <v>160</v>
      </c>
      <c r="AX5" s="75"/>
    </row>
    <row r="6" spans="1:50" x14ac:dyDescent="0.2">
      <c r="A6" s="6" t="s">
        <v>4</v>
      </c>
      <c r="B6" s="77" t="s">
        <v>5</v>
      </c>
      <c r="C6" s="89"/>
      <c r="D6" s="89"/>
      <c r="E6" s="89"/>
      <c r="F6" s="89"/>
      <c r="G6" s="89"/>
      <c r="H6" s="89"/>
      <c r="I6" s="78"/>
      <c r="J6" s="77" t="s">
        <v>6</v>
      </c>
      <c r="K6" s="89"/>
      <c r="L6" s="89"/>
      <c r="M6" s="89"/>
      <c r="N6" s="89"/>
      <c r="O6" s="89"/>
      <c r="P6" s="89"/>
      <c r="Q6" s="78"/>
      <c r="R6" s="77" t="s">
        <v>7</v>
      </c>
      <c r="S6" s="89"/>
      <c r="T6" s="89"/>
      <c r="U6" s="89"/>
      <c r="V6" s="89"/>
      <c r="W6" s="89"/>
      <c r="X6" s="89"/>
      <c r="Y6" s="78"/>
      <c r="Z6" s="92" t="s">
        <v>8</v>
      </c>
      <c r="AA6" s="93"/>
      <c r="AB6" s="93"/>
      <c r="AC6" s="93"/>
      <c r="AD6" s="93"/>
      <c r="AE6" s="93"/>
      <c r="AF6" s="93"/>
      <c r="AG6" s="94"/>
      <c r="AH6" s="92" t="s">
        <v>33</v>
      </c>
      <c r="AI6" s="93"/>
      <c r="AJ6" s="93"/>
      <c r="AK6" s="94"/>
      <c r="AM6" s="7" t="s">
        <v>158</v>
      </c>
      <c r="AN6" s="7" t="s">
        <v>158</v>
      </c>
      <c r="AO6" s="7" t="s">
        <v>158</v>
      </c>
      <c r="AP6" s="7" t="s">
        <v>158</v>
      </c>
      <c r="AQ6" s="7" t="s">
        <v>158</v>
      </c>
      <c r="AR6" s="7" t="s">
        <v>158</v>
      </c>
      <c r="AS6" s="7" t="s">
        <v>168</v>
      </c>
      <c r="AT6" s="7" t="s">
        <v>168</v>
      </c>
      <c r="AU6" s="7" t="s">
        <v>170</v>
      </c>
      <c r="AV6" s="7" t="s">
        <v>170</v>
      </c>
      <c r="AW6" s="7" t="s">
        <v>171</v>
      </c>
      <c r="AX6" s="7" t="s">
        <v>171</v>
      </c>
    </row>
    <row r="7" spans="1:50" x14ac:dyDescent="0.2">
      <c r="A7" s="6" t="s">
        <v>1</v>
      </c>
      <c r="B7" s="77" t="s">
        <v>2</v>
      </c>
      <c r="C7" s="89"/>
      <c r="D7" s="89"/>
      <c r="E7" s="78"/>
      <c r="F7" s="77" t="s">
        <v>3</v>
      </c>
      <c r="G7" s="89"/>
      <c r="H7" s="89"/>
      <c r="I7" s="78"/>
      <c r="J7" s="77" t="s">
        <v>2</v>
      </c>
      <c r="K7" s="89"/>
      <c r="L7" s="89"/>
      <c r="M7" s="78"/>
      <c r="N7" s="77" t="s">
        <v>3</v>
      </c>
      <c r="O7" s="89"/>
      <c r="P7" s="89"/>
      <c r="Q7" s="78"/>
      <c r="R7" s="77" t="s">
        <v>2</v>
      </c>
      <c r="S7" s="89"/>
      <c r="T7" s="89"/>
      <c r="U7" s="78"/>
      <c r="V7" s="77" t="s">
        <v>3</v>
      </c>
      <c r="W7" s="89"/>
      <c r="X7" s="89"/>
      <c r="Y7" s="78"/>
      <c r="Z7" s="91" t="s">
        <v>2</v>
      </c>
      <c r="AA7" s="91"/>
      <c r="AB7" s="91"/>
      <c r="AC7" s="91"/>
      <c r="AD7" s="91" t="s">
        <v>3</v>
      </c>
      <c r="AE7" s="91"/>
      <c r="AF7" s="91"/>
      <c r="AG7" s="91"/>
      <c r="AH7" s="91" t="s">
        <v>2</v>
      </c>
      <c r="AI7" s="91"/>
      <c r="AJ7" s="91" t="s">
        <v>3</v>
      </c>
      <c r="AK7" s="91"/>
      <c r="AM7" s="7" t="s">
        <v>159</v>
      </c>
      <c r="AN7" s="7" t="s">
        <v>159</v>
      </c>
      <c r="AO7" s="7" t="s">
        <v>159</v>
      </c>
      <c r="AP7" s="7" t="s">
        <v>159</v>
      </c>
      <c r="AQ7" s="7" t="s">
        <v>159</v>
      </c>
      <c r="AR7" s="7" t="s">
        <v>159</v>
      </c>
      <c r="AS7" s="7" t="s">
        <v>159</v>
      </c>
      <c r="AT7" s="7" t="s">
        <v>159</v>
      </c>
      <c r="AU7" s="7" t="s">
        <v>159</v>
      </c>
      <c r="AV7" s="7" t="s">
        <v>159</v>
      </c>
      <c r="AW7" s="7" t="s">
        <v>159</v>
      </c>
      <c r="AX7" s="7" t="s">
        <v>159</v>
      </c>
    </row>
    <row r="8" spans="1:50" x14ac:dyDescent="0.2">
      <c r="A8" s="6" t="s">
        <v>36</v>
      </c>
      <c r="B8" s="77" t="s">
        <v>34</v>
      </c>
      <c r="C8" s="78"/>
      <c r="D8" s="77" t="s">
        <v>35</v>
      </c>
      <c r="E8" s="78"/>
      <c r="F8" s="77" t="s">
        <v>34</v>
      </c>
      <c r="G8" s="78"/>
      <c r="H8" s="77" t="s">
        <v>35</v>
      </c>
      <c r="I8" s="78"/>
      <c r="J8" s="90" t="s">
        <v>34</v>
      </c>
      <c r="K8" s="90"/>
      <c r="L8" s="90" t="s">
        <v>35</v>
      </c>
      <c r="M8" s="90"/>
      <c r="N8" s="90" t="s">
        <v>34</v>
      </c>
      <c r="O8" s="90"/>
      <c r="P8" s="90" t="s">
        <v>35</v>
      </c>
      <c r="Q8" s="90"/>
      <c r="R8" s="90" t="s">
        <v>34</v>
      </c>
      <c r="S8" s="90"/>
      <c r="T8" s="90" t="s">
        <v>35</v>
      </c>
      <c r="U8" s="90"/>
      <c r="V8" s="90" t="s">
        <v>34</v>
      </c>
      <c r="W8" s="90"/>
      <c r="X8" s="90" t="s">
        <v>35</v>
      </c>
      <c r="Y8" s="90"/>
      <c r="Z8" s="91" t="s">
        <v>34</v>
      </c>
      <c r="AA8" s="91"/>
      <c r="AB8" s="91" t="s">
        <v>35</v>
      </c>
      <c r="AC8" s="91"/>
      <c r="AD8" s="91" t="s">
        <v>34</v>
      </c>
      <c r="AE8" s="91"/>
      <c r="AF8" s="91" t="s">
        <v>35</v>
      </c>
      <c r="AG8" s="91"/>
      <c r="AH8" s="3" t="s">
        <v>34</v>
      </c>
      <c r="AI8" s="3" t="s">
        <v>35</v>
      </c>
      <c r="AJ8" s="3" t="s">
        <v>34</v>
      </c>
      <c r="AK8" s="3" t="s">
        <v>35</v>
      </c>
      <c r="AM8" s="7" t="s">
        <v>35</v>
      </c>
      <c r="AN8" s="7" t="s">
        <v>34</v>
      </c>
      <c r="AO8" s="7" t="s">
        <v>35</v>
      </c>
      <c r="AP8" s="7" t="s">
        <v>34</v>
      </c>
      <c r="AQ8" s="7" t="s">
        <v>35</v>
      </c>
      <c r="AR8" s="7" t="s">
        <v>34</v>
      </c>
      <c r="AS8" s="7" t="s">
        <v>35</v>
      </c>
      <c r="AT8" s="7" t="s">
        <v>34</v>
      </c>
      <c r="AU8" s="7" t="s">
        <v>35</v>
      </c>
      <c r="AV8" s="7" t="s">
        <v>34</v>
      </c>
      <c r="AW8" s="7" t="s">
        <v>35</v>
      </c>
      <c r="AX8" s="7" t="s">
        <v>34</v>
      </c>
    </row>
    <row r="9" spans="1:50" x14ac:dyDescent="0.2">
      <c r="A9" s="6" t="s">
        <v>0</v>
      </c>
      <c r="B9" s="8" t="s">
        <v>12</v>
      </c>
      <c r="C9" s="8" t="s">
        <v>13</v>
      </c>
      <c r="D9" s="8" t="s">
        <v>12</v>
      </c>
      <c r="E9" s="8" t="s">
        <v>13</v>
      </c>
      <c r="F9" s="8" t="s">
        <v>12</v>
      </c>
      <c r="G9" s="8" t="s">
        <v>13</v>
      </c>
      <c r="H9" s="8" t="s">
        <v>12</v>
      </c>
      <c r="I9" s="8" t="s">
        <v>13</v>
      </c>
      <c r="J9" s="8" t="s">
        <v>12</v>
      </c>
      <c r="K9" s="8" t="s">
        <v>13</v>
      </c>
      <c r="L9" s="8" t="s">
        <v>12</v>
      </c>
      <c r="M9" s="8" t="s">
        <v>13</v>
      </c>
      <c r="N9" s="8" t="s">
        <v>12</v>
      </c>
      <c r="O9" s="8" t="s">
        <v>13</v>
      </c>
      <c r="P9" s="8" t="s">
        <v>12</v>
      </c>
      <c r="Q9" s="8" t="s">
        <v>13</v>
      </c>
      <c r="R9" s="8" t="s">
        <v>12</v>
      </c>
      <c r="S9" s="8" t="s">
        <v>13</v>
      </c>
      <c r="T9" s="8" t="s">
        <v>12</v>
      </c>
      <c r="U9" s="8" t="s">
        <v>13</v>
      </c>
      <c r="V9" s="8" t="s">
        <v>12</v>
      </c>
      <c r="W9" s="8" t="s">
        <v>13</v>
      </c>
      <c r="X9" s="8" t="s">
        <v>12</v>
      </c>
      <c r="Y9" s="8" t="s">
        <v>13</v>
      </c>
      <c r="Z9" s="8" t="s">
        <v>12</v>
      </c>
      <c r="AA9" s="8" t="s">
        <v>13</v>
      </c>
      <c r="AB9" s="8" t="s">
        <v>12</v>
      </c>
      <c r="AC9" s="8" t="s">
        <v>13</v>
      </c>
      <c r="AD9" s="8" t="s">
        <v>12</v>
      </c>
      <c r="AE9" s="8" t="s">
        <v>13</v>
      </c>
      <c r="AF9" s="8" t="s">
        <v>12</v>
      </c>
      <c r="AG9" s="8" t="s">
        <v>13</v>
      </c>
      <c r="AH9" s="8" t="s">
        <v>12</v>
      </c>
      <c r="AI9" s="8" t="s">
        <v>12</v>
      </c>
      <c r="AJ9" s="8" t="s">
        <v>12</v>
      </c>
      <c r="AK9" s="8" t="s">
        <v>12</v>
      </c>
      <c r="AM9" s="7" t="s">
        <v>12</v>
      </c>
      <c r="AN9" s="7" t="s">
        <v>12</v>
      </c>
      <c r="AO9" s="7" t="s">
        <v>12</v>
      </c>
      <c r="AP9" s="7" t="s">
        <v>12</v>
      </c>
      <c r="AQ9" s="7" t="s">
        <v>12</v>
      </c>
      <c r="AR9" s="7" t="s">
        <v>12</v>
      </c>
      <c r="AS9" s="7" t="s">
        <v>12</v>
      </c>
      <c r="AT9" s="7" t="s">
        <v>12</v>
      </c>
      <c r="AU9" s="7" t="s">
        <v>12</v>
      </c>
      <c r="AV9" s="7" t="s">
        <v>12</v>
      </c>
      <c r="AW9" s="7" t="s">
        <v>12</v>
      </c>
      <c r="AX9" s="7" t="s">
        <v>12</v>
      </c>
    </row>
    <row r="10" spans="1:50" s="11" customFormat="1" x14ac:dyDescent="0.2">
      <c r="A10" s="5">
        <v>2000</v>
      </c>
      <c r="B10" s="9">
        <v>11</v>
      </c>
      <c r="C10" s="10">
        <f>(B10/$C$39)*100000</f>
        <v>0.93774162831161323</v>
      </c>
      <c r="D10" s="9">
        <v>2</v>
      </c>
      <c r="E10" s="10">
        <f>(D10/$C$35)*100000</f>
        <v>0.16372480479910148</v>
      </c>
      <c r="F10" s="9">
        <v>2</v>
      </c>
      <c r="G10" s="10">
        <f>(F10/$C$47)*100000</f>
        <v>0.28140873211295747</v>
      </c>
      <c r="H10" s="9">
        <v>0</v>
      </c>
      <c r="I10" s="10">
        <f>(H10/$C$43)*100000</f>
        <v>0</v>
      </c>
      <c r="J10" s="9">
        <v>3</v>
      </c>
      <c r="K10" s="10">
        <f>(J10/$C$37)*100000</f>
        <v>4.2629380168812343</v>
      </c>
      <c r="L10" s="9">
        <v>1</v>
      </c>
      <c r="M10" s="10">
        <f>(L10/$C$33)*100000</f>
        <v>1.3103927246995923</v>
      </c>
      <c r="N10" s="9">
        <v>0</v>
      </c>
      <c r="O10" s="10">
        <f>(N10/$C$45)*100000</f>
        <v>0</v>
      </c>
      <c r="P10" s="9">
        <v>0</v>
      </c>
      <c r="Q10" s="10">
        <f>(P10/$C$41)*100000</f>
        <v>0</v>
      </c>
      <c r="R10" s="9">
        <v>3</v>
      </c>
      <c r="S10" s="10">
        <f>(R10/$C$38)*100000</f>
        <v>3.237747822614589</v>
      </c>
      <c r="T10" s="9">
        <v>1</v>
      </c>
      <c r="U10" s="10">
        <f>(T10/$C$34)*100000</f>
        <v>1.0498797887641866</v>
      </c>
      <c r="V10" s="58">
        <v>2</v>
      </c>
      <c r="W10" s="41" t="s">
        <v>47</v>
      </c>
      <c r="X10" s="9">
        <v>0</v>
      </c>
      <c r="Y10" s="10">
        <f>(X10/$C$42)*100000</f>
        <v>0</v>
      </c>
      <c r="Z10" s="9">
        <v>3</v>
      </c>
      <c r="AA10" s="10">
        <f>(Z10/$C$36)*100000</f>
        <v>0.29702970297029702</v>
      </c>
      <c r="AB10" s="9">
        <v>0</v>
      </c>
      <c r="AC10" s="10">
        <f>(AB10/$C$32)*100000</f>
        <v>0</v>
      </c>
      <c r="AD10" s="9">
        <v>1</v>
      </c>
      <c r="AE10" s="10">
        <f>(AD10/$C$44)*100000</f>
        <v>0.15275547972094627</v>
      </c>
      <c r="AF10" s="9">
        <v>0</v>
      </c>
      <c r="AG10" s="10">
        <f>(AF10/$C$40)*100000</f>
        <v>0</v>
      </c>
      <c r="AH10" s="9">
        <v>2</v>
      </c>
      <c r="AI10" s="9">
        <v>0</v>
      </c>
      <c r="AJ10" s="9">
        <v>0</v>
      </c>
      <c r="AK10" s="9">
        <v>0</v>
      </c>
      <c r="AM10" s="11">
        <f>D10+H10</f>
        <v>2</v>
      </c>
      <c r="AN10" s="11">
        <f>F10+B10</f>
        <v>13</v>
      </c>
      <c r="AO10" s="11">
        <v>14</v>
      </c>
      <c r="AP10" s="11">
        <v>19</v>
      </c>
      <c r="AQ10" s="11">
        <f>AO10+AM10</f>
        <v>16</v>
      </c>
      <c r="AR10" s="11">
        <f>AP10+AN10</f>
        <v>32</v>
      </c>
      <c r="AS10" s="11">
        <f>AF10+AB10</f>
        <v>0</v>
      </c>
      <c r="AT10" s="11">
        <f>AD10+Z10</f>
        <v>4</v>
      </c>
      <c r="AU10" s="11">
        <f>P10+L10</f>
        <v>1</v>
      </c>
      <c r="AV10" s="11">
        <f>N10+J10</f>
        <v>3</v>
      </c>
      <c r="AW10" s="11">
        <f>X10+T10</f>
        <v>1</v>
      </c>
      <c r="AX10" s="11">
        <f>V10+R10</f>
        <v>5</v>
      </c>
    </row>
    <row r="11" spans="1:50" s="11" customFormat="1" x14ac:dyDescent="0.2">
      <c r="A11" s="5">
        <v>2001</v>
      </c>
      <c r="B11" s="9">
        <v>4</v>
      </c>
      <c r="C11" s="10">
        <f>(B11/$C$39)*100000</f>
        <v>0.34099695574967753</v>
      </c>
      <c r="D11" s="9">
        <v>1</v>
      </c>
      <c r="E11" s="10">
        <f>(D11/$C$35)*100000</f>
        <v>8.186240239955074E-2</v>
      </c>
      <c r="F11" s="9">
        <v>3</v>
      </c>
      <c r="G11" s="10">
        <f>(F11/$C$47)*100000</f>
        <v>0.42211309816943615</v>
      </c>
      <c r="H11" s="9">
        <v>0</v>
      </c>
      <c r="I11" s="10">
        <f>(H11/$C$43)*100000</f>
        <v>0</v>
      </c>
      <c r="J11" s="9">
        <v>0</v>
      </c>
      <c r="K11" s="10">
        <f>(J11/$C$37)*100000</f>
        <v>0</v>
      </c>
      <c r="L11" s="9">
        <v>0</v>
      </c>
      <c r="M11" s="10">
        <f>(L11/$C$33)*100000</f>
        <v>0</v>
      </c>
      <c r="N11" s="9">
        <v>0</v>
      </c>
      <c r="O11" s="10">
        <f>(N11/$C$45)*100000</f>
        <v>0</v>
      </c>
      <c r="P11" s="9">
        <v>0</v>
      </c>
      <c r="Q11" s="10">
        <f>(P11/$C$41)*100000</f>
        <v>0</v>
      </c>
      <c r="R11" s="9">
        <v>1</v>
      </c>
      <c r="S11" s="10">
        <f>(R11/$C$38)*100000</f>
        <v>1.0792492742048632</v>
      </c>
      <c r="T11" s="9">
        <v>0</v>
      </c>
      <c r="U11" s="10">
        <f>(T11/$C$34)*100000</f>
        <v>0</v>
      </c>
      <c r="V11" s="9">
        <v>0</v>
      </c>
      <c r="W11" s="10">
        <f>(V11/$C$46)*100000</f>
        <v>0</v>
      </c>
      <c r="X11" s="9">
        <v>0</v>
      </c>
      <c r="Y11" s="10">
        <f>(X11/$C$42)*100000</f>
        <v>0</v>
      </c>
      <c r="Z11" s="9">
        <v>2</v>
      </c>
      <c r="AA11" s="10">
        <f>(Z11/$C$36)*100000</f>
        <v>0.19801980198019803</v>
      </c>
      <c r="AB11" s="9">
        <v>0</v>
      </c>
      <c r="AC11" s="10">
        <f>(AB11/$C$32)*100000</f>
        <v>0</v>
      </c>
      <c r="AD11" s="9">
        <v>2</v>
      </c>
      <c r="AE11" s="10">
        <f>(AD11/$C$44)*100000</f>
        <v>0.30551095944189255</v>
      </c>
      <c r="AF11" s="9">
        <v>0</v>
      </c>
      <c r="AG11" s="10">
        <f>(AF11/$C$40)*100000</f>
        <v>0</v>
      </c>
      <c r="AH11" s="9">
        <v>1</v>
      </c>
      <c r="AI11" s="9">
        <v>1</v>
      </c>
      <c r="AJ11" s="9">
        <v>1</v>
      </c>
      <c r="AK11" s="9">
        <v>0</v>
      </c>
      <c r="AM11" s="11">
        <f>D11+H11</f>
        <v>1</v>
      </c>
      <c r="AN11" s="11">
        <f t="shared" ref="AN11:AN26" si="0">F11+B11</f>
        <v>7</v>
      </c>
      <c r="AO11" s="11">
        <v>3</v>
      </c>
      <c r="AP11" s="11">
        <v>21</v>
      </c>
      <c r="AQ11" s="11">
        <f t="shared" ref="AQ11:AQ26" si="1">AO11+AM11</f>
        <v>4</v>
      </c>
      <c r="AR11" s="11">
        <f t="shared" ref="AR11:AR26" si="2">AP11+AN11</f>
        <v>28</v>
      </c>
      <c r="AS11" s="11">
        <f t="shared" ref="AS11:AS26" si="3">AF11+AB11</f>
        <v>0</v>
      </c>
      <c r="AT11" s="11">
        <f t="shared" ref="AT11:AT26" si="4">AD11+Z11</f>
        <v>4</v>
      </c>
      <c r="AU11" s="11">
        <f t="shared" ref="AU11:AU26" si="5">P11+L11</f>
        <v>0</v>
      </c>
      <c r="AV11" s="11">
        <f t="shared" ref="AV11:AV26" si="6">N11+J11</f>
        <v>0</v>
      </c>
      <c r="AW11" s="11">
        <f t="shared" ref="AW11:AW26" si="7">X11+T11</f>
        <v>0</v>
      </c>
      <c r="AX11" s="11">
        <f t="shared" ref="AX11:AX26" si="8">V11+R11</f>
        <v>1</v>
      </c>
    </row>
    <row r="12" spans="1:50" s="11" customFormat="1" x14ac:dyDescent="0.2">
      <c r="A12" s="5">
        <v>2002</v>
      </c>
      <c r="B12" s="9">
        <v>16</v>
      </c>
      <c r="C12" s="10">
        <f>(B12/$C$39)*100000</f>
        <v>1.3639878229987101</v>
      </c>
      <c r="D12" s="9">
        <v>2</v>
      </c>
      <c r="E12" s="10">
        <f>(D12/$C$35)*100000</f>
        <v>0.16372480479910148</v>
      </c>
      <c r="F12" s="9">
        <v>2</v>
      </c>
      <c r="G12" s="10">
        <f>(F12/$C$47)*100000</f>
        <v>0.28140873211295747</v>
      </c>
      <c r="H12" s="9">
        <v>0</v>
      </c>
      <c r="I12" s="10">
        <f>(H12/$C$43)*100000</f>
        <v>0</v>
      </c>
      <c r="J12" s="9">
        <v>0</v>
      </c>
      <c r="K12" s="10">
        <f>(J12/$C$37)*100000</f>
        <v>0</v>
      </c>
      <c r="L12" s="9">
        <v>0</v>
      </c>
      <c r="M12" s="10">
        <f>(L12/$C$33)*100000</f>
        <v>0</v>
      </c>
      <c r="N12" s="9">
        <v>0</v>
      </c>
      <c r="O12" s="10">
        <f>(N12/$C$45)*100000</f>
        <v>0</v>
      </c>
      <c r="P12" s="9">
        <v>0</v>
      </c>
      <c r="Q12" s="10">
        <f>(P12/$C$41)*100000</f>
        <v>0</v>
      </c>
      <c r="R12" s="9">
        <v>2</v>
      </c>
      <c r="S12" s="10">
        <f>(R12/$C$38)*100000</f>
        <v>2.1584985484097263</v>
      </c>
      <c r="T12" s="9">
        <v>0</v>
      </c>
      <c r="U12" s="10">
        <f>(T12/$C$34)*100000</f>
        <v>0</v>
      </c>
      <c r="V12" s="9">
        <v>0</v>
      </c>
      <c r="W12" s="10">
        <f>(V12/$C$46)*100000</f>
        <v>0</v>
      </c>
      <c r="X12" s="9">
        <v>0</v>
      </c>
      <c r="Y12" s="10">
        <f>(X12/$C$42)*100000</f>
        <v>0</v>
      </c>
      <c r="Z12" s="9">
        <v>10</v>
      </c>
      <c r="AA12" s="10">
        <f>(Z12/$C$36)*100000</f>
        <v>0.99009900990099009</v>
      </c>
      <c r="AB12" s="9">
        <v>0</v>
      </c>
      <c r="AC12" s="10">
        <f>(AB12/$C$32)*100000</f>
        <v>0</v>
      </c>
      <c r="AD12" s="9">
        <v>1</v>
      </c>
      <c r="AE12" s="10">
        <f>(AD12/$C$44)*100000</f>
        <v>0.15275547972094627</v>
      </c>
      <c r="AF12" s="9">
        <v>0</v>
      </c>
      <c r="AG12" s="10">
        <f>(AF12/$C$40)*100000</f>
        <v>0</v>
      </c>
      <c r="AH12" s="9">
        <v>4</v>
      </c>
      <c r="AI12" s="9">
        <v>2</v>
      </c>
      <c r="AJ12" s="9">
        <v>1</v>
      </c>
      <c r="AK12" s="9">
        <v>0</v>
      </c>
      <c r="AM12" s="11">
        <f t="shared" ref="AM11:AM26" si="9">D12+H12</f>
        <v>2</v>
      </c>
      <c r="AN12" s="11">
        <f t="shared" si="0"/>
        <v>18</v>
      </c>
      <c r="AO12" s="11">
        <v>6</v>
      </c>
      <c r="AP12" s="11">
        <v>51</v>
      </c>
      <c r="AQ12" s="11">
        <f t="shared" si="1"/>
        <v>8</v>
      </c>
      <c r="AR12" s="11">
        <f t="shared" si="2"/>
        <v>69</v>
      </c>
      <c r="AS12" s="11">
        <f t="shared" si="3"/>
        <v>0</v>
      </c>
      <c r="AT12" s="11">
        <f t="shared" si="4"/>
        <v>11</v>
      </c>
      <c r="AU12" s="11">
        <f t="shared" si="5"/>
        <v>0</v>
      </c>
      <c r="AV12" s="11">
        <f t="shared" si="6"/>
        <v>0</v>
      </c>
      <c r="AW12" s="11">
        <f t="shared" si="7"/>
        <v>0</v>
      </c>
      <c r="AX12" s="11">
        <f t="shared" si="8"/>
        <v>2</v>
      </c>
    </row>
    <row r="13" spans="1:50" s="11" customFormat="1" x14ac:dyDescent="0.2">
      <c r="A13" s="5">
        <v>2003</v>
      </c>
      <c r="B13" s="9">
        <v>25</v>
      </c>
      <c r="C13" s="10">
        <f>(B13/$C$39)*100000</f>
        <v>2.1312309734354846</v>
      </c>
      <c r="D13" s="9">
        <v>0</v>
      </c>
      <c r="E13" s="10">
        <f>(D13/$C$35)*100000</f>
        <v>0</v>
      </c>
      <c r="F13" s="9">
        <v>7</v>
      </c>
      <c r="G13" s="10">
        <f>(F13/$C$47)*100000</f>
        <v>0.98493056239535115</v>
      </c>
      <c r="H13" s="9">
        <v>0</v>
      </c>
      <c r="I13" s="10">
        <f>(H13/$C$43)*100000</f>
        <v>0</v>
      </c>
      <c r="J13" s="9">
        <v>2</v>
      </c>
      <c r="K13" s="10">
        <f>(J13/$C$37)*100000</f>
        <v>2.841958677920823</v>
      </c>
      <c r="L13" s="9">
        <v>0</v>
      </c>
      <c r="M13" s="10">
        <f>(L13/$C$33)*100000</f>
        <v>0</v>
      </c>
      <c r="N13" s="9">
        <v>0</v>
      </c>
      <c r="O13" s="10">
        <f>(N13/$C$45)*100000</f>
        <v>0</v>
      </c>
      <c r="P13" s="9">
        <v>0</v>
      </c>
      <c r="Q13" s="10">
        <f>(P13/$C$41)*100000</f>
        <v>0</v>
      </c>
      <c r="R13" s="9">
        <v>2</v>
      </c>
      <c r="S13" s="10">
        <f>(R13/$C$38)*100000</f>
        <v>2.1584985484097263</v>
      </c>
      <c r="T13" s="9">
        <v>0</v>
      </c>
      <c r="U13" s="10">
        <f>(T13/$C$34)*100000</f>
        <v>0</v>
      </c>
      <c r="V13" s="58">
        <v>2</v>
      </c>
      <c r="W13" s="41" t="s">
        <v>47</v>
      </c>
      <c r="X13" s="9">
        <v>0</v>
      </c>
      <c r="Y13" s="10">
        <f>(X13/$C$42)*100000</f>
        <v>0</v>
      </c>
      <c r="Z13" s="9">
        <v>19</v>
      </c>
      <c r="AA13" s="10">
        <f>(Z13/$C$36)*100000</f>
        <v>1.8811881188118811</v>
      </c>
      <c r="AB13" s="9">
        <v>0</v>
      </c>
      <c r="AC13" s="10">
        <f>(AB13/$C$32)*100000</f>
        <v>0</v>
      </c>
      <c r="AD13" s="9">
        <v>5</v>
      </c>
      <c r="AE13" s="10">
        <f>(AD13/$C$44)*100000</f>
        <v>0.76377739860473148</v>
      </c>
      <c r="AF13" s="9">
        <v>0</v>
      </c>
      <c r="AG13" s="10">
        <f>(AF13/$C$40)*100000</f>
        <v>0</v>
      </c>
      <c r="AH13" s="9">
        <v>2</v>
      </c>
      <c r="AI13" s="9">
        <v>0</v>
      </c>
      <c r="AJ13" s="9">
        <v>1</v>
      </c>
      <c r="AK13" s="9">
        <v>0</v>
      </c>
      <c r="AM13" s="11">
        <f t="shared" si="9"/>
        <v>0</v>
      </c>
      <c r="AN13" s="11">
        <f t="shared" si="0"/>
        <v>32</v>
      </c>
      <c r="AO13" s="11">
        <v>3</v>
      </c>
      <c r="AP13" s="11">
        <v>58</v>
      </c>
      <c r="AQ13" s="11">
        <f t="shared" si="1"/>
        <v>3</v>
      </c>
      <c r="AR13" s="11">
        <f t="shared" si="2"/>
        <v>90</v>
      </c>
      <c r="AS13" s="11">
        <f t="shared" si="3"/>
        <v>0</v>
      </c>
      <c r="AT13" s="11">
        <f t="shared" si="4"/>
        <v>24</v>
      </c>
      <c r="AU13" s="11">
        <f t="shared" si="5"/>
        <v>0</v>
      </c>
      <c r="AV13" s="11">
        <f t="shared" si="6"/>
        <v>2</v>
      </c>
      <c r="AW13" s="11">
        <f t="shared" si="7"/>
        <v>0</v>
      </c>
      <c r="AX13" s="11">
        <f t="shared" si="8"/>
        <v>4</v>
      </c>
    </row>
    <row r="14" spans="1:50" s="11" customFormat="1" x14ac:dyDescent="0.2">
      <c r="A14" s="5">
        <v>2004</v>
      </c>
      <c r="B14" s="9">
        <v>24</v>
      </c>
      <c r="C14" s="10">
        <f>(B14/$C$39)*100000</f>
        <v>2.0459817344980653</v>
      </c>
      <c r="D14" s="9">
        <v>0</v>
      </c>
      <c r="E14" s="10">
        <f>(D14/$C$35)*100000</f>
        <v>0</v>
      </c>
      <c r="F14" s="9">
        <v>3</v>
      </c>
      <c r="G14" s="10">
        <f>(F14/$C$47)*100000</f>
        <v>0.42211309816943615</v>
      </c>
      <c r="H14" s="9">
        <v>0</v>
      </c>
      <c r="I14" s="10">
        <f>(H14/$C$43)*100000</f>
        <v>0</v>
      </c>
      <c r="J14" s="9">
        <v>3</v>
      </c>
      <c r="K14" s="10">
        <f>(J14/$C$37)*100000</f>
        <v>4.2629380168812343</v>
      </c>
      <c r="L14" s="9">
        <v>0</v>
      </c>
      <c r="M14" s="10">
        <f>(L14/$C$33)*100000</f>
        <v>0</v>
      </c>
      <c r="N14" s="9">
        <v>0</v>
      </c>
      <c r="O14" s="10">
        <f>(N14/$C$45)*100000</f>
        <v>0</v>
      </c>
      <c r="P14" s="9">
        <v>0</v>
      </c>
      <c r="Q14" s="10">
        <f>(P14/$C$41)*100000</f>
        <v>0</v>
      </c>
      <c r="R14" s="9">
        <v>4</v>
      </c>
      <c r="S14" s="10">
        <f>(R14/$C$38)*100000</f>
        <v>4.3169970968194527</v>
      </c>
      <c r="T14" s="9">
        <v>0</v>
      </c>
      <c r="U14" s="10">
        <f>(T14/$C$34)*100000</f>
        <v>0</v>
      </c>
      <c r="V14" s="9">
        <v>0</v>
      </c>
      <c r="W14" s="10">
        <f>(V14/$C$46)*100000</f>
        <v>0</v>
      </c>
      <c r="X14" s="9">
        <v>0</v>
      </c>
      <c r="Y14" s="10">
        <f>(X14/$C$42)*100000</f>
        <v>0</v>
      </c>
      <c r="Z14" s="9">
        <v>16</v>
      </c>
      <c r="AA14" s="10">
        <f>(Z14/$C$36)*100000</f>
        <v>1.5841584158415842</v>
      </c>
      <c r="AB14" s="9">
        <v>0</v>
      </c>
      <c r="AC14" s="10">
        <f>(AB14/$C$32)*100000</f>
        <v>0</v>
      </c>
      <c r="AD14" s="9">
        <v>2</v>
      </c>
      <c r="AE14" s="10">
        <f>(AD14/$C$44)*100000</f>
        <v>0.30551095944189255</v>
      </c>
      <c r="AF14" s="9">
        <v>0</v>
      </c>
      <c r="AG14" s="10">
        <f>(AF14/$C$40)*100000</f>
        <v>0</v>
      </c>
      <c r="AH14" s="9">
        <v>1</v>
      </c>
      <c r="AI14" s="9">
        <v>0</v>
      </c>
      <c r="AJ14" s="9">
        <v>1</v>
      </c>
      <c r="AK14" s="9">
        <v>0</v>
      </c>
      <c r="AM14" s="11">
        <f t="shared" si="9"/>
        <v>0</v>
      </c>
      <c r="AN14" s="11">
        <f t="shared" si="0"/>
        <v>27</v>
      </c>
      <c r="AO14" s="11">
        <v>4</v>
      </c>
      <c r="AP14" s="11">
        <v>53</v>
      </c>
      <c r="AQ14" s="11">
        <f t="shared" si="1"/>
        <v>4</v>
      </c>
      <c r="AR14" s="11">
        <f t="shared" si="2"/>
        <v>80</v>
      </c>
      <c r="AS14" s="11">
        <f t="shared" si="3"/>
        <v>0</v>
      </c>
      <c r="AT14" s="11">
        <f t="shared" si="4"/>
        <v>18</v>
      </c>
      <c r="AU14" s="11">
        <f t="shared" si="5"/>
        <v>0</v>
      </c>
      <c r="AV14" s="11">
        <f t="shared" si="6"/>
        <v>3</v>
      </c>
      <c r="AW14" s="11">
        <f t="shared" si="7"/>
        <v>0</v>
      </c>
      <c r="AX14" s="11">
        <f t="shared" si="8"/>
        <v>4</v>
      </c>
    </row>
    <row r="15" spans="1:50" x14ac:dyDescent="0.2">
      <c r="A15" s="6">
        <v>2005</v>
      </c>
      <c r="B15" s="8">
        <v>19</v>
      </c>
      <c r="C15" s="12">
        <f>(B15/$D$39)*100000</f>
        <v>1.7051277679159569</v>
      </c>
      <c r="D15" s="8">
        <v>1</v>
      </c>
      <c r="E15" s="12">
        <f>(D15/$D$35)*100000</f>
        <v>8.7172330107666549E-2</v>
      </c>
      <c r="F15" s="8">
        <v>6</v>
      </c>
      <c r="G15" s="12">
        <f>(F15/$D$47)*100000</f>
        <v>0.73897450045323776</v>
      </c>
      <c r="H15" s="8">
        <v>0</v>
      </c>
      <c r="I15" s="12">
        <f>(H15/$D$43)*100000</f>
        <v>0</v>
      </c>
      <c r="J15" s="8">
        <v>4</v>
      </c>
      <c r="K15" s="12">
        <f>(J15/$D$37)*100000</f>
        <v>5.3397410225604061</v>
      </c>
      <c r="L15" s="8">
        <v>1</v>
      </c>
      <c r="M15" s="12">
        <f>(L15/$D$33)*100000</f>
        <v>1.2468516994588663</v>
      </c>
      <c r="N15" s="60">
        <v>2</v>
      </c>
      <c r="O15" s="40" t="s">
        <v>47</v>
      </c>
      <c r="P15" s="8">
        <v>0</v>
      </c>
      <c r="Q15" s="12">
        <f>(P15/$D$41)*100000</f>
        <v>0</v>
      </c>
      <c r="R15" s="8">
        <v>3</v>
      </c>
      <c r="S15" s="12">
        <f>(R15/$D$38)*100000</f>
        <v>2.7338090161021351</v>
      </c>
      <c r="T15" s="8">
        <v>0</v>
      </c>
      <c r="U15" s="12">
        <f>(T15/$D$34)*100000</f>
        <v>0</v>
      </c>
      <c r="V15" s="58">
        <v>2</v>
      </c>
      <c r="W15" s="41" t="s">
        <v>47</v>
      </c>
      <c r="X15" s="8">
        <v>0</v>
      </c>
      <c r="Y15" s="12">
        <f>(X15/$D$42)*100000</f>
        <v>0</v>
      </c>
      <c r="Z15" s="8">
        <v>12</v>
      </c>
      <c r="AA15" s="12">
        <f>(Z15/$D$36)*100000</f>
        <v>1.2908236422955579</v>
      </c>
      <c r="AB15" s="8">
        <v>0</v>
      </c>
      <c r="AC15" s="12">
        <f>(AB15/$D$32)*100000</f>
        <v>0</v>
      </c>
      <c r="AD15" s="8">
        <v>4</v>
      </c>
      <c r="AE15" s="12">
        <f>(AD15/$D$44)*100000</f>
        <v>0.54310782591221751</v>
      </c>
      <c r="AF15" s="8">
        <v>0</v>
      </c>
      <c r="AG15" s="12">
        <f>(AF15/$D$40)*100000</f>
        <v>0</v>
      </c>
      <c r="AH15" s="8">
        <v>0</v>
      </c>
      <c r="AI15" s="8">
        <v>0</v>
      </c>
      <c r="AJ15" s="8">
        <v>0</v>
      </c>
      <c r="AK15" s="8">
        <v>0</v>
      </c>
      <c r="AM15" s="11">
        <f t="shared" si="9"/>
        <v>1</v>
      </c>
      <c r="AN15" s="11">
        <f t="shared" si="0"/>
        <v>25</v>
      </c>
      <c r="AO15" s="11">
        <v>2</v>
      </c>
      <c r="AP15" s="11">
        <v>62</v>
      </c>
      <c r="AQ15" s="11">
        <f>AO15+AM15</f>
        <v>3</v>
      </c>
      <c r="AR15" s="11">
        <f>AP15+AN15</f>
        <v>87</v>
      </c>
      <c r="AS15" s="11">
        <f t="shared" si="3"/>
        <v>0</v>
      </c>
      <c r="AT15" s="11">
        <f t="shared" si="4"/>
        <v>16</v>
      </c>
      <c r="AU15" s="11">
        <f t="shared" si="5"/>
        <v>1</v>
      </c>
      <c r="AV15" s="11">
        <f t="shared" si="6"/>
        <v>6</v>
      </c>
      <c r="AW15" s="11">
        <f t="shared" si="7"/>
        <v>0</v>
      </c>
      <c r="AX15" s="11">
        <f t="shared" si="8"/>
        <v>5</v>
      </c>
    </row>
    <row r="16" spans="1:50" x14ac:dyDescent="0.2">
      <c r="A16" s="6">
        <v>2006</v>
      </c>
      <c r="B16" s="8">
        <v>24</v>
      </c>
      <c r="C16" s="12">
        <f>(B16/$D$39)*100000</f>
        <v>2.1538456015780509</v>
      </c>
      <c r="D16" s="8">
        <v>0</v>
      </c>
      <c r="E16" s="12">
        <f>(D16/$D$35)*100000</f>
        <v>0</v>
      </c>
      <c r="F16" s="8">
        <v>4</v>
      </c>
      <c r="G16" s="12">
        <f>(F16/$D$47)*100000</f>
        <v>0.49264966696882512</v>
      </c>
      <c r="H16" s="8">
        <v>1</v>
      </c>
      <c r="I16" s="12">
        <f>(H16/$D$43)*100000</f>
        <v>0.11473955841333548</v>
      </c>
      <c r="J16" s="8">
        <v>4</v>
      </c>
      <c r="K16" s="12">
        <f>(J16/$D$37)*100000</f>
        <v>5.3397410225604061</v>
      </c>
      <c r="L16" s="8">
        <v>0</v>
      </c>
      <c r="M16" s="12">
        <f>(L16/$D$33)*100000</f>
        <v>0</v>
      </c>
      <c r="N16" s="8">
        <v>0</v>
      </c>
      <c r="O16" s="12">
        <f>(N16/$D$45)*100000</f>
        <v>0</v>
      </c>
      <c r="P16" s="8">
        <v>0</v>
      </c>
      <c r="Q16" s="12">
        <f>(P16/$D$41)*100000</f>
        <v>0</v>
      </c>
      <c r="R16" s="8">
        <v>3</v>
      </c>
      <c r="S16" s="12">
        <f>(R16/$D$38)*100000</f>
        <v>2.7338090161021351</v>
      </c>
      <c r="T16" s="8">
        <v>0</v>
      </c>
      <c r="U16" s="12">
        <f>(T16/$D$34)*100000</f>
        <v>0</v>
      </c>
      <c r="V16" s="58">
        <v>2</v>
      </c>
      <c r="W16" s="41" t="s">
        <v>47</v>
      </c>
      <c r="X16" s="8">
        <v>0</v>
      </c>
      <c r="Y16" s="12">
        <f>(X16/$D$42)*100000</f>
        <v>0</v>
      </c>
      <c r="Z16" s="8">
        <v>16</v>
      </c>
      <c r="AA16" s="12">
        <f>(Z16/$D$36)*100000</f>
        <v>1.7210981897274102</v>
      </c>
      <c r="AB16" s="8">
        <v>0</v>
      </c>
      <c r="AC16" s="12">
        <f>(AB16/$D$32)*100000</f>
        <v>0</v>
      </c>
      <c r="AD16" s="8">
        <v>3</v>
      </c>
      <c r="AE16" s="12">
        <f>(AD16/$D$44)*100000</f>
        <v>0.40733086943416313</v>
      </c>
      <c r="AF16" s="8">
        <v>1</v>
      </c>
      <c r="AG16" s="12">
        <f>(AF16/$D$40)*100000</f>
        <v>0.12738107066337515</v>
      </c>
      <c r="AH16" s="8">
        <v>1</v>
      </c>
      <c r="AI16" s="8">
        <v>0</v>
      </c>
      <c r="AJ16" s="8">
        <v>0</v>
      </c>
      <c r="AK16" s="8">
        <v>0</v>
      </c>
      <c r="AM16" s="11">
        <f t="shared" si="9"/>
        <v>1</v>
      </c>
      <c r="AN16" s="11">
        <f t="shared" si="0"/>
        <v>28</v>
      </c>
      <c r="AO16" s="11">
        <v>2</v>
      </c>
      <c r="AP16" s="11">
        <v>58</v>
      </c>
      <c r="AQ16" s="11">
        <f t="shared" si="1"/>
        <v>3</v>
      </c>
      <c r="AR16" s="11">
        <f t="shared" ref="AR16:AR26" si="10">AP16+AN16</f>
        <v>86</v>
      </c>
      <c r="AS16" s="11">
        <f t="shared" si="3"/>
        <v>1</v>
      </c>
      <c r="AT16" s="11">
        <f t="shared" si="4"/>
        <v>19</v>
      </c>
      <c r="AU16" s="11">
        <f t="shared" si="5"/>
        <v>0</v>
      </c>
      <c r="AV16" s="11">
        <f t="shared" si="6"/>
        <v>4</v>
      </c>
      <c r="AW16" s="11">
        <f t="shared" si="7"/>
        <v>0</v>
      </c>
      <c r="AX16" s="11">
        <f t="shared" si="8"/>
        <v>5</v>
      </c>
    </row>
    <row r="17" spans="1:50" x14ac:dyDescent="0.2">
      <c r="A17" s="6">
        <v>2007</v>
      </c>
      <c r="B17" s="8">
        <v>24</v>
      </c>
      <c r="C17" s="12">
        <f>(B17/$D$39)*100000</f>
        <v>2.1538456015780509</v>
      </c>
      <c r="D17" s="8">
        <v>1</v>
      </c>
      <c r="E17" s="12">
        <f>(D17/$D$35)*100000</f>
        <v>8.7172330107666549E-2</v>
      </c>
      <c r="F17" s="8">
        <v>10</v>
      </c>
      <c r="G17" s="12">
        <f>(F17/$D$47)*100000</f>
        <v>1.2316241674220627</v>
      </c>
      <c r="H17" s="8">
        <v>0</v>
      </c>
      <c r="I17" s="12">
        <f>(H17/$D$43)*100000</f>
        <v>0</v>
      </c>
      <c r="J17" s="8">
        <v>1</v>
      </c>
      <c r="K17" s="12">
        <f>(J17/$D$37)*100000</f>
        <v>1.3349352556401015</v>
      </c>
      <c r="L17" s="8">
        <v>1</v>
      </c>
      <c r="M17" s="12">
        <f>(L17/$D$33)*100000</f>
        <v>1.2468516994588663</v>
      </c>
      <c r="N17" s="8">
        <v>0</v>
      </c>
      <c r="O17" s="12">
        <f>(N17/$D$45)*100000</f>
        <v>0</v>
      </c>
      <c r="P17" s="8">
        <v>0</v>
      </c>
      <c r="Q17" s="12">
        <f>(P17/$D$41)*100000</f>
        <v>0</v>
      </c>
      <c r="R17" s="8">
        <v>5</v>
      </c>
      <c r="S17" s="12">
        <f>(R17/$D$38)*100000</f>
        <v>4.556348360170225</v>
      </c>
      <c r="T17" s="8">
        <v>0</v>
      </c>
      <c r="U17" s="12">
        <f>(T17/$D$34)*100000</f>
        <v>0</v>
      </c>
      <c r="V17" s="58">
        <v>2</v>
      </c>
      <c r="W17" s="41" t="s">
        <v>47</v>
      </c>
      <c r="X17" s="8">
        <v>0</v>
      </c>
      <c r="Y17" s="12">
        <f>(X17/$D$42)*100000</f>
        <v>0</v>
      </c>
      <c r="Z17" s="8">
        <v>15</v>
      </c>
      <c r="AA17" s="12">
        <f>(Z17/$D$36)*100000</f>
        <v>1.6135295528694473</v>
      </c>
      <c r="AB17" s="8">
        <v>0</v>
      </c>
      <c r="AC17" s="12">
        <f>(AB17/$D$32)*100000</f>
        <v>0</v>
      </c>
      <c r="AD17" s="8">
        <v>8</v>
      </c>
      <c r="AE17" s="12">
        <f>(AD17/$D$44)*100000</f>
        <v>1.086215651824435</v>
      </c>
      <c r="AF17" s="8">
        <v>0</v>
      </c>
      <c r="AG17" s="12">
        <f>(AF17/$D$40)*100000</f>
        <v>0</v>
      </c>
      <c r="AH17" s="8">
        <v>3</v>
      </c>
      <c r="AI17" s="8">
        <v>0</v>
      </c>
      <c r="AJ17" s="8">
        <v>1</v>
      </c>
      <c r="AK17" s="8">
        <v>0</v>
      </c>
      <c r="AM17" s="11">
        <f t="shared" si="9"/>
        <v>1</v>
      </c>
      <c r="AN17" s="11">
        <f t="shared" si="0"/>
        <v>34</v>
      </c>
      <c r="AO17" s="11">
        <v>7</v>
      </c>
      <c r="AP17" s="11">
        <v>75</v>
      </c>
      <c r="AQ17" s="11">
        <f t="shared" si="1"/>
        <v>8</v>
      </c>
      <c r="AR17" s="11">
        <f t="shared" si="10"/>
        <v>109</v>
      </c>
      <c r="AS17" s="11">
        <f t="shared" si="3"/>
        <v>0</v>
      </c>
      <c r="AT17" s="11">
        <f t="shared" si="4"/>
        <v>23</v>
      </c>
      <c r="AU17" s="11">
        <f t="shared" si="5"/>
        <v>1</v>
      </c>
      <c r="AV17" s="11">
        <f t="shared" si="6"/>
        <v>1</v>
      </c>
      <c r="AW17" s="11">
        <f t="shared" si="7"/>
        <v>0</v>
      </c>
      <c r="AX17" s="11">
        <f t="shared" si="8"/>
        <v>7</v>
      </c>
    </row>
    <row r="18" spans="1:50" x14ac:dyDescent="0.2">
      <c r="A18" s="6">
        <v>2008</v>
      </c>
      <c r="B18" s="8">
        <v>42</v>
      </c>
      <c r="C18" s="12">
        <f>(B18/$D$39)*100000</f>
        <v>3.7692298027615889</v>
      </c>
      <c r="D18" s="8">
        <v>1</v>
      </c>
      <c r="E18" s="12">
        <f>(D18/$D$35)*100000</f>
        <v>8.7172330107666549E-2</v>
      </c>
      <c r="F18" s="8">
        <v>14</v>
      </c>
      <c r="G18" s="12">
        <f>(F18/$D$47)*100000</f>
        <v>1.7242738343908879</v>
      </c>
      <c r="H18" s="8">
        <v>1</v>
      </c>
      <c r="I18" s="12">
        <f>(H18/$D$43)*100000</f>
        <v>0.11473955841333548</v>
      </c>
      <c r="J18" s="8">
        <v>5</v>
      </c>
      <c r="K18" s="12">
        <f>(J18/$D$37)*100000</f>
        <v>6.6746762782005069</v>
      </c>
      <c r="L18" s="8">
        <v>0</v>
      </c>
      <c r="M18" s="12">
        <f>(L18/$D$33)*100000</f>
        <v>0</v>
      </c>
      <c r="N18" s="60">
        <v>2</v>
      </c>
      <c r="O18" s="40" t="s">
        <v>47</v>
      </c>
      <c r="P18" s="8">
        <v>0</v>
      </c>
      <c r="Q18" s="12">
        <f>(P18/$D$41)*100000</f>
        <v>0</v>
      </c>
      <c r="R18" s="8">
        <v>10</v>
      </c>
      <c r="S18" s="12">
        <f>(R18/$D$38)*100000</f>
        <v>9.1126967203404501</v>
      </c>
      <c r="T18" s="8">
        <v>1</v>
      </c>
      <c r="U18" s="12">
        <f>(T18/$D$34)*100000</f>
        <v>0.89255431192988088</v>
      </c>
      <c r="V18" s="58">
        <v>2</v>
      </c>
      <c r="W18" s="41" t="s">
        <v>47</v>
      </c>
      <c r="X18" s="8">
        <v>0</v>
      </c>
      <c r="Y18" s="12">
        <f>(X18/$D$42)*100000</f>
        <v>0</v>
      </c>
      <c r="Z18" s="8">
        <v>25</v>
      </c>
      <c r="AA18" s="12">
        <f>(Z18/$D$36)*100000</f>
        <v>2.6892159214490787</v>
      </c>
      <c r="AB18" s="8">
        <v>0</v>
      </c>
      <c r="AC18" s="12">
        <f>(AB18/$D$32)*100000</f>
        <v>0</v>
      </c>
      <c r="AD18" s="8">
        <v>10</v>
      </c>
      <c r="AE18" s="12">
        <f>(AD18/$D$44)*100000</f>
        <v>1.3577695647805437</v>
      </c>
      <c r="AF18" s="8">
        <v>0</v>
      </c>
      <c r="AG18" s="12">
        <f>(AF18/$D$40)*100000</f>
        <v>0</v>
      </c>
      <c r="AH18" s="8">
        <v>2</v>
      </c>
      <c r="AI18" s="8">
        <v>0</v>
      </c>
      <c r="AJ18" s="8">
        <v>1</v>
      </c>
      <c r="AK18" s="8">
        <v>1</v>
      </c>
      <c r="AM18" s="11">
        <f t="shared" si="9"/>
        <v>2</v>
      </c>
      <c r="AN18" s="11">
        <f t="shared" si="0"/>
        <v>56</v>
      </c>
      <c r="AO18" s="11">
        <v>3</v>
      </c>
      <c r="AP18" s="11">
        <v>84</v>
      </c>
      <c r="AQ18" s="11">
        <f t="shared" si="1"/>
        <v>5</v>
      </c>
      <c r="AR18" s="11">
        <f t="shared" si="10"/>
        <v>140</v>
      </c>
      <c r="AS18" s="11">
        <f t="shared" si="3"/>
        <v>0</v>
      </c>
      <c r="AT18" s="11">
        <f t="shared" si="4"/>
        <v>35</v>
      </c>
      <c r="AU18" s="11">
        <f t="shared" si="5"/>
        <v>0</v>
      </c>
      <c r="AV18" s="11">
        <f t="shared" si="6"/>
        <v>7</v>
      </c>
      <c r="AW18" s="11">
        <f t="shared" si="7"/>
        <v>1</v>
      </c>
      <c r="AX18" s="11">
        <f t="shared" si="8"/>
        <v>12</v>
      </c>
    </row>
    <row r="19" spans="1:50" x14ac:dyDescent="0.2">
      <c r="A19" s="6">
        <v>2009</v>
      </c>
      <c r="B19" s="8">
        <v>53</v>
      </c>
      <c r="C19" s="12">
        <f>(B19/$D$39)*100000</f>
        <v>4.7564090368181962</v>
      </c>
      <c r="D19" s="8">
        <v>1</v>
      </c>
      <c r="E19" s="12">
        <f>(D19/$D$35)*100000</f>
        <v>8.7172330107666549E-2</v>
      </c>
      <c r="F19" s="8">
        <v>17</v>
      </c>
      <c r="G19" s="12">
        <f>(F19/$D$47)*100000</f>
        <v>2.0937610846175065</v>
      </c>
      <c r="H19" s="8">
        <v>0</v>
      </c>
      <c r="I19" s="12">
        <f>(H19/$D$43)*100000</f>
        <v>0</v>
      </c>
      <c r="J19" s="8">
        <v>13</v>
      </c>
      <c r="K19" s="12">
        <f>(J19/$D$37)*100000</f>
        <v>17.354158323321322</v>
      </c>
      <c r="L19" s="8">
        <v>0</v>
      </c>
      <c r="M19" s="12">
        <f>(L19/$D$33)*100000</f>
        <v>0</v>
      </c>
      <c r="N19" s="60">
        <v>2</v>
      </c>
      <c r="O19" s="40" t="s">
        <v>47</v>
      </c>
      <c r="P19" s="8">
        <v>0</v>
      </c>
      <c r="Q19" s="12">
        <f>(P19/$D$41)*100000</f>
        <v>0</v>
      </c>
      <c r="R19" s="8">
        <v>9</v>
      </c>
      <c r="S19" s="12">
        <f>(R19/$D$38)*100000</f>
        <v>8.2014270483064049</v>
      </c>
      <c r="T19" s="8">
        <v>0</v>
      </c>
      <c r="U19" s="12">
        <f>(T19/$D$34)*100000</f>
        <v>0</v>
      </c>
      <c r="V19" s="58">
        <v>2</v>
      </c>
      <c r="W19" s="41" t="s">
        <v>47</v>
      </c>
      <c r="X19" s="8">
        <v>0</v>
      </c>
      <c r="Y19" s="12">
        <f>(X19/$D$42)*100000</f>
        <v>0</v>
      </c>
      <c r="Z19" s="8">
        <v>27</v>
      </c>
      <c r="AA19" s="12">
        <f>(Z19/$D$36)*100000</f>
        <v>2.904353195165005</v>
      </c>
      <c r="AB19" s="8">
        <v>1</v>
      </c>
      <c r="AC19" s="12">
        <f>(AB19/$D$32)*100000</f>
        <v>0.10472158196610581</v>
      </c>
      <c r="AD19" s="8">
        <v>14</v>
      </c>
      <c r="AE19" s="12">
        <f>(AD19/$D$44)*100000</f>
        <v>1.9008773906927612</v>
      </c>
      <c r="AF19" s="8">
        <v>0</v>
      </c>
      <c r="AG19" s="12">
        <f>(AF19/$D$40)*100000</f>
        <v>0</v>
      </c>
      <c r="AH19" s="8">
        <v>4</v>
      </c>
      <c r="AI19" s="8">
        <v>0</v>
      </c>
      <c r="AJ19" s="8">
        <v>0</v>
      </c>
      <c r="AK19" s="8">
        <v>0</v>
      </c>
      <c r="AM19" s="11">
        <f t="shared" si="9"/>
        <v>1</v>
      </c>
      <c r="AN19" s="11">
        <f t="shared" si="0"/>
        <v>70</v>
      </c>
      <c r="AO19" s="11">
        <v>6</v>
      </c>
      <c r="AP19" s="11">
        <v>99</v>
      </c>
      <c r="AQ19" s="11">
        <f t="shared" si="1"/>
        <v>7</v>
      </c>
      <c r="AR19" s="11">
        <f t="shared" si="10"/>
        <v>169</v>
      </c>
      <c r="AS19" s="11">
        <f t="shared" si="3"/>
        <v>1</v>
      </c>
      <c r="AT19" s="11">
        <f t="shared" si="4"/>
        <v>41</v>
      </c>
      <c r="AU19" s="11">
        <f t="shared" si="5"/>
        <v>0</v>
      </c>
      <c r="AV19" s="11">
        <f t="shared" si="6"/>
        <v>15</v>
      </c>
      <c r="AW19" s="11">
        <f t="shared" si="7"/>
        <v>0</v>
      </c>
      <c r="AX19" s="11">
        <f t="shared" si="8"/>
        <v>11</v>
      </c>
    </row>
    <row r="20" spans="1:50" s="11" customFormat="1" x14ac:dyDescent="0.2">
      <c r="A20" s="5">
        <v>2010</v>
      </c>
      <c r="B20" s="9">
        <v>50</v>
      </c>
      <c r="C20" s="10">
        <f>(B20/$E$39)*100000</f>
        <v>4.6019158696148379</v>
      </c>
      <c r="D20" s="9">
        <v>2</v>
      </c>
      <c r="E20" s="10">
        <f t="shared" ref="E20:E26" si="11">(D20/$C$35)*100000</f>
        <v>0.16372480479910148</v>
      </c>
      <c r="F20" s="9">
        <v>23</v>
      </c>
      <c r="G20" s="10">
        <f>(F20/$E$47)*100000</f>
        <v>2.5325710661463519</v>
      </c>
      <c r="H20" s="9">
        <v>0</v>
      </c>
      <c r="I20" s="10">
        <f>(H20/$E$43)*100000</f>
        <v>0</v>
      </c>
      <c r="J20" s="9">
        <v>8</v>
      </c>
      <c r="K20" s="10">
        <f>(J20/$E$37)*100000</f>
        <v>9.9285146942017466</v>
      </c>
      <c r="L20" s="9">
        <v>0</v>
      </c>
      <c r="M20" s="10">
        <f>(L20/$E$33)*100000</f>
        <v>0</v>
      </c>
      <c r="N20" s="60">
        <v>2</v>
      </c>
      <c r="O20" s="40" t="s">
        <v>47</v>
      </c>
      <c r="P20" s="9">
        <v>0</v>
      </c>
      <c r="Q20" s="10">
        <f>(P20/$E$41)*100000</f>
        <v>0</v>
      </c>
      <c r="R20" s="9">
        <v>7</v>
      </c>
      <c r="S20" s="10">
        <f>(R20/$E$38)*100000</f>
        <v>5.4619225967540581</v>
      </c>
      <c r="T20" s="9">
        <v>0</v>
      </c>
      <c r="U20" s="10">
        <f t="shared" ref="U20:U26" si="12">(T20/$C$34)*100000</f>
        <v>0</v>
      </c>
      <c r="V20" s="9">
        <v>7</v>
      </c>
      <c r="W20" s="10">
        <f>(V20/$E$46)*100000</f>
        <v>13.965644514494343</v>
      </c>
      <c r="X20" s="9">
        <v>0</v>
      </c>
      <c r="Y20" s="10">
        <f>(X20/$E$42)*100000</f>
        <v>0</v>
      </c>
      <c r="Z20" s="9">
        <v>35</v>
      </c>
      <c r="AA20" s="10">
        <f>(Z20/$E$36)*100000</f>
        <v>3.9873861886056452</v>
      </c>
      <c r="AB20" s="9">
        <v>2</v>
      </c>
      <c r="AC20" s="10">
        <f>(AB20/$E$32)*100000</f>
        <v>0.22079904968089017</v>
      </c>
      <c r="AD20" s="9">
        <v>15</v>
      </c>
      <c r="AE20" s="10">
        <f>(AD20/$E$44)*100000</f>
        <v>1.8546773726887629</v>
      </c>
      <c r="AF20" s="9">
        <v>0</v>
      </c>
      <c r="AG20" s="10">
        <f>(AF20/$E$40)*100000</f>
        <v>0</v>
      </c>
      <c r="AH20" s="9">
        <v>0</v>
      </c>
      <c r="AI20" s="9">
        <v>0</v>
      </c>
      <c r="AJ20" s="9">
        <v>0</v>
      </c>
      <c r="AK20" s="9">
        <v>0</v>
      </c>
      <c r="AM20" s="11">
        <f t="shared" si="9"/>
        <v>2</v>
      </c>
      <c r="AN20" s="11">
        <f t="shared" si="0"/>
        <v>73</v>
      </c>
      <c r="AO20" s="11">
        <v>8</v>
      </c>
      <c r="AP20" s="11">
        <v>113</v>
      </c>
      <c r="AQ20" s="11">
        <f t="shared" si="1"/>
        <v>10</v>
      </c>
      <c r="AR20" s="11">
        <f t="shared" si="10"/>
        <v>186</v>
      </c>
      <c r="AS20" s="11">
        <f t="shared" si="3"/>
        <v>2</v>
      </c>
      <c r="AT20" s="11">
        <f t="shared" si="4"/>
        <v>50</v>
      </c>
      <c r="AU20" s="11">
        <f t="shared" si="5"/>
        <v>0</v>
      </c>
      <c r="AV20" s="11">
        <f t="shared" si="6"/>
        <v>10</v>
      </c>
      <c r="AW20" s="11">
        <f t="shared" si="7"/>
        <v>0</v>
      </c>
      <c r="AX20" s="11">
        <f t="shared" si="8"/>
        <v>14</v>
      </c>
    </row>
    <row r="21" spans="1:50" s="11" customFormat="1" x14ac:dyDescent="0.2">
      <c r="A21" s="5">
        <v>2011</v>
      </c>
      <c r="B21" s="9">
        <v>47</v>
      </c>
      <c r="C21" s="10">
        <f>(B21/$E$39)*100000</f>
        <v>4.3258009174379479</v>
      </c>
      <c r="D21" s="9">
        <v>2</v>
      </c>
      <c r="E21" s="10">
        <f t="shared" si="11"/>
        <v>0.16372480479910148</v>
      </c>
      <c r="F21" s="9">
        <v>15</v>
      </c>
      <c r="G21" s="10">
        <f>(F21/$E$47)*100000</f>
        <v>1.6516767822693599</v>
      </c>
      <c r="H21" s="9">
        <v>1</v>
      </c>
      <c r="I21" s="10">
        <f>(H21/$E$43)*100000</f>
        <v>0.10304975757544529</v>
      </c>
      <c r="J21" s="9">
        <v>9</v>
      </c>
      <c r="K21" s="10">
        <f>(J21/$E$37)*100000</f>
        <v>11.169579030976966</v>
      </c>
      <c r="L21" s="9">
        <v>1</v>
      </c>
      <c r="M21" s="10">
        <f>(L21/$E$33)*100000</f>
        <v>1.1596892032935173</v>
      </c>
      <c r="N21" s="60">
        <v>2</v>
      </c>
      <c r="O21" s="40" t="s">
        <v>47</v>
      </c>
      <c r="P21" s="9">
        <v>0</v>
      </c>
      <c r="Q21" s="10">
        <f>(P21/$E$41)*100000</f>
        <v>0</v>
      </c>
      <c r="R21" s="9">
        <v>13</v>
      </c>
      <c r="S21" s="10">
        <f>(R21/$E$38)*100000</f>
        <v>10.143570536828964</v>
      </c>
      <c r="T21" s="9">
        <v>0</v>
      </c>
      <c r="U21" s="10">
        <f t="shared" si="12"/>
        <v>0</v>
      </c>
      <c r="V21" s="9">
        <v>1</v>
      </c>
      <c r="W21" s="10">
        <f>(V21/$E$46)*100000</f>
        <v>1.9950920734991919</v>
      </c>
      <c r="X21" s="9">
        <v>0</v>
      </c>
      <c r="Y21" s="10">
        <f>(X21/$E$42)*100000</f>
        <v>0</v>
      </c>
      <c r="Z21" s="9">
        <v>23</v>
      </c>
      <c r="AA21" s="10">
        <f>(Z21/$E$36)*100000</f>
        <v>2.6202823525122811</v>
      </c>
      <c r="AB21" s="9">
        <v>1</v>
      </c>
      <c r="AC21" s="10">
        <f>(AB21/$E$32)*100000</f>
        <v>0.11039952484044509</v>
      </c>
      <c r="AD21" s="9">
        <v>13</v>
      </c>
      <c r="AE21" s="10">
        <f>(AD21/$E$44)*100000</f>
        <v>1.6073870563302612</v>
      </c>
      <c r="AF21" s="9">
        <v>1</v>
      </c>
      <c r="AG21" s="10">
        <f>(AF21/$E$40)*100000</f>
        <v>0.1165881639695938</v>
      </c>
      <c r="AH21" s="9">
        <v>2</v>
      </c>
      <c r="AI21" s="9">
        <v>0</v>
      </c>
      <c r="AJ21" s="9">
        <v>0</v>
      </c>
      <c r="AK21" s="9">
        <v>0</v>
      </c>
      <c r="AM21" s="11">
        <f t="shared" si="9"/>
        <v>3</v>
      </c>
      <c r="AN21" s="11">
        <f t="shared" si="0"/>
        <v>62</v>
      </c>
      <c r="AO21" s="11">
        <v>14</v>
      </c>
      <c r="AP21" s="11">
        <v>126</v>
      </c>
      <c r="AQ21" s="11">
        <f t="shared" si="1"/>
        <v>17</v>
      </c>
      <c r="AR21" s="11">
        <f t="shared" si="10"/>
        <v>188</v>
      </c>
      <c r="AS21" s="11">
        <f t="shared" si="3"/>
        <v>2</v>
      </c>
      <c r="AT21" s="11">
        <f t="shared" si="4"/>
        <v>36</v>
      </c>
      <c r="AU21" s="11">
        <f t="shared" si="5"/>
        <v>1</v>
      </c>
      <c r="AV21" s="11">
        <f t="shared" si="6"/>
        <v>11</v>
      </c>
      <c r="AW21" s="11">
        <f t="shared" si="7"/>
        <v>0</v>
      </c>
      <c r="AX21" s="11">
        <f t="shared" si="8"/>
        <v>14</v>
      </c>
    </row>
    <row r="22" spans="1:50" s="11" customFormat="1" x14ac:dyDescent="0.2">
      <c r="A22" s="5">
        <v>2012</v>
      </c>
      <c r="B22" s="9">
        <v>67</v>
      </c>
      <c r="C22" s="10">
        <f>(B22/$E$39)*100000</f>
        <v>6.1665672652838825</v>
      </c>
      <c r="D22" s="9">
        <v>3</v>
      </c>
      <c r="E22" s="10">
        <f t="shared" si="11"/>
        <v>0.24558720719865221</v>
      </c>
      <c r="F22" s="9">
        <v>27</v>
      </c>
      <c r="G22" s="10">
        <f>(F22/$E$47)*100000</f>
        <v>2.9730182080848477</v>
      </c>
      <c r="H22" s="9">
        <v>2</v>
      </c>
      <c r="I22" s="10">
        <f>(H22/$E$43)*100000</f>
        <v>0.20609951515089059</v>
      </c>
      <c r="J22" s="9">
        <v>8</v>
      </c>
      <c r="K22" s="10">
        <f>(J22/$E$37)*100000</f>
        <v>9.9285146942017466</v>
      </c>
      <c r="L22" s="9">
        <v>1</v>
      </c>
      <c r="M22" s="10">
        <f>(L22/$E$33)*100000</f>
        <v>1.1596892032935173</v>
      </c>
      <c r="N22" s="60">
        <v>2</v>
      </c>
      <c r="O22" s="40" t="s">
        <v>47</v>
      </c>
      <c r="P22" s="5">
        <v>0</v>
      </c>
      <c r="Q22" s="41">
        <f>(P22/$E$41)*100000</f>
        <v>0</v>
      </c>
      <c r="R22" s="9">
        <v>20</v>
      </c>
      <c r="S22" s="10">
        <f>(R22/$E$38)*100000</f>
        <v>15.605493133583021</v>
      </c>
      <c r="T22" s="9">
        <v>1</v>
      </c>
      <c r="U22" s="10">
        <f t="shared" si="12"/>
        <v>1.0498797887641866</v>
      </c>
      <c r="V22" s="9">
        <v>4</v>
      </c>
      <c r="W22" s="10">
        <f>(V22/$E$46)*100000</f>
        <v>7.9803682939967677</v>
      </c>
      <c r="X22" s="9">
        <v>0</v>
      </c>
      <c r="Y22" s="10">
        <f>(X22/$E$42)*100000</f>
        <v>0</v>
      </c>
      <c r="Z22" s="9">
        <v>31</v>
      </c>
      <c r="AA22" s="10">
        <f>(Z22/$E$36)*100000</f>
        <v>3.5316849099078569</v>
      </c>
      <c r="AB22" s="9">
        <v>1</v>
      </c>
      <c r="AC22" s="10">
        <f>(AB22/$E$32)*100000</f>
        <v>0.11039952484044509</v>
      </c>
      <c r="AD22" s="9">
        <v>17</v>
      </c>
      <c r="AE22" s="10">
        <f>(AD22/$E$44)*100000</f>
        <v>2.1019676890472643</v>
      </c>
      <c r="AF22" s="9">
        <v>0</v>
      </c>
      <c r="AG22" s="10">
        <f>(AF22/$E$40)*100000</f>
        <v>0</v>
      </c>
      <c r="AH22" s="9">
        <v>8</v>
      </c>
      <c r="AI22" s="9">
        <v>0</v>
      </c>
      <c r="AJ22" s="9">
        <v>3</v>
      </c>
      <c r="AK22" s="9">
        <v>2</v>
      </c>
      <c r="AM22" s="11">
        <f t="shared" si="9"/>
        <v>5</v>
      </c>
      <c r="AN22" s="11">
        <f t="shared" si="0"/>
        <v>94</v>
      </c>
      <c r="AO22" s="11">
        <v>10</v>
      </c>
      <c r="AP22" s="11">
        <v>160</v>
      </c>
      <c r="AQ22" s="11">
        <f t="shared" si="1"/>
        <v>15</v>
      </c>
      <c r="AR22" s="11">
        <f t="shared" si="10"/>
        <v>254</v>
      </c>
      <c r="AS22" s="11">
        <f t="shared" si="3"/>
        <v>1</v>
      </c>
      <c r="AT22" s="11">
        <f t="shared" si="4"/>
        <v>48</v>
      </c>
      <c r="AU22" s="11">
        <f t="shared" si="5"/>
        <v>1</v>
      </c>
      <c r="AV22" s="11">
        <f t="shared" si="6"/>
        <v>10</v>
      </c>
      <c r="AW22" s="11">
        <f t="shared" si="7"/>
        <v>1</v>
      </c>
      <c r="AX22" s="11">
        <f t="shared" si="8"/>
        <v>24</v>
      </c>
    </row>
    <row r="23" spans="1:50" s="11" customFormat="1" x14ac:dyDescent="0.2">
      <c r="A23" s="5">
        <v>2013</v>
      </c>
      <c r="B23" s="9">
        <v>79</v>
      </c>
      <c r="C23" s="10">
        <f>(B23/$E$39)*100000</f>
        <v>7.2710270739914442</v>
      </c>
      <c r="D23" s="9">
        <v>2</v>
      </c>
      <c r="E23" s="10">
        <f t="shared" si="11"/>
        <v>0.16372480479910148</v>
      </c>
      <c r="F23" s="9">
        <v>23</v>
      </c>
      <c r="G23" s="10">
        <f>(F23/$E$47)*100000</f>
        <v>2.5325710661463519</v>
      </c>
      <c r="H23" s="9">
        <v>1</v>
      </c>
      <c r="I23" s="10">
        <f>(H23/$E$43)*100000</f>
        <v>0.10304975757544529</v>
      </c>
      <c r="J23" s="9">
        <v>15</v>
      </c>
      <c r="K23" s="10">
        <f>(J23/$E$37)*100000</f>
        <v>18.615965051628276</v>
      </c>
      <c r="L23" s="9">
        <v>0</v>
      </c>
      <c r="M23" s="10">
        <f>(L23/$E$33)*100000</f>
        <v>0</v>
      </c>
      <c r="N23" s="9">
        <v>6</v>
      </c>
      <c r="O23" s="10">
        <f>(N23/$E$45)*100000</f>
        <v>12.175571744556505</v>
      </c>
      <c r="P23" s="58">
        <v>2</v>
      </c>
      <c r="Q23" s="41" t="s">
        <v>47</v>
      </c>
      <c r="R23" s="9">
        <v>14</v>
      </c>
      <c r="S23" s="10">
        <f>(R23/$E$38)*100000</f>
        <v>10.923845193508116</v>
      </c>
      <c r="T23" s="9">
        <v>1</v>
      </c>
      <c r="U23" s="10">
        <f t="shared" si="12"/>
        <v>1.0498797887641866</v>
      </c>
      <c r="V23" s="9">
        <v>2</v>
      </c>
      <c r="W23" s="10">
        <f>(V23/$E$46)*100000</f>
        <v>3.9901841469983839</v>
      </c>
      <c r="X23" s="9">
        <v>0</v>
      </c>
      <c r="Y23" s="10">
        <f>(X23/$E$42)*100000</f>
        <v>0</v>
      </c>
      <c r="Z23" s="9">
        <v>46</v>
      </c>
      <c r="AA23" s="10">
        <f>(Z23/$E$36)*100000</f>
        <v>5.2405647050245623</v>
      </c>
      <c r="AB23" s="9">
        <v>1</v>
      </c>
      <c r="AC23" s="10">
        <f>(AB23/$E$32)*100000</f>
        <v>0.11039952484044509</v>
      </c>
      <c r="AD23" s="9">
        <v>14</v>
      </c>
      <c r="AE23" s="10">
        <f>(AD23/$E$44)*100000</f>
        <v>1.7310322145095121</v>
      </c>
      <c r="AF23" s="9">
        <v>0</v>
      </c>
      <c r="AG23" s="10">
        <f>(AF23/$E$40)*100000</f>
        <v>0</v>
      </c>
      <c r="AH23" s="9">
        <v>4</v>
      </c>
      <c r="AI23" s="9">
        <v>0</v>
      </c>
      <c r="AJ23" s="9">
        <v>1</v>
      </c>
      <c r="AK23" s="9">
        <v>0</v>
      </c>
      <c r="AM23" s="11">
        <f t="shared" si="9"/>
        <v>3</v>
      </c>
      <c r="AN23" s="11">
        <f t="shared" si="0"/>
        <v>102</v>
      </c>
      <c r="AO23" s="11">
        <v>12</v>
      </c>
      <c r="AP23" s="11">
        <v>226</v>
      </c>
      <c r="AQ23" s="11">
        <f t="shared" si="1"/>
        <v>15</v>
      </c>
      <c r="AR23" s="11">
        <f t="shared" si="10"/>
        <v>328</v>
      </c>
      <c r="AS23" s="11">
        <f t="shared" si="3"/>
        <v>1</v>
      </c>
      <c r="AT23" s="11">
        <f t="shared" si="4"/>
        <v>60</v>
      </c>
      <c r="AU23" s="11">
        <f t="shared" si="5"/>
        <v>2</v>
      </c>
      <c r="AV23" s="11">
        <f t="shared" si="6"/>
        <v>21</v>
      </c>
      <c r="AW23" s="11">
        <f t="shared" si="7"/>
        <v>1</v>
      </c>
      <c r="AX23" s="11">
        <f t="shared" si="8"/>
        <v>16</v>
      </c>
    </row>
    <row r="24" spans="1:50" s="11" customFormat="1" x14ac:dyDescent="0.2">
      <c r="A24" s="5" t="s">
        <v>37</v>
      </c>
      <c r="B24" s="9">
        <v>76</v>
      </c>
      <c r="C24" s="10">
        <f>(B24/$E$39)*100000</f>
        <v>6.9949121218145534</v>
      </c>
      <c r="D24" s="9">
        <v>4</v>
      </c>
      <c r="E24" s="10">
        <f t="shared" si="11"/>
        <v>0.32744960959820296</v>
      </c>
      <c r="F24" s="9">
        <v>26</v>
      </c>
      <c r="G24" s="10">
        <f>(F24/$E$47)*100000</f>
        <v>2.8629064226002234</v>
      </c>
      <c r="H24" s="9">
        <v>1</v>
      </c>
      <c r="I24" s="10">
        <f>(H24/$E$43)*100000</f>
        <v>0.10304975757544529</v>
      </c>
      <c r="J24" s="9">
        <v>11</v>
      </c>
      <c r="K24" s="10">
        <f>(J24/$E$37)*100000</f>
        <v>13.651707704527404</v>
      </c>
      <c r="L24" s="9">
        <v>0</v>
      </c>
      <c r="M24" s="10">
        <f>(L24/$E$33)*100000</f>
        <v>0</v>
      </c>
      <c r="N24" s="60">
        <v>2</v>
      </c>
      <c r="O24" s="40" t="s">
        <v>47</v>
      </c>
      <c r="P24" s="9">
        <v>0</v>
      </c>
      <c r="Q24" s="10">
        <f>(P24/$E$41)*100000</f>
        <v>0</v>
      </c>
      <c r="R24" s="9">
        <v>21</v>
      </c>
      <c r="S24" s="10">
        <f>(R24/$E$38)*100000</f>
        <v>16.385767790262172</v>
      </c>
      <c r="T24" s="9">
        <v>2</v>
      </c>
      <c r="U24" s="10">
        <f t="shared" si="12"/>
        <v>2.0997595775283733</v>
      </c>
      <c r="V24" s="9">
        <v>2</v>
      </c>
      <c r="W24" s="10">
        <f>(V24/$E$46)*100000</f>
        <v>3.9901841469983839</v>
      </c>
      <c r="X24" s="9">
        <v>0</v>
      </c>
      <c r="Y24" s="10">
        <f>(X24/$E$42)*100000</f>
        <v>0</v>
      </c>
      <c r="Z24" s="9">
        <v>40</v>
      </c>
      <c r="AA24" s="10">
        <f>(Z24/$E$36)*100000</f>
        <v>4.5570127869778805</v>
      </c>
      <c r="AB24" s="9">
        <v>2</v>
      </c>
      <c r="AC24" s="10">
        <f>(AB24/$E$32)*100000</f>
        <v>0.22079904968089017</v>
      </c>
      <c r="AD24" s="9">
        <v>21</v>
      </c>
      <c r="AE24" s="10">
        <f>(AD24/$E$44)*100000</f>
        <v>2.596548321764268</v>
      </c>
      <c r="AF24" s="9">
        <v>1</v>
      </c>
      <c r="AG24" s="10">
        <f>(AF24/$E$40)*100000</f>
        <v>0.1165881639695938</v>
      </c>
      <c r="AH24" s="9">
        <v>4</v>
      </c>
      <c r="AI24" s="9">
        <v>0</v>
      </c>
      <c r="AJ24" s="9">
        <v>2</v>
      </c>
      <c r="AK24" s="9">
        <v>0</v>
      </c>
      <c r="AM24" s="11">
        <f t="shared" si="9"/>
        <v>5</v>
      </c>
      <c r="AN24" s="11">
        <f t="shared" si="0"/>
        <v>102</v>
      </c>
      <c r="AO24" s="11">
        <v>15</v>
      </c>
      <c r="AP24" s="11">
        <v>172</v>
      </c>
      <c r="AQ24" s="11">
        <f t="shared" si="1"/>
        <v>20</v>
      </c>
      <c r="AR24" s="11">
        <f t="shared" si="10"/>
        <v>274</v>
      </c>
      <c r="AS24" s="11">
        <f t="shared" si="3"/>
        <v>3</v>
      </c>
      <c r="AT24" s="11">
        <f t="shared" si="4"/>
        <v>61</v>
      </c>
      <c r="AU24" s="11">
        <f t="shared" si="5"/>
        <v>0</v>
      </c>
      <c r="AV24" s="11">
        <f t="shared" si="6"/>
        <v>13</v>
      </c>
      <c r="AW24" s="11">
        <f t="shared" si="7"/>
        <v>2</v>
      </c>
      <c r="AX24" s="11">
        <f t="shared" si="8"/>
        <v>23</v>
      </c>
    </row>
    <row r="25" spans="1:50" s="20" customFormat="1" x14ac:dyDescent="0.2">
      <c r="A25" s="18">
        <v>2015</v>
      </c>
      <c r="B25" s="19">
        <v>113</v>
      </c>
      <c r="C25" s="12">
        <f>(B25/$F$39)*100000</f>
        <v>10.034115994380896</v>
      </c>
      <c r="D25" s="19">
        <v>5</v>
      </c>
      <c r="E25" s="12">
        <f t="shared" si="11"/>
        <v>0.40931201199775369</v>
      </c>
      <c r="F25" s="19">
        <v>38</v>
      </c>
      <c r="G25" s="12">
        <f>(F25/$F$47)*100000</f>
        <v>4.0177160130300873</v>
      </c>
      <c r="H25" s="19">
        <v>1</v>
      </c>
      <c r="I25" s="12">
        <f>(H25/$F$43)*100000</f>
        <v>9.884284679259904E-2</v>
      </c>
      <c r="J25" s="19">
        <v>15</v>
      </c>
      <c r="K25" s="12">
        <f>(J25/$F$37)*100000</f>
        <v>16.089241660409741</v>
      </c>
      <c r="L25" s="19">
        <v>1</v>
      </c>
      <c r="M25" s="12">
        <f>(L25/$F$33)*100000</f>
        <v>1.0464410539754294</v>
      </c>
      <c r="N25" s="19">
        <v>3</v>
      </c>
      <c r="O25" s="12">
        <f>(N25/$F$45)*100000</f>
        <v>5.1925573344872351</v>
      </c>
      <c r="P25" s="19">
        <v>0</v>
      </c>
      <c r="Q25" s="12">
        <f>(P25/$F$41)*100000</f>
        <v>0</v>
      </c>
      <c r="R25" s="19">
        <v>39</v>
      </c>
      <c r="S25" s="12">
        <f>(R25/$F$38)*100000</f>
        <v>24.587373438071342</v>
      </c>
      <c r="T25" s="19">
        <v>1</v>
      </c>
      <c r="U25" s="12">
        <f t="shared" si="12"/>
        <v>1.0498797887641866</v>
      </c>
      <c r="V25" s="19">
        <v>5</v>
      </c>
      <c r="W25" s="12">
        <f>(V25/$F$46)*100000</f>
        <v>7.6175386209208078</v>
      </c>
      <c r="X25" s="19">
        <v>0</v>
      </c>
      <c r="Y25" s="12">
        <f>(X25/$F$42)*100000</f>
        <v>0</v>
      </c>
      <c r="Z25" s="19">
        <v>51</v>
      </c>
      <c r="AA25" s="12">
        <f>(Z25/$F$36)*100000</f>
        <v>5.8331713007971997</v>
      </c>
      <c r="AB25" s="19">
        <v>3</v>
      </c>
      <c r="AC25" s="12">
        <f>(AB25/$F$32)*100000</f>
        <v>0.33422720542606726</v>
      </c>
      <c r="AD25" s="19">
        <v>25</v>
      </c>
      <c r="AE25" s="12">
        <f>(AD25/$F$44)*100000</f>
        <v>3.0398906612126977</v>
      </c>
      <c r="AF25" s="19">
        <v>1</v>
      </c>
      <c r="AG25" s="12">
        <f>(AF25/$F$40)*100000</f>
        <v>0.11451684199195175</v>
      </c>
      <c r="AH25" s="19">
        <v>8</v>
      </c>
      <c r="AI25" s="19">
        <v>0</v>
      </c>
      <c r="AJ25" s="19">
        <v>5</v>
      </c>
      <c r="AK25" s="19">
        <v>0</v>
      </c>
      <c r="AM25" s="11">
        <f t="shared" si="9"/>
        <v>6</v>
      </c>
      <c r="AN25" s="11">
        <f t="shared" si="0"/>
        <v>151</v>
      </c>
      <c r="AO25" s="11">
        <v>19</v>
      </c>
      <c r="AP25" s="11">
        <v>229</v>
      </c>
      <c r="AQ25" s="11">
        <f t="shared" si="1"/>
        <v>25</v>
      </c>
      <c r="AR25" s="11">
        <f t="shared" si="10"/>
        <v>380</v>
      </c>
      <c r="AS25" s="11">
        <f t="shared" si="3"/>
        <v>4</v>
      </c>
      <c r="AT25" s="11">
        <f t="shared" si="4"/>
        <v>76</v>
      </c>
      <c r="AU25" s="11">
        <f t="shared" si="5"/>
        <v>1</v>
      </c>
      <c r="AV25" s="11">
        <f t="shared" si="6"/>
        <v>18</v>
      </c>
      <c r="AW25" s="11">
        <f t="shared" si="7"/>
        <v>1</v>
      </c>
      <c r="AX25" s="11">
        <f t="shared" si="8"/>
        <v>44</v>
      </c>
    </row>
    <row r="26" spans="1:50" s="20" customFormat="1" x14ac:dyDescent="0.2">
      <c r="A26" s="18">
        <v>2016</v>
      </c>
      <c r="B26" s="19">
        <v>117</v>
      </c>
      <c r="C26" s="12">
        <f>(B26/$F$39)*100000</f>
        <v>10.389305941084643</v>
      </c>
      <c r="D26" s="19">
        <v>9</v>
      </c>
      <c r="E26" s="12">
        <f t="shared" si="11"/>
        <v>0.73676162159595671</v>
      </c>
      <c r="F26" s="19">
        <v>43</v>
      </c>
      <c r="G26" s="12">
        <f>(F26/$F$47)*100000</f>
        <v>4.5463628568498358</v>
      </c>
      <c r="H26" s="19">
        <v>0</v>
      </c>
      <c r="I26" s="12">
        <f>(H26/$F$43)*100000</f>
        <v>0</v>
      </c>
      <c r="J26" s="19">
        <v>23</v>
      </c>
      <c r="K26" s="12">
        <f>(J26/$F$37)*100000</f>
        <v>24.6701705459616</v>
      </c>
      <c r="L26" s="19">
        <v>0</v>
      </c>
      <c r="M26" s="12">
        <f>(L26/$F$33)*100000</f>
        <v>0</v>
      </c>
      <c r="N26" s="19">
        <v>6</v>
      </c>
      <c r="O26" s="12">
        <f>(N26/$F$45)*100000</f>
        <v>10.38511466897447</v>
      </c>
      <c r="P26" s="19">
        <v>0</v>
      </c>
      <c r="Q26" s="12">
        <f>(P26/$F$41)*100000</f>
        <v>0</v>
      </c>
      <c r="R26" s="19">
        <v>32</v>
      </c>
      <c r="S26" s="12">
        <f>(R26/$F$38)*100000</f>
        <v>20.174255128673924</v>
      </c>
      <c r="T26" s="19">
        <v>2</v>
      </c>
      <c r="U26" s="12">
        <f t="shared" si="12"/>
        <v>2.0997595775283733</v>
      </c>
      <c r="V26" s="19">
        <v>9</v>
      </c>
      <c r="W26" s="12">
        <f>(V26/$F$46)*100000</f>
        <v>13.711569517657455</v>
      </c>
      <c r="X26" s="19">
        <v>0</v>
      </c>
      <c r="Y26" s="12">
        <f>(X26/$F$42)*100000</f>
        <v>0</v>
      </c>
      <c r="Z26" s="19">
        <v>55</v>
      </c>
      <c r="AA26" s="12">
        <f>(Z26/$F$36)*100000</f>
        <v>6.2906749322322746</v>
      </c>
      <c r="AB26" s="19">
        <v>6</v>
      </c>
      <c r="AC26" s="12">
        <f>(AB26/$F$32)*100000</f>
        <v>0.66845441085213453</v>
      </c>
      <c r="AD26" s="19">
        <v>24</v>
      </c>
      <c r="AE26" s="12">
        <f>(AD26/$F$44)*100000</f>
        <v>2.9182950347641898</v>
      </c>
      <c r="AF26" s="19">
        <v>0</v>
      </c>
      <c r="AG26" s="12">
        <f>(AF26/$F$40)*100000</f>
        <v>0</v>
      </c>
      <c r="AH26" s="19">
        <v>7</v>
      </c>
      <c r="AI26" s="19">
        <v>1</v>
      </c>
      <c r="AJ26" s="19">
        <v>4</v>
      </c>
      <c r="AK26" s="19">
        <v>0</v>
      </c>
      <c r="AM26" s="11">
        <f t="shared" si="9"/>
        <v>9</v>
      </c>
      <c r="AN26" s="11">
        <f t="shared" si="0"/>
        <v>160</v>
      </c>
      <c r="AO26" s="11">
        <v>14</v>
      </c>
      <c r="AP26" s="11">
        <v>286</v>
      </c>
      <c r="AQ26" s="11">
        <f t="shared" si="1"/>
        <v>23</v>
      </c>
      <c r="AR26" s="11">
        <f t="shared" si="10"/>
        <v>446</v>
      </c>
      <c r="AS26" s="11">
        <f t="shared" si="3"/>
        <v>6</v>
      </c>
      <c r="AT26" s="11">
        <f t="shared" si="4"/>
        <v>79</v>
      </c>
      <c r="AU26" s="11">
        <f t="shared" si="5"/>
        <v>0</v>
      </c>
      <c r="AV26" s="11">
        <f t="shared" si="6"/>
        <v>29</v>
      </c>
      <c r="AW26" s="11">
        <f t="shared" si="7"/>
        <v>2</v>
      </c>
      <c r="AX26" s="11">
        <f t="shared" si="8"/>
        <v>41</v>
      </c>
    </row>
    <row r="27" spans="1:50" s="22" customFormat="1" ht="14" x14ac:dyDescent="0.15">
      <c r="A27" s="79" t="s">
        <v>38</v>
      </c>
      <c r="B27" s="79"/>
      <c r="C27" s="79"/>
      <c r="D27" s="79"/>
      <c r="E27" s="79"/>
      <c r="F27" s="79"/>
      <c r="G27" s="79"/>
      <c r="H27" s="79"/>
      <c r="I27" s="79"/>
      <c r="J27" s="79"/>
      <c r="K27" s="79"/>
      <c r="L27" s="79"/>
      <c r="M27" s="38"/>
      <c r="AR27" s="23"/>
      <c r="AV27" s="23"/>
    </row>
    <row r="28" spans="1:50" s="22" customFormat="1" ht="16.5" customHeight="1" x14ac:dyDescent="0.15">
      <c r="A28" s="76" t="s">
        <v>39</v>
      </c>
      <c r="B28" s="76"/>
      <c r="C28" s="76"/>
      <c r="D28" s="76"/>
      <c r="E28" s="76"/>
      <c r="F28" s="76"/>
      <c r="G28" s="76"/>
    </row>
    <row r="29" spans="1:50" s="22" customFormat="1" ht="16.5" customHeight="1" x14ac:dyDescent="0.15">
      <c r="A29" s="76" t="s">
        <v>40</v>
      </c>
      <c r="B29" s="76"/>
      <c r="C29" s="76"/>
      <c r="D29" s="76"/>
      <c r="E29" s="76"/>
      <c r="F29" s="76"/>
      <c r="G29" s="76"/>
      <c r="H29" s="76"/>
      <c r="I29" s="76"/>
      <c r="J29" s="76"/>
      <c r="K29" s="76"/>
      <c r="L29" s="76"/>
      <c r="M29" s="76"/>
      <c r="N29" s="76"/>
      <c r="O29" s="76"/>
      <c r="P29" s="76"/>
      <c r="Q29" s="76"/>
    </row>
    <row r="30" spans="1:50" ht="16.5" customHeight="1" x14ac:dyDescent="0.2">
      <c r="A30" s="7"/>
    </row>
    <row r="31" spans="1:50" x14ac:dyDescent="0.2">
      <c r="A31" s="22" t="s">
        <v>28</v>
      </c>
      <c r="B31" s="22" t="s">
        <v>14</v>
      </c>
      <c r="C31" s="24" t="s">
        <v>23</v>
      </c>
      <c r="D31" s="24" t="s">
        <v>24</v>
      </c>
      <c r="E31" s="24" t="s">
        <v>25</v>
      </c>
      <c r="F31" s="24" t="s">
        <v>26</v>
      </c>
    </row>
    <row r="32" spans="1:50" ht="16.5" customHeight="1" x14ac:dyDescent="0.2">
      <c r="A32" s="22" t="s">
        <v>29</v>
      </c>
      <c r="B32" s="22" t="s">
        <v>15</v>
      </c>
      <c r="C32" s="25">
        <v>1050000</v>
      </c>
      <c r="D32" s="24">
        <v>954913</v>
      </c>
      <c r="E32" s="24">
        <v>905801</v>
      </c>
      <c r="F32" s="24">
        <v>897593</v>
      </c>
      <c r="G32" s="21"/>
    </row>
    <row r="33" spans="1:11" ht="16.5" customHeight="1" x14ac:dyDescent="0.2">
      <c r="A33" s="22"/>
      <c r="B33" s="22" t="s">
        <v>16</v>
      </c>
      <c r="C33" s="26">
        <v>76313</v>
      </c>
      <c r="D33" s="27">
        <v>80202</v>
      </c>
      <c r="E33" s="27">
        <v>86230</v>
      </c>
      <c r="F33" s="27">
        <v>95562</v>
      </c>
      <c r="G33" s="21"/>
      <c r="K33" s="59" t="s">
        <v>118</v>
      </c>
    </row>
    <row r="34" spans="1:11" ht="16.5" customHeight="1" x14ac:dyDescent="0.2">
      <c r="A34" s="22"/>
      <c r="B34" s="22" t="s">
        <v>17</v>
      </c>
      <c r="C34" s="26">
        <v>95249</v>
      </c>
      <c r="D34" s="27">
        <v>112038</v>
      </c>
      <c r="E34" s="27">
        <v>131116</v>
      </c>
      <c r="F34" s="27">
        <v>153770</v>
      </c>
      <c r="G34" s="21"/>
    </row>
    <row r="35" spans="1:11" x14ac:dyDescent="0.2">
      <c r="A35" s="22"/>
      <c r="B35" s="22" t="s">
        <v>27</v>
      </c>
      <c r="C35" s="26">
        <v>1221562</v>
      </c>
      <c r="D35" s="27">
        <v>1147153</v>
      </c>
      <c r="E35" s="27">
        <v>1123147</v>
      </c>
      <c r="F35" s="27">
        <v>1146925</v>
      </c>
      <c r="G35" s="21"/>
    </row>
    <row r="36" spans="1:11" x14ac:dyDescent="0.2">
      <c r="A36" s="22"/>
      <c r="B36" s="22" t="s">
        <v>18</v>
      </c>
      <c r="C36" s="26">
        <v>1010000</v>
      </c>
      <c r="D36" s="27">
        <v>929639</v>
      </c>
      <c r="E36" s="27">
        <v>877768</v>
      </c>
      <c r="F36" s="27">
        <v>874310</v>
      </c>
      <c r="G36" s="21"/>
    </row>
    <row r="37" spans="1:11" x14ac:dyDescent="0.2">
      <c r="A37" s="22"/>
      <c r="B37" s="22" t="s">
        <v>19</v>
      </c>
      <c r="C37" s="26">
        <v>70374</v>
      </c>
      <c r="D37" s="27">
        <v>74910</v>
      </c>
      <c r="E37" s="27">
        <v>80576</v>
      </c>
      <c r="F37" s="27">
        <v>93230</v>
      </c>
      <c r="G37" s="21"/>
    </row>
    <row r="38" spans="1:11" x14ac:dyDescent="0.2">
      <c r="A38" s="22"/>
      <c r="B38" s="22" t="s">
        <v>20</v>
      </c>
      <c r="C38" s="26">
        <v>92657</v>
      </c>
      <c r="D38" s="27">
        <v>109737</v>
      </c>
      <c r="E38" s="27">
        <v>128160</v>
      </c>
      <c r="F38" s="27">
        <v>158618</v>
      </c>
      <c r="G38" s="21"/>
    </row>
    <row r="39" spans="1:11" x14ac:dyDescent="0.2">
      <c r="A39" s="22"/>
      <c r="B39" s="22" t="s">
        <v>21</v>
      </c>
      <c r="C39" s="26">
        <v>1173031</v>
      </c>
      <c r="D39" s="27">
        <v>1114286</v>
      </c>
      <c r="E39" s="27">
        <v>1086504</v>
      </c>
      <c r="F39" s="27">
        <v>1126158</v>
      </c>
      <c r="G39" s="21"/>
      <c r="H39" s="21"/>
      <c r="I39" s="21"/>
      <c r="J39" s="21"/>
    </row>
    <row r="40" spans="1:11" x14ac:dyDescent="0.2">
      <c r="A40" s="38" t="s">
        <v>22</v>
      </c>
      <c r="B40" s="22" t="s">
        <v>15</v>
      </c>
      <c r="C40" s="22">
        <v>699071</v>
      </c>
      <c r="D40" s="22">
        <v>785046</v>
      </c>
      <c r="E40" s="22">
        <v>857720</v>
      </c>
      <c r="F40" s="22">
        <v>873234</v>
      </c>
      <c r="H40" s="13"/>
      <c r="I40" s="13"/>
      <c r="J40" s="13"/>
      <c r="K40" s="13"/>
    </row>
    <row r="41" spans="1:11" x14ac:dyDescent="0.2">
      <c r="A41" s="28"/>
      <c r="B41" s="22" t="s">
        <v>16</v>
      </c>
      <c r="C41" s="22">
        <v>35632</v>
      </c>
      <c r="D41" s="22">
        <v>44616</v>
      </c>
      <c r="E41" s="22">
        <v>54537</v>
      </c>
      <c r="F41" s="22">
        <v>64283</v>
      </c>
    </row>
    <row r="42" spans="1:11" x14ac:dyDescent="0.2">
      <c r="A42" s="28"/>
      <c r="B42" s="22" t="s">
        <v>17</v>
      </c>
      <c r="C42" s="22">
        <v>29998</v>
      </c>
      <c r="D42" s="22">
        <v>41877</v>
      </c>
      <c r="E42" s="22">
        <v>58148</v>
      </c>
      <c r="F42" s="22">
        <v>74190</v>
      </c>
    </row>
    <row r="43" spans="1:11" x14ac:dyDescent="0.2">
      <c r="A43" s="28"/>
      <c r="B43" s="22" t="s">
        <v>27</v>
      </c>
      <c r="C43" s="22">
        <v>764701</v>
      </c>
      <c r="D43" s="22">
        <v>871539</v>
      </c>
      <c r="E43" s="22">
        <v>970405</v>
      </c>
      <c r="F43" s="22">
        <v>1011707</v>
      </c>
    </row>
    <row r="44" spans="1:11" ht="15" customHeight="1" x14ac:dyDescent="0.2">
      <c r="A44" s="28"/>
      <c r="B44" s="22" t="s">
        <v>18</v>
      </c>
      <c r="C44" s="22">
        <v>654641</v>
      </c>
      <c r="D44" s="22">
        <v>736502</v>
      </c>
      <c r="E44" s="22">
        <v>808766</v>
      </c>
      <c r="F44" s="22">
        <v>822398</v>
      </c>
    </row>
    <row r="45" spans="1:11" x14ac:dyDescent="0.2">
      <c r="A45" s="28"/>
      <c r="B45" s="22" t="s">
        <v>19</v>
      </c>
      <c r="C45" s="22">
        <v>30445</v>
      </c>
      <c r="D45" s="22">
        <v>39364</v>
      </c>
      <c r="E45" s="22">
        <v>49279</v>
      </c>
      <c r="F45" s="22">
        <v>57775</v>
      </c>
    </row>
    <row r="46" spans="1:11" x14ac:dyDescent="0.2">
      <c r="A46" s="28"/>
      <c r="B46" s="22" t="s">
        <v>20</v>
      </c>
      <c r="C46" s="22">
        <v>25624</v>
      </c>
      <c r="D46" s="22">
        <v>36070</v>
      </c>
      <c r="E46" s="22">
        <v>50123</v>
      </c>
      <c r="F46" s="22">
        <v>65638</v>
      </c>
    </row>
    <row r="47" spans="1:11" x14ac:dyDescent="0.2">
      <c r="A47" s="28"/>
      <c r="B47" s="22" t="s">
        <v>21</v>
      </c>
      <c r="C47" s="22">
        <v>710710</v>
      </c>
      <c r="D47" s="22">
        <v>811936</v>
      </c>
      <c r="E47" s="22">
        <v>908168</v>
      </c>
      <c r="F47" s="22">
        <v>945811</v>
      </c>
      <c r="G47" s="21"/>
      <c r="H47" s="21"/>
      <c r="I47" s="21"/>
      <c r="J47" s="21"/>
    </row>
    <row r="48" spans="1:11" x14ac:dyDescent="0.2">
      <c r="A48" s="28" t="s">
        <v>49</v>
      </c>
      <c r="B48" s="22"/>
      <c r="C48" s="23">
        <f>C47+C43+C35+C39</f>
        <v>3870004</v>
      </c>
      <c r="D48" s="23">
        <f>D47+D43+D35+D39</f>
        <v>3944914</v>
      </c>
      <c r="E48" s="23">
        <f>E47+E43+E35+E39</f>
        <v>4088224</v>
      </c>
      <c r="F48" s="23">
        <f>F47+F43+F35+F39</f>
        <v>4230601</v>
      </c>
    </row>
    <row r="49" spans="1:7" x14ac:dyDescent="0.2">
      <c r="A49" s="17" t="s">
        <v>50</v>
      </c>
      <c r="B49" s="7" t="s">
        <v>29</v>
      </c>
      <c r="C49" s="7">
        <f>C39*0.045</f>
        <v>52786.394999999997</v>
      </c>
      <c r="D49" s="7">
        <f>D39*0.045</f>
        <v>50142.869999999995</v>
      </c>
      <c r="E49" s="7">
        <f>E39*0.045</f>
        <v>48892.68</v>
      </c>
      <c r="F49" s="7">
        <f>F39*0.045</f>
        <v>50677.11</v>
      </c>
    </row>
    <row r="50" spans="1:7" x14ac:dyDescent="0.2">
      <c r="B50" s="7" t="s">
        <v>51</v>
      </c>
      <c r="C50" s="7">
        <f>C47*0.045</f>
        <v>31981.949999999997</v>
      </c>
      <c r="D50" s="7">
        <f>D47*0.045</f>
        <v>36537.119999999995</v>
      </c>
      <c r="E50" s="7">
        <f>E47*0.045</f>
        <v>40867.56</v>
      </c>
      <c r="F50" s="7">
        <f>F47*0.045</f>
        <v>42561.494999999995</v>
      </c>
    </row>
    <row r="51" spans="1:7" x14ac:dyDescent="0.2">
      <c r="A51" s="17" t="s">
        <v>53</v>
      </c>
      <c r="B51" s="7" t="s">
        <v>29</v>
      </c>
      <c r="F51" s="7">
        <v>2024</v>
      </c>
    </row>
    <row r="52" spans="1:7" x14ac:dyDescent="0.2">
      <c r="B52" s="7" t="s">
        <v>51</v>
      </c>
      <c r="F52" s="7">
        <v>4972</v>
      </c>
    </row>
    <row r="53" spans="1:7" x14ac:dyDescent="0.2">
      <c r="A53" s="17" t="s">
        <v>52</v>
      </c>
      <c r="B53" s="7" t="s">
        <v>29</v>
      </c>
      <c r="F53" s="46">
        <f>F51/F50</f>
        <v>4.7554720528496477E-2</v>
      </c>
    </row>
    <row r="54" spans="1:7" x14ac:dyDescent="0.2">
      <c r="B54" s="7" t="s">
        <v>51</v>
      </c>
      <c r="F54" s="46">
        <f>F52/F50</f>
        <v>0.11681920477652395</v>
      </c>
    </row>
    <row r="55" spans="1:7" x14ac:dyDescent="0.2">
      <c r="A55" s="17" t="s">
        <v>55</v>
      </c>
      <c r="C55" s="45">
        <f>(C33+C37+C41+C45)/(C35+C39+C47+C43)</f>
        <v>5.4977720953259999E-2</v>
      </c>
      <c r="D55" s="45">
        <f>(D33+D37+D41+D45)/(D35+D39+D47+D43)</f>
        <v>6.060765836720395E-2</v>
      </c>
      <c r="E55" s="45">
        <f>(E33+E37+E41+E45)/(E35+E39+E47+E43)</f>
        <v>6.6195492223518088E-2</v>
      </c>
      <c r="F55" s="45">
        <f>(F33+F37+F41+F45)/(F35+F39+F47+F43)</f>
        <v>7.3476558058772262E-2</v>
      </c>
      <c r="G55" s="45">
        <f>F55*(1-$B$58)</f>
        <v>7.0170112946127502E-2</v>
      </c>
    </row>
    <row r="56" spans="1:7" x14ac:dyDescent="0.2">
      <c r="A56" s="17" t="s">
        <v>56</v>
      </c>
      <c r="C56" s="45">
        <f>(C34+C38+C42+C46)/(C35+C39+C43+C47)</f>
        <v>6.2927066742049884E-2</v>
      </c>
      <c r="D56" s="45">
        <f>(D34+D38+D42+D46)/(D35+D39+D43+D47)</f>
        <v>7.5976814703691886E-2</v>
      </c>
      <c r="E56" s="45">
        <f>(E34+E38+E42+E46)/(E35+E39+E43+E47)</f>
        <v>8.9903831101231249E-2</v>
      </c>
      <c r="F56" s="45">
        <f>(F34+F38+F42+F46)/(F35+F39+F43+F47)</f>
        <v>0.10689166858325803</v>
      </c>
      <c r="G56" s="45">
        <f>F56*(1-$B$58)</f>
        <v>0.10208154349701141</v>
      </c>
    </row>
    <row r="57" spans="1:7" x14ac:dyDescent="0.2">
      <c r="A57" s="17" t="s">
        <v>156</v>
      </c>
      <c r="F57" s="45">
        <f>1-F55-F56</f>
        <v>0.81963177335796966</v>
      </c>
      <c r="G57" s="45">
        <f>F57*(1-$B$58)</f>
        <v>0.78274834355686096</v>
      </c>
    </row>
    <row r="58" spans="1:7" x14ac:dyDescent="0.2">
      <c r="A58" s="17" t="s">
        <v>75</v>
      </c>
      <c r="B58" s="7">
        <v>4.4999999999999998E-2</v>
      </c>
      <c r="F58" s="46"/>
    </row>
    <row r="59" spans="1:7" x14ac:dyDescent="0.2">
      <c r="F59" s="46"/>
    </row>
    <row r="60" spans="1:7" x14ac:dyDescent="0.2">
      <c r="F60" s="46"/>
    </row>
    <row r="61" spans="1:7" x14ac:dyDescent="0.2">
      <c r="F61" s="46"/>
    </row>
    <row r="62" spans="1:7" x14ac:dyDescent="0.2">
      <c r="F62" s="46"/>
    </row>
    <row r="63" spans="1:7" x14ac:dyDescent="0.2">
      <c r="F63" s="46"/>
    </row>
    <row r="65" spans="1:1" ht="48" x14ac:dyDescent="0.2">
      <c r="A65" s="44" t="s">
        <v>54</v>
      </c>
    </row>
    <row r="71" spans="1:1" ht="15.75" customHeight="1" x14ac:dyDescent="0.2"/>
    <row r="72" spans="1:1" x14ac:dyDescent="0.2">
      <c r="A72" s="7"/>
    </row>
    <row r="74" spans="1:1" ht="15.75" customHeight="1" x14ac:dyDescent="0.2"/>
    <row r="75" spans="1:1" ht="16.5" customHeight="1" x14ac:dyDescent="0.2"/>
    <row r="78" spans="1:1" ht="16.5" customHeight="1" x14ac:dyDescent="0.2"/>
    <row r="98" ht="15.75" customHeight="1" x14ac:dyDescent="0.2"/>
    <row r="99" ht="16.5" customHeight="1" x14ac:dyDescent="0.2"/>
    <row r="100" ht="15.75" customHeight="1" x14ac:dyDescent="0.2"/>
    <row r="104" ht="16.5" customHeight="1" x14ac:dyDescent="0.2"/>
  </sheetData>
  <mergeCells count="41">
    <mergeCell ref="V8:W8"/>
    <mergeCell ref="AD7:AG7"/>
    <mergeCell ref="B7:E7"/>
    <mergeCell ref="F7:I7"/>
    <mergeCell ref="AH7:AI7"/>
    <mergeCell ref="AF8:AG8"/>
    <mergeCell ref="Z8:AA8"/>
    <mergeCell ref="AB8:AC8"/>
    <mergeCell ref="AD8:AE8"/>
    <mergeCell ref="R8:S8"/>
    <mergeCell ref="T8:U8"/>
    <mergeCell ref="X8:Y8"/>
    <mergeCell ref="AJ7:AK7"/>
    <mergeCell ref="Z7:AC7"/>
    <mergeCell ref="AH6:AK6"/>
    <mergeCell ref="Z6:AG6"/>
    <mergeCell ref="R6:Y6"/>
    <mergeCell ref="R7:U7"/>
    <mergeCell ref="V7:Y7"/>
    <mergeCell ref="A29:Q29"/>
    <mergeCell ref="A28:G28"/>
    <mergeCell ref="H8:I8"/>
    <mergeCell ref="A27:L27"/>
    <mergeCell ref="A1:H5"/>
    <mergeCell ref="N7:Q7"/>
    <mergeCell ref="J7:M7"/>
    <mergeCell ref="P8:Q8"/>
    <mergeCell ref="B8:C8"/>
    <mergeCell ref="D8:E8"/>
    <mergeCell ref="J8:K8"/>
    <mergeCell ref="J6:Q6"/>
    <mergeCell ref="B6:I6"/>
    <mergeCell ref="L8:M8"/>
    <mergeCell ref="N8:O8"/>
    <mergeCell ref="F8:G8"/>
    <mergeCell ref="AW5:AX5"/>
    <mergeCell ref="AM5:AN5"/>
    <mergeCell ref="AQ5:AR5"/>
    <mergeCell ref="AO5:AP5"/>
    <mergeCell ref="AS5:AT5"/>
    <mergeCell ref="AU5:AV5"/>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5"/>
  <sheetViews>
    <sheetView workbookViewId="0">
      <pane xSplit="1" topLeftCell="X1" activePane="topRight" state="frozen"/>
      <selection pane="topRight" activeCell="AB17" sqref="AB17"/>
    </sheetView>
  </sheetViews>
  <sheetFormatPr baseColWidth="10" defaultColWidth="12.6640625" defaultRowHeight="16" x14ac:dyDescent="0.2"/>
  <cols>
    <col min="1" max="1" width="13.33203125" style="17" bestFit="1" customWidth="1"/>
    <col min="2" max="2" width="19.33203125" style="7" bestFit="1" customWidth="1"/>
    <col min="3" max="6" width="15.5" style="7" bestFit="1" customWidth="1"/>
    <col min="7" max="7" width="14" style="7" bestFit="1" customWidth="1"/>
    <col min="8" max="8" width="6.1640625" style="7" bestFit="1" customWidth="1"/>
    <col min="9" max="9" width="14" style="7" bestFit="1" customWidth="1"/>
    <col min="10" max="10" width="6.1640625" style="7" bestFit="1" customWidth="1"/>
    <col min="11" max="11" width="14" style="7" bestFit="1" customWidth="1"/>
    <col min="12" max="12" width="6.1640625" style="7" bestFit="1" customWidth="1"/>
    <col min="13" max="13" width="14" style="7" bestFit="1" customWidth="1"/>
    <col min="14" max="14" width="6.1640625" style="7" bestFit="1" customWidth="1"/>
    <col min="15" max="15" width="14" style="7" bestFit="1" customWidth="1"/>
    <col min="16" max="16" width="6.1640625" style="7" bestFit="1" customWidth="1"/>
    <col min="17" max="17" width="14" style="7" bestFit="1" customWidth="1"/>
    <col min="18" max="18" width="6.1640625" style="7" bestFit="1" customWidth="1"/>
    <col min="19" max="19" width="14" style="7" bestFit="1" customWidth="1"/>
    <col min="20" max="20" width="6.1640625" style="7" bestFit="1" customWidth="1"/>
    <col min="21" max="21" width="14" style="7" bestFit="1" customWidth="1"/>
    <col min="22" max="22" width="6.1640625" style="7" bestFit="1" customWidth="1"/>
    <col min="23" max="23" width="14" style="7" bestFit="1" customWidth="1"/>
    <col min="24" max="24" width="6.1640625" style="7" bestFit="1" customWidth="1"/>
    <col min="25" max="25" width="14" style="7" bestFit="1" customWidth="1"/>
    <col min="26" max="26" width="6.1640625" style="7" bestFit="1" customWidth="1"/>
    <col min="27" max="27" width="14" style="7" bestFit="1" customWidth="1"/>
    <col min="28" max="28" width="6.1640625" style="7" bestFit="1" customWidth="1"/>
    <col min="29" max="29" width="14" style="7" bestFit="1" customWidth="1"/>
    <col min="30" max="30" width="6.1640625" style="7" bestFit="1" customWidth="1"/>
    <col min="31" max="31" width="14" style="7" bestFit="1" customWidth="1"/>
    <col min="32" max="32" width="6.1640625" style="7" bestFit="1" customWidth="1"/>
    <col min="33" max="33" width="14" style="7" bestFit="1" customWidth="1"/>
    <col min="34" max="34" width="6.1640625" style="7" bestFit="1" customWidth="1"/>
    <col min="35" max="35" width="7.6640625" style="7" bestFit="1" customWidth="1"/>
    <col min="36" max="36" width="6.1640625" style="7" bestFit="1" customWidth="1"/>
    <col min="37" max="37" width="7.6640625" style="7" bestFit="1" customWidth="1"/>
    <col min="38" max="38" width="5.6640625" style="7" bestFit="1" customWidth="1"/>
    <col min="39" max="39" width="12.1640625" style="7" bestFit="1" customWidth="1"/>
    <col min="40" max="40" width="9.33203125" style="7" customWidth="1"/>
    <col min="41" max="41" width="12.1640625" style="7" bestFit="1" customWidth="1"/>
    <col min="42" max="42" width="13.33203125" style="7" customWidth="1"/>
    <col min="43" max="43" width="12.1640625" style="7" bestFit="1" customWidth="1"/>
    <col min="44" max="44" width="8.1640625" style="7" bestFit="1" customWidth="1"/>
    <col min="45" max="45" width="12.1640625" style="7" bestFit="1" customWidth="1"/>
    <col min="46" max="46" width="10.5" style="7" bestFit="1" customWidth="1"/>
    <col min="47" max="47" width="12.1640625" style="7" bestFit="1" customWidth="1"/>
    <col min="48" max="48" width="5.6640625" style="7" bestFit="1" customWidth="1"/>
    <col min="49" max="49" width="12.1640625" style="7" bestFit="1" customWidth="1"/>
    <col min="50" max="50" width="4.83203125" style="7" customWidth="1"/>
    <col min="51" max="55" width="8" style="7" customWidth="1"/>
    <col min="56" max="16384" width="12.6640625" style="7"/>
  </cols>
  <sheetData>
    <row r="1" spans="1:46" x14ac:dyDescent="0.2">
      <c r="A1" s="80" t="s">
        <v>48</v>
      </c>
      <c r="B1" s="81"/>
      <c r="C1" s="81"/>
      <c r="D1" s="81"/>
      <c r="E1" s="81"/>
      <c r="F1" s="81"/>
      <c r="G1" s="81"/>
      <c r="H1" s="82"/>
    </row>
    <row r="2" spans="1:46" x14ac:dyDescent="0.2">
      <c r="A2" s="83"/>
      <c r="B2" s="84"/>
      <c r="C2" s="84"/>
      <c r="D2" s="84"/>
      <c r="E2" s="84"/>
      <c r="F2" s="84"/>
      <c r="G2" s="84"/>
      <c r="H2" s="85"/>
    </row>
    <row r="3" spans="1:46" x14ac:dyDescent="0.2">
      <c r="A3" s="83"/>
      <c r="B3" s="84"/>
      <c r="C3" s="84"/>
      <c r="D3" s="84"/>
      <c r="E3" s="84"/>
      <c r="F3" s="84"/>
      <c r="G3" s="84"/>
      <c r="H3" s="85"/>
    </row>
    <row r="4" spans="1:46" x14ac:dyDescent="0.2">
      <c r="A4" s="83"/>
      <c r="B4" s="84"/>
      <c r="C4" s="84"/>
      <c r="D4" s="84"/>
      <c r="E4" s="84"/>
      <c r="F4" s="84"/>
      <c r="G4" s="84"/>
      <c r="H4" s="85"/>
    </row>
    <row r="5" spans="1:46" x14ac:dyDescent="0.2">
      <c r="A5" s="86"/>
      <c r="B5" s="87"/>
      <c r="C5" s="87"/>
      <c r="D5" s="87"/>
      <c r="E5" s="87"/>
      <c r="F5" s="87"/>
      <c r="G5" s="87"/>
      <c r="H5" s="88"/>
      <c r="AM5" s="75" t="s">
        <v>161</v>
      </c>
      <c r="AN5" s="75"/>
      <c r="AO5" s="75" t="s">
        <v>161</v>
      </c>
      <c r="AP5" s="75"/>
      <c r="AQ5" s="75" t="s">
        <v>161</v>
      </c>
      <c r="AR5" s="75"/>
      <c r="AS5" s="75" t="s">
        <v>161</v>
      </c>
      <c r="AT5" s="75"/>
    </row>
    <row r="6" spans="1:46" ht="15" customHeight="1" x14ac:dyDescent="0.2">
      <c r="A6" s="6" t="s">
        <v>4</v>
      </c>
      <c r="B6" s="77" t="s">
        <v>5</v>
      </c>
      <c r="C6" s="89"/>
      <c r="D6" s="89"/>
      <c r="E6" s="89"/>
      <c r="F6" s="89"/>
      <c r="G6" s="89"/>
      <c r="H6" s="89"/>
      <c r="I6" s="78"/>
      <c r="J6" s="77" t="s">
        <v>6</v>
      </c>
      <c r="K6" s="89"/>
      <c r="L6" s="89"/>
      <c r="M6" s="89"/>
      <c r="N6" s="89"/>
      <c r="O6" s="89"/>
      <c r="P6" s="89"/>
      <c r="Q6" s="78"/>
      <c r="R6" s="77" t="s">
        <v>7</v>
      </c>
      <c r="S6" s="89"/>
      <c r="T6" s="89"/>
      <c r="U6" s="89"/>
      <c r="V6" s="89"/>
      <c r="W6" s="89"/>
      <c r="X6" s="89"/>
      <c r="Y6" s="78"/>
      <c r="Z6" s="92" t="s">
        <v>8</v>
      </c>
      <c r="AA6" s="93"/>
      <c r="AB6" s="93"/>
      <c r="AC6" s="93"/>
      <c r="AD6" s="93"/>
      <c r="AE6" s="93"/>
      <c r="AF6" s="93"/>
      <c r="AG6" s="94"/>
      <c r="AH6" s="92" t="s">
        <v>33</v>
      </c>
      <c r="AI6" s="93"/>
      <c r="AJ6" s="93"/>
      <c r="AK6" s="94"/>
      <c r="AM6" s="7" t="s">
        <v>164</v>
      </c>
      <c r="AN6" s="7" t="s">
        <v>165</v>
      </c>
      <c r="AO6" s="7" t="s">
        <v>164</v>
      </c>
      <c r="AP6" s="7" t="s">
        <v>165</v>
      </c>
      <c r="AQ6" s="7" t="s">
        <v>170</v>
      </c>
      <c r="AR6" s="7" t="s">
        <v>170</v>
      </c>
      <c r="AS6" s="7" t="s">
        <v>171</v>
      </c>
      <c r="AT6" s="7" t="s">
        <v>171</v>
      </c>
    </row>
    <row r="7" spans="1:46" ht="15" customHeight="1" x14ac:dyDescent="0.2">
      <c r="A7" s="6" t="s">
        <v>1</v>
      </c>
      <c r="B7" s="77" t="s">
        <v>2</v>
      </c>
      <c r="C7" s="89"/>
      <c r="D7" s="89"/>
      <c r="E7" s="78"/>
      <c r="F7" s="77" t="s">
        <v>3</v>
      </c>
      <c r="G7" s="89"/>
      <c r="H7" s="89"/>
      <c r="I7" s="78"/>
      <c r="J7" s="77" t="s">
        <v>2</v>
      </c>
      <c r="K7" s="89"/>
      <c r="L7" s="89"/>
      <c r="M7" s="78"/>
      <c r="N7" s="77" t="s">
        <v>3</v>
      </c>
      <c r="O7" s="89"/>
      <c r="P7" s="89"/>
      <c r="Q7" s="78"/>
      <c r="R7" s="77" t="s">
        <v>2</v>
      </c>
      <c r="S7" s="89"/>
      <c r="T7" s="89"/>
      <c r="U7" s="78"/>
      <c r="V7" s="77" t="s">
        <v>3</v>
      </c>
      <c r="W7" s="89"/>
      <c r="X7" s="89"/>
      <c r="Y7" s="78"/>
      <c r="Z7" s="92" t="s">
        <v>2</v>
      </c>
      <c r="AA7" s="93"/>
      <c r="AB7" s="93"/>
      <c r="AC7" s="94"/>
      <c r="AD7" s="92" t="s">
        <v>3</v>
      </c>
      <c r="AE7" s="93"/>
      <c r="AF7" s="93"/>
      <c r="AG7" s="94"/>
      <c r="AH7" s="92" t="s">
        <v>2</v>
      </c>
      <c r="AI7" s="94"/>
      <c r="AJ7" s="92" t="s">
        <v>3</v>
      </c>
      <c r="AK7" s="94"/>
      <c r="AM7" s="7" t="s">
        <v>162</v>
      </c>
      <c r="AN7" s="7" t="s">
        <v>162</v>
      </c>
      <c r="AO7" s="7" t="s">
        <v>168</v>
      </c>
      <c r="AP7" s="7" t="s">
        <v>169</v>
      </c>
      <c r="AQ7" s="7" t="s">
        <v>159</v>
      </c>
      <c r="AR7" s="7" t="s">
        <v>159</v>
      </c>
      <c r="AS7" s="7" t="s">
        <v>159</v>
      </c>
      <c r="AT7" s="7" t="s">
        <v>159</v>
      </c>
    </row>
    <row r="8" spans="1:46" ht="15" customHeight="1" x14ac:dyDescent="0.2">
      <c r="A8" s="6" t="s">
        <v>36</v>
      </c>
      <c r="B8" s="77" t="s">
        <v>34</v>
      </c>
      <c r="C8" s="78"/>
      <c r="D8" s="77" t="s">
        <v>35</v>
      </c>
      <c r="E8" s="78"/>
      <c r="F8" s="77" t="s">
        <v>34</v>
      </c>
      <c r="G8" s="78"/>
      <c r="H8" s="77" t="s">
        <v>35</v>
      </c>
      <c r="I8" s="78"/>
      <c r="J8" s="77" t="s">
        <v>34</v>
      </c>
      <c r="K8" s="78"/>
      <c r="L8" s="77" t="s">
        <v>35</v>
      </c>
      <c r="M8" s="78"/>
      <c r="N8" s="77" t="s">
        <v>34</v>
      </c>
      <c r="O8" s="78"/>
      <c r="P8" s="77" t="s">
        <v>35</v>
      </c>
      <c r="Q8" s="78"/>
      <c r="R8" s="77" t="s">
        <v>34</v>
      </c>
      <c r="S8" s="78"/>
      <c r="T8" s="77" t="s">
        <v>35</v>
      </c>
      <c r="U8" s="78"/>
      <c r="V8" s="77" t="s">
        <v>34</v>
      </c>
      <c r="W8" s="78"/>
      <c r="X8" s="77" t="s">
        <v>35</v>
      </c>
      <c r="Y8" s="78"/>
      <c r="Z8" s="92" t="s">
        <v>34</v>
      </c>
      <c r="AA8" s="94"/>
      <c r="AB8" s="92" t="s">
        <v>35</v>
      </c>
      <c r="AC8" s="94"/>
      <c r="AD8" s="92" t="s">
        <v>34</v>
      </c>
      <c r="AE8" s="94"/>
      <c r="AF8" s="92" t="s">
        <v>35</v>
      </c>
      <c r="AG8" s="94"/>
      <c r="AH8" s="3" t="s">
        <v>34</v>
      </c>
      <c r="AI8" s="3" t="s">
        <v>35</v>
      </c>
      <c r="AJ8" s="3" t="s">
        <v>34</v>
      </c>
      <c r="AK8" s="3" t="s">
        <v>35</v>
      </c>
      <c r="AM8" s="7" t="s">
        <v>163</v>
      </c>
      <c r="AN8" s="7" t="s">
        <v>163</v>
      </c>
      <c r="AO8" s="7" t="s">
        <v>163</v>
      </c>
      <c r="AP8" s="7" t="s">
        <v>163</v>
      </c>
      <c r="AQ8" s="7" t="s">
        <v>35</v>
      </c>
      <c r="AR8" s="7" t="s">
        <v>34</v>
      </c>
      <c r="AS8" s="7" t="s">
        <v>35</v>
      </c>
      <c r="AT8" s="7" t="s">
        <v>34</v>
      </c>
    </row>
    <row r="9" spans="1:46" ht="15" customHeight="1" x14ac:dyDescent="0.2">
      <c r="A9" s="6" t="s">
        <v>0</v>
      </c>
      <c r="B9" s="8" t="s">
        <v>12</v>
      </c>
      <c r="C9" s="8" t="s">
        <v>13</v>
      </c>
      <c r="D9" s="8" t="s">
        <v>12</v>
      </c>
      <c r="E9" s="8" t="s">
        <v>13</v>
      </c>
      <c r="F9" s="8" t="s">
        <v>12</v>
      </c>
      <c r="G9" s="8" t="s">
        <v>13</v>
      </c>
      <c r="H9" s="8" t="s">
        <v>12</v>
      </c>
      <c r="I9" s="8" t="s">
        <v>13</v>
      </c>
      <c r="J9" s="8" t="s">
        <v>12</v>
      </c>
      <c r="K9" s="8" t="s">
        <v>13</v>
      </c>
      <c r="L9" s="8" t="s">
        <v>12</v>
      </c>
      <c r="M9" s="8" t="s">
        <v>13</v>
      </c>
      <c r="N9" s="8" t="s">
        <v>12</v>
      </c>
      <c r="O9" s="8" t="s">
        <v>13</v>
      </c>
      <c r="P9" s="8" t="s">
        <v>12</v>
      </c>
      <c r="Q9" s="8" t="s">
        <v>13</v>
      </c>
      <c r="R9" s="8" t="s">
        <v>12</v>
      </c>
      <c r="S9" s="8" t="s">
        <v>13</v>
      </c>
      <c r="T9" s="8" t="s">
        <v>12</v>
      </c>
      <c r="U9" s="8" t="s">
        <v>13</v>
      </c>
      <c r="V9" s="8" t="s">
        <v>12</v>
      </c>
      <c r="W9" s="8" t="s">
        <v>13</v>
      </c>
      <c r="X9" s="8" t="s">
        <v>12</v>
      </c>
      <c r="Y9" s="8" t="s">
        <v>13</v>
      </c>
      <c r="Z9" s="8" t="s">
        <v>12</v>
      </c>
      <c r="AA9" s="8" t="s">
        <v>13</v>
      </c>
      <c r="AB9" s="8" t="s">
        <v>12</v>
      </c>
      <c r="AC9" s="8" t="s">
        <v>13</v>
      </c>
      <c r="AD9" s="8" t="s">
        <v>12</v>
      </c>
      <c r="AE9" s="8" t="s">
        <v>13</v>
      </c>
      <c r="AF9" s="8" t="s">
        <v>12</v>
      </c>
      <c r="AG9" s="8" t="s">
        <v>13</v>
      </c>
      <c r="AH9" s="8" t="s">
        <v>12</v>
      </c>
      <c r="AI9" s="8" t="s">
        <v>12</v>
      </c>
      <c r="AJ9" s="8" t="s">
        <v>12</v>
      </c>
      <c r="AK9" s="8" t="s">
        <v>12</v>
      </c>
      <c r="AM9" s="7" t="s">
        <v>166</v>
      </c>
      <c r="AN9" s="7" t="s">
        <v>166</v>
      </c>
      <c r="AO9" s="7" t="s">
        <v>166</v>
      </c>
      <c r="AP9" s="7" t="s">
        <v>166</v>
      </c>
      <c r="AQ9" s="7" t="s">
        <v>12</v>
      </c>
      <c r="AR9" s="7" t="s">
        <v>12</v>
      </c>
      <c r="AS9" s="7" t="s">
        <v>12</v>
      </c>
      <c r="AT9" s="7" t="s">
        <v>12</v>
      </c>
    </row>
    <row r="10" spans="1:46" s="11" customFormat="1" ht="15" customHeight="1" x14ac:dyDescent="0.2">
      <c r="A10" s="5">
        <v>2000</v>
      </c>
      <c r="B10" s="9">
        <v>15</v>
      </c>
      <c r="C10" s="10">
        <f>(B10/$C$39)*100000</f>
        <v>1.2787385840612908</v>
      </c>
      <c r="D10" s="9">
        <v>14</v>
      </c>
      <c r="E10" s="10">
        <f>(D10/$C$35)*100000</f>
        <v>1.1460736335937105</v>
      </c>
      <c r="F10" s="9">
        <v>4</v>
      </c>
      <c r="G10" s="10">
        <f>(F10/$C$47)*100000</f>
        <v>0.56281746422591494</v>
      </c>
      <c r="H10" s="9">
        <v>0</v>
      </c>
      <c r="I10" s="10">
        <f>(H10/$C$43)*100000</f>
        <v>0</v>
      </c>
      <c r="J10" s="9">
        <v>7</v>
      </c>
      <c r="K10" s="10">
        <f>(J10/$C$37)*100000</f>
        <v>9.9468553727228795</v>
      </c>
      <c r="L10" s="9">
        <v>7</v>
      </c>
      <c r="M10" s="10">
        <f>(L10/$C$33)*100000</f>
        <v>9.1727490728971475</v>
      </c>
      <c r="N10" s="58">
        <v>2</v>
      </c>
      <c r="O10" s="41" t="s">
        <v>47</v>
      </c>
      <c r="P10" s="9">
        <v>0</v>
      </c>
      <c r="Q10" s="10">
        <f>(P10/$C$41)*100000</f>
        <v>0</v>
      </c>
      <c r="R10" s="9">
        <v>2</v>
      </c>
      <c r="S10" s="10">
        <f>(R10/$C$38)*100000</f>
        <v>2.1584985484097263</v>
      </c>
      <c r="T10" s="9">
        <v>6</v>
      </c>
      <c r="U10" s="10">
        <f>(T10/$C$34)*100000</f>
        <v>6.2992787325851181</v>
      </c>
      <c r="V10" s="9">
        <v>0</v>
      </c>
      <c r="W10" s="10">
        <f>(V10/$C$46)*100000</f>
        <v>0</v>
      </c>
      <c r="X10" s="9">
        <v>0</v>
      </c>
      <c r="Y10" s="10">
        <f>(X10/$C$42)*100000</f>
        <v>0</v>
      </c>
      <c r="Z10" s="9">
        <v>6</v>
      </c>
      <c r="AA10" s="10">
        <f>(Z10/$C$36)*100000</f>
        <v>0.59405940594059403</v>
      </c>
      <c r="AB10" s="9">
        <v>1</v>
      </c>
      <c r="AC10" s="10">
        <f>(AB10/$C$32)*100000</f>
        <v>9.5238095238095233E-2</v>
      </c>
      <c r="AD10" s="9">
        <v>1</v>
      </c>
      <c r="AE10" s="10">
        <f>(AD10/$C$44)*100000</f>
        <v>0.15275547972094627</v>
      </c>
      <c r="AF10" s="9">
        <v>0</v>
      </c>
      <c r="AG10" s="10">
        <f>(AF10/$C$40)*100000</f>
        <v>0</v>
      </c>
      <c r="AH10" s="9">
        <v>0</v>
      </c>
      <c r="AI10" s="9">
        <v>0</v>
      </c>
      <c r="AJ10" s="9">
        <v>1</v>
      </c>
      <c r="AK10" s="9">
        <v>0</v>
      </c>
      <c r="AM10" s="11">
        <f>D10+H10</f>
        <v>14</v>
      </c>
      <c r="AN10" s="11">
        <f>F10+B10</f>
        <v>19</v>
      </c>
      <c r="AO10" s="11">
        <f>AF10+AB10</f>
        <v>1</v>
      </c>
      <c r="AP10" s="11">
        <f>AD10+Z10</f>
        <v>7</v>
      </c>
      <c r="AQ10" s="11">
        <f>P10+L10</f>
        <v>7</v>
      </c>
      <c r="AR10" s="11">
        <f>N10+J10</f>
        <v>9</v>
      </c>
      <c r="AS10" s="11">
        <f>X10+T10</f>
        <v>6</v>
      </c>
      <c r="AT10" s="11">
        <f>V10+R10</f>
        <v>2</v>
      </c>
    </row>
    <row r="11" spans="1:46" s="11" customFormat="1" x14ac:dyDescent="0.2">
      <c r="A11" s="5">
        <v>2001</v>
      </c>
      <c r="B11" s="9">
        <v>13</v>
      </c>
      <c r="C11" s="10">
        <f>(B11/$C$39)*100000</f>
        <v>1.108240106186452</v>
      </c>
      <c r="D11" s="9">
        <v>3</v>
      </c>
      <c r="E11" s="10">
        <f>(D11/$C$35)*100000</f>
        <v>0.24558720719865221</v>
      </c>
      <c r="F11" s="9">
        <v>8</v>
      </c>
      <c r="G11" s="10">
        <f>(F11/$C$47)*100000</f>
        <v>1.1256349284518299</v>
      </c>
      <c r="H11" s="9">
        <v>0</v>
      </c>
      <c r="I11" s="10">
        <f>(H11/$C$43)*100000</f>
        <v>0</v>
      </c>
      <c r="J11" s="9">
        <v>0</v>
      </c>
      <c r="K11" s="10">
        <f>(J11/$C$37)*100000</f>
        <v>0</v>
      </c>
      <c r="L11" s="9">
        <v>1</v>
      </c>
      <c r="M11" s="10">
        <f>(L11/$C$33)*100000</f>
        <v>1.3103927246995923</v>
      </c>
      <c r="N11" s="58">
        <v>2</v>
      </c>
      <c r="O11" s="41" t="s">
        <v>47</v>
      </c>
      <c r="P11" s="9">
        <v>0</v>
      </c>
      <c r="Q11" s="10">
        <f>(P11/$C$41)*100000</f>
        <v>0</v>
      </c>
      <c r="R11" s="9">
        <v>3</v>
      </c>
      <c r="S11" s="10">
        <f>(R11/$C$38)*100000</f>
        <v>3.237747822614589</v>
      </c>
      <c r="T11" s="9">
        <v>1</v>
      </c>
      <c r="U11" s="10">
        <f>(T11/$C$34)*100000</f>
        <v>1.0498797887641866</v>
      </c>
      <c r="V11" s="9">
        <v>0</v>
      </c>
      <c r="W11" s="10">
        <f>(V11/$C$46)*100000</f>
        <v>0</v>
      </c>
      <c r="X11" s="9">
        <v>0</v>
      </c>
      <c r="Y11" s="10">
        <f>(X11/$C$42)*100000</f>
        <v>0</v>
      </c>
      <c r="Z11" s="9">
        <v>7</v>
      </c>
      <c r="AA11" s="10">
        <f>(Z11/$C$36)*100000</f>
        <v>0.69306930693069302</v>
      </c>
      <c r="AB11" s="9">
        <v>0</v>
      </c>
      <c r="AC11" s="10">
        <f>(AB11/$C$32)*100000</f>
        <v>0</v>
      </c>
      <c r="AD11" s="9">
        <v>5</v>
      </c>
      <c r="AE11" s="10">
        <f>(AD11/$C$44)*100000</f>
        <v>0.76377739860473148</v>
      </c>
      <c r="AF11" s="9">
        <v>0</v>
      </c>
      <c r="AG11" s="10">
        <f>(AF11/$C$40)*100000</f>
        <v>0</v>
      </c>
      <c r="AH11" s="9">
        <v>3</v>
      </c>
      <c r="AI11" s="9">
        <v>1</v>
      </c>
      <c r="AJ11" s="9">
        <v>2</v>
      </c>
      <c r="AK11" s="9">
        <v>0</v>
      </c>
      <c r="AM11" s="11">
        <f t="shared" ref="AM11:AM26" si="0">D11+H11</f>
        <v>3</v>
      </c>
      <c r="AN11" s="11">
        <f>F11+B11</f>
        <v>21</v>
      </c>
      <c r="AO11" s="11">
        <f t="shared" ref="AO11:AO26" si="1">AF11+AB11</f>
        <v>0</v>
      </c>
      <c r="AP11" s="11">
        <f t="shared" ref="AP11:AP26" si="2">AD11+Z11</f>
        <v>12</v>
      </c>
      <c r="AQ11" s="11">
        <f t="shared" ref="AQ11:AQ26" si="3">P11+L11</f>
        <v>1</v>
      </c>
      <c r="AR11" s="11">
        <f t="shared" ref="AR11:AR26" si="4">N11+J11</f>
        <v>2</v>
      </c>
      <c r="AS11" s="11">
        <f t="shared" ref="AS11:AS26" si="5">X11+T11</f>
        <v>1</v>
      </c>
      <c r="AT11" s="11">
        <f t="shared" ref="AT11:AT26" si="6">V11+R11</f>
        <v>3</v>
      </c>
    </row>
    <row r="12" spans="1:46" s="11" customFormat="1" x14ac:dyDescent="0.2">
      <c r="A12" s="5">
        <v>2002</v>
      </c>
      <c r="B12" s="9">
        <v>44</v>
      </c>
      <c r="C12" s="10">
        <f>(B12/$C$39)*100000</f>
        <v>3.7509665132464529</v>
      </c>
      <c r="D12" s="9">
        <v>6</v>
      </c>
      <c r="E12" s="10">
        <f>(D12/$C$35)*100000</f>
        <v>0.49117441439730442</v>
      </c>
      <c r="F12" s="9">
        <v>7</v>
      </c>
      <c r="G12" s="10">
        <f>(F12/$C$47)*100000</f>
        <v>0.98493056239535115</v>
      </c>
      <c r="H12" s="9">
        <v>0</v>
      </c>
      <c r="I12" s="10">
        <f>(H12/$C$43)*100000</f>
        <v>0</v>
      </c>
      <c r="J12" s="9">
        <v>6</v>
      </c>
      <c r="K12" s="10">
        <f>(J12/$C$37)*100000</f>
        <v>8.5258760337624686</v>
      </c>
      <c r="L12" s="9">
        <v>2</v>
      </c>
      <c r="M12" s="10">
        <f>(L12/$C$33)*100000</f>
        <v>2.6207854493991847</v>
      </c>
      <c r="N12" s="9">
        <v>0</v>
      </c>
      <c r="O12" s="10">
        <f>(N12/$C$45)*100000</f>
        <v>0</v>
      </c>
      <c r="P12" s="9">
        <v>0</v>
      </c>
      <c r="Q12" s="10">
        <f>(P12/$C$41)*100000</f>
        <v>0</v>
      </c>
      <c r="R12" s="9">
        <v>1</v>
      </c>
      <c r="S12" s="10">
        <f>(R12/$C$38)*100000</f>
        <v>1.0792492742048632</v>
      </c>
      <c r="T12" s="9">
        <v>2</v>
      </c>
      <c r="U12" s="10">
        <f>(T12/$C$34)*100000</f>
        <v>2.0997595775283733</v>
      </c>
      <c r="V12" s="9">
        <v>0</v>
      </c>
      <c r="W12" s="10">
        <f>(V12/$C$46)*100000</f>
        <v>0</v>
      </c>
      <c r="X12" s="9">
        <v>0</v>
      </c>
      <c r="Y12" s="10">
        <f>(X12/$C$42)*100000</f>
        <v>0</v>
      </c>
      <c r="Z12" s="9">
        <v>31</v>
      </c>
      <c r="AA12" s="10">
        <f>(Z12/$C$36)*100000</f>
        <v>3.0693069306930689</v>
      </c>
      <c r="AB12" s="9">
        <v>0</v>
      </c>
      <c r="AC12" s="10">
        <f>(AB12/$C$32)*100000</f>
        <v>0</v>
      </c>
      <c r="AD12" s="9">
        <v>6</v>
      </c>
      <c r="AE12" s="10">
        <f>(AD12/$C$44)*100000</f>
        <v>0.91653287832567776</v>
      </c>
      <c r="AF12" s="9">
        <v>0</v>
      </c>
      <c r="AG12" s="10">
        <f>(AF12/$C$40)*100000</f>
        <v>0</v>
      </c>
      <c r="AH12" s="9">
        <v>6</v>
      </c>
      <c r="AI12" s="9">
        <v>2</v>
      </c>
      <c r="AJ12" s="9">
        <v>1</v>
      </c>
      <c r="AK12" s="9">
        <v>0</v>
      </c>
      <c r="AM12" s="11">
        <f t="shared" si="0"/>
        <v>6</v>
      </c>
      <c r="AN12" s="11">
        <f t="shared" ref="AN11:AN26" si="7">F12+B12</f>
        <v>51</v>
      </c>
      <c r="AO12" s="11">
        <f t="shared" si="1"/>
        <v>0</v>
      </c>
      <c r="AP12" s="11">
        <f t="shared" si="2"/>
        <v>37</v>
      </c>
      <c r="AQ12" s="11">
        <f t="shared" si="3"/>
        <v>2</v>
      </c>
      <c r="AR12" s="11">
        <f t="shared" si="4"/>
        <v>6</v>
      </c>
      <c r="AS12" s="11">
        <f t="shared" si="5"/>
        <v>2</v>
      </c>
      <c r="AT12" s="11">
        <f t="shared" si="6"/>
        <v>1</v>
      </c>
    </row>
    <row r="13" spans="1:46" s="11" customFormat="1" x14ac:dyDescent="0.2">
      <c r="A13" s="5">
        <v>2003</v>
      </c>
      <c r="B13" s="9">
        <v>46</v>
      </c>
      <c r="C13" s="10">
        <f>(B13/$C$39)*100000</f>
        <v>3.9214649911212915</v>
      </c>
      <c r="D13" s="9">
        <v>2</v>
      </c>
      <c r="E13" s="10">
        <f>(D13/$C$35)*100000</f>
        <v>0.16372480479910148</v>
      </c>
      <c r="F13" s="9">
        <v>12</v>
      </c>
      <c r="G13" s="10">
        <f>(F13/$C$47)*100000</f>
        <v>1.6884523926777446</v>
      </c>
      <c r="H13" s="9">
        <v>1</v>
      </c>
      <c r="I13" s="10">
        <f>(H13/$C$43)*100000</f>
        <v>0.13077006568580399</v>
      </c>
      <c r="J13" s="9">
        <v>4</v>
      </c>
      <c r="K13" s="10">
        <f>(J13/$C$37)*100000</f>
        <v>5.683917355841646</v>
      </c>
      <c r="L13" s="9">
        <v>0</v>
      </c>
      <c r="M13" s="10">
        <f>(L13/$C$33)*100000</f>
        <v>0</v>
      </c>
      <c r="N13" s="9">
        <v>0</v>
      </c>
      <c r="O13" s="10">
        <f>(N13/$C$45)*100000</f>
        <v>0</v>
      </c>
      <c r="P13" s="9">
        <v>0</v>
      </c>
      <c r="Q13" s="10">
        <f>(P13/$C$41)*100000</f>
        <v>0</v>
      </c>
      <c r="R13" s="9">
        <v>4</v>
      </c>
      <c r="S13" s="10">
        <f>(R13/$C$38)*100000</f>
        <v>4.3169970968194527</v>
      </c>
      <c r="T13" s="9">
        <v>1</v>
      </c>
      <c r="U13" s="10">
        <f>(T13/$C$34)*100000</f>
        <v>1.0498797887641866</v>
      </c>
      <c r="V13" s="58">
        <v>2</v>
      </c>
      <c r="W13" s="41" t="s">
        <v>47</v>
      </c>
      <c r="X13" s="9">
        <v>0</v>
      </c>
      <c r="Y13" s="10">
        <f>(X13/$C$42)*100000</f>
        <v>0</v>
      </c>
      <c r="Z13" s="9">
        <v>34</v>
      </c>
      <c r="AA13" s="10">
        <f>(Z13/$C$36)*100000</f>
        <v>3.3663366336633662</v>
      </c>
      <c r="AB13" s="9">
        <v>1</v>
      </c>
      <c r="AC13" s="10">
        <f>(AB13/$C$32)*100000</f>
        <v>9.5238095238095233E-2</v>
      </c>
      <c r="AD13" s="9">
        <v>9</v>
      </c>
      <c r="AE13" s="10">
        <f>(AD13/$C$44)*100000</f>
        <v>1.3747993174885167</v>
      </c>
      <c r="AF13" s="9">
        <v>0</v>
      </c>
      <c r="AG13" s="10">
        <f>(AF13/$C$40)*100000</f>
        <v>0</v>
      </c>
      <c r="AH13" s="9">
        <v>4</v>
      </c>
      <c r="AI13" s="9">
        <v>0</v>
      </c>
      <c r="AJ13" s="9">
        <v>1</v>
      </c>
      <c r="AK13" s="9">
        <v>1</v>
      </c>
      <c r="AM13" s="11">
        <f t="shared" si="0"/>
        <v>3</v>
      </c>
      <c r="AN13" s="11">
        <f t="shared" si="7"/>
        <v>58</v>
      </c>
      <c r="AO13" s="11">
        <f t="shared" si="1"/>
        <v>1</v>
      </c>
      <c r="AP13" s="11">
        <f t="shared" si="2"/>
        <v>43</v>
      </c>
      <c r="AQ13" s="11">
        <f t="shared" si="3"/>
        <v>0</v>
      </c>
      <c r="AR13" s="11">
        <f t="shared" si="4"/>
        <v>4</v>
      </c>
      <c r="AS13" s="11">
        <f t="shared" si="5"/>
        <v>1</v>
      </c>
      <c r="AT13" s="11">
        <f t="shared" si="6"/>
        <v>6</v>
      </c>
    </row>
    <row r="14" spans="1:46" s="11" customFormat="1" x14ac:dyDescent="0.2">
      <c r="A14" s="5">
        <v>2004</v>
      </c>
      <c r="B14" s="9">
        <v>42</v>
      </c>
      <c r="C14" s="10">
        <f>(B14/$C$39)*100000</f>
        <v>3.5804680353716138</v>
      </c>
      <c r="D14" s="9">
        <v>3</v>
      </c>
      <c r="E14" s="10">
        <f>(D14/$C$35)*100000</f>
        <v>0.24558720719865221</v>
      </c>
      <c r="F14" s="9">
        <v>11</v>
      </c>
      <c r="G14" s="10">
        <f>(F14/$C$47)*100000</f>
        <v>1.5477480266212662</v>
      </c>
      <c r="H14" s="9">
        <v>1</v>
      </c>
      <c r="I14" s="10">
        <f>(H14/$C$43)*100000</f>
        <v>0.13077006568580399</v>
      </c>
      <c r="J14" s="9">
        <v>7</v>
      </c>
      <c r="K14" s="10">
        <f>(J14/$C$37)*100000</f>
        <v>9.9468553727228795</v>
      </c>
      <c r="L14" s="9">
        <v>1</v>
      </c>
      <c r="M14" s="10">
        <f>(L14/$C$33)*100000</f>
        <v>1.3103927246995923</v>
      </c>
      <c r="N14" s="9">
        <v>1</v>
      </c>
      <c r="O14" s="10">
        <f>(N14/$C$45)*100000</f>
        <v>3.2846115946789292</v>
      </c>
      <c r="P14" s="9">
        <v>0</v>
      </c>
      <c r="Q14" s="10">
        <f>(P14/$C$41)*100000</f>
        <v>0</v>
      </c>
      <c r="R14" s="9">
        <v>7</v>
      </c>
      <c r="S14" s="10">
        <f>(R14/$C$38)*100000</f>
        <v>7.5547449194340413</v>
      </c>
      <c r="T14" s="9">
        <v>1</v>
      </c>
      <c r="U14" s="10">
        <f>(T14/$C$34)*100000</f>
        <v>1.0498797887641866</v>
      </c>
      <c r="V14" s="58">
        <v>2</v>
      </c>
      <c r="W14" s="41" t="s">
        <v>47</v>
      </c>
      <c r="X14" s="9">
        <v>0</v>
      </c>
      <c r="Y14" s="10">
        <f>(X14/$C$42)*100000</f>
        <v>0</v>
      </c>
      <c r="Z14" s="9">
        <v>24</v>
      </c>
      <c r="AA14" s="10">
        <f>(Z14/$C$36)*100000</f>
        <v>2.3762376237623761</v>
      </c>
      <c r="AB14" s="9">
        <v>1</v>
      </c>
      <c r="AC14" s="10">
        <f>(AB14/$C$32)*100000</f>
        <v>9.5238095238095233E-2</v>
      </c>
      <c r="AD14" s="9">
        <v>8</v>
      </c>
      <c r="AE14" s="10">
        <f>(AD14/$C$44)*100000</f>
        <v>1.2220438377675702</v>
      </c>
      <c r="AF14" s="9">
        <v>1</v>
      </c>
      <c r="AG14" s="10">
        <f>(AF14/$C$40)*100000</f>
        <v>0.14304698664370286</v>
      </c>
      <c r="AH14" s="9">
        <v>4</v>
      </c>
      <c r="AI14" s="9">
        <v>0</v>
      </c>
      <c r="AJ14" s="9">
        <v>1</v>
      </c>
      <c r="AK14" s="9">
        <v>0</v>
      </c>
      <c r="AM14" s="11">
        <f t="shared" si="0"/>
        <v>4</v>
      </c>
      <c r="AN14" s="11">
        <f t="shared" si="7"/>
        <v>53</v>
      </c>
      <c r="AO14" s="11">
        <f t="shared" si="1"/>
        <v>2</v>
      </c>
      <c r="AP14" s="11">
        <f t="shared" si="2"/>
        <v>32</v>
      </c>
      <c r="AQ14" s="11">
        <f t="shared" si="3"/>
        <v>1</v>
      </c>
      <c r="AR14" s="11">
        <f t="shared" si="4"/>
        <v>8</v>
      </c>
      <c r="AS14" s="11">
        <f t="shared" si="5"/>
        <v>1</v>
      </c>
      <c r="AT14" s="11">
        <f t="shared" si="6"/>
        <v>9</v>
      </c>
    </row>
    <row r="15" spans="1:46" x14ac:dyDescent="0.2">
      <c r="A15" s="6">
        <v>2005</v>
      </c>
      <c r="B15" s="8">
        <v>44</v>
      </c>
      <c r="C15" s="12">
        <f>(B15/$D$39)*100000</f>
        <v>3.9487169362264267</v>
      </c>
      <c r="D15" s="8">
        <v>2</v>
      </c>
      <c r="E15" s="12">
        <f>(D15/$D$35)*100000</f>
        <v>0.1743446602153331</v>
      </c>
      <c r="F15" s="8">
        <v>18</v>
      </c>
      <c r="G15" s="12">
        <f>(F15/$D$47)*100000</f>
        <v>2.2169235013597133</v>
      </c>
      <c r="H15" s="8">
        <v>0</v>
      </c>
      <c r="I15" s="12">
        <f>(H15/$D$43)*100000</f>
        <v>0</v>
      </c>
      <c r="J15" s="8">
        <v>3</v>
      </c>
      <c r="K15" s="12">
        <f>(J15/$D$37)*100000</f>
        <v>4.0048057669203043</v>
      </c>
      <c r="L15" s="8">
        <v>0</v>
      </c>
      <c r="M15" s="12">
        <f>(L15/$D$33)*100000</f>
        <v>0</v>
      </c>
      <c r="N15" s="8">
        <v>0</v>
      </c>
      <c r="O15" s="12">
        <f>(N15/$D$45)*100000</f>
        <v>0</v>
      </c>
      <c r="P15" s="8">
        <v>0</v>
      </c>
      <c r="Q15" s="12">
        <f>(P15/$D$41)*100000</f>
        <v>0</v>
      </c>
      <c r="R15" s="8">
        <v>5</v>
      </c>
      <c r="S15" s="12">
        <f>(R15/$D$38)*100000</f>
        <v>4.556348360170225</v>
      </c>
      <c r="T15" s="8">
        <v>0</v>
      </c>
      <c r="U15" s="12">
        <f>(T15/$D$34)*100000</f>
        <v>0</v>
      </c>
      <c r="V15" s="58">
        <v>2</v>
      </c>
      <c r="W15" s="41" t="s">
        <v>47</v>
      </c>
      <c r="X15" s="8">
        <v>0</v>
      </c>
      <c r="Y15" s="12">
        <f>(X15/$D$42)*100000</f>
        <v>0</v>
      </c>
      <c r="Z15" s="8">
        <v>36</v>
      </c>
      <c r="AA15" s="12">
        <f>(Z15/$D$36)*100000</f>
        <v>3.8724709268866735</v>
      </c>
      <c r="AB15" s="8">
        <v>2</v>
      </c>
      <c r="AC15" s="12">
        <f>(AB15/$D$32)*100000</f>
        <v>0.20944316393221163</v>
      </c>
      <c r="AD15" s="8">
        <v>17</v>
      </c>
      <c r="AE15" s="12">
        <f>(AD15/$D$44)*100000</f>
        <v>2.308208260126924</v>
      </c>
      <c r="AF15" s="8">
        <v>0</v>
      </c>
      <c r="AG15" s="12">
        <f>(AF15/$D$40)*100000</f>
        <v>0</v>
      </c>
      <c r="AH15" s="8">
        <v>0</v>
      </c>
      <c r="AI15" s="8">
        <v>0</v>
      </c>
      <c r="AJ15" s="8">
        <v>0</v>
      </c>
      <c r="AK15" s="8">
        <v>0</v>
      </c>
      <c r="AM15" s="11">
        <f t="shared" si="0"/>
        <v>2</v>
      </c>
      <c r="AN15" s="11">
        <f t="shared" si="7"/>
        <v>62</v>
      </c>
      <c r="AO15" s="11">
        <f t="shared" si="1"/>
        <v>2</v>
      </c>
      <c r="AP15" s="11">
        <f t="shared" si="2"/>
        <v>53</v>
      </c>
      <c r="AQ15" s="11">
        <f t="shared" si="3"/>
        <v>0</v>
      </c>
      <c r="AR15" s="11">
        <f t="shared" si="4"/>
        <v>3</v>
      </c>
      <c r="AS15" s="11">
        <f t="shared" si="5"/>
        <v>0</v>
      </c>
      <c r="AT15" s="11">
        <f t="shared" si="6"/>
        <v>7</v>
      </c>
    </row>
    <row r="16" spans="1:46" x14ac:dyDescent="0.2">
      <c r="A16" s="6">
        <v>2006</v>
      </c>
      <c r="B16" s="8">
        <v>36</v>
      </c>
      <c r="C16" s="12">
        <f>(B16/$D$39)*100000</f>
        <v>3.230768402367076</v>
      </c>
      <c r="D16" s="8">
        <v>2</v>
      </c>
      <c r="E16" s="12">
        <f>(D16/$D$35)*100000</f>
        <v>0.1743446602153331</v>
      </c>
      <c r="F16" s="8">
        <v>22</v>
      </c>
      <c r="G16" s="12">
        <f>(F16/$D$47)*100000</f>
        <v>2.709573168328538</v>
      </c>
      <c r="H16" s="8">
        <v>0</v>
      </c>
      <c r="I16" s="12">
        <f>(H16/$D$43)*100000</f>
        <v>0</v>
      </c>
      <c r="J16" s="8">
        <v>4</v>
      </c>
      <c r="K16" s="12">
        <f>(J16/$D$37)*100000</f>
        <v>5.3397410225604061</v>
      </c>
      <c r="L16" s="8">
        <v>0</v>
      </c>
      <c r="M16" s="12">
        <f>(L16/$D$33)*100000</f>
        <v>0</v>
      </c>
      <c r="N16" s="58">
        <v>2</v>
      </c>
      <c r="O16" s="41" t="s">
        <v>47</v>
      </c>
      <c r="P16" s="8">
        <v>0</v>
      </c>
      <c r="Q16" s="12">
        <f>(P16/$D$41)*100000</f>
        <v>0</v>
      </c>
      <c r="R16" s="8">
        <v>3</v>
      </c>
      <c r="S16" s="12">
        <f>(R16/$D$38)*100000</f>
        <v>2.7338090161021351</v>
      </c>
      <c r="T16" s="8">
        <v>2</v>
      </c>
      <c r="U16" s="12">
        <f>(T16/$D$34)*100000</f>
        <v>1.7851086238597618</v>
      </c>
      <c r="V16" s="58">
        <v>2</v>
      </c>
      <c r="W16" s="41" t="s">
        <v>47</v>
      </c>
      <c r="X16" s="8">
        <v>0</v>
      </c>
      <c r="Y16" s="12">
        <f>(X16/$D$42)*100000</f>
        <v>0</v>
      </c>
      <c r="Z16" s="8">
        <v>27</v>
      </c>
      <c r="AA16" s="12">
        <f>(Z16/$D$36)*100000</f>
        <v>2.904353195165005</v>
      </c>
      <c r="AB16" s="8">
        <v>0</v>
      </c>
      <c r="AC16" s="12">
        <f>(AB16/$D$32)*100000</f>
        <v>0</v>
      </c>
      <c r="AD16" s="8">
        <v>16</v>
      </c>
      <c r="AE16" s="12">
        <f>(AD16/$D$44)*100000</f>
        <v>2.17243130364887</v>
      </c>
      <c r="AF16" s="8">
        <v>0</v>
      </c>
      <c r="AG16" s="12">
        <f>(AF16/$D$40)*100000</f>
        <v>0</v>
      </c>
      <c r="AH16" s="8">
        <v>2</v>
      </c>
      <c r="AI16" s="8">
        <v>0</v>
      </c>
      <c r="AJ16" s="8">
        <v>1</v>
      </c>
      <c r="AK16" s="8">
        <v>0</v>
      </c>
      <c r="AM16" s="11">
        <f t="shared" si="0"/>
        <v>2</v>
      </c>
      <c r="AN16" s="11">
        <f t="shared" si="7"/>
        <v>58</v>
      </c>
      <c r="AO16" s="11">
        <f t="shared" si="1"/>
        <v>0</v>
      </c>
      <c r="AP16" s="11">
        <f t="shared" si="2"/>
        <v>43</v>
      </c>
      <c r="AQ16" s="11">
        <f t="shared" si="3"/>
        <v>0</v>
      </c>
      <c r="AR16" s="11">
        <f t="shared" si="4"/>
        <v>6</v>
      </c>
      <c r="AS16" s="11">
        <f t="shared" si="5"/>
        <v>2</v>
      </c>
      <c r="AT16" s="11">
        <f t="shared" si="6"/>
        <v>5</v>
      </c>
    </row>
    <row r="17" spans="1:48" x14ac:dyDescent="0.2">
      <c r="A17" s="6">
        <v>2007</v>
      </c>
      <c r="B17" s="8">
        <v>59</v>
      </c>
      <c r="C17" s="12">
        <f>(B17/$D$39)*100000</f>
        <v>5.2948704372127091</v>
      </c>
      <c r="D17" s="8">
        <v>7</v>
      </c>
      <c r="E17" s="12">
        <f>(D17/$D$35)*100000</f>
        <v>0.61020631075366583</v>
      </c>
      <c r="F17" s="8">
        <v>16</v>
      </c>
      <c r="G17" s="12">
        <f>(F17/$D$47)*100000</f>
        <v>1.9705986678753005</v>
      </c>
      <c r="H17" s="8">
        <v>0</v>
      </c>
      <c r="I17" s="12">
        <f>(H17/$D$43)*100000</f>
        <v>0</v>
      </c>
      <c r="J17" s="8">
        <v>13</v>
      </c>
      <c r="K17" s="12">
        <f>(J17/$D$37)*100000</f>
        <v>17.354158323321322</v>
      </c>
      <c r="L17" s="8">
        <v>6</v>
      </c>
      <c r="M17" s="12">
        <f>(L17/$D$33)*100000</f>
        <v>7.4811101967531979</v>
      </c>
      <c r="N17" s="58">
        <v>2</v>
      </c>
      <c r="O17" s="41" t="s">
        <v>47</v>
      </c>
      <c r="P17" s="8">
        <v>0</v>
      </c>
      <c r="Q17" s="12">
        <f>(P17/$D$41)*100000</f>
        <v>0</v>
      </c>
      <c r="R17" s="8">
        <v>7</v>
      </c>
      <c r="S17" s="12">
        <f>(R17/$D$38)*100000</f>
        <v>6.3788877042383154</v>
      </c>
      <c r="T17" s="8">
        <v>1</v>
      </c>
      <c r="U17" s="12">
        <f>(T17/$D$34)*100000</f>
        <v>0.89255431192988088</v>
      </c>
      <c r="V17" s="58">
        <v>2</v>
      </c>
      <c r="W17" s="41" t="s">
        <v>47</v>
      </c>
      <c r="X17" s="8">
        <v>0</v>
      </c>
      <c r="Y17" s="12">
        <f>(X17/$D$42)*100000</f>
        <v>0</v>
      </c>
      <c r="Z17" s="8">
        <v>34</v>
      </c>
      <c r="AA17" s="12">
        <f>(Z17/$D$36)*100000</f>
        <v>3.6573336531707468</v>
      </c>
      <c r="AB17" s="8">
        <v>0</v>
      </c>
      <c r="AC17" s="12">
        <f>(AB17/$D$32)*100000</f>
        <v>0</v>
      </c>
      <c r="AD17" s="8">
        <v>12</v>
      </c>
      <c r="AE17" s="12">
        <f>(AD17/$D$44)*100000</f>
        <v>1.6293234777366525</v>
      </c>
      <c r="AF17" s="8">
        <v>0</v>
      </c>
      <c r="AG17" s="12">
        <f>(AF17/$D$40)*100000</f>
        <v>0</v>
      </c>
      <c r="AH17" s="8">
        <v>5</v>
      </c>
      <c r="AI17" s="8">
        <v>0</v>
      </c>
      <c r="AJ17" s="8">
        <v>1</v>
      </c>
      <c r="AK17" s="8">
        <v>0</v>
      </c>
      <c r="AM17" s="11">
        <f t="shared" si="0"/>
        <v>7</v>
      </c>
      <c r="AN17" s="11">
        <f t="shared" si="7"/>
        <v>75</v>
      </c>
      <c r="AO17" s="11">
        <f t="shared" si="1"/>
        <v>0</v>
      </c>
      <c r="AP17" s="11">
        <f t="shared" si="2"/>
        <v>46</v>
      </c>
      <c r="AQ17" s="11">
        <f t="shared" si="3"/>
        <v>6</v>
      </c>
      <c r="AR17" s="11">
        <f t="shared" si="4"/>
        <v>15</v>
      </c>
      <c r="AS17" s="11">
        <f t="shared" si="5"/>
        <v>1</v>
      </c>
      <c r="AT17" s="11">
        <f t="shared" si="6"/>
        <v>9</v>
      </c>
    </row>
    <row r="18" spans="1:48" x14ac:dyDescent="0.2">
      <c r="A18" s="6">
        <v>2008</v>
      </c>
      <c r="B18" s="8">
        <v>70</v>
      </c>
      <c r="C18" s="12">
        <f>(B18/$D$39)*100000</f>
        <v>6.2820496712693155</v>
      </c>
      <c r="D18" s="8">
        <v>1</v>
      </c>
      <c r="E18" s="12">
        <f>(D18/$D$35)*100000</f>
        <v>8.7172330107666549E-2</v>
      </c>
      <c r="F18" s="8">
        <v>14</v>
      </c>
      <c r="G18" s="12">
        <f>(F18/$D$47)*100000</f>
        <v>1.7242738343908879</v>
      </c>
      <c r="H18" s="8">
        <v>2</v>
      </c>
      <c r="I18" s="12">
        <f>(H18/$D$43)*100000</f>
        <v>0.22947911682667096</v>
      </c>
      <c r="J18" s="8">
        <v>16</v>
      </c>
      <c r="K18" s="12">
        <f>(J18/$D$37)*100000</f>
        <v>21.358964090241624</v>
      </c>
      <c r="L18" s="8">
        <v>0</v>
      </c>
      <c r="M18" s="12">
        <f>(L18/$D$33)*100000</f>
        <v>0</v>
      </c>
      <c r="N18" s="58">
        <v>2</v>
      </c>
      <c r="O18" s="41" t="s">
        <v>47</v>
      </c>
      <c r="P18" s="58">
        <v>2</v>
      </c>
      <c r="Q18" s="41" t="s">
        <v>47</v>
      </c>
      <c r="R18" s="8">
        <v>8</v>
      </c>
      <c r="S18" s="12">
        <f>(R18/$D$38)*100000</f>
        <v>7.2901573762723597</v>
      </c>
      <c r="T18" s="8">
        <v>1</v>
      </c>
      <c r="U18" s="12">
        <f>(T18/$D$34)*100000</f>
        <v>0.89255431192988088</v>
      </c>
      <c r="V18" s="58">
        <v>2</v>
      </c>
      <c r="W18" s="41" t="s">
        <v>47</v>
      </c>
      <c r="X18" s="8">
        <v>0</v>
      </c>
      <c r="Y18" s="12">
        <f>(X18/$D$42)*100000</f>
        <v>0</v>
      </c>
      <c r="Z18" s="8">
        <v>44</v>
      </c>
      <c r="AA18" s="12">
        <f>(Z18/$D$36)*100000</f>
        <v>4.7330200217503791</v>
      </c>
      <c r="AB18" s="8">
        <v>0</v>
      </c>
      <c r="AC18" s="12">
        <f>(AB18/$D$32)*100000</f>
        <v>0</v>
      </c>
      <c r="AD18" s="8">
        <v>11</v>
      </c>
      <c r="AE18" s="12">
        <f>(AD18/$D$44)*100000</f>
        <v>1.4935465212585981</v>
      </c>
      <c r="AF18" s="8">
        <v>1</v>
      </c>
      <c r="AG18" s="12">
        <f>(AF18/$D$40)*100000</f>
        <v>0.12738107066337515</v>
      </c>
      <c r="AH18" s="8">
        <v>2</v>
      </c>
      <c r="AI18" s="8">
        <v>0</v>
      </c>
      <c r="AJ18" s="8">
        <v>1</v>
      </c>
      <c r="AK18" s="8">
        <v>0</v>
      </c>
      <c r="AM18" s="11">
        <f t="shared" si="0"/>
        <v>3</v>
      </c>
      <c r="AN18" s="11">
        <f t="shared" si="7"/>
        <v>84</v>
      </c>
      <c r="AO18" s="11">
        <f t="shared" si="1"/>
        <v>1</v>
      </c>
      <c r="AP18" s="11">
        <f t="shared" si="2"/>
        <v>55</v>
      </c>
      <c r="AQ18" s="11">
        <f t="shared" si="3"/>
        <v>2</v>
      </c>
      <c r="AR18" s="11">
        <f t="shared" si="4"/>
        <v>18</v>
      </c>
      <c r="AS18" s="11">
        <f t="shared" si="5"/>
        <v>1</v>
      </c>
      <c r="AT18" s="11">
        <f t="shared" si="6"/>
        <v>10</v>
      </c>
    </row>
    <row r="19" spans="1:48" x14ac:dyDescent="0.2">
      <c r="A19" s="6">
        <v>2009</v>
      </c>
      <c r="B19" s="8">
        <v>72</v>
      </c>
      <c r="C19" s="12">
        <f>(B19/$D$39)*100000</f>
        <v>6.4615368047341519</v>
      </c>
      <c r="D19" s="8">
        <v>6</v>
      </c>
      <c r="E19" s="12">
        <f>(D19/$D$35)*100000</f>
        <v>0.52303398064599926</v>
      </c>
      <c r="F19" s="8">
        <v>27</v>
      </c>
      <c r="G19" s="12">
        <f>(F19/$D$47)*100000</f>
        <v>3.3253852520395695</v>
      </c>
      <c r="H19" s="8">
        <v>0</v>
      </c>
      <c r="I19" s="12">
        <f>(H19/$D$43)*100000</f>
        <v>0</v>
      </c>
      <c r="J19" s="8">
        <v>14</v>
      </c>
      <c r="K19" s="12">
        <f>(J19/$D$37)*100000</f>
        <v>18.689093578961419</v>
      </c>
      <c r="L19" s="8">
        <v>5</v>
      </c>
      <c r="M19" s="12">
        <f>(L19/$D$33)*100000</f>
        <v>6.2342584972943316</v>
      </c>
      <c r="N19" s="58">
        <v>2</v>
      </c>
      <c r="O19" s="41" t="s">
        <v>47</v>
      </c>
      <c r="P19" s="8">
        <v>0</v>
      </c>
      <c r="Q19" s="12">
        <f>(P19/$D$41)*100000</f>
        <v>0</v>
      </c>
      <c r="R19" s="8">
        <v>19</v>
      </c>
      <c r="S19" s="12">
        <f>(R19/$D$38)*100000</f>
        <v>17.314123768646855</v>
      </c>
      <c r="T19" s="8">
        <v>0</v>
      </c>
      <c r="U19" s="12">
        <f>(T19/$D$34)*100000</f>
        <v>0</v>
      </c>
      <c r="V19" s="8">
        <v>0</v>
      </c>
      <c r="W19" s="12">
        <f>(V19/$D$46)*100000</f>
        <v>0</v>
      </c>
      <c r="X19" s="8">
        <v>0</v>
      </c>
      <c r="Y19" s="12">
        <f>(X19/$D$42)*100000</f>
        <v>0</v>
      </c>
      <c r="Z19" s="8">
        <v>36</v>
      </c>
      <c r="AA19" s="12">
        <f>(Z19/$D$36)*100000</f>
        <v>3.8724709268866735</v>
      </c>
      <c r="AB19" s="8">
        <v>1</v>
      </c>
      <c r="AC19" s="12">
        <f>(AB19/$D$32)*100000</f>
        <v>0.10472158196610581</v>
      </c>
      <c r="AD19" s="8">
        <v>23</v>
      </c>
      <c r="AE19" s="12">
        <f>(AD19/$D$44)*100000</f>
        <v>3.1228699989952502</v>
      </c>
      <c r="AF19" s="8">
        <v>0</v>
      </c>
      <c r="AG19" s="12">
        <f>(AF19/$D$40)*100000</f>
        <v>0</v>
      </c>
      <c r="AH19" s="8">
        <v>3</v>
      </c>
      <c r="AI19" s="8">
        <v>0</v>
      </c>
      <c r="AJ19" s="8">
        <v>2</v>
      </c>
      <c r="AK19" s="8">
        <v>0</v>
      </c>
      <c r="AM19" s="11">
        <f t="shared" si="0"/>
        <v>6</v>
      </c>
      <c r="AN19" s="11">
        <f t="shared" si="7"/>
        <v>99</v>
      </c>
      <c r="AO19" s="11">
        <f t="shared" si="1"/>
        <v>1</v>
      </c>
      <c r="AP19" s="11">
        <f t="shared" si="2"/>
        <v>59</v>
      </c>
      <c r="AQ19" s="11">
        <f t="shared" si="3"/>
        <v>5</v>
      </c>
      <c r="AR19" s="11">
        <f t="shared" si="4"/>
        <v>16</v>
      </c>
      <c r="AS19" s="11">
        <f t="shared" si="5"/>
        <v>0</v>
      </c>
      <c r="AT19" s="11">
        <f t="shared" si="6"/>
        <v>19</v>
      </c>
    </row>
    <row r="20" spans="1:48" s="11" customFormat="1" x14ac:dyDescent="0.2">
      <c r="A20" s="5">
        <v>2010</v>
      </c>
      <c r="B20" s="9">
        <v>84</v>
      </c>
      <c r="C20" s="10">
        <f>(B20/$E$39)*100000</f>
        <v>7.7312186609529281</v>
      </c>
      <c r="D20" s="9">
        <v>8</v>
      </c>
      <c r="E20" s="10">
        <f t="shared" ref="E20:E26" si="8">(D20/$C$35)*100000</f>
        <v>0.65489921919640592</v>
      </c>
      <c r="F20" s="9">
        <v>29</v>
      </c>
      <c r="G20" s="10">
        <f>(F20/$E$47)*100000</f>
        <v>3.1932417790540959</v>
      </c>
      <c r="H20" s="9">
        <v>0</v>
      </c>
      <c r="I20" s="10">
        <f>(H20/$E$43)*100000</f>
        <v>0</v>
      </c>
      <c r="J20" s="9">
        <v>10</v>
      </c>
      <c r="K20" s="10">
        <f>(J20/$E$37)*100000</f>
        <v>12.410643367752185</v>
      </c>
      <c r="L20" s="9">
        <v>3</v>
      </c>
      <c r="M20" s="10">
        <f>(L20/$E$33)*100000</f>
        <v>3.479067609880552</v>
      </c>
      <c r="N20" s="58">
        <v>2</v>
      </c>
      <c r="O20" s="41" t="s">
        <v>47</v>
      </c>
      <c r="P20" s="9">
        <v>0</v>
      </c>
      <c r="Q20" s="10">
        <f>(P20/$E$41)*100000</f>
        <v>0</v>
      </c>
      <c r="R20" s="9">
        <v>16</v>
      </c>
      <c r="S20" s="10">
        <f>(R20/$E$38)*100000</f>
        <v>12.484394506866417</v>
      </c>
      <c r="T20" s="9">
        <v>1</v>
      </c>
      <c r="U20" s="10">
        <f t="shared" ref="U20:U26" si="9">(T20/$C$34)*100000</f>
        <v>1.0498797887641866</v>
      </c>
      <c r="V20" s="9">
        <v>3</v>
      </c>
      <c r="W20" s="10">
        <f>(V20/$E$46)*100000</f>
        <v>5.9852762204975756</v>
      </c>
      <c r="X20" s="9">
        <v>0</v>
      </c>
      <c r="Y20" s="10">
        <f>(X20/$E$42)*100000</f>
        <v>0</v>
      </c>
      <c r="Z20" s="9">
        <v>58</v>
      </c>
      <c r="AA20" s="10">
        <f>(Z20/$E$36)*100000</f>
        <v>6.6076685411179268</v>
      </c>
      <c r="AB20" s="9">
        <v>4</v>
      </c>
      <c r="AC20" s="10">
        <f>(AB20/$E$32)*100000</f>
        <v>0.44159809936178035</v>
      </c>
      <c r="AD20" s="9">
        <v>25</v>
      </c>
      <c r="AE20" s="10">
        <f>(AD20/$E$44)*100000</f>
        <v>3.0911289544812717</v>
      </c>
      <c r="AF20" s="9">
        <v>0</v>
      </c>
      <c r="AG20" s="10">
        <f>(AF20/$E$40)*100000</f>
        <v>0</v>
      </c>
      <c r="AH20" s="9">
        <v>0</v>
      </c>
      <c r="AI20" s="9">
        <v>0</v>
      </c>
      <c r="AJ20" s="9">
        <v>0</v>
      </c>
      <c r="AK20" s="9">
        <v>0</v>
      </c>
      <c r="AM20" s="11">
        <f t="shared" si="0"/>
        <v>8</v>
      </c>
      <c r="AN20" s="11">
        <f t="shared" si="7"/>
        <v>113</v>
      </c>
      <c r="AO20" s="11">
        <f t="shared" si="1"/>
        <v>4</v>
      </c>
      <c r="AP20" s="11">
        <f t="shared" si="2"/>
        <v>83</v>
      </c>
      <c r="AQ20" s="11">
        <f t="shared" si="3"/>
        <v>3</v>
      </c>
      <c r="AR20" s="11">
        <f t="shared" si="4"/>
        <v>12</v>
      </c>
      <c r="AS20" s="11">
        <f t="shared" si="5"/>
        <v>1</v>
      </c>
      <c r="AT20" s="11">
        <f t="shared" si="6"/>
        <v>19</v>
      </c>
    </row>
    <row r="21" spans="1:48" s="11" customFormat="1" x14ac:dyDescent="0.2">
      <c r="A21" s="5">
        <v>2011</v>
      </c>
      <c r="B21" s="9">
        <v>89</v>
      </c>
      <c r="C21" s="10">
        <f>(B21/$E$39)*100000</f>
        <v>8.191410247914412</v>
      </c>
      <c r="D21" s="9">
        <v>12</v>
      </c>
      <c r="E21" s="10">
        <f t="shared" si="8"/>
        <v>0.98234882879460883</v>
      </c>
      <c r="F21" s="9">
        <v>37</v>
      </c>
      <c r="G21" s="10">
        <f>(F21/$E$47)*100000</f>
        <v>4.0741360629310872</v>
      </c>
      <c r="H21" s="9">
        <v>2</v>
      </c>
      <c r="I21" s="10">
        <f>(H21/$E$43)*100000</f>
        <v>0.20609951515089059</v>
      </c>
      <c r="J21" s="9">
        <v>20</v>
      </c>
      <c r="K21" s="10">
        <f>(J21/$E$37)*100000</f>
        <v>24.821286735504369</v>
      </c>
      <c r="L21" s="9">
        <v>3</v>
      </c>
      <c r="M21" s="10">
        <f>(L21/$E$33)*100000</f>
        <v>3.479067609880552</v>
      </c>
      <c r="N21" s="9">
        <v>0</v>
      </c>
      <c r="O21" s="10">
        <f>(N21/$E$45)*100000</f>
        <v>0</v>
      </c>
      <c r="P21" s="9">
        <v>0</v>
      </c>
      <c r="Q21" s="10">
        <f>(P21/$E$41)*100000</f>
        <v>0</v>
      </c>
      <c r="R21" s="9">
        <v>26</v>
      </c>
      <c r="S21" s="10">
        <f>(R21/$E$38)*100000</f>
        <v>20.287141073657928</v>
      </c>
      <c r="T21" s="9">
        <v>6</v>
      </c>
      <c r="U21" s="10">
        <f t="shared" si="9"/>
        <v>6.2992787325851181</v>
      </c>
      <c r="V21" s="9">
        <v>8</v>
      </c>
      <c r="W21" s="10">
        <f>(V21/$E$46)*100000</f>
        <v>15.960736587993535</v>
      </c>
      <c r="X21" s="9">
        <v>1</v>
      </c>
      <c r="Y21" s="10">
        <f>(X21/$E$42)*100000</f>
        <v>1.7197496044575911</v>
      </c>
      <c r="Z21" s="9">
        <v>39</v>
      </c>
      <c r="AA21" s="10">
        <f>(Z21/$E$36)*100000</f>
        <v>4.4430874673034335</v>
      </c>
      <c r="AB21" s="9">
        <v>3</v>
      </c>
      <c r="AC21" s="10">
        <f>(AB21/$E$32)*100000</f>
        <v>0.33119857452133522</v>
      </c>
      <c r="AD21" s="9">
        <v>26</v>
      </c>
      <c r="AE21" s="10">
        <f>(AD21/$E$44)*100000</f>
        <v>3.2147741126605225</v>
      </c>
      <c r="AF21" s="9">
        <v>1</v>
      </c>
      <c r="AG21" s="10">
        <f>(AF21/$E$40)*100000</f>
        <v>0.1165881639695938</v>
      </c>
      <c r="AH21" s="9">
        <v>4</v>
      </c>
      <c r="AI21" s="9">
        <v>0</v>
      </c>
      <c r="AJ21" s="9">
        <v>3</v>
      </c>
      <c r="AK21" s="9">
        <v>0</v>
      </c>
      <c r="AM21" s="11">
        <f t="shared" si="0"/>
        <v>14</v>
      </c>
      <c r="AN21" s="11">
        <f t="shared" si="7"/>
        <v>126</v>
      </c>
      <c r="AO21" s="11">
        <f t="shared" si="1"/>
        <v>4</v>
      </c>
      <c r="AP21" s="11">
        <f t="shared" si="2"/>
        <v>65</v>
      </c>
      <c r="AQ21" s="11">
        <f t="shared" si="3"/>
        <v>3</v>
      </c>
      <c r="AR21" s="11">
        <f t="shared" si="4"/>
        <v>20</v>
      </c>
      <c r="AS21" s="11">
        <f t="shared" si="5"/>
        <v>7</v>
      </c>
      <c r="AT21" s="11">
        <f t="shared" si="6"/>
        <v>34</v>
      </c>
    </row>
    <row r="22" spans="1:48" s="11" customFormat="1" x14ac:dyDescent="0.2">
      <c r="A22" s="5">
        <v>2012</v>
      </c>
      <c r="B22" s="9">
        <v>124</v>
      </c>
      <c r="C22" s="10">
        <f>(B22/$E$39)*100000</f>
        <v>11.412751356644797</v>
      </c>
      <c r="D22" s="9">
        <v>9</v>
      </c>
      <c r="E22" s="10">
        <f t="shared" si="8"/>
        <v>0.73676162159595671</v>
      </c>
      <c r="F22" s="9">
        <v>36</v>
      </c>
      <c r="G22" s="10">
        <f>(F22/$E$47)*100000</f>
        <v>3.9640242774464634</v>
      </c>
      <c r="H22" s="9">
        <v>1</v>
      </c>
      <c r="I22" s="10">
        <f>(H22/$E$43)*100000</f>
        <v>0.10304975757544529</v>
      </c>
      <c r="J22" s="9">
        <v>22</v>
      </c>
      <c r="K22" s="10">
        <f>(J22/$E$37)*100000</f>
        <v>27.303415409054807</v>
      </c>
      <c r="L22" s="9">
        <v>1</v>
      </c>
      <c r="M22" s="10">
        <f>(L22/$E$33)*100000</f>
        <v>1.1596892032935173</v>
      </c>
      <c r="N22" s="58">
        <v>2</v>
      </c>
      <c r="O22" s="41" t="s">
        <v>47</v>
      </c>
      <c r="P22" s="9">
        <v>0</v>
      </c>
      <c r="Q22" s="10">
        <f>(P22/$E$41)*100000</f>
        <v>0</v>
      </c>
      <c r="R22" s="9">
        <v>29</v>
      </c>
      <c r="S22" s="10">
        <f>(R22/$E$38)*100000</f>
        <v>22.627965043695379</v>
      </c>
      <c r="T22" s="9">
        <v>4</v>
      </c>
      <c r="U22" s="10">
        <f t="shared" si="9"/>
        <v>4.1995191550567466</v>
      </c>
      <c r="V22" s="9">
        <v>3</v>
      </c>
      <c r="W22" s="10">
        <f>(V22/$E$46)*100000</f>
        <v>5.9852762204975756</v>
      </c>
      <c r="X22" s="9">
        <v>0</v>
      </c>
      <c r="Y22" s="10">
        <f>(X22/$E$42)*100000</f>
        <v>0</v>
      </c>
      <c r="Z22" s="9">
        <v>70</v>
      </c>
      <c r="AA22" s="10">
        <f>(Z22/$E$36)*100000</f>
        <v>7.9747723772112904</v>
      </c>
      <c r="AB22" s="9">
        <v>3</v>
      </c>
      <c r="AC22" s="10">
        <f>(AB22/$E$32)*100000</f>
        <v>0.33119857452133522</v>
      </c>
      <c r="AD22" s="9">
        <v>28</v>
      </c>
      <c r="AE22" s="10">
        <f>(AD22/$E$44)*100000</f>
        <v>3.4620644290190241</v>
      </c>
      <c r="AF22" s="9">
        <v>1</v>
      </c>
      <c r="AG22" s="10">
        <f>(AF22/$E$40)*100000</f>
        <v>0.1165881639695938</v>
      </c>
      <c r="AH22" s="9">
        <v>3</v>
      </c>
      <c r="AI22" s="9">
        <v>1</v>
      </c>
      <c r="AJ22" s="9">
        <v>3</v>
      </c>
      <c r="AK22" s="9">
        <v>0</v>
      </c>
      <c r="AM22" s="11">
        <f t="shared" si="0"/>
        <v>10</v>
      </c>
      <c r="AN22" s="11">
        <f t="shared" si="7"/>
        <v>160</v>
      </c>
      <c r="AO22" s="11">
        <f t="shared" si="1"/>
        <v>4</v>
      </c>
      <c r="AP22" s="11">
        <f t="shared" si="2"/>
        <v>98</v>
      </c>
      <c r="AQ22" s="11">
        <f t="shared" si="3"/>
        <v>1</v>
      </c>
      <c r="AR22" s="11">
        <f t="shared" si="4"/>
        <v>24</v>
      </c>
      <c r="AS22" s="11">
        <f t="shared" si="5"/>
        <v>4</v>
      </c>
      <c r="AT22" s="11">
        <f t="shared" si="6"/>
        <v>32</v>
      </c>
    </row>
    <row r="23" spans="1:48" s="11" customFormat="1" x14ac:dyDescent="0.2">
      <c r="A23" s="5">
        <v>2013</v>
      </c>
      <c r="B23" s="9">
        <v>156</v>
      </c>
      <c r="C23" s="10">
        <f>(B23/$E$39)*100000</f>
        <v>14.357977513198295</v>
      </c>
      <c r="D23" s="9">
        <v>9</v>
      </c>
      <c r="E23" s="10">
        <f t="shared" si="8"/>
        <v>0.73676162159595671</v>
      </c>
      <c r="F23" s="9">
        <v>70</v>
      </c>
      <c r="G23" s="10">
        <f>(F23/$E$47)*100000</f>
        <v>7.707824983923679</v>
      </c>
      <c r="H23" s="9">
        <v>3</v>
      </c>
      <c r="I23" s="10">
        <f>(H23/$E$43)*100000</f>
        <v>0.30914927272633591</v>
      </c>
      <c r="J23" s="9">
        <v>20</v>
      </c>
      <c r="K23" s="10">
        <f>(J23/$E$37)*100000</f>
        <v>24.821286735504369</v>
      </c>
      <c r="L23" s="9">
        <v>2</v>
      </c>
      <c r="M23" s="10">
        <f>(L23/$E$33)*100000</f>
        <v>2.3193784065870346</v>
      </c>
      <c r="N23" s="58">
        <v>2</v>
      </c>
      <c r="O23" s="41" t="s">
        <v>47</v>
      </c>
      <c r="P23" s="58">
        <v>2</v>
      </c>
      <c r="Q23" s="41" t="s">
        <v>47</v>
      </c>
      <c r="R23" s="9">
        <v>32</v>
      </c>
      <c r="S23" s="10">
        <f>(R23/$E$38)*100000</f>
        <v>24.968789013732835</v>
      </c>
      <c r="T23" s="9">
        <v>3</v>
      </c>
      <c r="U23" s="10">
        <f t="shared" si="9"/>
        <v>3.149639366292559</v>
      </c>
      <c r="V23" s="9">
        <v>7</v>
      </c>
      <c r="W23" s="10">
        <f>(V23/$E$46)*100000</f>
        <v>13.965644514494343</v>
      </c>
      <c r="X23" s="9">
        <v>0</v>
      </c>
      <c r="Y23" s="10">
        <f>(X23/$E$42)*100000</f>
        <v>0</v>
      </c>
      <c r="Z23" s="9">
        <v>98</v>
      </c>
      <c r="AA23" s="10">
        <f>(Z23/$E$36)*100000</f>
        <v>11.164681328095806</v>
      </c>
      <c r="AB23" s="9">
        <v>4</v>
      </c>
      <c r="AC23" s="10">
        <f>(AB23/$E$32)*100000</f>
        <v>0.44159809936178035</v>
      </c>
      <c r="AD23" s="9">
        <v>55</v>
      </c>
      <c r="AE23" s="10">
        <f>(AD23/$E$44)*100000</f>
        <v>6.8004836998587974</v>
      </c>
      <c r="AF23" s="9">
        <v>2</v>
      </c>
      <c r="AG23" s="10">
        <f>(AF23/$E$40)*100000</f>
        <v>0.23317632793918761</v>
      </c>
      <c r="AH23" s="9">
        <v>6</v>
      </c>
      <c r="AI23" s="9">
        <v>0</v>
      </c>
      <c r="AJ23" s="9">
        <v>5</v>
      </c>
      <c r="AK23" s="9">
        <v>0</v>
      </c>
      <c r="AM23" s="11">
        <f t="shared" si="0"/>
        <v>12</v>
      </c>
      <c r="AN23" s="11">
        <f t="shared" si="7"/>
        <v>226</v>
      </c>
      <c r="AO23" s="11">
        <f t="shared" si="1"/>
        <v>6</v>
      </c>
      <c r="AP23" s="11">
        <f t="shared" si="2"/>
        <v>153</v>
      </c>
      <c r="AQ23" s="11">
        <f t="shared" si="3"/>
        <v>4</v>
      </c>
      <c r="AR23" s="11">
        <f t="shared" si="4"/>
        <v>22</v>
      </c>
      <c r="AS23" s="11">
        <f t="shared" si="5"/>
        <v>3</v>
      </c>
      <c r="AT23" s="11">
        <f t="shared" si="6"/>
        <v>39</v>
      </c>
    </row>
    <row r="24" spans="1:48" s="11" customFormat="1" x14ac:dyDescent="0.2">
      <c r="A24" s="5" t="s">
        <v>37</v>
      </c>
      <c r="B24" s="9">
        <v>123</v>
      </c>
      <c r="C24" s="10">
        <f>(B24/$E$39)*100000</f>
        <v>11.320713039252501</v>
      </c>
      <c r="D24" s="9">
        <v>13</v>
      </c>
      <c r="E24" s="10">
        <f t="shared" si="8"/>
        <v>1.0642112311941596</v>
      </c>
      <c r="F24" s="9">
        <v>49</v>
      </c>
      <c r="G24" s="10">
        <f>(F24/$E$47)*100000</f>
        <v>5.3954774887465753</v>
      </c>
      <c r="H24" s="9">
        <v>2</v>
      </c>
      <c r="I24" s="10">
        <f>(H24/$E$43)*100000</f>
        <v>0.20609951515089059</v>
      </c>
      <c r="J24" s="9">
        <v>22</v>
      </c>
      <c r="K24" s="10">
        <f>(J24/$E$37)*100000</f>
        <v>27.303415409054807</v>
      </c>
      <c r="L24" s="9">
        <v>2</v>
      </c>
      <c r="M24" s="10">
        <f>(L24/$E$33)*100000</f>
        <v>2.3193784065870346</v>
      </c>
      <c r="N24" s="58">
        <v>2</v>
      </c>
      <c r="O24" s="41" t="s">
        <v>47</v>
      </c>
      <c r="P24" s="9">
        <v>0</v>
      </c>
      <c r="Q24" s="10">
        <f>(P24/$E$41)*100000</f>
        <v>0</v>
      </c>
      <c r="R24" s="9">
        <v>18</v>
      </c>
      <c r="S24" s="10">
        <f>(R24/$E$38)*100000</f>
        <v>14.04494382022472</v>
      </c>
      <c r="T24" s="9">
        <v>6</v>
      </c>
      <c r="U24" s="10">
        <f t="shared" si="9"/>
        <v>6.2992787325851181</v>
      </c>
      <c r="V24" s="9">
        <v>9</v>
      </c>
      <c r="W24" s="10">
        <f>(V24/$E$46)*100000</f>
        <v>17.955828661492728</v>
      </c>
      <c r="X24" s="9">
        <v>0</v>
      </c>
      <c r="Y24" s="10">
        <f>(X24/$E$42)*100000</f>
        <v>0</v>
      </c>
      <c r="Z24" s="9">
        <v>71</v>
      </c>
      <c r="AA24" s="10">
        <f>(Z24/$E$36)*100000</f>
        <v>8.0886976968857383</v>
      </c>
      <c r="AB24" s="9">
        <v>5</v>
      </c>
      <c r="AC24" s="10">
        <f>(AB24/$E$32)*100000</f>
        <v>0.55199762420222542</v>
      </c>
      <c r="AD24" s="9">
        <v>37</v>
      </c>
      <c r="AE24" s="10">
        <f>(AD24/$E$44)*100000</f>
        <v>4.5748708526322819</v>
      </c>
      <c r="AF24" s="9">
        <v>2</v>
      </c>
      <c r="AG24" s="10">
        <f>(AF24/$E$40)*100000</f>
        <v>0.23317632793918761</v>
      </c>
      <c r="AH24" s="9">
        <v>12</v>
      </c>
      <c r="AI24" s="9">
        <v>0</v>
      </c>
      <c r="AJ24" s="9">
        <v>1</v>
      </c>
      <c r="AK24" s="9">
        <v>0</v>
      </c>
      <c r="AM24" s="11">
        <f t="shared" si="0"/>
        <v>15</v>
      </c>
      <c r="AN24" s="11">
        <f t="shared" si="7"/>
        <v>172</v>
      </c>
      <c r="AO24" s="11">
        <f t="shared" si="1"/>
        <v>7</v>
      </c>
      <c r="AP24" s="11">
        <f t="shared" si="2"/>
        <v>108</v>
      </c>
      <c r="AQ24" s="11">
        <f t="shared" si="3"/>
        <v>2</v>
      </c>
      <c r="AR24" s="11">
        <f t="shared" si="4"/>
        <v>24</v>
      </c>
      <c r="AS24" s="11">
        <f t="shared" si="5"/>
        <v>6</v>
      </c>
      <c r="AT24" s="11">
        <f t="shared" si="6"/>
        <v>27</v>
      </c>
    </row>
    <row r="25" spans="1:48" x14ac:dyDescent="0.2">
      <c r="A25" s="6">
        <v>2015</v>
      </c>
      <c r="B25" s="8">
        <v>154</v>
      </c>
      <c r="C25" s="12">
        <f>(B25/$F$39)*100000</f>
        <v>13.674812948094317</v>
      </c>
      <c r="D25" s="8">
        <v>15</v>
      </c>
      <c r="E25" s="12">
        <f t="shared" si="8"/>
        <v>1.2279360359932612</v>
      </c>
      <c r="F25" s="8">
        <v>75</v>
      </c>
      <c r="G25" s="12">
        <f>(F25/$F$47)*100000</f>
        <v>7.9297026572962253</v>
      </c>
      <c r="H25" s="8">
        <v>4</v>
      </c>
      <c r="I25" s="12">
        <f>(H25/$F$43)*100000</f>
        <v>0.39537138717039616</v>
      </c>
      <c r="J25" s="8">
        <v>19</v>
      </c>
      <c r="K25" s="12">
        <f>(J25/$F$37)*100000</f>
        <v>20.379706103185672</v>
      </c>
      <c r="L25" s="8">
        <v>3</v>
      </c>
      <c r="M25" s="12">
        <f>(L25/$F$33)*100000</f>
        <v>3.1393231619262889</v>
      </c>
      <c r="N25" s="8">
        <v>5</v>
      </c>
      <c r="O25" s="12">
        <f>(N25/$F$45)*100000</f>
        <v>8.6542622241453913</v>
      </c>
      <c r="P25" s="8">
        <v>0</v>
      </c>
      <c r="Q25" s="12">
        <f>(P25/$F$41)*100000</f>
        <v>0</v>
      </c>
      <c r="R25" s="8">
        <v>32</v>
      </c>
      <c r="S25" s="12">
        <f>(R25/$F$38)*100000</f>
        <v>20.174255128673924</v>
      </c>
      <c r="T25" s="8">
        <v>5</v>
      </c>
      <c r="U25" s="12">
        <f t="shared" si="9"/>
        <v>5.2493989438209328</v>
      </c>
      <c r="V25" s="8">
        <v>10</v>
      </c>
      <c r="W25" s="12">
        <f>(V25/$F$46)*100000</f>
        <v>15.235077241841616</v>
      </c>
      <c r="X25" s="8">
        <v>2</v>
      </c>
      <c r="Y25" s="12">
        <f>(X25/$F$42)*100000</f>
        <v>2.6957811025744709</v>
      </c>
      <c r="Z25" s="8">
        <v>93</v>
      </c>
      <c r="AA25" s="12">
        <f>(Z25/$F$36)*100000</f>
        <v>10.636959430865483</v>
      </c>
      <c r="AB25" s="8">
        <v>4</v>
      </c>
      <c r="AC25" s="12">
        <f>(AB25/$F$32)*100000</f>
        <v>0.44563627390142302</v>
      </c>
      <c r="AD25" s="8">
        <v>53</v>
      </c>
      <c r="AE25" s="12">
        <f>(AD25/$F$44)*100000</f>
        <v>6.4445682017709194</v>
      </c>
      <c r="AF25" s="8">
        <v>1</v>
      </c>
      <c r="AG25" s="12">
        <f>(AF25/$F$40)*100000</f>
        <v>0.11451684199195175</v>
      </c>
      <c r="AH25" s="8">
        <v>10</v>
      </c>
      <c r="AI25" s="8">
        <v>3</v>
      </c>
      <c r="AJ25" s="8">
        <v>7</v>
      </c>
      <c r="AK25" s="8">
        <v>1</v>
      </c>
      <c r="AM25" s="11">
        <f t="shared" si="0"/>
        <v>19</v>
      </c>
      <c r="AN25" s="11">
        <f t="shared" si="7"/>
        <v>229</v>
      </c>
      <c r="AO25" s="11">
        <f t="shared" si="1"/>
        <v>5</v>
      </c>
      <c r="AP25" s="11">
        <f t="shared" si="2"/>
        <v>146</v>
      </c>
      <c r="AQ25" s="11">
        <f t="shared" si="3"/>
        <v>3</v>
      </c>
      <c r="AR25" s="11">
        <f t="shared" si="4"/>
        <v>24</v>
      </c>
      <c r="AS25" s="11">
        <f t="shared" si="5"/>
        <v>7</v>
      </c>
      <c r="AT25" s="11">
        <f t="shared" si="6"/>
        <v>42</v>
      </c>
    </row>
    <row r="26" spans="1:48" x14ac:dyDescent="0.2">
      <c r="A26" s="6">
        <v>2016</v>
      </c>
      <c r="B26" s="8">
        <v>196</v>
      </c>
      <c r="C26" s="12">
        <f>(B26/$F$39)*100000</f>
        <v>17.404307388483677</v>
      </c>
      <c r="D26" s="8">
        <v>12</v>
      </c>
      <c r="E26" s="12">
        <f t="shared" si="8"/>
        <v>0.98234882879460883</v>
      </c>
      <c r="F26" s="8">
        <v>90</v>
      </c>
      <c r="G26" s="12">
        <f>(F26/$F$47)*100000</f>
        <v>9.5156431887554707</v>
      </c>
      <c r="H26" s="8">
        <v>2</v>
      </c>
      <c r="I26" s="12">
        <f>(H26/$F$43)*100000</f>
        <v>0.19768569358519808</v>
      </c>
      <c r="J26" s="8">
        <v>30</v>
      </c>
      <c r="K26" s="12">
        <f>(J26/$F$37)*100000</f>
        <v>32.178483320819481</v>
      </c>
      <c r="L26" s="8">
        <v>4</v>
      </c>
      <c r="M26" s="12">
        <f>(L26/$F$33)*100000</f>
        <v>4.1857642159017177</v>
      </c>
      <c r="N26" s="8">
        <v>4</v>
      </c>
      <c r="O26" s="12">
        <f>(N26/$F$45)*100000</f>
        <v>6.9234097793163132</v>
      </c>
      <c r="P26" s="8">
        <v>0</v>
      </c>
      <c r="Q26" s="12">
        <f>(P26/$F$41)*100000</f>
        <v>0</v>
      </c>
      <c r="R26" s="8">
        <v>48</v>
      </c>
      <c r="S26" s="12">
        <f>(R26/$F$38)*100000</f>
        <v>30.261382693010884</v>
      </c>
      <c r="T26" s="8">
        <v>5</v>
      </c>
      <c r="U26" s="12">
        <f t="shared" si="9"/>
        <v>5.2493989438209328</v>
      </c>
      <c r="V26" s="8">
        <v>14</v>
      </c>
      <c r="W26" s="12">
        <f>(V26/$F$46)*100000</f>
        <v>21.329108138578263</v>
      </c>
      <c r="X26" s="8">
        <v>1</v>
      </c>
      <c r="Y26" s="12">
        <f>(X26/$F$42)*100000</f>
        <v>1.3478905512872354</v>
      </c>
      <c r="Z26" s="8">
        <v>111</v>
      </c>
      <c r="AA26" s="12">
        <f>(Z26/$F$36)*100000</f>
        <v>12.695725772323319</v>
      </c>
      <c r="AB26" s="8">
        <v>2</v>
      </c>
      <c r="AC26" s="12">
        <f>(AB26/$F$32)*100000</f>
        <v>0.22281813695071151</v>
      </c>
      <c r="AD26" s="8">
        <v>65</v>
      </c>
      <c r="AE26" s="12">
        <f>(AD26/$F$44)*100000</f>
        <v>7.9037157191530136</v>
      </c>
      <c r="AF26" s="8">
        <v>1</v>
      </c>
      <c r="AG26" s="12">
        <f>(AF26/$F$40)*100000</f>
        <v>0.11451684199195175</v>
      </c>
      <c r="AH26" s="8">
        <v>7</v>
      </c>
      <c r="AI26" s="8">
        <v>1</v>
      </c>
      <c r="AJ26" s="8">
        <v>7</v>
      </c>
      <c r="AK26" s="8">
        <v>0</v>
      </c>
      <c r="AM26" s="11">
        <f t="shared" si="0"/>
        <v>14</v>
      </c>
      <c r="AN26" s="11">
        <f t="shared" si="7"/>
        <v>286</v>
      </c>
      <c r="AO26" s="11">
        <f t="shared" si="1"/>
        <v>3</v>
      </c>
      <c r="AP26" s="11">
        <f t="shared" si="2"/>
        <v>176</v>
      </c>
      <c r="AQ26" s="11">
        <f t="shared" si="3"/>
        <v>4</v>
      </c>
      <c r="AR26" s="11">
        <f t="shared" si="4"/>
        <v>34</v>
      </c>
      <c r="AS26" s="11">
        <f t="shared" si="5"/>
        <v>6</v>
      </c>
      <c r="AT26" s="11">
        <f t="shared" si="6"/>
        <v>62</v>
      </c>
    </row>
    <row r="27" spans="1:48" s="22" customFormat="1" ht="14" x14ac:dyDescent="0.15">
      <c r="A27" s="96" t="s">
        <v>38</v>
      </c>
      <c r="B27" s="96"/>
      <c r="C27" s="96"/>
      <c r="D27" s="96"/>
      <c r="E27" s="96"/>
      <c r="F27" s="96"/>
      <c r="G27" s="96"/>
      <c r="H27" s="96"/>
      <c r="I27" s="96"/>
      <c r="J27" s="96"/>
      <c r="K27" s="96"/>
      <c r="L27" s="96"/>
      <c r="AR27" s="23"/>
      <c r="AV27" s="23"/>
    </row>
    <row r="28" spans="1:48" s="22" customFormat="1" ht="16.5" customHeight="1" x14ac:dyDescent="0.15">
      <c r="A28" s="22" t="s">
        <v>39</v>
      </c>
    </row>
    <row r="29" spans="1:48" s="22" customFormat="1" ht="34.5" customHeight="1" x14ac:dyDescent="0.15">
      <c r="A29" s="95" t="s">
        <v>40</v>
      </c>
      <c r="B29" s="95"/>
      <c r="C29" s="95"/>
      <c r="D29" s="95"/>
      <c r="E29" s="95"/>
      <c r="F29" s="95"/>
      <c r="G29" s="95"/>
      <c r="H29" s="95"/>
      <c r="I29" s="95"/>
    </row>
    <row r="30" spans="1:48" ht="16.5" customHeight="1" x14ac:dyDescent="0.2">
      <c r="A30" s="7"/>
    </row>
    <row r="31" spans="1:48" x14ac:dyDescent="0.2">
      <c r="A31" s="7" t="s">
        <v>28</v>
      </c>
      <c r="B31" s="7" t="s">
        <v>14</v>
      </c>
      <c r="C31" s="13" t="s">
        <v>23</v>
      </c>
      <c r="D31" s="13" t="s">
        <v>24</v>
      </c>
      <c r="E31" s="13" t="s">
        <v>25</v>
      </c>
      <c r="F31" s="13" t="s">
        <v>26</v>
      </c>
      <c r="O31" s="59" t="s">
        <v>118</v>
      </c>
    </row>
    <row r="32" spans="1:48" ht="16.5" customHeight="1" x14ac:dyDescent="0.2">
      <c r="A32" s="7" t="s">
        <v>29</v>
      </c>
      <c r="B32" s="7" t="s">
        <v>15</v>
      </c>
      <c r="C32" s="14">
        <v>1050000</v>
      </c>
      <c r="D32" s="13">
        <v>954913</v>
      </c>
      <c r="E32" s="13">
        <v>905801</v>
      </c>
      <c r="F32" s="13">
        <v>897593</v>
      </c>
    </row>
    <row r="33" spans="1:11" ht="16.5" customHeight="1" x14ac:dyDescent="0.2">
      <c r="A33" s="7"/>
      <c r="B33" s="7" t="s">
        <v>16</v>
      </c>
      <c r="C33" s="15">
        <v>76313</v>
      </c>
      <c r="D33" s="16">
        <v>80202</v>
      </c>
      <c r="E33" s="16">
        <v>86230</v>
      </c>
      <c r="F33" s="16">
        <v>95562</v>
      </c>
    </row>
    <row r="34" spans="1:11" ht="16.5" customHeight="1" x14ac:dyDescent="0.2">
      <c r="A34" s="7"/>
      <c r="B34" s="7" t="s">
        <v>17</v>
      </c>
      <c r="C34" s="15">
        <v>95249</v>
      </c>
      <c r="D34" s="16">
        <v>112038</v>
      </c>
      <c r="E34" s="16">
        <v>131116</v>
      </c>
      <c r="F34" s="16">
        <v>153770</v>
      </c>
    </row>
    <row r="35" spans="1:11" x14ac:dyDescent="0.2">
      <c r="A35" s="7"/>
      <c r="B35" s="7" t="s">
        <v>27</v>
      </c>
      <c r="C35" s="15">
        <v>1221562</v>
      </c>
      <c r="D35" s="16">
        <v>1147153</v>
      </c>
      <c r="E35" s="16">
        <v>1123147</v>
      </c>
      <c r="F35" s="16">
        <v>1146925</v>
      </c>
    </row>
    <row r="36" spans="1:11" x14ac:dyDescent="0.2">
      <c r="A36" s="7"/>
      <c r="B36" s="7" t="s">
        <v>18</v>
      </c>
      <c r="C36" s="15">
        <v>1010000</v>
      </c>
      <c r="D36" s="16">
        <v>929639</v>
      </c>
      <c r="E36" s="16">
        <v>877768</v>
      </c>
      <c r="F36" s="16">
        <v>874310</v>
      </c>
    </row>
    <row r="37" spans="1:11" x14ac:dyDescent="0.2">
      <c r="A37" s="7"/>
      <c r="B37" s="7" t="s">
        <v>19</v>
      </c>
      <c r="C37" s="15">
        <v>70374</v>
      </c>
      <c r="D37" s="16">
        <v>74910</v>
      </c>
      <c r="E37" s="16">
        <v>80576</v>
      </c>
      <c r="F37" s="16">
        <v>93230</v>
      </c>
    </row>
    <row r="38" spans="1:11" x14ac:dyDescent="0.2">
      <c r="A38" s="7"/>
      <c r="B38" s="7" t="s">
        <v>20</v>
      </c>
      <c r="C38" s="15">
        <v>92657</v>
      </c>
      <c r="D38" s="16">
        <v>109737</v>
      </c>
      <c r="E38" s="16">
        <v>128160</v>
      </c>
      <c r="F38" s="16">
        <v>158618</v>
      </c>
    </row>
    <row r="39" spans="1:11" x14ac:dyDescent="0.2">
      <c r="A39" s="7"/>
      <c r="B39" s="7" t="s">
        <v>21</v>
      </c>
      <c r="C39" s="15">
        <v>1173031</v>
      </c>
      <c r="D39" s="16">
        <v>1114286</v>
      </c>
      <c r="E39" s="16">
        <v>1086504</v>
      </c>
      <c r="F39" s="16">
        <v>1126158</v>
      </c>
    </row>
    <row r="40" spans="1:11" x14ac:dyDescent="0.2">
      <c r="A40" s="17" t="s">
        <v>22</v>
      </c>
      <c r="B40" s="7" t="s">
        <v>15</v>
      </c>
      <c r="C40" s="7">
        <v>699071</v>
      </c>
      <c r="D40" s="7">
        <v>785046</v>
      </c>
      <c r="E40" s="7">
        <v>857720</v>
      </c>
      <c r="F40" s="7">
        <v>873234</v>
      </c>
      <c r="H40" s="13"/>
      <c r="I40" s="13"/>
      <c r="J40" s="13"/>
      <c r="K40" s="13"/>
    </row>
    <row r="41" spans="1:11" x14ac:dyDescent="0.2">
      <c r="B41" s="7" t="s">
        <v>16</v>
      </c>
      <c r="C41" s="7">
        <v>35632</v>
      </c>
      <c r="D41" s="7">
        <v>44616</v>
      </c>
      <c r="E41" s="7">
        <v>54537</v>
      </c>
      <c r="F41" s="7">
        <v>64283</v>
      </c>
    </row>
    <row r="42" spans="1:11" x14ac:dyDescent="0.2">
      <c r="B42" s="7" t="s">
        <v>17</v>
      </c>
      <c r="C42" s="7">
        <v>29998</v>
      </c>
      <c r="D42" s="7">
        <v>41877</v>
      </c>
      <c r="E42" s="7">
        <v>58148</v>
      </c>
      <c r="F42" s="7">
        <v>74190</v>
      </c>
    </row>
    <row r="43" spans="1:11" x14ac:dyDescent="0.2">
      <c r="B43" s="7" t="s">
        <v>27</v>
      </c>
      <c r="C43" s="7">
        <v>764701</v>
      </c>
      <c r="D43" s="7">
        <v>871539</v>
      </c>
      <c r="E43" s="7">
        <v>970405</v>
      </c>
      <c r="F43" s="7">
        <v>1011707</v>
      </c>
    </row>
    <row r="44" spans="1:11" ht="15" customHeight="1" x14ac:dyDescent="0.2">
      <c r="B44" s="7" t="s">
        <v>18</v>
      </c>
      <c r="C44" s="7">
        <v>654641</v>
      </c>
      <c r="D44" s="7">
        <v>736502</v>
      </c>
      <c r="E44" s="7">
        <v>808766</v>
      </c>
      <c r="F44" s="7">
        <v>822398</v>
      </c>
    </row>
    <row r="45" spans="1:11" x14ac:dyDescent="0.2">
      <c r="B45" s="7" t="s">
        <v>19</v>
      </c>
      <c r="C45" s="7">
        <v>30445</v>
      </c>
      <c r="D45" s="7">
        <v>39364</v>
      </c>
      <c r="E45" s="7">
        <v>49279</v>
      </c>
      <c r="F45" s="7">
        <v>57775</v>
      </c>
    </row>
    <row r="46" spans="1:11" x14ac:dyDescent="0.2">
      <c r="B46" s="7" t="s">
        <v>20</v>
      </c>
      <c r="C46" s="7">
        <v>25624</v>
      </c>
      <c r="D46" s="7">
        <v>36070</v>
      </c>
      <c r="E46" s="7">
        <v>50123</v>
      </c>
      <c r="F46" s="7">
        <v>65638</v>
      </c>
    </row>
    <row r="47" spans="1:11" x14ac:dyDescent="0.2">
      <c r="B47" s="7" t="s">
        <v>21</v>
      </c>
      <c r="C47" s="7">
        <v>710710</v>
      </c>
      <c r="D47" s="7">
        <v>811936</v>
      </c>
      <c r="E47" s="7">
        <v>908168</v>
      </c>
      <c r="F47" s="7">
        <v>945811</v>
      </c>
    </row>
    <row r="62" spans="1:1" ht="15.75" customHeight="1" x14ac:dyDescent="0.2"/>
    <row r="63" spans="1:1" x14ac:dyDescent="0.2">
      <c r="A63" s="7"/>
    </row>
    <row r="65" ht="15.75" customHeight="1" x14ac:dyDescent="0.2"/>
    <row r="66" ht="16.5" customHeight="1" x14ac:dyDescent="0.2"/>
    <row r="69" ht="16.5" customHeight="1" x14ac:dyDescent="0.2"/>
    <row r="89" ht="15.75" customHeight="1" x14ac:dyDescent="0.2"/>
    <row r="90" ht="16.5" customHeight="1" x14ac:dyDescent="0.2"/>
    <row r="91" ht="15.75" customHeight="1" x14ac:dyDescent="0.2"/>
    <row r="95" ht="16.5" customHeight="1" x14ac:dyDescent="0.2"/>
  </sheetData>
  <mergeCells count="38">
    <mergeCell ref="AH6:AK6"/>
    <mergeCell ref="AD7:AG7"/>
    <mergeCell ref="AH7:AI7"/>
    <mergeCell ref="AJ7:AK7"/>
    <mergeCell ref="R7:U7"/>
    <mergeCell ref="V7:Y7"/>
    <mergeCell ref="Z7:AC7"/>
    <mergeCell ref="R6:Y6"/>
    <mergeCell ref="Z6:AG6"/>
    <mergeCell ref="B7:E7"/>
    <mergeCell ref="AD8:AE8"/>
    <mergeCell ref="AF8:AG8"/>
    <mergeCell ref="R8:S8"/>
    <mergeCell ref="T8:U8"/>
    <mergeCell ref="V8:W8"/>
    <mergeCell ref="X8:Y8"/>
    <mergeCell ref="F7:I7"/>
    <mergeCell ref="J7:M7"/>
    <mergeCell ref="J6:Q6"/>
    <mergeCell ref="B6:I6"/>
    <mergeCell ref="N7:Q7"/>
    <mergeCell ref="A29:I29"/>
    <mergeCell ref="A27:L27"/>
    <mergeCell ref="Z8:AA8"/>
    <mergeCell ref="AB8:AC8"/>
    <mergeCell ref="J8:K8"/>
    <mergeCell ref="L8:M8"/>
    <mergeCell ref="N8:O8"/>
    <mergeCell ref="P8:Q8"/>
    <mergeCell ref="B8:C8"/>
    <mergeCell ref="D8:E8"/>
    <mergeCell ref="F8:G8"/>
    <mergeCell ref="H8:I8"/>
    <mergeCell ref="AM5:AN5"/>
    <mergeCell ref="AO5:AP5"/>
    <mergeCell ref="AQ5:AR5"/>
    <mergeCell ref="AS5:AT5"/>
    <mergeCell ref="A1:H5"/>
  </mergeCells>
  <pageMargins left="0.25" right="0.25" top="0.75" bottom="0.75" header="0.3" footer="0.3"/>
  <pageSetup paperSize="5"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5"/>
  <sheetViews>
    <sheetView tabSelected="1" workbookViewId="0">
      <pane xSplit="1" topLeftCell="B1" activePane="topRight" state="frozen"/>
      <selection pane="topRight" activeCell="AB17" sqref="AB17"/>
    </sheetView>
  </sheetViews>
  <sheetFormatPr baseColWidth="10" defaultColWidth="12.6640625" defaultRowHeight="16" x14ac:dyDescent="0.2"/>
  <cols>
    <col min="1" max="1" width="13.33203125" style="17" bestFit="1" customWidth="1"/>
    <col min="2" max="2" width="19.33203125" style="7" bestFit="1" customWidth="1"/>
    <col min="3" max="6" width="15.5" style="7" bestFit="1" customWidth="1"/>
    <col min="7" max="7" width="14" style="7" bestFit="1" customWidth="1"/>
    <col min="8" max="8" width="6.1640625" style="7" bestFit="1" customWidth="1"/>
    <col min="9" max="9" width="14" style="7" bestFit="1" customWidth="1"/>
    <col min="10" max="10" width="6.1640625" style="7" bestFit="1" customWidth="1"/>
    <col min="11" max="11" width="14" style="7" bestFit="1" customWidth="1"/>
    <col min="12" max="12" width="6.1640625" style="7" bestFit="1" customWidth="1"/>
    <col min="13" max="13" width="14" style="7" bestFit="1" customWidth="1"/>
    <col min="14" max="14" width="6.1640625" style="7" bestFit="1" customWidth="1"/>
    <col min="15" max="15" width="14" style="7" bestFit="1" customWidth="1"/>
    <col min="16" max="16" width="6.1640625" style="7" bestFit="1" customWidth="1"/>
    <col min="17" max="17" width="14" style="7" bestFit="1" customWidth="1"/>
    <col min="18" max="18" width="6.1640625" style="7" bestFit="1" customWidth="1"/>
    <col min="19" max="19" width="14" style="7" bestFit="1" customWidth="1"/>
    <col min="20" max="20" width="6.1640625" style="7" bestFit="1" customWidth="1"/>
    <col min="21" max="21" width="14" style="7" bestFit="1" customWidth="1"/>
    <col min="22" max="22" width="6.1640625" style="7" bestFit="1" customWidth="1"/>
    <col min="23" max="23" width="14" style="7" bestFit="1" customWidth="1"/>
    <col min="24" max="24" width="6.1640625" style="7" bestFit="1" customWidth="1"/>
    <col min="25" max="25" width="14" style="7" bestFit="1" customWidth="1"/>
    <col min="26" max="26" width="6.1640625" style="7" bestFit="1" customWidth="1"/>
    <col min="27" max="27" width="14" style="7" bestFit="1" customWidth="1"/>
    <col min="28" max="28" width="6.1640625" style="7" bestFit="1" customWidth="1"/>
    <col min="29" max="29" width="14" style="7" bestFit="1" customWidth="1"/>
    <col min="30" max="30" width="6.1640625" style="7" bestFit="1" customWidth="1"/>
    <col min="31" max="31" width="14" style="7" bestFit="1" customWidth="1"/>
    <col min="32" max="32" width="6.1640625" style="7" bestFit="1" customWidth="1"/>
    <col min="33" max="33" width="14" style="7" bestFit="1" customWidth="1"/>
    <col min="34" max="34" width="6.1640625" style="7" bestFit="1" customWidth="1"/>
    <col min="35" max="35" width="7.6640625" style="7" bestFit="1" customWidth="1"/>
    <col min="36" max="36" width="6.1640625" style="7" bestFit="1" customWidth="1"/>
    <col min="37" max="37" width="7.6640625" style="7" bestFit="1" customWidth="1"/>
    <col min="38" max="38" width="5.6640625" style="7" bestFit="1" customWidth="1"/>
    <col min="39" max="39" width="12.1640625" style="7" bestFit="1" customWidth="1"/>
    <col min="40" max="40" width="8.83203125" style="7" customWidth="1"/>
    <col min="41" max="41" width="12.1640625" style="7" bestFit="1" customWidth="1"/>
    <col min="42" max="42" width="13.1640625" style="7" bestFit="1" customWidth="1"/>
    <col min="43" max="43" width="12.1640625" style="7" bestFit="1" customWidth="1"/>
    <col min="44" max="44" width="8.1640625" style="7" bestFit="1" customWidth="1"/>
    <col min="45" max="45" width="12.1640625" style="7" bestFit="1" customWidth="1"/>
    <col min="46" max="46" width="10.5" style="7" bestFit="1" customWidth="1"/>
    <col min="47" max="47" width="12.1640625" style="7" bestFit="1" customWidth="1"/>
    <col min="48" max="48" width="5.6640625" style="7" bestFit="1" customWidth="1"/>
    <col min="49" max="49" width="12.1640625" style="7" bestFit="1" customWidth="1"/>
    <col min="50" max="55" width="6" style="7" customWidth="1"/>
    <col min="56" max="16384" width="12.6640625" style="7"/>
  </cols>
  <sheetData>
    <row r="1" spans="1:46" x14ac:dyDescent="0.2">
      <c r="A1" s="80" t="s">
        <v>48</v>
      </c>
      <c r="B1" s="81"/>
      <c r="C1" s="81"/>
      <c r="D1" s="81"/>
      <c r="E1" s="81"/>
      <c r="F1" s="81"/>
      <c r="G1" s="81"/>
      <c r="H1" s="82"/>
    </row>
    <row r="2" spans="1:46" x14ac:dyDescent="0.2">
      <c r="A2" s="83"/>
      <c r="B2" s="84"/>
      <c r="C2" s="84"/>
      <c r="D2" s="84"/>
      <c r="E2" s="84"/>
      <c r="F2" s="84"/>
      <c r="G2" s="84"/>
      <c r="H2" s="85"/>
    </row>
    <row r="3" spans="1:46" x14ac:dyDescent="0.2">
      <c r="A3" s="83"/>
      <c r="B3" s="84"/>
      <c r="C3" s="84"/>
      <c r="D3" s="84"/>
      <c r="E3" s="84"/>
      <c r="F3" s="84"/>
      <c r="G3" s="84"/>
      <c r="H3" s="85"/>
    </row>
    <row r="4" spans="1:46" x14ac:dyDescent="0.2">
      <c r="A4" s="83"/>
      <c r="B4" s="84"/>
      <c r="C4" s="84"/>
      <c r="D4" s="84"/>
      <c r="E4" s="84"/>
      <c r="F4" s="84"/>
      <c r="G4" s="84"/>
      <c r="H4" s="85"/>
    </row>
    <row r="5" spans="1:46" x14ac:dyDescent="0.2">
      <c r="A5" s="86"/>
      <c r="B5" s="87"/>
      <c r="C5" s="87"/>
      <c r="D5" s="87"/>
      <c r="E5" s="87"/>
      <c r="F5" s="87"/>
      <c r="G5" s="87"/>
      <c r="H5" s="88"/>
      <c r="AM5" s="75" t="s">
        <v>167</v>
      </c>
      <c r="AN5" s="75"/>
      <c r="AO5" s="75" t="s">
        <v>167</v>
      </c>
      <c r="AP5" s="75"/>
      <c r="AQ5" s="97" t="s">
        <v>167</v>
      </c>
      <c r="AR5" s="97"/>
      <c r="AS5" s="97" t="s">
        <v>167</v>
      </c>
      <c r="AT5" s="97"/>
    </row>
    <row r="6" spans="1:46" x14ac:dyDescent="0.2">
      <c r="A6" s="6" t="s">
        <v>4</v>
      </c>
      <c r="B6" s="77" t="s">
        <v>5</v>
      </c>
      <c r="C6" s="89"/>
      <c r="D6" s="89"/>
      <c r="E6" s="89"/>
      <c r="F6" s="89"/>
      <c r="G6" s="89"/>
      <c r="H6" s="89"/>
      <c r="I6" s="78"/>
      <c r="J6" s="77" t="s">
        <v>6</v>
      </c>
      <c r="K6" s="89"/>
      <c r="L6" s="89"/>
      <c r="M6" s="89"/>
      <c r="N6" s="89"/>
      <c r="O6" s="89"/>
      <c r="P6" s="89"/>
      <c r="Q6" s="78"/>
      <c r="R6" s="77" t="s">
        <v>7</v>
      </c>
      <c r="S6" s="89"/>
      <c r="T6" s="89"/>
      <c r="U6" s="89"/>
      <c r="V6" s="89"/>
      <c r="W6" s="89"/>
      <c r="X6" s="89"/>
      <c r="Y6" s="78"/>
      <c r="Z6" s="92" t="s">
        <v>8</v>
      </c>
      <c r="AA6" s="93"/>
      <c r="AB6" s="93"/>
      <c r="AC6" s="93"/>
      <c r="AD6" s="93"/>
      <c r="AE6" s="93"/>
      <c r="AF6" s="93"/>
      <c r="AG6" s="94"/>
      <c r="AH6" s="91" t="s">
        <v>33</v>
      </c>
      <c r="AI6" s="91"/>
      <c r="AJ6" s="91"/>
      <c r="AK6" s="91"/>
      <c r="AM6" s="7" t="s">
        <v>164</v>
      </c>
      <c r="AN6" s="7" t="s">
        <v>165</v>
      </c>
      <c r="AO6" s="7" t="s">
        <v>164</v>
      </c>
      <c r="AP6" s="7" t="s">
        <v>165</v>
      </c>
      <c r="AQ6" s="74" t="s">
        <v>170</v>
      </c>
      <c r="AR6" s="74" t="s">
        <v>170</v>
      </c>
      <c r="AS6" s="74" t="s">
        <v>171</v>
      </c>
      <c r="AT6" s="74" t="s">
        <v>171</v>
      </c>
    </row>
    <row r="7" spans="1:46" x14ac:dyDescent="0.2">
      <c r="A7" s="6" t="s">
        <v>1</v>
      </c>
      <c r="B7" s="77" t="s">
        <v>2</v>
      </c>
      <c r="C7" s="89"/>
      <c r="D7" s="89"/>
      <c r="E7" s="78"/>
      <c r="F7" s="77" t="s">
        <v>3</v>
      </c>
      <c r="G7" s="89"/>
      <c r="H7" s="89"/>
      <c r="I7" s="78"/>
      <c r="J7" s="77" t="s">
        <v>2</v>
      </c>
      <c r="K7" s="89"/>
      <c r="L7" s="89"/>
      <c r="M7" s="78"/>
      <c r="N7" s="77" t="s">
        <v>3</v>
      </c>
      <c r="O7" s="89"/>
      <c r="P7" s="89"/>
      <c r="Q7" s="78"/>
      <c r="R7" s="77" t="s">
        <v>2</v>
      </c>
      <c r="S7" s="89"/>
      <c r="T7" s="89"/>
      <c r="U7" s="78"/>
      <c r="V7" s="77" t="s">
        <v>3</v>
      </c>
      <c r="W7" s="89"/>
      <c r="X7" s="89"/>
      <c r="Y7" s="78"/>
      <c r="Z7" s="91" t="s">
        <v>2</v>
      </c>
      <c r="AA7" s="91"/>
      <c r="AB7" s="91"/>
      <c r="AC7" s="91"/>
      <c r="AD7" s="91" t="s">
        <v>3</v>
      </c>
      <c r="AE7" s="91"/>
      <c r="AF7" s="91"/>
      <c r="AG7" s="91"/>
      <c r="AH7" s="91" t="s">
        <v>2</v>
      </c>
      <c r="AI7" s="91"/>
      <c r="AJ7" s="91" t="s">
        <v>3</v>
      </c>
      <c r="AK7" s="91"/>
      <c r="AM7" s="7" t="s">
        <v>162</v>
      </c>
      <c r="AN7" s="7" t="s">
        <v>162</v>
      </c>
      <c r="AO7" s="7" t="s">
        <v>168</v>
      </c>
      <c r="AP7" s="7" t="s">
        <v>169</v>
      </c>
      <c r="AQ7" s="74" t="s">
        <v>159</v>
      </c>
      <c r="AR7" s="74" t="s">
        <v>159</v>
      </c>
      <c r="AS7" s="74" t="s">
        <v>159</v>
      </c>
      <c r="AT7" s="74" t="s">
        <v>159</v>
      </c>
    </row>
    <row r="8" spans="1:46" x14ac:dyDescent="0.2">
      <c r="A8" s="6" t="s">
        <v>36</v>
      </c>
      <c r="B8" s="77" t="s">
        <v>34</v>
      </c>
      <c r="C8" s="78"/>
      <c r="D8" s="77" t="s">
        <v>35</v>
      </c>
      <c r="E8" s="78"/>
      <c r="F8" s="77" t="s">
        <v>34</v>
      </c>
      <c r="G8" s="78"/>
      <c r="H8" s="77" t="s">
        <v>35</v>
      </c>
      <c r="I8" s="78"/>
      <c r="J8" s="90" t="s">
        <v>34</v>
      </c>
      <c r="K8" s="90"/>
      <c r="L8" s="90" t="s">
        <v>35</v>
      </c>
      <c r="M8" s="90"/>
      <c r="N8" s="90" t="s">
        <v>34</v>
      </c>
      <c r="O8" s="90"/>
      <c r="P8" s="90" t="s">
        <v>35</v>
      </c>
      <c r="Q8" s="90"/>
      <c r="R8" s="90" t="s">
        <v>34</v>
      </c>
      <c r="S8" s="90"/>
      <c r="T8" s="90" t="s">
        <v>35</v>
      </c>
      <c r="U8" s="90"/>
      <c r="V8" s="90" t="s">
        <v>34</v>
      </c>
      <c r="W8" s="90"/>
      <c r="X8" s="90" t="s">
        <v>35</v>
      </c>
      <c r="Y8" s="90"/>
      <c r="Z8" s="91" t="s">
        <v>34</v>
      </c>
      <c r="AA8" s="91"/>
      <c r="AB8" s="91" t="s">
        <v>35</v>
      </c>
      <c r="AC8" s="91"/>
      <c r="AD8" s="91" t="s">
        <v>34</v>
      </c>
      <c r="AE8" s="91"/>
      <c r="AF8" s="91" t="s">
        <v>35</v>
      </c>
      <c r="AG8" s="91"/>
      <c r="AH8" s="3" t="s">
        <v>34</v>
      </c>
      <c r="AI8" s="3" t="s">
        <v>35</v>
      </c>
      <c r="AJ8" s="3" t="s">
        <v>34</v>
      </c>
      <c r="AK8" s="3" t="s">
        <v>35</v>
      </c>
      <c r="AM8" s="7" t="s">
        <v>163</v>
      </c>
      <c r="AN8" s="7" t="s">
        <v>163</v>
      </c>
      <c r="AO8" s="7" t="s">
        <v>163</v>
      </c>
      <c r="AP8" s="7" t="s">
        <v>163</v>
      </c>
      <c r="AQ8" s="74" t="s">
        <v>35</v>
      </c>
      <c r="AR8" s="74" t="s">
        <v>34</v>
      </c>
      <c r="AS8" s="74" t="s">
        <v>35</v>
      </c>
      <c r="AT8" s="74" t="s">
        <v>34</v>
      </c>
    </row>
    <row r="9" spans="1:46" x14ac:dyDescent="0.2">
      <c r="A9" s="6" t="s">
        <v>0</v>
      </c>
      <c r="B9" s="8" t="s">
        <v>12</v>
      </c>
      <c r="C9" s="8" t="s">
        <v>13</v>
      </c>
      <c r="D9" s="8" t="s">
        <v>12</v>
      </c>
      <c r="E9" s="8" t="s">
        <v>13</v>
      </c>
      <c r="F9" s="8" t="s">
        <v>12</v>
      </c>
      <c r="G9" s="8" t="s">
        <v>13</v>
      </c>
      <c r="H9" s="8" t="s">
        <v>12</v>
      </c>
      <c r="I9" s="8" t="s">
        <v>13</v>
      </c>
      <c r="J9" s="8" t="s">
        <v>12</v>
      </c>
      <c r="K9" s="8" t="s">
        <v>13</v>
      </c>
      <c r="L9" s="8" t="s">
        <v>12</v>
      </c>
      <c r="M9" s="8" t="s">
        <v>13</v>
      </c>
      <c r="N9" s="8" t="s">
        <v>12</v>
      </c>
      <c r="O9" s="8" t="s">
        <v>13</v>
      </c>
      <c r="P9" s="8" t="s">
        <v>12</v>
      </c>
      <c r="Q9" s="8" t="s">
        <v>13</v>
      </c>
      <c r="R9" s="8" t="s">
        <v>12</v>
      </c>
      <c r="S9" s="8" t="s">
        <v>13</v>
      </c>
      <c r="T9" s="8" t="s">
        <v>12</v>
      </c>
      <c r="U9" s="8" t="s">
        <v>13</v>
      </c>
      <c r="V9" s="8" t="s">
        <v>12</v>
      </c>
      <c r="W9" s="8" t="s">
        <v>13</v>
      </c>
      <c r="X9" s="8" t="s">
        <v>12</v>
      </c>
      <c r="Y9" s="8" t="s">
        <v>13</v>
      </c>
      <c r="Z9" s="8" t="s">
        <v>12</v>
      </c>
      <c r="AA9" s="8" t="s">
        <v>13</v>
      </c>
      <c r="AB9" s="8" t="s">
        <v>12</v>
      </c>
      <c r="AC9" s="8" t="s">
        <v>13</v>
      </c>
      <c r="AD9" s="8" t="s">
        <v>12</v>
      </c>
      <c r="AE9" s="8" t="s">
        <v>13</v>
      </c>
      <c r="AF9" s="8" t="s">
        <v>12</v>
      </c>
      <c r="AG9" s="8" t="s">
        <v>13</v>
      </c>
      <c r="AH9" s="8" t="s">
        <v>12</v>
      </c>
      <c r="AI9" s="8" t="s">
        <v>12</v>
      </c>
      <c r="AJ9" s="8" t="s">
        <v>12</v>
      </c>
      <c r="AK9" s="8" t="s">
        <v>12</v>
      </c>
      <c r="AM9" s="7" t="s">
        <v>166</v>
      </c>
      <c r="AN9" s="7" t="s">
        <v>166</v>
      </c>
      <c r="AO9" s="7" t="s">
        <v>166</v>
      </c>
      <c r="AP9" s="7" t="s">
        <v>166</v>
      </c>
      <c r="AQ9" s="74" t="s">
        <v>12</v>
      </c>
      <c r="AR9" s="74" t="s">
        <v>12</v>
      </c>
      <c r="AS9" s="74" t="s">
        <v>12</v>
      </c>
      <c r="AT9" s="74" t="s">
        <v>12</v>
      </c>
    </row>
    <row r="10" spans="1:46" s="11" customFormat="1" x14ac:dyDescent="0.2">
      <c r="A10" s="5">
        <v>2000</v>
      </c>
      <c r="B10" s="9">
        <v>40</v>
      </c>
      <c r="C10" s="10">
        <f>(B10/$C$39)*100000</f>
        <v>3.4099695574967757</v>
      </c>
      <c r="D10" s="9">
        <v>22</v>
      </c>
      <c r="E10" s="10">
        <f>(D10/$C$35)*100000</f>
        <v>1.8009728527901163</v>
      </c>
      <c r="F10" s="9">
        <v>7</v>
      </c>
      <c r="G10" s="10">
        <f>(F10/$C$47)*100000</f>
        <v>0.98493056239535115</v>
      </c>
      <c r="H10" s="9">
        <v>0</v>
      </c>
      <c r="I10" s="10">
        <f>(H10/$C$43)*100000</f>
        <v>0</v>
      </c>
      <c r="J10" s="9">
        <v>5</v>
      </c>
      <c r="K10" s="10">
        <f>(J10/$C$37)*100000</f>
        <v>7.1048966948020569</v>
      </c>
      <c r="L10" s="9">
        <v>6</v>
      </c>
      <c r="M10" s="10">
        <f>(L10/$C$33)*100000</f>
        <v>7.8623563481975554</v>
      </c>
      <c r="N10" s="58">
        <v>2</v>
      </c>
      <c r="O10" s="41" t="s">
        <v>47</v>
      </c>
      <c r="P10" s="9">
        <v>0</v>
      </c>
      <c r="Q10" s="10">
        <f>(P10/$C$41)*100000</f>
        <v>0</v>
      </c>
      <c r="R10" s="9">
        <v>22</v>
      </c>
      <c r="S10" s="10">
        <f>(R10/$C$38)*100000</f>
        <v>23.743484032506988</v>
      </c>
      <c r="T10" s="9">
        <v>10</v>
      </c>
      <c r="U10" s="10">
        <f>(T10/$C$34)*100000</f>
        <v>10.498797887641866</v>
      </c>
      <c r="V10" s="58">
        <v>2</v>
      </c>
      <c r="W10" s="41" t="s">
        <v>47</v>
      </c>
      <c r="X10" s="9">
        <v>0</v>
      </c>
      <c r="Y10" s="10">
        <f>(X10/$C$42)*100000</f>
        <v>0</v>
      </c>
      <c r="Z10" s="9">
        <v>12</v>
      </c>
      <c r="AA10" s="10">
        <f>(Z10/$C$36)*100000</f>
        <v>1.1881188118811881</v>
      </c>
      <c r="AB10" s="9">
        <v>5</v>
      </c>
      <c r="AC10" s="10">
        <f>(AB10/$C$32)*100000</f>
        <v>0.47619047619047616</v>
      </c>
      <c r="AD10" s="9">
        <v>2</v>
      </c>
      <c r="AE10" s="10">
        <f>(AD10/$C$44)*100000</f>
        <v>0.30551095944189255</v>
      </c>
      <c r="AF10" s="9">
        <v>0</v>
      </c>
      <c r="AG10" s="10">
        <f>(AF10/$C$40)*100000</f>
        <v>0</v>
      </c>
      <c r="AH10" s="9">
        <v>1</v>
      </c>
      <c r="AI10" s="9">
        <v>1</v>
      </c>
      <c r="AJ10" s="9">
        <v>0</v>
      </c>
      <c r="AK10" s="9">
        <v>0</v>
      </c>
      <c r="AM10" s="11">
        <f>D10+H10</f>
        <v>22</v>
      </c>
      <c r="AN10" s="11">
        <f>B10+F10</f>
        <v>47</v>
      </c>
      <c r="AO10" s="11">
        <f>AB10+AF10</f>
        <v>5</v>
      </c>
      <c r="AP10" s="11">
        <f>AD10+Z10</f>
        <v>14</v>
      </c>
      <c r="AQ10" s="11">
        <f>P10+L10</f>
        <v>6</v>
      </c>
      <c r="AR10" s="11">
        <f>N10+J10</f>
        <v>7</v>
      </c>
      <c r="AS10" s="11">
        <f>X10+T10</f>
        <v>10</v>
      </c>
      <c r="AT10" s="11">
        <f>V10+R10</f>
        <v>24</v>
      </c>
    </row>
    <row r="11" spans="1:46" s="11" customFormat="1" x14ac:dyDescent="0.2">
      <c r="A11" s="5">
        <v>2001</v>
      </c>
      <c r="B11" s="9">
        <v>20</v>
      </c>
      <c r="C11" s="10">
        <f>(B11/$C$39)*100000</f>
        <v>1.7049847787483878</v>
      </c>
      <c r="D11" s="9">
        <v>13</v>
      </c>
      <c r="E11" s="10">
        <f>(D11/$C$35)*100000</f>
        <v>1.0642112311941596</v>
      </c>
      <c r="F11" s="9">
        <v>7</v>
      </c>
      <c r="G11" s="10">
        <f>(F11/$C$47)*100000</f>
        <v>0.98493056239535115</v>
      </c>
      <c r="H11" s="9">
        <v>3</v>
      </c>
      <c r="I11" s="10">
        <f>(H11/$C$43)*100000</f>
        <v>0.39231019705741199</v>
      </c>
      <c r="J11" s="9">
        <v>2</v>
      </c>
      <c r="K11" s="10">
        <f>(J11/$C$37)*100000</f>
        <v>2.841958677920823</v>
      </c>
      <c r="L11" s="9">
        <v>3</v>
      </c>
      <c r="M11" s="10">
        <f>(L11/$C$33)*100000</f>
        <v>3.9311781740987777</v>
      </c>
      <c r="N11" s="58">
        <v>2</v>
      </c>
      <c r="O11" s="41" t="s">
        <v>47</v>
      </c>
      <c r="P11" s="9">
        <v>0</v>
      </c>
      <c r="Q11" s="10">
        <f>(P11/$C$41)*100000</f>
        <v>0</v>
      </c>
      <c r="R11" s="9">
        <v>8</v>
      </c>
      <c r="S11" s="10">
        <f>(R11/$C$38)*100000</f>
        <v>8.6339941936389053</v>
      </c>
      <c r="T11" s="9">
        <v>5</v>
      </c>
      <c r="U11" s="10">
        <f>(T11/$C$34)*100000</f>
        <v>5.2493989438209328</v>
      </c>
      <c r="V11" s="9">
        <v>0</v>
      </c>
      <c r="W11" s="10">
        <f>(V11/$C$46)*100000</f>
        <v>0</v>
      </c>
      <c r="X11" s="58">
        <v>2</v>
      </c>
      <c r="Y11" s="41" t="s">
        <v>47</v>
      </c>
      <c r="Z11" s="9">
        <v>7</v>
      </c>
      <c r="AA11" s="10">
        <f>(Z11/$C$36)*100000</f>
        <v>0.69306930693069302</v>
      </c>
      <c r="AB11" s="9">
        <v>2</v>
      </c>
      <c r="AC11" s="10">
        <f>(AB11/$C$32)*100000</f>
        <v>0.19047619047619047</v>
      </c>
      <c r="AD11" s="9">
        <v>5</v>
      </c>
      <c r="AE11" s="10">
        <f>(AD11/$C$44)*100000</f>
        <v>0.76377739860473148</v>
      </c>
      <c r="AF11" s="9">
        <v>1</v>
      </c>
      <c r="AG11" s="10">
        <f>(AF11/$C$40)*100000</f>
        <v>0.14304698664370286</v>
      </c>
      <c r="AH11" s="9">
        <v>3</v>
      </c>
      <c r="AI11" s="9">
        <v>3</v>
      </c>
      <c r="AJ11" s="9">
        <v>0</v>
      </c>
      <c r="AK11" s="9">
        <v>0</v>
      </c>
      <c r="AM11" s="11">
        <f t="shared" ref="AM11:AM26" si="0">D11+H11</f>
        <v>16</v>
      </c>
      <c r="AN11" s="11">
        <f t="shared" ref="AN11:AN26" si="1">B11+F11</f>
        <v>27</v>
      </c>
      <c r="AO11" s="11">
        <f t="shared" ref="AO11:AO26" si="2">AB11+AF11</f>
        <v>3</v>
      </c>
      <c r="AP11" s="11">
        <f t="shared" ref="AP11:AP26" si="3">AD11+Z11</f>
        <v>12</v>
      </c>
      <c r="AQ11" s="11">
        <f t="shared" ref="AQ11:AQ26" si="4">P11+L11</f>
        <v>3</v>
      </c>
      <c r="AR11" s="11">
        <f t="shared" ref="AR11:AR26" si="5">N11+J11</f>
        <v>4</v>
      </c>
      <c r="AS11" s="11">
        <f t="shared" ref="AS11:AS26" si="6">X11+T11</f>
        <v>7</v>
      </c>
      <c r="AT11" s="11">
        <f t="shared" ref="AT11:AT26" si="7">V11+R11</f>
        <v>8</v>
      </c>
    </row>
    <row r="12" spans="1:46" s="11" customFormat="1" x14ac:dyDescent="0.2">
      <c r="A12" s="5">
        <v>2002</v>
      </c>
      <c r="B12" s="9">
        <v>47</v>
      </c>
      <c r="C12" s="10">
        <f>(B12/$C$39)*100000</f>
        <v>4.0067142300587113</v>
      </c>
      <c r="D12" s="9">
        <v>13</v>
      </c>
      <c r="E12" s="10">
        <f>(D12/$C$35)*100000</f>
        <v>1.0642112311941596</v>
      </c>
      <c r="F12" s="9">
        <v>9</v>
      </c>
      <c r="G12" s="10">
        <f>(F12/$C$47)*100000</f>
        <v>1.2663392945083085</v>
      </c>
      <c r="H12" s="9">
        <v>3</v>
      </c>
      <c r="I12" s="10">
        <f>(H12/$C$43)*100000</f>
        <v>0.39231019705741199</v>
      </c>
      <c r="J12" s="9">
        <v>9</v>
      </c>
      <c r="K12" s="10">
        <f>(J12/$C$37)*100000</f>
        <v>12.788814050643705</v>
      </c>
      <c r="L12" s="9">
        <v>3</v>
      </c>
      <c r="M12" s="10">
        <f>(L12/$C$33)*100000</f>
        <v>3.9311781740987777</v>
      </c>
      <c r="N12" s="58">
        <v>2</v>
      </c>
      <c r="O12" s="41" t="s">
        <v>47</v>
      </c>
      <c r="P12" s="58">
        <v>2</v>
      </c>
      <c r="Q12" s="41" t="s">
        <v>47</v>
      </c>
      <c r="R12" s="9">
        <v>12</v>
      </c>
      <c r="S12" s="10">
        <f>(R12/$C$38)*100000</f>
        <v>12.950991290458356</v>
      </c>
      <c r="T12" s="9">
        <v>5</v>
      </c>
      <c r="U12" s="10">
        <f>(T12/$C$34)*100000</f>
        <v>5.2493989438209328</v>
      </c>
      <c r="V12" s="58">
        <v>2</v>
      </c>
      <c r="W12" s="41" t="s">
        <v>47</v>
      </c>
      <c r="X12" s="9">
        <v>0</v>
      </c>
      <c r="Y12" s="10">
        <f>(X12/$C$42)*100000</f>
        <v>0</v>
      </c>
      <c r="Z12" s="9">
        <v>19</v>
      </c>
      <c r="AA12" s="10">
        <f>(Z12/$C$36)*100000</f>
        <v>1.8811881188118811</v>
      </c>
      <c r="AB12" s="9">
        <v>2</v>
      </c>
      <c r="AC12" s="10">
        <f>(AB12/$C$32)*100000</f>
        <v>0.19047619047619047</v>
      </c>
      <c r="AD12" s="9">
        <v>3</v>
      </c>
      <c r="AE12" s="10">
        <f>(AD12/$C$44)*100000</f>
        <v>0.45826643916283888</v>
      </c>
      <c r="AF12" s="9">
        <v>0</v>
      </c>
      <c r="AG12" s="10">
        <f>(AF12/$C$40)*100000</f>
        <v>0</v>
      </c>
      <c r="AH12" s="9">
        <v>7</v>
      </c>
      <c r="AI12" s="9">
        <v>3</v>
      </c>
      <c r="AJ12" s="9">
        <v>1</v>
      </c>
      <c r="AK12" s="9">
        <v>1</v>
      </c>
      <c r="AM12" s="11">
        <f t="shared" si="0"/>
        <v>16</v>
      </c>
      <c r="AN12" s="11">
        <f t="shared" si="1"/>
        <v>56</v>
      </c>
      <c r="AO12" s="11">
        <f t="shared" si="2"/>
        <v>2</v>
      </c>
      <c r="AP12" s="11">
        <f t="shared" si="3"/>
        <v>22</v>
      </c>
      <c r="AQ12" s="11">
        <f t="shared" si="4"/>
        <v>5</v>
      </c>
      <c r="AR12" s="11">
        <f t="shared" si="5"/>
        <v>11</v>
      </c>
      <c r="AS12" s="11">
        <f t="shared" si="6"/>
        <v>5</v>
      </c>
      <c r="AT12" s="11">
        <f t="shared" si="7"/>
        <v>14</v>
      </c>
    </row>
    <row r="13" spans="1:46" s="11" customFormat="1" x14ac:dyDescent="0.2">
      <c r="A13" s="5">
        <v>2003</v>
      </c>
      <c r="B13" s="9">
        <v>65</v>
      </c>
      <c r="C13" s="10">
        <f>(B13/$C$39)*100000</f>
        <v>5.5412005309322598</v>
      </c>
      <c r="D13" s="9">
        <v>18</v>
      </c>
      <c r="E13" s="10">
        <f>(D13/$C$35)*100000</f>
        <v>1.4735232431919134</v>
      </c>
      <c r="F13" s="9">
        <v>14</v>
      </c>
      <c r="G13" s="10">
        <f>(F13/$C$47)*100000</f>
        <v>1.9698611247907023</v>
      </c>
      <c r="H13" s="9">
        <v>4</v>
      </c>
      <c r="I13" s="10">
        <f>(H13/$C$43)*100000</f>
        <v>0.52308026274321595</v>
      </c>
      <c r="J13" s="9">
        <v>10</v>
      </c>
      <c r="K13" s="10">
        <f>(J13/$C$37)*100000</f>
        <v>14.209793389604114</v>
      </c>
      <c r="L13" s="9">
        <v>7</v>
      </c>
      <c r="M13" s="10">
        <f>(L13/$C$33)*100000</f>
        <v>9.1727490728971475</v>
      </c>
      <c r="N13" s="58">
        <v>2</v>
      </c>
      <c r="O13" s="41" t="s">
        <v>47</v>
      </c>
      <c r="P13" s="58">
        <v>2</v>
      </c>
      <c r="Q13" s="41" t="s">
        <v>47</v>
      </c>
      <c r="R13" s="9">
        <v>16</v>
      </c>
      <c r="S13" s="10">
        <f>(R13/$C$38)*100000</f>
        <v>17.267988387277811</v>
      </c>
      <c r="T13" s="9">
        <v>5</v>
      </c>
      <c r="U13" s="10">
        <f>(T13/$C$34)*100000</f>
        <v>5.2493989438209328</v>
      </c>
      <c r="V13" s="9">
        <v>0</v>
      </c>
      <c r="W13" s="10">
        <f>(V13/$C$46)*100000</f>
        <v>0</v>
      </c>
      <c r="X13" s="9">
        <v>0</v>
      </c>
      <c r="Y13" s="10">
        <f>(X13/$C$42)*100000</f>
        <v>0</v>
      </c>
      <c r="Z13" s="9">
        <v>34</v>
      </c>
      <c r="AA13" s="10">
        <f>(Z13/$C$36)*100000</f>
        <v>3.3663366336633662</v>
      </c>
      <c r="AB13" s="9">
        <v>6</v>
      </c>
      <c r="AC13" s="10">
        <f>(AB13/$C$32)*100000</f>
        <v>0.5714285714285714</v>
      </c>
      <c r="AD13" s="9">
        <v>10</v>
      </c>
      <c r="AE13" s="10">
        <f>(AD13/$C$44)*100000</f>
        <v>1.527554797209463</v>
      </c>
      <c r="AF13" s="9">
        <v>0</v>
      </c>
      <c r="AG13" s="10">
        <f>(AF13/$C$40)*100000</f>
        <v>0</v>
      </c>
      <c r="AH13" s="9">
        <v>5</v>
      </c>
      <c r="AI13" s="9">
        <v>0</v>
      </c>
      <c r="AJ13" s="9">
        <v>3</v>
      </c>
      <c r="AK13" s="9">
        <v>2</v>
      </c>
      <c r="AM13" s="11">
        <f t="shared" si="0"/>
        <v>22</v>
      </c>
      <c r="AN13" s="11">
        <f t="shared" si="1"/>
        <v>79</v>
      </c>
      <c r="AO13" s="11">
        <f t="shared" si="2"/>
        <v>6</v>
      </c>
      <c r="AP13" s="11">
        <f t="shared" si="3"/>
        <v>44</v>
      </c>
      <c r="AQ13" s="11">
        <f t="shared" si="4"/>
        <v>9</v>
      </c>
      <c r="AR13" s="11">
        <f t="shared" si="5"/>
        <v>12</v>
      </c>
      <c r="AS13" s="11">
        <f t="shared" si="6"/>
        <v>5</v>
      </c>
      <c r="AT13" s="11">
        <f t="shared" si="7"/>
        <v>16</v>
      </c>
    </row>
    <row r="14" spans="1:46" s="11" customFormat="1" x14ac:dyDescent="0.2">
      <c r="A14" s="5">
        <v>2004</v>
      </c>
      <c r="B14" s="9">
        <v>45</v>
      </c>
      <c r="C14" s="10">
        <f>(B14/$C$39)*100000</f>
        <v>3.8362157521838722</v>
      </c>
      <c r="D14" s="9">
        <v>16</v>
      </c>
      <c r="E14" s="10">
        <f>(D14/$C$35)*100000</f>
        <v>1.3097984383928118</v>
      </c>
      <c r="F14" s="9">
        <v>9</v>
      </c>
      <c r="G14" s="10">
        <f>(F14/$C$47)*100000</f>
        <v>1.2663392945083085</v>
      </c>
      <c r="H14" s="9">
        <v>2</v>
      </c>
      <c r="I14" s="10">
        <f>(H14/$C$43)*100000</f>
        <v>0.26154013137160798</v>
      </c>
      <c r="J14" s="9">
        <v>9</v>
      </c>
      <c r="K14" s="10">
        <f>(J14/$C$37)*100000</f>
        <v>12.788814050643705</v>
      </c>
      <c r="L14" s="9">
        <v>3</v>
      </c>
      <c r="M14" s="10">
        <f>(L14/$C$33)*100000</f>
        <v>3.9311781740987777</v>
      </c>
      <c r="N14" s="58">
        <v>2</v>
      </c>
      <c r="O14" s="41" t="s">
        <v>47</v>
      </c>
      <c r="P14" s="58">
        <v>2</v>
      </c>
      <c r="Q14" s="41" t="s">
        <v>47</v>
      </c>
      <c r="R14" s="9">
        <v>13</v>
      </c>
      <c r="S14" s="10">
        <f>(R14/$C$38)*100000</f>
        <v>14.03024056466322</v>
      </c>
      <c r="T14" s="9">
        <v>6</v>
      </c>
      <c r="U14" s="10">
        <f>(T14/$C$34)*100000</f>
        <v>6.2992787325851181</v>
      </c>
      <c r="V14" s="58">
        <v>2</v>
      </c>
      <c r="W14" s="41" t="s">
        <v>47</v>
      </c>
      <c r="X14" s="9">
        <v>0</v>
      </c>
      <c r="Y14" s="10">
        <f>(X14/$C$42)*100000</f>
        <v>0</v>
      </c>
      <c r="Z14" s="9">
        <v>20</v>
      </c>
      <c r="AA14" s="10">
        <f>(Z14/$C$36)*100000</f>
        <v>1.9801980198019802</v>
      </c>
      <c r="AB14" s="9">
        <v>4</v>
      </c>
      <c r="AC14" s="10">
        <f>(AB14/$C$32)*100000</f>
        <v>0.38095238095238093</v>
      </c>
      <c r="AD14" s="9">
        <v>5</v>
      </c>
      <c r="AE14" s="10">
        <f>(AD14/$C$44)*100000</f>
        <v>0.76377739860473148</v>
      </c>
      <c r="AF14" s="9">
        <v>0</v>
      </c>
      <c r="AG14" s="10">
        <f>(AF14/$C$40)*100000</f>
        <v>0</v>
      </c>
      <c r="AH14" s="9">
        <v>3</v>
      </c>
      <c r="AI14" s="9">
        <v>3</v>
      </c>
      <c r="AJ14" s="9">
        <v>2</v>
      </c>
      <c r="AK14" s="9">
        <v>1</v>
      </c>
      <c r="AM14" s="11">
        <f t="shared" si="0"/>
        <v>18</v>
      </c>
      <c r="AN14" s="11">
        <f t="shared" si="1"/>
        <v>54</v>
      </c>
      <c r="AO14" s="11">
        <f t="shared" si="2"/>
        <v>4</v>
      </c>
      <c r="AP14" s="11">
        <f t="shared" si="3"/>
        <v>25</v>
      </c>
      <c r="AQ14" s="11">
        <f t="shared" si="4"/>
        <v>5</v>
      </c>
      <c r="AR14" s="11">
        <f t="shared" si="5"/>
        <v>11</v>
      </c>
      <c r="AS14" s="11">
        <f t="shared" si="6"/>
        <v>6</v>
      </c>
      <c r="AT14" s="11">
        <f t="shared" si="7"/>
        <v>15</v>
      </c>
    </row>
    <row r="15" spans="1:46" x14ac:dyDescent="0.2">
      <c r="A15" s="6">
        <v>2005</v>
      </c>
      <c r="B15" s="8">
        <v>49</v>
      </c>
      <c r="C15" s="12">
        <f>(B15/$D$39)*100000</f>
        <v>4.3974347698885206</v>
      </c>
      <c r="D15" s="8">
        <v>12</v>
      </c>
      <c r="E15" s="12">
        <f>(D15/$D$35)*100000</f>
        <v>1.0460679612919985</v>
      </c>
      <c r="F15" s="8">
        <v>12</v>
      </c>
      <c r="G15" s="12">
        <f>(F15/$D$47)*100000</f>
        <v>1.4779490009064755</v>
      </c>
      <c r="H15" s="8">
        <v>0</v>
      </c>
      <c r="I15" s="12">
        <f>(H15/$D$43)*100000</f>
        <v>0</v>
      </c>
      <c r="J15" s="8">
        <v>9</v>
      </c>
      <c r="K15" s="12">
        <f>(J15/$D$37)*100000</f>
        <v>12.014417300760913</v>
      </c>
      <c r="L15" s="8">
        <v>2</v>
      </c>
      <c r="M15" s="12">
        <f>(L15/$D$33)*100000</f>
        <v>2.4937033989177326</v>
      </c>
      <c r="N15" s="58">
        <v>2</v>
      </c>
      <c r="O15" s="41" t="s">
        <v>47</v>
      </c>
      <c r="P15" s="8">
        <v>0</v>
      </c>
      <c r="Q15" s="12">
        <f>(P15/$D$41)*100000</f>
        <v>0</v>
      </c>
      <c r="R15" s="8">
        <v>12</v>
      </c>
      <c r="S15" s="12">
        <f>(R15/$D$38)*100000</f>
        <v>10.93523606440854</v>
      </c>
      <c r="T15" s="8">
        <v>5</v>
      </c>
      <c r="U15" s="12">
        <f>(T15/$D$34)*100000</f>
        <v>4.4627715596494042</v>
      </c>
      <c r="V15" s="8">
        <v>0</v>
      </c>
      <c r="W15" s="12">
        <f>(V15/$D$46)*100000</f>
        <v>0</v>
      </c>
      <c r="X15" s="8">
        <v>0</v>
      </c>
      <c r="Y15" s="12">
        <f>(X15/$D$42)*100000</f>
        <v>0</v>
      </c>
      <c r="Z15" s="8">
        <v>26</v>
      </c>
      <c r="AA15" s="12">
        <f>(Z15/$D$36)*100000</f>
        <v>2.7967845583070416</v>
      </c>
      <c r="AB15" s="8">
        <v>5</v>
      </c>
      <c r="AC15" s="12">
        <f>(AB15/$D$32)*100000</f>
        <v>0.52360790983052907</v>
      </c>
      <c r="AD15" s="8">
        <v>9</v>
      </c>
      <c r="AE15" s="12">
        <f>(AD15/$D$44)*100000</f>
        <v>1.2219926083024892</v>
      </c>
      <c r="AF15" s="8">
        <v>0</v>
      </c>
      <c r="AG15" s="12">
        <f>(AF15/$D$40)*100000</f>
        <v>0</v>
      </c>
      <c r="AH15" s="8">
        <v>2</v>
      </c>
      <c r="AI15" s="8">
        <v>0</v>
      </c>
      <c r="AJ15" s="8">
        <v>1</v>
      </c>
      <c r="AK15" s="8">
        <v>0</v>
      </c>
      <c r="AM15" s="11">
        <f t="shared" si="0"/>
        <v>12</v>
      </c>
      <c r="AN15" s="11">
        <f t="shared" si="1"/>
        <v>61</v>
      </c>
      <c r="AO15" s="11">
        <f t="shared" si="2"/>
        <v>5</v>
      </c>
      <c r="AP15" s="11">
        <f t="shared" si="3"/>
        <v>35</v>
      </c>
      <c r="AQ15" s="11">
        <f t="shared" si="4"/>
        <v>2</v>
      </c>
      <c r="AR15" s="11">
        <f t="shared" si="5"/>
        <v>11</v>
      </c>
      <c r="AS15" s="11">
        <f t="shared" si="6"/>
        <v>5</v>
      </c>
      <c r="AT15" s="11">
        <f t="shared" si="7"/>
        <v>12</v>
      </c>
    </row>
    <row r="16" spans="1:46" x14ac:dyDescent="0.2">
      <c r="A16" s="6">
        <v>2006</v>
      </c>
      <c r="B16" s="8">
        <v>42</v>
      </c>
      <c r="C16" s="12">
        <f>(B16/$D$39)*100000</f>
        <v>3.7692298027615889</v>
      </c>
      <c r="D16" s="8">
        <v>8</v>
      </c>
      <c r="E16" s="12">
        <f>(D16/$D$35)*100000</f>
        <v>0.69737864086133239</v>
      </c>
      <c r="F16" s="8">
        <v>18</v>
      </c>
      <c r="G16" s="12">
        <f>(F16/$D$47)*100000</f>
        <v>2.2169235013597133</v>
      </c>
      <c r="H16" s="8">
        <v>2</v>
      </c>
      <c r="I16" s="12">
        <f>(H16/$D$43)*100000</f>
        <v>0.22947911682667096</v>
      </c>
      <c r="J16" s="8">
        <v>5</v>
      </c>
      <c r="K16" s="12">
        <f>(J16/$D$37)*100000</f>
        <v>6.6746762782005069</v>
      </c>
      <c r="L16" s="8">
        <v>0</v>
      </c>
      <c r="M16" s="12">
        <f>(L16/$D$33)*100000</f>
        <v>0</v>
      </c>
      <c r="N16" s="8">
        <v>5</v>
      </c>
      <c r="O16" s="12">
        <f>(N16/$D$45)*100000</f>
        <v>12.701961182806626</v>
      </c>
      <c r="P16" s="8">
        <v>0</v>
      </c>
      <c r="Q16" s="12">
        <f>(P16/$D$41)*100000</f>
        <v>0</v>
      </c>
      <c r="R16" s="8">
        <v>9</v>
      </c>
      <c r="S16" s="12">
        <f>(R16/$D$38)*100000</f>
        <v>8.2014270483064049</v>
      </c>
      <c r="T16" s="8">
        <v>3</v>
      </c>
      <c r="U16" s="12">
        <f>(T16/$D$34)*100000</f>
        <v>2.6776629357896429</v>
      </c>
      <c r="V16" s="58">
        <v>2</v>
      </c>
      <c r="W16" s="41" t="s">
        <v>47</v>
      </c>
      <c r="X16" s="58">
        <v>2</v>
      </c>
      <c r="Y16" s="41" t="s">
        <v>47</v>
      </c>
      <c r="Z16" s="8">
        <v>23</v>
      </c>
      <c r="AA16" s="12">
        <f>(Z16/$D$36)*100000</f>
        <v>2.4740786477331524</v>
      </c>
      <c r="AB16" s="8">
        <v>5</v>
      </c>
      <c r="AC16" s="12">
        <f>(AB16/$D$32)*100000</f>
        <v>0.52360790983052907</v>
      </c>
      <c r="AD16" s="8">
        <v>10</v>
      </c>
      <c r="AE16" s="12">
        <f>(AD16/$D$44)*100000</f>
        <v>1.3577695647805437</v>
      </c>
      <c r="AF16" s="8">
        <v>1</v>
      </c>
      <c r="AG16" s="12">
        <f>(AF16/$D$40)*100000</f>
        <v>0.12738107066337515</v>
      </c>
      <c r="AH16" s="8">
        <v>5</v>
      </c>
      <c r="AI16" s="8">
        <v>0</v>
      </c>
      <c r="AJ16" s="8">
        <v>2</v>
      </c>
      <c r="AK16" s="8">
        <v>0</v>
      </c>
      <c r="AM16" s="11">
        <f t="shared" si="0"/>
        <v>10</v>
      </c>
      <c r="AN16" s="11">
        <f t="shared" si="1"/>
        <v>60</v>
      </c>
      <c r="AO16" s="11">
        <f t="shared" si="2"/>
        <v>6</v>
      </c>
      <c r="AP16" s="11">
        <f t="shared" si="3"/>
        <v>33</v>
      </c>
      <c r="AQ16" s="11">
        <f t="shared" si="4"/>
        <v>0</v>
      </c>
      <c r="AR16" s="11">
        <f t="shared" si="5"/>
        <v>10</v>
      </c>
      <c r="AS16" s="11">
        <f t="shared" si="6"/>
        <v>5</v>
      </c>
      <c r="AT16" s="11">
        <f t="shared" si="7"/>
        <v>11</v>
      </c>
    </row>
    <row r="17" spans="1:48" x14ac:dyDescent="0.2">
      <c r="A17" s="6">
        <v>2007</v>
      </c>
      <c r="B17" s="8">
        <v>47</v>
      </c>
      <c r="C17" s="12">
        <f>(B17/$D$39)*100000</f>
        <v>4.2179476364236832</v>
      </c>
      <c r="D17" s="8">
        <v>9</v>
      </c>
      <c r="E17" s="12">
        <f>(D17/$D$35)*100000</f>
        <v>0.78455097096899895</v>
      </c>
      <c r="F17" s="8">
        <v>20</v>
      </c>
      <c r="G17" s="12">
        <f>(F17/$D$47)*100000</f>
        <v>2.4632483348441254</v>
      </c>
      <c r="H17" s="8">
        <v>2</v>
      </c>
      <c r="I17" s="12">
        <f>(H17/$D$43)*100000</f>
        <v>0.22947911682667096</v>
      </c>
      <c r="J17" s="8">
        <v>6</v>
      </c>
      <c r="K17" s="12">
        <f>(J17/$D$37)*100000</f>
        <v>8.0096115338406086</v>
      </c>
      <c r="L17" s="8">
        <v>2</v>
      </c>
      <c r="M17" s="12">
        <f>(L17/$D$33)*100000</f>
        <v>2.4937033989177326</v>
      </c>
      <c r="N17" s="58">
        <v>2</v>
      </c>
      <c r="O17" s="41" t="s">
        <v>47</v>
      </c>
      <c r="P17" s="58">
        <v>2</v>
      </c>
      <c r="Q17" s="41" t="s">
        <v>47</v>
      </c>
      <c r="R17" s="8">
        <v>12</v>
      </c>
      <c r="S17" s="12">
        <f>(R17/$D$38)*100000</f>
        <v>10.93523606440854</v>
      </c>
      <c r="T17" s="8">
        <v>5</v>
      </c>
      <c r="U17" s="12">
        <f>(T17/$D$34)*100000</f>
        <v>4.4627715596494042</v>
      </c>
      <c r="V17" s="8">
        <v>0</v>
      </c>
      <c r="W17" s="12">
        <f>(V17/$D$46)*100000</f>
        <v>0</v>
      </c>
      <c r="X17" s="8">
        <v>0</v>
      </c>
      <c r="Y17" s="12">
        <f>(X17/$D$42)*100000</f>
        <v>0</v>
      </c>
      <c r="Z17" s="8">
        <v>25</v>
      </c>
      <c r="AA17" s="12">
        <f>(Z17/$D$36)*100000</f>
        <v>2.6892159214490787</v>
      </c>
      <c r="AB17" s="8">
        <v>2</v>
      </c>
      <c r="AC17" s="12">
        <f>(AB17/$D$32)*100000</f>
        <v>0.20944316393221163</v>
      </c>
      <c r="AD17" s="8">
        <v>16</v>
      </c>
      <c r="AE17" s="12">
        <f>(AD17/$D$44)*100000</f>
        <v>2.17243130364887</v>
      </c>
      <c r="AF17" s="8">
        <v>1</v>
      </c>
      <c r="AG17" s="12">
        <f>(AF17/$D$40)*100000</f>
        <v>0.12738107066337515</v>
      </c>
      <c r="AH17" s="8">
        <v>4</v>
      </c>
      <c r="AI17" s="8">
        <v>0</v>
      </c>
      <c r="AJ17" s="8">
        <v>2</v>
      </c>
      <c r="AK17" s="8">
        <v>0</v>
      </c>
      <c r="AM17" s="11">
        <f t="shared" si="0"/>
        <v>11</v>
      </c>
      <c r="AN17" s="11">
        <f t="shared" si="1"/>
        <v>67</v>
      </c>
      <c r="AO17" s="11">
        <f t="shared" si="2"/>
        <v>3</v>
      </c>
      <c r="AP17" s="11">
        <f t="shared" si="3"/>
        <v>41</v>
      </c>
      <c r="AQ17" s="11">
        <f t="shared" si="4"/>
        <v>4</v>
      </c>
      <c r="AR17" s="11">
        <f t="shared" si="5"/>
        <v>8</v>
      </c>
      <c r="AS17" s="11">
        <f t="shared" si="6"/>
        <v>5</v>
      </c>
      <c r="AT17" s="11">
        <f t="shared" si="7"/>
        <v>12</v>
      </c>
    </row>
    <row r="18" spans="1:48" x14ac:dyDescent="0.2">
      <c r="A18" s="6">
        <v>2008</v>
      </c>
      <c r="B18" s="8">
        <v>76</v>
      </c>
      <c r="C18" s="12">
        <f>(B18/$D$39)*100000</f>
        <v>6.8205110716638275</v>
      </c>
      <c r="D18" s="8">
        <v>9</v>
      </c>
      <c r="E18" s="12">
        <f>(D18/$D$35)*100000</f>
        <v>0.78455097096899895</v>
      </c>
      <c r="F18" s="8">
        <v>21</v>
      </c>
      <c r="G18" s="12">
        <f>(F18/$D$47)*100000</f>
        <v>2.5864107515863322</v>
      </c>
      <c r="H18" s="8">
        <v>1</v>
      </c>
      <c r="I18" s="12">
        <f>(H18/$D$43)*100000</f>
        <v>0.11473955841333548</v>
      </c>
      <c r="J18" s="8">
        <v>13</v>
      </c>
      <c r="K18" s="12">
        <f>(J18/$D$37)*100000</f>
        <v>17.354158323321322</v>
      </c>
      <c r="L18" s="8">
        <v>2</v>
      </c>
      <c r="M18" s="12">
        <f>(L18/$D$33)*100000</f>
        <v>2.4937033989177326</v>
      </c>
      <c r="N18" s="58">
        <v>2</v>
      </c>
      <c r="O18" s="41" t="s">
        <v>47</v>
      </c>
      <c r="P18" s="58">
        <v>2</v>
      </c>
      <c r="Q18" s="41" t="s">
        <v>47</v>
      </c>
      <c r="R18" s="8">
        <v>15</v>
      </c>
      <c r="S18" s="12">
        <f>(R18/$D$38)*100000</f>
        <v>13.669045080510676</v>
      </c>
      <c r="T18" s="8">
        <v>3</v>
      </c>
      <c r="U18" s="12">
        <f>(T18/$D$34)*100000</f>
        <v>2.6776629357896429</v>
      </c>
      <c r="V18" s="8">
        <v>0</v>
      </c>
      <c r="W18" s="12">
        <f>(V18/$D$46)*100000</f>
        <v>0</v>
      </c>
      <c r="X18" s="8">
        <v>0</v>
      </c>
      <c r="Y18" s="12">
        <f>(X18/$D$42)*100000</f>
        <v>0</v>
      </c>
      <c r="Z18" s="8">
        <v>41</v>
      </c>
      <c r="AA18" s="12">
        <f>(Z18/$D$36)*100000</f>
        <v>4.410314111176489</v>
      </c>
      <c r="AB18" s="8">
        <v>2</v>
      </c>
      <c r="AC18" s="12">
        <f>(AB18/$D$32)*100000</f>
        <v>0.20944316393221163</v>
      </c>
      <c r="AD18" s="8">
        <v>15</v>
      </c>
      <c r="AE18" s="12">
        <f>(AD18/$D$44)*100000</f>
        <v>2.0366543471708156</v>
      </c>
      <c r="AF18" s="8">
        <v>0</v>
      </c>
      <c r="AG18" s="12">
        <f>(AF18/$D$40)*100000</f>
        <v>0</v>
      </c>
      <c r="AH18" s="8">
        <v>7</v>
      </c>
      <c r="AI18" s="8">
        <v>2</v>
      </c>
      <c r="AJ18" s="8">
        <v>2</v>
      </c>
      <c r="AK18" s="8">
        <v>0</v>
      </c>
      <c r="AM18" s="11">
        <f t="shared" si="0"/>
        <v>10</v>
      </c>
      <c r="AN18" s="11">
        <f t="shared" si="1"/>
        <v>97</v>
      </c>
      <c r="AO18" s="11">
        <f t="shared" si="2"/>
        <v>2</v>
      </c>
      <c r="AP18" s="11">
        <f t="shared" si="3"/>
        <v>56</v>
      </c>
      <c r="AQ18" s="11">
        <f t="shared" si="4"/>
        <v>4</v>
      </c>
      <c r="AR18" s="11">
        <f t="shared" si="5"/>
        <v>15</v>
      </c>
      <c r="AS18" s="11">
        <f t="shared" si="6"/>
        <v>3</v>
      </c>
      <c r="AT18" s="11">
        <f t="shared" si="7"/>
        <v>15</v>
      </c>
    </row>
    <row r="19" spans="1:48" x14ac:dyDescent="0.2">
      <c r="A19" s="6">
        <v>2009</v>
      </c>
      <c r="B19" s="8">
        <v>58</v>
      </c>
      <c r="C19" s="12">
        <f>(B19/$D$39)*100000</f>
        <v>5.2051268704802895</v>
      </c>
      <c r="D19" s="8">
        <v>10</v>
      </c>
      <c r="E19" s="12">
        <f>(D19/$D$35)*100000</f>
        <v>0.87172330107666551</v>
      </c>
      <c r="F19" s="8">
        <v>25</v>
      </c>
      <c r="G19" s="12">
        <f>(F19/$D$47)*100000</f>
        <v>3.0790604185551573</v>
      </c>
      <c r="H19" s="8">
        <v>1</v>
      </c>
      <c r="I19" s="12">
        <f>(H19/$D$43)*100000</f>
        <v>0.11473955841333548</v>
      </c>
      <c r="J19" s="8">
        <v>9</v>
      </c>
      <c r="K19" s="12">
        <f>(J19/$D$37)*100000</f>
        <v>12.014417300760913</v>
      </c>
      <c r="L19" s="8">
        <v>7</v>
      </c>
      <c r="M19" s="12">
        <f>(L19/$D$33)*100000</f>
        <v>8.7279618962120633</v>
      </c>
      <c r="N19" s="58">
        <v>2</v>
      </c>
      <c r="O19" s="41" t="s">
        <v>47</v>
      </c>
      <c r="P19" s="58">
        <v>2</v>
      </c>
      <c r="Q19" s="41" t="s">
        <v>47</v>
      </c>
      <c r="R19" s="8">
        <v>14</v>
      </c>
      <c r="S19" s="12">
        <f>(R19/$D$38)*100000</f>
        <v>12.757775408476631</v>
      </c>
      <c r="T19" s="8">
        <v>2</v>
      </c>
      <c r="U19" s="12">
        <f>(T19/$D$34)*100000</f>
        <v>1.7851086238597618</v>
      </c>
      <c r="V19" s="8">
        <v>6</v>
      </c>
      <c r="W19" s="12">
        <f>(V19/$D$46)*100000</f>
        <v>16.634322151372334</v>
      </c>
      <c r="X19" s="8">
        <v>0</v>
      </c>
      <c r="Y19" s="12">
        <f>(X19/$D$42)*100000</f>
        <v>0</v>
      </c>
      <c r="Z19" s="8">
        <v>30</v>
      </c>
      <c r="AA19" s="12">
        <f>(Z19/$D$36)*100000</f>
        <v>3.2270591057388947</v>
      </c>
      <c r="AB19" s="8">
        <v>0</v>
      </c>
      <c r="AC19" s="12">
        <f>(AB19/$D$32)*100000</f>
        <v>0</v>
      </c>
      <c r="AD19" s="8">
        <v>18</v>
      </c>
      <c r="AE19" s="12">
        <f>(AD19/$D$44)*100000</f>
        <v>2.4439852166049785</v>
      </c>
      <c r="AF19" s="8">
        <v>0</v>
      </c>
      <c r="AG19" s="12">
        <f>(AF19/$D$40)*100000</f>
        <v>0</v>
      </c>
      <c r="AH19" s="8">
        <v>5</v>
      </c>
      <c r="AI19" s="8">
        <v>1</v>
      </c>
      <c r="AJ19" s="8">
        <v>0</v>
      </c>
      <c r="AK19" s="8">
        <v>0</v>
      </c>
      <c r="AM19" s="11">
        <f t="shared" si="0"/>
        <v>11</v>
      </c>
      <c r="AN19" s="11">
        <f t="shared" si="1"/>
        <v>83</v>
      </c>
      <c r="AO19" s="11">
        <f t="shared" si="2"/>
        <v>0</v>
      </c>
      <c r="AP19" s="11">
        <f t="shared" si="3"/>
        <v>48</v>
      </c>
      <c r="AQ19" s="11">
        <f t="shared" si="4"/>
        <v>9</v>
      </c>
      <c r="AR19" s="11">
        <f t="shared" si="5"/>
        <v>11</v>
      </c>
      <c r="AS19" s="11">
        <f t="shared" si="6"/>
        <v>2</v>
      </c>
      <c r="AT19" s="11">
        <f t="shared" si="7"/>
        <v>20</v>
      </c>
    </row>
    <row r="20" spans="1:48" s="11" customFormat="1" x14ac:dyDescent="0.2">
      <c r="A20" s="5">
        <v>2010</v>
      </c>
      <c r="B20" s="9">
        <v>99</v>
      </c>
      <c r="C20" s="10">
        <f>(B20/$E$39)*100000</f>
        <v>9.1117934218373797</v>
      </c>
      <c r="D20" s="9">
        <v>11</v>
      </c>
      <c r="E20" s="10">
        <f t="shared" ref="E20:E26" si="8">(D20/$C$35)*100000</f>
        <v>0.90048642639505816</v>
      </c>
      <c r="F20" s="9">
        <v>26</v>
      </c>
      <c r="G20" s="10">
        <f>(F20/$E$47)*100000</f>
        <v>2.8629064226002234</v>
      </c>
      <c r="H20" s="9">
        <v>1</v>
      </c>
      <c r="I20" s="10">
        <f>(H20/$E$43)*100000</f>
        <v>0.10304975757544529</v>
      </c>
      <c r="J20" s="9">
        <v>13</v>
      </c>
      <c r="K20" s="10">
        <f>(J20/$E$37)*100000</f>
        <v>16.133836378077838</v>
      </c>
      <c r="L20" s="9">
        <v>3</v>
      </c>
      <c r="M20" s="10">
        <f>(L20/$E$33)*100000</f>
        <v>3.479067609880552</v>
      </c>
      <c r="N20" s="9">
        <v>6</v>
      </c>
      <c r="O20" s="10">
        <f>(N20/$E$45)*100000</f>
        <v>12.175571744556505</v>
      </c>
      <c r="P20" s="9">
        <v>0</v>
      </c>
      <c r="Q20" s="10">
        <f>(P20/$E$41)*100000</f>
        <v>0</v>
      </c>
      <c r="R20" s="9">
        <v>27</v>
      </c>
      <c r="S20" s="10">
        <f>(R20/$E$38)*100000</f>
        <v>21.067415730337078</v>
      </c>
      <c r="T20" s="9">
        <v>3</v>
      </c>
      <c r="U20" s="10">
        <f t="shared" ref="U20:U26" si="9">(T20/$C$34)*100000</f>
        <v>3.149639366292559</v>
      </c>
      <c r="V20" s="9">
        <v>3</v>
      </c>
      <c r="W20" s="10">
        <f>(V20/$E$46)*100000</f>
        <v>5.9852762204975756</v>
      </c>
      <c r="X20" s="9">
        <v>0</v>
      </c>
      <c r="Y20" s="10">
        <f>(X20/$E$42)*100000</f>
        <v>0</v>
      </c>
      <c r="Z20" s="9">
        <v>59</v>
      </c>
      <c r="AA20" s="10">
        <f>(Z20/$E$36)*100000</f>
        <v>6.7215938607923738</v>
      </c>
      <c r="AB20" s="9">
        <v>5</v>
      </c>
      <c r="AC20" s="10">
        <f>(AB20/$E$32)*100000</f>
        <v>0.55199762420222542</v>
      </c>
      <c r="AD20" s="9">
        <v>17</v>
      </c>
      <c r="AE20" s="10">
        <f>(AD20/$E$44)*100000</f>
        <v>2.1019676890472643</v>
      </c>
      <c r="AF20" s="9">
        <v>1</v>
      </c>
      <c r="AG20" s="10">
        <f>(AF20/$E$40)*100000</f>
        <v>0.1165881639695938</v>
      </c>
      <c r="AH20" s="9">
        <v>0</v>
      </c>
      <c r="AI20" s="9">
        <v>0</v>
      </c>
      <c r="AJ20" s="9">
        <v>0</v>
      </c>
      <c r="AK20" s="9">
        <v>0</v>
      </c>
      <c r="AM20" s="11">
        <f t="shared" si="0"/>
        <v>12</v>
      </c>
      <c r="AN20" s="11">
        <f t="shared" si="1"/>
        <v>125</v>
      </c>
      <c r="AO20" s="11">
        <f t="shared" si="2"/>
        <v>6</v>
      </c>
      <c r="AP20" s="11">
        <f t="shared" si="3"/>
        <v>76</v>
      </c>
      <c r="AQ20" s="11">
        <f t="shared" si="4"/>
        <v>3</v>
      </c>
      <c r="AR20" s="11">
        <f t="shared" si="5"/>
        <v>19</v>
      </c>
      <c r="AS20" s="11">
        <f t="shared" si="6"/>
        <v>3</v>
      </c>
      <c r="AT20" s="11">
        <f t="shared" si="7"/>
        <v>30</v>
      </c>
    </row>
    <row r="21" spans="1:48" s="11" customFormat="1" x14ac:dyDescent="0.2">
      <c r="A21" s="5">
        <v>2011</v>
      </c>
      <c r="B21" s="9">
        <v>118</v>
      </c>
      <c r="C21" s="10">
        <f>(B21/$E$39)*100000</f>
        <v>10.860521452291017</v>
      </c>
      <c r="D21" s="9">
        <v>9</v>
      </c>
      <c r="E21" s="10">
        <f t="shared" si="8"/>
        <v>0.73676162159595671</v>
      </c>
      <c r="F21" s="9">
        <v>47</v>
      </c>
      <c r="G21" s="10">
        <f>(F21/$E$47)*100000</f>
        <v>5.1752539177773276</v>
      </c>
      <c r="H21" s="9">
        <v>4</v>
      </c>
      <c r="I21" s="10">
        <f>(H21/$E$43)*100000</f>
        <v>0.41219903030178118</v>
      </c>
      <c r="J21" s="9">
        <v>29</v>
      </c>
      <c r="K21" s="10">
        <f>(J21/$E$37)*100000</f>
        <v>35.990865766481335</v>
      </c>
      <c r="L21" s="9">
        <v>2</v>
      </c>
      <c r="M21" s="10">
        <f>(L21/$E$33)*100000</f>
        <v>2.3193784065870346</v>
      </c>
      <c r="N21" s="58">
        <v>2</v>
      </c>
      <c r="O21" s="41" t="s">
        <v>47</v>
      </c>
      <c r="P21" s="58">
        <v>2</v>
      </c>
      <c r="Q21" s="41" t="s">
        <v>47</v>
      </c>
      <c r="R21" s="9">
        <v>27</v>
      </c>
      <c r="S21" s="10">
        <f>(R21/$E$38)*100000</f>
        <v>21.067415730337078</v>
      </c>
      <c r="T21" s="9">
        <v>5</v>
      </c>
      <c r="U21" s="10">
        <f t="shared" si="9"/>
        <v>5.2493989438209328</v>
      </c>
      <c r="V21" s="9">
        <v>5</v>
      </c>
      <c r="W21" s="10">
        <f>(V21/$E$46)*100000</f>
        <v>9.975460367495959</v>
      </c>
      <c r="X21" s="9">
        <v>0</v>
      </c>
      <c r="Y21" s="10">
        <f>(X21/$E$42)*100000</f>
        <v>0</v>
      </c>
      <c r="Z21" s="9">
        <v>57</v>
      </c>
      <c r="AA21" s="10">
        <f>(Z21/$E$36)*100000</f>
        <v>6.4937432214434789</v>
      </c>
      <c r="AB21" s="9">
        <v>2</v>
      </c>
      <c r="AC21" s="10">
        <f>(AB21/$E$32)*100000</f>
        <v>0.22079904968089017</v>
      </c>
      <c r="AD21" s="9">
        <v>36</v>
      </c>
      <c r="AE21" s="10">
        <f>(AD21/$E$44)*100000</f>
        <v>4.4512256944530311</v>
      </c>
      <c r="AF21" s="9">
        <v>0</v>
      </c>
      <c r="AG21" s="10">
        <f>(AF21/$E$40)*100000</f>
        <v>0</v>
      </c>
      <c r="AH21" s="9">
        <v>5</v>
      </c>
      <c r="AI21" s="9">
        <v>0</v>
      </c>
      <c r="AJ21" s="9">
        <v>3</v>
      </c>
      <c r="AK21" s="9">
        <v>1</v>
      </c>
      <c r="AM21" s="11">
        <f t="shared" si="0"/>
        <v>13</v>
      </c>
      <c r="AN21" s="11">
        <f t="shared" si="1"/>
        <v>165</v>
      </c>
      <c r="AO21" s="11">
        <f t="shared" si="2"/>
        <v>2</v>
      </c>
      <c r="AP21" s="11">
        <f t="shared" si="3"/>
        <v>93</v>
      </c>
      <c r="AQ21" s="11">
        <f t="shared" si="4"/>
        <v>4</v>
      </c>
      <c r="AR21" s="11">
        <f t="shared" si="5"/>
        <v>31</v>
      </c>
      <c r="AS21" s="11">
        <f t="shared" si="6"/>
        <v>5</v>
      </c>
      <c r="AT21" s="11">
        <f t="shared" si="7"/>
        <v>32</v>
      </c>
    </row>
    <row r="22" spans="1:48" s="11" customFormat="1" x14ac:dyDescent="0.2">
      <c r="A22" s="5">
        <v>2012</v>
      </c>
      <c r="B22" s="9">
        <v>131</v>
      </c>
      <c r="C22" s="10">
        <f>(B22/$E$39)*100000</f>
        <v>12.057019578390875</v>
      </c>
      <c r="D22" s="9">
        <v>21</v>
      </c>
      <c r="E22" s="10">
        <f t="shared" si="8"/>
        <v>1.7191104503905656</v>
      </c>
      <c r="F22" s="9">
        <v>38</v>
      </c>
      <c r="G22" s="10">
        <f>(F22/$E$47)*100000</f>
        <v>4.184247848415712</v>
      </c>
      <c r="H22" s="9">
        <v>2</v>
      </c>
      <c r="I22" s="10">
        <f>(H22/$E$43)*100000</f>
        <v>0.20609951515089059</v>
      </c>
      <c r="J22" s="9">
        <v>26</v>
      </c>
      <c r="K22" s="10">
        <f>(J22/$E$37)*100000</f>
        <v>32.267672756155676</v>
      </c>
      <c r="L22" s="9">
        <v>13</v>
      </c>
      <c r="M22" s="10">
        <f>(L22/$E$33)*100000</f>
        <v>15.075959642815725</v>
      </c>
      <c r="N22" s="58">
        <v>2</v>
      </c>
      <c r="O22" s="41" t="s">
        <v>47</v>
      </c>
      <c r="P22" s="9">
        <v>0</v>
      </c>
      <c r="Q22" s="10">
        <f>(P22/$E$41)*100000</f>
        <v>0</v>
      </c>
      <c r="R22" s="9">
        <v>29</v>
      </c>
      <c r="S22" s="10">
        <f>(R22/$E$38)*100000</f>
        <v>22.627965043695379</v>
      </c>
      <c r="T22" s="9">
        <v>3</v>
      </c>
      <c r="U22" s="10">
        <f t="shared" si="9"/>
        <v>3.149639366292559</v>
      </c>
      <c r="V22" s="9">
        <v>3</v>
      </c>
      <c r="W22" s="10">
        <f>(V22/$E$46)*100000</f>
        <v>5.9852762204975756</v>
      </c>
      <c r="X22" s="9">
        <v>0</v>
      </c>
      <c r="Y22" s="10">
        <f>(X22/$E$42)*100000</f>
        <v>0</v>
      </c>
      <c r="Z22" s="9">
        <v>66</v>
      </c>
      <c r="AA22" s="10">
        <f>(Z22/$E$36)*100000</f>
        <v>7.5190710985135025</v>
      </c>
      <c r="AB22" s="9">
        <v>4</v>
      </c>
      <c r="AC22" s="10">
        <f>(AB22/$E$32)*100000</f>
        <v>0.44159809936178035</v>
      </c>
      <c r="AD22" s="9">
        <v>30</v>
      </c>
      <c r="AE22" s="10">
        <f>(AD22/$E$44)*100000</f>
        <v>3.7093547453775257</v>
      </c>
      <c r="AF22" s="9">
        <v>1</v>
      </c>
      <c r="AG22" s="10">
        <f>(AF22/$E$40)*100000</f>
        <v>0.1165881639695938</v>
      </c>
      <c r="AH22" s="9">
        <v>10</v>
      </c>
      <c r="AI22" s="9">
        <v>1</v>
      </c>
      <c r="AJ22" s="9">
        <v>2</v>
      </c>
      <c r="AK22" s="9">
        <v>1</v>
      </c>
      <c r="AM22" s="11">
        <f t="shared" si="0"/>
        <v>23</v>
      </c>
      <c r="AN22" s="11">
        <f t="shared" si="1"/>
        <v>169</v>
      </c>
      <c r="AO22" s="11">
        <f t="shared" si="2"/>
        <v>5</v>
      </c>
      <c r="AP22" s="11">
        <f t="shared" si="3"/>
        <v>96</v>
      </c>
      <c r="AQ22" s="11">
        <f t="shared" si="4"/>
        <v>13</v>
      </c>
      <c r="AR22" s="11">
        <f t="shared" si="5"/>
        <v>28</v>
      </c>
      <c r="AS22" s="11">
        <f t="shared" si="6"/>
        <v>3</v>
      </c>
      <c r="AT22" s="11">
        <f t="shared" si="7"/>
        <v>32</v>
      </c>
    </row>
    <row r="23" spans="1:48" s="11" customFormat="1" x14ac:dyDescent="0.2">
      <c r="A23" s="5">
        <v>2013</v>
      </c>
      <c r="B23" s="9">
        <v>205</v>
      </c>
      <c r="C23" s="10">
        <f>(B23/$E$39)*100000</f>
        <v>18.867855065420837</v>
      </c>
      <c r="D23" s="9">
        <v>26</v>
      </c>
      <c r="E23" s="10">
        <f t="shared" si="8"/>
        <v>2.1284224623883192</v>
      </c>
      <c r="F23" s="9">
        <v>80</v>
      </c>
      <c r="G23" s="10">
        <f>(F23/$E$47)*100000</f>
        <v>8.8089428387699193</v>
      </c>
      <c r="H23" s="9">
        <v>9</v>
      </c>
      <c r="I23" s="10">
        <f>(H23/$E$43)*100000</f>
        <v>0.92744781817900779</v>
      </c>
      <c r="J23" s="9">
        <v>34</v>
      </c>
      <c r="K23" s="10">
        <f>(J23/$E$37)*100000</f>
        <v>42.196187450357428</v>
      </c>
      <c r="L23" s="9">
        <v>6</v>
      </c>
      <c r="M23" s="10">
        <f>(L23/$E$33)*100000</f>
        <v>6.9581352197611039</v>
      </c>
      <c r="N23" s="9">
        <v>10</v>
      </c>
      <c r="O23" s="10">
        <f>(N23/$E$45)*100000</f>
        <v>20.29261957426084</v>
      </c>
      <c r="P23" s="9">
        <v>5</v>
      </c>
      <c r="Q23" s="10">
        <f>(P23/$E$41)*100000</f>
        <v>9.1680877202633067</v>
      </c>
      <c r="R23" s="9">
        <v>56</v>
      </c>
      <c r="S23" s="10">
        <f>(R23/$E$38)*100000</f>
        <v>43.695380774032465</v>
      </c>
      <c r="T23" s="9">
        <v>12</v>
      </c>
      <c r="U23" s="10">
        <f t="shared" si="9"/>
        <v>12.598557465170236</v>
      </c>
      <c r="V23" s="9">
        <v>15</v>
      </c>
      <c r="W23" s="10">
        <f>(V23/$E$46)*100000</f>
        <v>29.926381102487881</v>
      </c>
      <c r="X23" s="9">
        <v>2</v>
      </c>
      <c r="Y23" s="10">
        <f>(X23/$E$42)*100000</f>
        <v>3.4394992089151821</v>
      </c>
      <c r="Z23" s="9">
        <v>106</v>
      </c>
      <c r="AA23" s="10">
        <f>(Z23/$E$36)*100000</f>
        <v>12.076083885491382</v>
      </c>
      <c r="AB23" s="9">
        <v>7</v>
      </c>
      <c r="AC23" s="10">
        <f>(AB23/$E$32)*100000</f>
        <v>0.77279667388311557</v>
      </c>
      <c r="AD23" s="9">
        <v>54</v>
      </c>
      <c r="AE23" s="10">
        <f>(AD23/$E$44)*100000</f>
        <v>6.6768385416795466</v>
      </c>
      <c r="AF23" s="9">
        <v>2</v>
      </c>
      <c r="AG23" s="10">
        <f>(AF23/$E$40)*100000</f>
        <v>0.23317632793918761</v>
      </c>
      <c r="AH23" s="9">
        <v>9</v>
      </c>
      <c r="AI23" s="9">
        <v>1</v>
      </c>
      <c r="AJ23" s="9">
        <v>1</v>
      </c>
      <c r="AK23" s="9">
        <v>0</v>
      </c>
      <c r="AM23" s="11">
        <f t="shared" si="0"/>
        <v>35</v>
      </c>
      <c r="AN23" s="11">
        <f t="shared" si="1"/>
        <v>285</v>
      </c>
      <c r="AO23" s="11">
        <f t="shared" si="2"/>
        <v>9</v>
      </c>
      <c r="AP23" s="11">
        <f t="shared" si="3"/>
        <v>160</v>
      </c>
      <c r="AQ23" s="11">
        <f t="shared" si="4"/>
        <v>11</v>
      </c>
      <c r="AR23" s="11">
        <f t="shared" si="5"/>
        <v>44</v>
      </c>
      <c r="AS23" s="11">
        <f t="shared" si="6"/>
        <v>14</v>
      </c>
      <c r="AT23" s="11">
        <f t="shared" si="7"/>
        <v>71</v>
      </c>
    </row>
    <row r="24" spans="1:48" s="11" customFormat="1" x14ac:dyDescent="0.2">
      <c r="A24" s="5" t="s">
        <v>37</v>
      </c>
      <c r="B24" s="9">
        <v>193</v>
      </c>
      <c r="C24" s="10">
        <f>(B24/$E$39)*100000</f>
        <v>17.763395256713274</v>
      </c>
      <c r="D24" s="9">
        <v>27</v>
      </c>
      <c r="E24" s="10">
        <f t="shared" si="8"/>
        <v>2.2102848647878699</v>
      </c>
      <c r="F24" s="9">
        <v>61</v>
      </c>
      <c r="G24" s="10">
        <f>(F24/$E$47)*100000</f>
        <v>6.7168189145620643</v>
      </c>
      <c r="H24" s="9">
        <v>2</v>
      </c>
      <c r="I24" s="10">
        <f>(H24/$E$43)*100000</f>
        <v>0.20609951515089059</v>
      </c>
      <c r="J24" s="9">
        <v>35</v>
      </c>
      <c r="K24" s="10">
        <f>(J24/$E$37)*100000</f>
        <v>43.437251787132645</v>
      </c>
      <c r="L24" s="9">
        <v>7</v>
      </c>
      <c r="M24" s="10">
        <f>(L24/$E$33)*100000</f>
        <v>8.1178244230546213</v>
      </c>
      <c r="N24" s="9">
        <v>5</v>
      </c>
      <c r="O24" s="10">
        <f>(N24/$E$45)*100000</f>
        <v>10.14630978713042</v>
      </c>
      <c r="P24" s="58">
        <v>2</v>
      </c>
      <c r="Q24" s="41" t="s">
        <v>47</v>
      </c>
      <c r="R24" s="9">
        <v>40</v>
      </c>
      <c r="S24" s="10">
        <f>(R24/$E$38)*100000</f>
        <v>31.210986267166042</v>
      </c>
      <c r="T24" s="9">
        <v>11</v>
      </c>
      <c r="U24" s="10">
        <f t="shared" si="9"/>
        <v>11.548677676406051</v>
      </c>
      <c r="V24" s="9">
        <v>11</v>
      </c>
      <c r="W24" s="10">
        <f>(V24/$E$46)*100000</f>
        <v>21.946012808491112</v>
      </c>
      <c r="X24" s="9">
        <v>0</v>
      </c>
      <c r="Y24" s="10">
        <f>(X24/$E$42)*100000</f>
        <v>0</v>
      </c>
      <c r="Z24" s="9">
        <v>104</v>
      </c>
      <c r="AA24" s="10">
        <f>(Z24/$E$36)*100000</f>
        <v>11.848233246142488</v>
      </c>
      <c r="AB24" s="9">
        <v>8</v>
      </c>
      <c r="AC24" s="10">
        <f>(AB24/$E$32)*100000</f>
        <v>0.8831961987235607</v>
      </c>
      <c r="AD24" s="9">
        <v>37</v>
      </c>
      <c r="AE24" s="10">
        <f>(AD24/$E$44)*100000</f>
        <v>4.5748708526322819</v>
      </c>
      <c r="AF24" s="9">
        <v>1</v>
      </c>
      <c r="AG24" s="10">
        <f>(AF24/$E$40)*100000</f>
        <v>0.1165881639695938</v>
      </c>
      <c r="AH24" s="9">
        <v>14</v>
      </c>
      <c r="AI24" s="9">
        <v>1</v>
      </c>
      <c r="AJ24" s="9">
        <v>7</v>
      </c>
      <c r="AK24" s="9">
        <v>0</v>
      </c>
      <c r="AM24" s="11">
        <f t="shared" si="0"/>
        <v>29</v>
      </c>
      <c r="AN24" s="11">
        <f t="shared" si="1"/>
        <v>254</v>
      </c>
      <c r="AO24" s="11">
        <f t="shared" si="2"/>
        <v>9</v>
      </c>
      <c r="AP24" s="11">
        <f t="shared" si="3"/>
        <v>141</v>
      </c>
      <c r="AQ24" s="11">
        <f t="shared" si="4"/>
        <v>9</v>
      </c>
      <c r="AR24" s="11">
        <f t="shared" si="5"/>
        <v>40</v>
      </c>
      <c r="AS24" s="11">
        <f t="shared" si="6"/>
        <v>11</v>
      </c>
      <c r="AT24" s="11">
        <f t="shared" si="7"/>
        <v>51</v>
      </c>
    </row>
    <row r="25" spans="1:48" x14ac:dyDescent="0.2">
      <c r="A25" s="6">
        <v>2015</v>
      </c>
      <c r="B25" s="8">
        <v>239</v>
      </c>
      <c r="C25" s="12">
        <f>(B25/$F$39)*100000</f>
        <v>21.222599315548972</v>
      </c>
      <c r="D25" s="8">
        <v>23</v>
      </c>
      <c r="E25" s="12">
        <f t="shared" si="8"/>
        <v>1.882835255189667</v>
      </c>
      <c r="F25" s="8">
        <v>94</v>
      </c>
      <c r="G25" s="12">
        <f>(F25/$F$47)*100000</f>
        <v>9.9385606638112698</v>
      </c>
      <c r="H25" s="8">
        <v>2</v>
      </c>
      <c r="I25" s="12">
        <f>(H25/$F$43)*100000</f>
        <v>0.19768569358519808</v>
      </c>
      <c r="J25" s="8">
        <v>33</v>
      </c>
      <c r="K25" s="12">
        <f>(J25/$F$37)*100000</f>
        <v>35.396331652901424</v>
      </c>
      <c r="L25" s="8">
        <v>5</v>
      </c>
      <c r="M25" s="12">
        <f>(L25/$F$33)*100000</f>
        <v>5.2322052698771477</v>
      </c>
      <c r="N25" s="8">
        <v>8</v>
      </c>
      <c r="O25" s="12">
        <f>(N25/$F$45)*100000</f>
        <v>13.846819558632626</v>
      </c>
      <c r="P25" s="8">
        <v>1</v>
      </c>
      <c r="Q25" s="12">
        <f>(P25/$F$41)*100000</f>
        <v>1.5556212373411322</v>
      </c>
      <c r="R25" s="8">
        <v>72</v>
      </c>
      <c r="S25" s="12">
        <f>(R25/$F$38)*100000</f>
        <v>45.392074039516324</v>
      </c>
      <c r="T25" s="8">
        <v>6</v>
      </c>
      <c r="U25" s="12">
        <f t="shared" si="9"/>
        <v>6.2992787325851181</v>
      </c>
      <c r="V25" s="8">
        <v>16</v>
      </c>
      <c r="W25" s="12">
        <f>(V25/$F$46)*100000</f>
        <v>24.376123586946587</v>
      </c>
      <c r="X25" s="8">
        <v>1</v>
      </c>
      <c r="Y25" s="12">
        <f>(X25/$F$42)*100000</f>
        <v>1.3478905512872354</v>
      </c>
      <c r="Z25" s="8">
        <v>113</v>
      </c>
      <c r="AA25" s="12">
        <f>(Z25/$F$36)*100000</f>
        <v>12.924477588040855</v>
      </c>
      <c r="AB25" s="8">
        <v>9</v>
      </c>
      <c r="AC25" s="12">
        <f>(AB25/$F$32)*100000</f>
        <v>1.0026816162782017</v>
      </c>
      <c r="AD25" s="8">
        <v>59</v>
      </c>
      <c r="AE25" s="12">
        <f>(AD25/$F$44)*100000</f>
        <v>7.1741419604619665</v>
      </c>
      <c r="AF25" s="8">
        <v>0</v>
      </c>
      <c r="AG25" s="12">
        <f>(AF25/$F$40)*100000</f>
        <v>0</v>
      </c>
      <c r="AH25" s="8">
        <v>21</v>
      </c>
      <c r="AI25" s="8">
        <v>3</v>
      </c>
      <c r="AJ25" s="8">
        <v>11</v>
      </c>
      <c r="AK25" s="8">
        <v>0</v>
      </c>
      <c r="AM25" s="11">
        <f t="shared" si="0"/>
        <v>25</v>
      </c>
      <c r="AN25" s="11">
        <f t="shared" si="1"/>
        <v>333</v>
      </c>
      <c r="AO25" s="11">
        <f t="shared" si="2"/>
        <v>9</v>
      </c>
      <c r="AP25" s="11">
        <f t="shared" si="3"/>
        <v>172</v>
      </c>
      <c r="AQ25" s="11">
        <f t="shared" si="4"/>
        <v>6</v>
      </c>
      <c r="AR25" s="11">
        <f t="shared" si="5"/>
        <v>41</v>
      </c>
      <c r="AS25" s="11">
        <f t="shared" si="6"/>
        <v>7</v>
      </c>
      <c r="AT25" s="11">
        <f t="shared" si="7"/>
        <v>88</v>
      </c>
    </row>
    <row r="26" spans="1:48" x14ac:dyDescent="0.2">
      <c r="A26" s="6">
        <v>2016</v>
      </c>
      <c r="B26" s="8">
        <v>321</v>
      </c>
      <c r="C26" s="12">
        <f>(B26/$F$39)*100000</f>
        <v>28.503993222975819</v>
      </c>
      <c r="D26" s="8">
        <v>47</v>
      </c>
      <c r="E26" s="12">
        <f t="shared" si="8"/>
        <v>3.8475329127788847</v>
      </c>
      <c r="F26" s="8">
        <v>134</v>
      </c>
      <c r="G26" s="12">
        <f>(F26/$F$47)*100000</f>
        <v>14.167735414369256</v>
      </c>
      <c r="H26" s="8">
        <v>5</v>
      </c>
      <c r="I26" s="12">
        <f>(H26/$F$43)*100000</f>
        <v>0.49421423396299519</v>
      </c>
      <c r="J26" s="8">
        <v>49</v>
      </c>
      <c r="K26" s="12">
        <f>(J26/$F$37)*100000</f>
        <v>52.55818942400515</v>
      </c>
      <c r="L26" s="8">
        <v>9</v>
      </c>
      <c r="M26" s="12">
        <f>(L26/$F$33)*100000</f>
        <v>9.4179694857788672</v>
      </c>
      <c r="N26" s="8">
        <v>17</v>
      </c>
      <c r="O26" s="12">
        <f>(N26/$F$45)*100000</f>
        <v>29.424491562094332</v>
      </c>
      <c r="P26" s="8">
        <v>3</v>
      </c>
      <c r="Q26" s="12">
        <f>(P26/$F$41)*100000</f>
        <v>4.6668637120233969</v>
      </c>
      <c r="R26" s="8">
        <v>84</v>
      </c>
      <c r="S26" s="12">
        <f>(R26/$F$38)*100000</f>
        <v>52.957419712769045</v>
      </c>
      <c r="T26" s="8">
        <v>15</v>
      </c>
      <c r="U26" s="12">
        <f t="shared" si="9"/>
        <v>15.748196831462797</v>
      </c>
      <c r="V26" s="8">
        <v>17</v>
      </c>
      <c r="W26" s="12">
        <f>(V26/$F$46)*100000</f>
        <v>25.899631311130751</v>
      </c>
      <c r="X26" s="8">
        <v>1</v>
      </c>
      <c r="Y26" s="12">
        <f>(X26/$F$42)*100000</f>
        <v>1.3478905512872354</v>
      </c>
      <c r="Z26" s="8">
        <v>147</v>
      </c>
      <c r="AA26" s="12">
        <f>(Z26/$F$36)*100000</f>
        <v>16.813258455238987</v>
      </c>
      <c r="AB26" s="8">
        <v>21</v>
      </c>
      <c r="AC26" s="12">
        <f>(AB26/$F$32)*100000</f>
        <v>2.339590437982471</v>
      </c>
      <c r="AD26" s="8">
        <v>81</v>
      </c>
      <c r="AE26" s="12">
        <f>(AD26/$F$44)*100000</f>
        <v>9.8492457423291402</v>
      </c>
      <c r="AF26" s="8">
        <v>0</v>
      </c>
      <c r="AG26" s="12">
        <f>(AF26/$F$40)*100000</f>
        <v>0</v>
      </c>
      <c r="AH26" s="8">
        <v>41</v>
      </c>
      <c r="AI26" s="8">
        <v>2</v>
      </c>
      <c r="AJ26" s="8">
        <v>19</v>
      </c>
      <c r="AK26" s="8">
        <v>1</v>
      </c>
      <c r="AM26" s="11">
        <f t="shared" si="0"/>
        <v>52</v>
      </c>
      <c r="AN26" s="11">
        <f t="shared" si="1"/>
        <v>455</v>
      </c>
      <c r="AO26" s="11">
        <f t="shared" si="2"/>
        <v>21</v>
      </c>
      <c r="AP26" s="11">
        <f t="shared" si="3"/>
        <v>228</v>
      </c>
      <c r="AQ26" s="11">
        <f t="shared" si="4"/>
        <v>12</v>
      </c>
      <c r="AR26" s="11">
        <f t="shared" si="5"/>
        <v>66</v>
      </c>
      <c r="AS26" s="11">
        <f t="shared" si="6"/>
        <v>16</v>
      </c>
      <c r="AT26" s="11">
        <f t="shared" si="7"/>
        <v>101</v>
      </c>
    </row>
    <row r="27" spans="1:48" s="22" customFormat="1" ht="14" x14ac:dyDescent="0.15">
      <c r="A27" s="79" t="s">
        <v>38</v>
      </c>
      <c r="B27" s="79"/>
      <c r="C27" s="79"/>
      <c r="D27" s="79"/>
      <c r="E27" s="79"/>
      <c r="F27" s="79"/>
      <c r="G27" s="79"/>
      <c r="H27" s="79"/>
      <c r="I27" s="79"/>
      <c r="J27" s="79"/>
      <c r="K27" s="79"/>
      <c r="L27" s="79"/>
      <c r="M27" s="38"/>
      <c r="AR27" s="23"/>
      <c r="AV27" s="23"/>
    </row>
    <row r="28" spans="1:48" s="22" customFormat="1" ht="16.5" customHeight="1" x14ac:dyDescent="0.15">
      <c r="A28" s="22" t="s">
        <v>39</v>
      </c>
    </row>
    <row r="29" spans="1:48" s="22" customFormat="1" ht="16.5" customHeight="1" x14ac:dyDescent="0.15">
      <c r="A29" s="22" t="s">
        <v>40</v>
      </c>
    </row>
    <row r="30" spans="1:48" ht="16.5" customHeight="1" x14ac:dyDescent="0.2">
      <c r="A30" s="7"/>
    </row>
    <row r="31" spans="1:48" x14ac:dyDescent="0.2">
      <c r="A31" s="7" t="s">
        <v>28</v>
      </c>
      <c r="B31" s="7" t="s">
        <v>14</v>
      </c>
      <c r="C31" s="13" t="s">
        <v>23</v>
      </c>
      <c r="D31" s="13" t="s">
        <v>24</v>
      </c>
      <c r="E31" s="13" t="s">
        <v>25</v>
      </c>
      <c r="F31" s="13" t="s">
        <v>26</v>
      </c>
      <c r="M31" s="59" t="s">
        <v>118</v>
      </c>
      <c r="N31" s="59"/>
      <c r="O31" s="59"/>
      <c r="P31" s="59"/>
      <c r="Q31" s="59"/>
      <c r="R31" s="59"/>
      <c r="S31" s="59"/>
    </row>
    <row r="32" spans="1:48" ht="16.5" customHeight="1" x14ac:dyDescent="0.2">
      <c r="A32" s="7" t="s">
        <v>29</v>
      </c>
      <c r="B32" s="7" t="s">
        <v>15</v>
      </c>
      <c r="C32" s="14">
        <v>1050000</v>
      </c>
      <c r="D32" s="13">
        <v>954913</v>
      </c>
      <c r="E32" s="13">
        <v>905801</v>
      </c>
      <c r="F32" s="13">
        <v>897593</v>
      </c>
    </row>
    <row r="33" spans="1:11" ht="16.5" customHeight="1" x14ac:dyDescent="0.2">
      <c r="A33" s="7"/>
      <c r="B33" s="7" t="s">
        <v>16</v>
      </c>
      <c r="C33" s="15">
        <v>76313</v>
      </c>
      <c r="D33" s="16">
        <v>80202</v>
      </c>
      <c r="E33" s="16">
        <v>86230</v>
      </c>
      <c r="F33" s="16">
        <v>95562</v>
      </c>
    </row>
    <row r="34" spans="1:11" ht="16.5" customHeight="1" x14ac:dyDescent="0.2">
      <c r="A34" s="7"/>
      <c r="B34" s="7" t="s">
        <v>17</v>
      </c>
      <c r="C34" s="15">
        <v>95249</v>
      </c>
      <c r="D34" s="16">
        <v>112038</v>
      </c>
      <c r="E34" s="16">
        <v>131116</v>
      </c>
      <c r="F34" s="16">
        <v>153770</v>
      </c>
    </row>
    <row r="35" spans="1:11" x14ac:dyDescent="0.2">
      <c r="A35" s="7"/>
      <c r="B35" s="7" t="s">
        <v>27</v>
      </c>
      <c r="C35" s="15">
        <v>1221562</v>
      </c>
      <c r="D35" s="16">
        <v>1147153</v>
      </c>
      <c r="E35" s="16">
        <v>1123147</v>
      </c>
      <c r="F35" s="16">
        <v>1146925</v>
      </c>
    </row>
    <row r="36" spans="1:11" x14ac:dyDescent="0.2">
      <c r="A36" s="7"/>
      <c r="B36" s="7" t="s">
        <v>18</v>
      </c>
      <c r="C36" s="15">
        <v>1010000</v>
      </c>
      <c r="D36" s="16">
        <v>929639</v>
      </c>
      <c r="E36" s="16">
        <v>877768</v>
      </c>
      <c r="F36" s="16">
        <v>874310</v>
      </c>
    </row>
    <row r="37" spans="1:11" x14ac:dyDescent="0.2">
      <c r="A37" s="7"/>
      <c r="B37" s="7" t="s">
        <v>19</v>
      </c>
      <c r="C37" s="15">
        <v>70374</v>
      </c>
      <c r="D37" s="16">
        <v>74910</v>
      </c>
      <c r="E37" s="16">
        <v>80576</v>
      </c>
      <c r="F37" s="16">
        <v>93230</v>
      </c>
    </row>
    <row r="38" spans="1:11" x14ac:dyDescent="0.2">
      <c r="A38" s="7"/>
      <c r="B38" s="7" t="s">
        <v>20</v>
      </c>
      <c r="C38" s="15">
        <v>92657</v>
      </c>
      <c r="D38" s="16">
        <v>109737</v>
      </c>
      <c r="E38" s="16">
        <v>128160</v>
      </c>
      <c r="F38" s="16">
        <v>158618</v>
      </c>
    </row>
    <row r="39" spans="1:11" x14ac:dyDescent="0.2">
      <c r="A39" s="7"/>
      <c r="B39" s="7" t="s">
        <v>21</v>
      </c>
      <c r="C39" s="15">
        <v>1173031</v>
      </c>
      <c r="D39" s="16">
        <v>1114286</v>
      </c>
      <c r="E39" s="16">
        <v>1086504</v>
      </c>
      <c r="F39" s="16">
        <v>1126158</v>
      </c>
    </row>
    <row r="40" spans="1:11" x14ac:dyDescent="0.2">
      <c r="A40" s="17" t="s">
        <v>22</v>
      </c>
      <c r="B40" s="7" t="s">
        <v>15</v>
      </c>
      <c r="C40" s="7">
        <v>699071</v>
      </c>
      <c r="D40" s="7">
        <v>785046</v>
      </c>
      <c r="E40" s="7">
        <v>857720</v>
      </c>
      <c r="F40" s="7">
        <v>873234</v>
      </c>
      <c r="H40" s="13"/>
      <c r="I40" s="13"/>
      <c r="J40" s="13"/>
      <c r="K40" s="13"/>
    </row>
    <row r="41" spans="1:11" x14ac:dyDescent="0.2">
      <c r="B41" s="7" t="s">
        <v>16</v>
      </c>
      <c r="C41" s="7">
        <v>35632</v>
      </c>
      <c r="D41" s="7">
        <v>44616</v>
      </c>
      <c r="E41" s="7">
        <v>54537</v>
      </c>
      <c r="F41" s="7">
        <v>64283</v>
      </c>
    </row>
    <row r="42" spans="1:11" x14ac:dyDescent="0.2">
      <c r="B42" s="7" t="s">
        <v>17</v>
      </c>
      <c r="C42" s="7">
        <v>29998</v>
      </c>
      <c r="D42" s="7">
        <v>41877</v>
      </c>
      <c r="E42" s="7">
        <v>58148</v>
      </c>
      <c r="F42" s="7">
        <v>74190</v>
      </c>
    </row>
    <row r="43" spans="1:11" x14ac:dyDescent="0.2">
      <c r="B43" s="7" t="s">
        <v>27</v>
      </c>
      <c r="C43" s="7">
        <v>764701</v>
      </c>
      <c r="D43" s="7">
        <v>871539</v>
      </c>
      <c r="E43" s="7">
        <v>970405</v>
      </c>
      <c r="F43" s="7">
        <v>1011707</v>
      </c>
    </row>
    <row r="44" spans="1:11" ht="15" customHeight="1" x14ac:dyDescent="0.2">
      <c r="B44" s="7" t="s">
        <v>18</v>
      </c>
      <c r="C44" s="7">
        <v>654641</v>
      </c>
      <c r="D44" s="7">
        <v>736502</v>
      </c>
      <c r="E44" s="7">
        <v>808766</v>
      </c>
      <c r="F44" s="7">
        <v>822398</v>
      </c>
    </row>
    <row r="45" spans="1:11" x14ac:dyDescent="0.2">
      <c r="B45" s="7" t="s">
        <v>19</v>
      </c>
      <c r="C45" s="7">
        <v>30445</v>
      </c>
      <c r="D45" s="7">
        <v>39364</v>
      </c>
      <c r="E45" s="7">
        <v>49279</v>
      </c>
      <c r="F45" s="7">
        <v>57775</v>
      </c>
    </row>
    <row r="46" spans="1:11" x14ac:dyDescent="0.2">
      <c r="B46" s="7" t="s">
        <v>20</v>
      </c>
      <c r="C46" s="7">
        <v>25624</v>
      </c>
      <c r="D46" s="7">
        <v>36070</v>
      </c>
      <c r="E46" s="7">
        <v>50123</v>
      </c>
      <c r="F46" s="7">
        <v>65638</v>
      </c>
    </row>
    <row r="47" spans="1:11" x14ac:dyDescent="0.2">
      <c r="B47" s="7" t="s">
        <v>21</v>
      </c>
      <c r="C47" s="7">
        <v>710710</v>
      </c>
      <c r="D47" s="7">
        <v>811936</v>
      </c>
      <c r="E47" s="7">
        <v>908168</v>
      </c>
      <c r="F47" s="7">
        <v>945811</v>
      </c>
    </row>
    <row r="62" spans="1:1" ht="15.75" customHeight="1" x14ac:dyDescent="0.2"/>
    <row r="63" spans="1:1" x14ac:dyDescent="0.2">
      <c r="A63" s="7"/>
    </row>
    <row r="65" ht="15.75" customHeight="1" x14ac:dyDescent="0.2"/>
    <row r="66" ht="16.5" customHeight="1" x14ac:dyDescent="0.2"/>
    <row r="69" ht="16.5" customHeight="1" x14ac:dyDescent="0.2"/>
    <row r="89" ht="15.75" customHeight="1" x14ac:dyDescent="0.2"/>
    <row r="90" ht="16.5" customHeight="1" x14ac:dyDescent="0.2"/>
    <row r="91" ht="15.75" customHeight="1" x14ac:dyDescent="0.2"/>
    <row r="95" ht="16.5" customHeight="1" x14ac:dyDescent="0.2"/>
  </sheetData>
  <mergeCells count="37">
    <mergeCell ref="AH6:AK6"/>
    <mergeCell ref="AD7:AG7"/>
    <mergeCell ref="AH7:AI7"/>
    <mergeCell ref="AJ7:AK7"/>
    <mergeCell ref="R7:U7"/>
    <mergeCell ref="V7:Y7"/>
    <mergeCell ref="Z7:AC7"/>
    <mergeCell ref="R6:Y6"/>
    <mergeCell ref="Z6:AG6"/>
    <mergeCell ref="B7:E7"/>
    <mergeCell ref="F7:I7"/>
    <mergeCell ref="AD8:AE8"/>
    <mergeCell ref="AF8:AG8"/>
    <mergeCell ref="R8:S8"/>
    <mergeCell ref="T8:U8"/>
    <mergeCell ref="V8:W8"/>
    <mergeCell ref="X8:Y8"/>
    <mergeCell ref="J7:M7"/>
    <mergeCell ref="B6:I6"/>
    <mergeCell ref="J6:Q6"/>
    <mergeCell ref="N7:Q7"/>
    <mergeCell ref="A27:L27"/>
    <mergeCell ref="Z8:AA8"/>
    <mergeCell ref="AB8:AC8"/>
    <mergeCell ref="J8:K8"/>
    <mergeCell ref="L8:M8"/>
    <mergeCell ref="N8:O8"/>
    <mergeCell ref="P8:Q8"/>
    <mergeCell ref="B8:C8"/>
    <mergeCell ref="D8:E8"/>
    <mergeCell ref="F8:G8"/>
    <mergeCell ref="H8:I8"/>
    <mergeCell ref="AM5:AN5"/>
    <mergeCell ref="AO5:AP5"/>
    <mergeCell ref="AQ5:AR5"/>
    <mergeCell ref="AS5:AT5"/>
    <mergeCell ref="A1:H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opLeftCell="G1" workbookViewId="0">
      <selection activeCell="L20" sqref="L20"/>
    </sheetView>
  </sheetViews>
  <sheetFormatPr baseColWidth="10" defaultColWidth="11.1640625" defaultRowHeight="16" x14ac:dyDescent="0.2"/>
  <cols>
    <col min="1" max="4" width="11.1640625" style="2"/>
    <col min="5" max="8" width="15.33203125" style="2" customWidth="1"/>
    <col min="9" max="11" width="11.1640625" style="2"/>
    <col min="12" max="14" width="14.6640625" style="2" customWidth="1"/>
    <col min="15" max="16384" width="11.1640625" style="2"/>
  </cols>
  <sheetData>
    <row r="1" spans="1:15" x14ac:dyDescent="0.2">
      <c r="A1" s="80" t="s">
        <v>48</v>
      </c>
      <c r="B1" s="81"/>
      <c r="C1" s="81"/>
      <c r="D1" s="81"/>
      <c r="E1" s="81"/>
      <c r="F1" s="81"/>
      <c r="G1" s="81"/>
      <c r="H1" s="82"/>
    </row>
    <row r="2" spans="1:15" x14ac:dyDescent="0.2">
      <c r="A2" s="83"/>
      <c r="B2" s="84"/>
      <c r="C2" s="84"/>
      <c r="D2" s="84"/>
      <c r="E2" s="84"/>
      <c r="F2" s="84"/>
      <c r="G2" s="84"/>
      <c r="H2" s="85"/>
    </row>
    <row r="3" spans="1:15" x14ac:dyDescent="0.2">
      <c r="A3" s="83"/>
      <c r="B3" s="84"/>
      <c r="C3" s="84"/>
      <c r="D3" s="84"/>
      <c r="E3" s="84"/>
      <c r="F3" s="84"/>
      <c r="G3" s="84"/>
      <c r="H3" s="85"/>
    </row>
    <row r="4" spans="1:15" x14ac:dyDescent="0.2">
      <c r="A4" s="83"/>
      <c r="B4" s="84"/>
      <c r="C4" s="84"/>
      <c r="D4" s="84"/>
      <c r="E4" s="84"/>
      <c r="F4" s="84"/>
      <c r="G4" s="84"/>
      <c r="H4" s="85"/>
    </row>
    <row r="5" spans="1:15" x14ac:dyDescent="0.2">
      <c r="A5" s="86"/>
      <c r="B5" s="87"/>
      <c r="C5" s="87"/>
      <c r="D5" s="87"/>
      <c r="E5" s="87"/>
      <c r="F5" s="87"/>
      <c r="G5" s="87"/>
      <c r="H5" s="88"/>
    </row>
    <row r="6" spans="1:15" x14ac:dyDescent="0.2">
      <c r="A6" s="1"/>
      <c r="B6" s="90" t="s">
        <v>10</v>
      </c>
      <c r="C6" s="90"/>
      <c r="D6" s="90"/>
      <c r="E6" s="90"/>
      <c r="F6" s="90"/>
      <c r="G6" s="90"/>
      <c r="H6" s="39"/>
      <c r="I6" s="90" t="s">
        <v>11</v>
      </c>
      <c r="J6" s="90"/>
      <c r="K6" s="90"/>
      <c r="L6" s="90"/>
      <c r="M6" s="90"/>
      <c r="N6" s="90"/>
    </row>
    <row r="7" spans="1:15" x14ac:dyDescent="0.2">
      <c r="A7" s="1"/>
      <c r="B7" s="90" t="s">
        <v>9</v>
      </c>
      <c r="C7" s="90"/>
      <c r="D7" s="90"/>
      <c r="E7" s="77" t="s">
        <v>42</v>
      </c>
      <c r="F7" s="89"/>
      <c r="G7" s="78"/>
      <c r="H7" s="98" t="s">
        <v>44</v>
      </c>
      <c r="I7" s="90" t="s">
        <v>9</v>
      </c>
      <c r="J7" s="90"/>
      <c r="K7" s="90"/>
      <c r="L7" s="77" t="s">
        <v>42</v>
      </c>
      <c r="M7" s="89"/>
      <c r="N7" s="78"/>
      <c r="O7" s="98" t="s">
        <v>44</v>
      </c>
    </row>
    <row r="8" spans="1:15" x14ac:dyDescent="0.2">
      <c r="A8" s="1" t="s">
        <v>0</v>
      </c>
      <c r="B8" s="1" t="s">
        <v>30</v>
      </c>
      <c r="C8" s="1" t="s">
        <v>31</v>
      </c>
      <c r="D8" s="1" t="s">
        <v>32</v>
      </c>
      <c r="E8" s="1" t="s">
        <v>30</v>
      </c>
      <c r="F8" s="1" t="s">
        <v>31</v>
      </c>
      <c r="G8" s="1" t="s">
        <v>32</v>
      </c>
      <c r="H8" s="99"/>
      <c r="I8" s="1" t="s">
        <v>30</v>
      </c>
      <c r="J8" s="1" t="s">
        <v>31</v>
      </c>
      <c r="K8" s="1" t="s">
        <v>32</v>
      </c>
      <c r="L8" s="1" t="s">
        <v>30</v>
      </c>
      <c r="M8" s="1" t="s">
        <v>31</v>
      </c>
      <c r="N8" s="1" t="s">
        <v>32</v>
      </c>
      <c r="O8" s="99"/>
    </row>
    <row r="9" spans="1:15" x14ac:dyDescent="0.2">
      <c r="A9" s="1">
        <v>2000</v>
      </c>
      <c r="B9" s="6" t="s">
        <v>45</v>
      </c>
      <c r="C9" s="6">
        <v>8</v>
      </c>
      <c r="D9" s="6">
        <v>8</v>
      </c>
      <c r="E9" s="6" t="s">
        <v>45</v>
      </c>
      <c r="F9" s="6" t="s">
        <v>45</v>
      </c>
      <c r="G9" s="6" t="s">
        <v>45</v>
      </c>
      <c r="H9" s="6">
        <v>0</v>
      </c>
      <c r="I9" s="6">
        <v>0</v>
      </c>
      <c r="J9" s="6" t="s">
        <v>45</v>
      </c>
      <c r="K9" s="4" t="s">
        <v>45</v>
      </c>
      <c r="L9" s="6">
        <v>0</v>
      </c>
      <c r="M9" s="6" t="s">
        <v>45</v>
      </c>
      <c r="N9" s="6" t="s">
        <v>45</v>
      </c>
      <c r="O9" s="6">
        <v>0</v>
      </c>
    </row>
    <row r="10" spans="1:15" x14ac:dyDescent="0.2">
      <c r="A10" s="1">
        <f>A9+1</f>
        <v>2001</v>
      </c>
      <c r="B10" s="6" t="s">
        <v>45</v>
      </c>
      <c r="C10" s="6">
        <v>9</v>
      </c>
      <c r="D10" s="6">
        <v>8</v>
      </c>
      <c r="E10" s="42" t="s">
        <v>45</v>
      </c>
      <c r="F10" s="6" t="s">
        <v>45</v>
      </c>
      <c r="G10" s="6" t="s">
        <v>45</v>
      </c>
      <c r="H10" s="6" t="s">
        <v>45</v>
      </c>
      <c r="I10" s="6" t="s">
        <v>45</v>
      </c>
      <c r="J10" s="6" t="s">
        <v>45</v>
      </c>
      <c r="K10" s="4" t="s">
        <v>45</v>
      </c>
      <c r="L10" s="6" t="s">
        <v>45</v>
      </c>
      <c r="M10" s="6" t="s">
        <v>45</v>
      </c>
      <c r="N10" s="6" t="s">
        <v>45</v>
      </c>
      <c r="O10" s="6" t="s">
        <v>45</v>
      </c>
    </row>
    <row r="11" spans="1:15" x14ac:dyDescent="0.2">
      <c r="A11" s="1">
        <f t="shared" ref="A11:A25" si="0">A10+1</f>
        <v>2002</v>
      </c>
      <c r="B11" s="6">
        <v>9</v>
      </c>
      <c r="C11" s="6">
        <v>35</v>
      </c>
      <c r="D11" s="6">
        <v>22</v>
      </c>
      <c r="E11" s="42" t="s">
        <v>45</v>
      </c>
      <c r="F11" s="6">
        <v>18</v>
      </c>
      <c r="G11" s="6">
        <v>9</v>
      </c>
      <c r="H11" s="6">
        <v>6</v>
      </c>
      <c r="I11" s="6" t="s">
        <v>45</v>
      </c>
      <c r="J11" s="6">
        <v>6</v>
      </c>
      <c r="K11" s="4">
        <v>5</v>
      </c>
      <c r="L11" s="6" t="s">
        <v>45</v>
      </c>
      <c r="M11" s="6" t="s">
        <v>45</v>
      </c>
      <c r="N11" s="6" t="s">
        <v>45</v>
      </c>
      <c r="O11" s="6">
        <v>0</v>
      </c>
    </row>
    <row r="12" spans="1:15" x14ac:dyDescent="0.2">
      <c r="A12" s="1">
        <f t="shared" si="0"/>
        <v>2003</v>
      </c>
      <c r="B12" s="6">
        <v>21</v>
      </c>
      <c r="C12" s="6">
        <v>38</v>
      </c>
      <c r="D12" s="6">
        <v>45</v>
      </c>
      <c r="E12" s="42" t="s">
        <v>45</v>
      </c>
      <c r="F12" s="6">
        <v>17</v>
      </c>
      <c r="G12" s="6">
        <v>21</v>
      </c>
      <c r="H12" s="6">
        <v>14</v>
      </c>
      <c r="I12" s="6">
        <v>6</v>
      </c>
      <c r="J12" s="6">
        <v>9</v>
      </c>
      <c r="K12" s="4">
        <v>7</v>
      </c>
      <c r="L12" s="6" t="s">
        <v>45</v>
      </c>
      <c r="M12" s="6">
        <v>5</v>
      </c>
      <c r="N12" s="6" t="s">
        <v>45</v>
      </c>
      <c r="O12" s="6" t="s">
        <v>45</v>
      </c>
    </row>
    <row r="13" spans="1:15" x14ac:dyDescent="0.2">
      <c r="A13" s="1">
        <f t="shared" si="0"/>
        <v>2004</v>
      </c>
      <c r="B13" s="6">
        <v>21</v>
      </c>
      <c r="C13" s="6">
        <v>35</v>
      </c>
      <c r="D13" s="6">
        <v>31</v>
      </c>
      <c r="E13" s="42">
        <v>6</v>
      </c>
      <c r="F13" s="6">
        <v>16</v>
      </c>
      <c r="G13" s="6">
        <v>10</v>
      </c>
      <c r="H13" s="6">
        <v>12</v>
      </c>
      <c r="I13" s="6" t="s">
        <v>45</v>
      </c>
      <c r="J13" s="6">
        <v>7</v>
      </c>
      <c r="K13" s="4">
        <v>6</v>
      </c>
      <c r="L13" s="6">
        <v>0</v>
      </c>
      <c r="M13" s="6" t="s">
        <v>45</v>
      </c>
      <c r="N13" s="6">
        <v>6</v>
      </c>
      <c r="O13" s="6" t="s">
        <v>45</v>
      </c>
    </row>
    <row r="14" spans="1:15" x14ac:dyDescent="0.2">
      <c r="A14" s="1">
        <f t="shared" si="0"/>
        <v>2005</v>
      </c>
      <c r="B14" s="6">
        <v>14</v>
      </c>
      <c r="C14" s="6">
        <v>39</v>
      </c>
      <c r="D14" s="6">
        <v>33</v>
      </c>
      <c r="E14" s="42">
        <v>5</v>
      </c>
      <c r="F14" s="6">
        <v>20</v>
      </c>
      <c r="G14" s="6">
        <v>16</v>
      </c>
      <c r="H14" s="6">
        <v>11</v>
      </c>
      <c r="I14" s="6">
        <v>6</v>
      </c>
      <c r="J14" s="6">
        <v>17</v>
      </c>
      <c r="K14" s="4">
        <v>7</v>
      </c>
      <c r="L14" s="6" t="s">
        <v>45</v>
      </c>
      <c r="M14" s="6">
        <v>8</v>
      </c>
      <c r="N14" s="6" t="s">
        <v>45</v>
      </c>
      <c r="O14" s="6" t="s">
        <v>45</v>
      </c>
    </row>
    <row r="15" spans="1:15" x14ac:dyDescent="0.2">
      <c r="A15" s="1">
        <f t="shared" si="0"/>
        <v>2006</v>
      </c>
      <c r="B15" s="6">
        <v>20</v>
      </c>
      <c r="C15" s="6">
        <v>29</v>
      </c>
      <c r="D15" s="6">
        <v>28</v>
      </c>
      <c r="E15" s="42">
        <v>5</v>
      </c>
      <c r="F15" s="6">
        <v>13</v>
      </c>
      <c r="G15" s="6">
        <v>17</v>
      </c>
      <c r="H15" s="6">
        <v>8</v>
      </c>
      <c r="I15" s="6" t="s">
        <v>45</v>
      </c>
      <c r="J15" s="6">
        <v>21</v>
      </c>
      <c r="K15" s="4">
        <v>10</v>
      </c>
      <c r="L15" s="6" t="s">
        <v>45</v>
      </c>
      <c r="M15" s="6">
        <v>15</v>
      </c>
      <c r="N15" s="6">
        <v>6</v>
      </c>
      <c r="O15" s="6">
        <v>5</v>
      </c>
    </row>
    <row r="16" spans="1:15" x14ac:dyDescent="0.2">
      <c r="A16" s="1">
        <f t="shared" si="0"/>
        <v>2007</v>
      </c>
      <c r="B16" s="6">
        <v>17</v>
      </c>
      <c r="C16" s="6">
        <v>45</v>
      </c>
      <c r="D16" s="6">
        <v>33</v>
      </c>
      <c r="E16" s="42">
        <v>10</v>
      </c>
      <c r="F16" s="6">
        <v>24</v>
      </c>
      <c r="G16" s="6">
        <v>18</v>
      </c>
      <c r="H16" s="6">
        <v>13</v>
      </c>
      <c r="I16" s="6">
        <v>9</v>
      </c>
      <c r="J16" s="6">
        <v>12</v>
      </c>
      <c r="K16" s="4">
        <v>16</v>
      </c>
      <c r="L16" s="6">
        <v>5</v>
      </c>
      <c r="M16" s="6">
        <v>10</v>
      </c>
      <c r="N16" s="6">
        <v>20</v>
      </c>
      <c r="O16" s="6" t="s">
        <v>45</v>
      </c>
    </row>
    <row r="17" spans="1:15" x14ac:dyDescent="0.2">
      <c r="A17" s="1">
        <f t="shared" si="0"/>
        <v>2008</v>
      </c>
      <c r="B17" s="6">
        <v>35</v>
      </c>
      <c r="C17" s="6">
        <v>63</v>
      </c>
      <c r="D17" s="6">
        <v>64</v>
      </c>
      <c r="E17" s="42">
        <v>12</v>
      </c>
      <c r="F17" s="6">
        <v>35</v>
      </c>
      <c r="G17" s="6">
        <v>37</v>
      </c>
      <c r="H17" s="6">
        <v>13</v>
      </c>
      <c r="I17" s="6">
        <v>11</v>
      </c>
      <c r="J17" s="6">
        <v>12</v>
      </c>
      <c r="K17" s="4">
        <v>18</v>
      </c>
      <c r="L17" s="6" t="s">
        <v>45</v>
      </c>
      <c r="M17" s="6">
        <v>5</v>
      </c>
      <c r="N17" s="6">
        <v>14</v>
      </c>
      <c r="O17" s="6" t="s">
        <v>45</v>
      </c>
    </row>
    <row r="18" spans="1:15" x14ac:dyDescent="0.2">
      <c r="A18" s="1">
        <f t="shared" si="0"/>
        <v>2009</v>
      </c>
      <c r="B18" s="6">
        <v>47</v>
      </c>
      <c r="C18" s="6">
        <v>57</v>
      </c>
      <c r="D18" s="6">
        <v>48</v>
      </c>
      <c r="E18" s="42">
        <v>13</v>
      </c>
      <c r="F18" s="6">
        <v>30</v>
      </c>
      <c r="G18" s="6">
        <v>34</v>
      </c>
      <c r="H18" s="6">
        <v>15</v>
      </c>
      <c r="I18" s="6">
        <v>13</v>
      </c>
      <c r="J18" s="6">
        <v>24</v>
      </c>
      <c r="K18" s="4">
        <v>23</v>
      </c>
      <c r="L18" s="6">
        <v>9</v>
      </c>
      <c r="M18" s="6">
        <v>14</v>
      </c>
      <c r="N18" s="6">
        <v>13</v>
      </c>
      <c r="O18" s="6" t="s">
        <v>45</v>
      </c>
    </row>
    <row r="19" spans="1:15" x14ac:dyDescent="0.2">
      <c r="A19" s="1">
        <f t="shared" si="0"/>
        <v>2010</v>
      </c>
      <c r="B19" s="6">
        <v>42</v>
      </c>
      <c r="C19" s="6">
        <v>79</v>
      </c>
      <c r="D19" s="6">
        <v>84</v>
      </c>
      <c r="E19" s="42">
        <v>8</v>
      </c>
      <c r="F19" s="6">
        <v>37</v>
      </c>
      <c r="G19" s="6">
        <v>36</v>
      </c>
      <c r="H19" s="6">
        <v>17</v>
      </c>
      <c r="I19" s="6">
        <v>21</v>
      </c>
      <c r="J19" s="6">
        <v>26</v>
      </c>
      <c r="K19" s="4">
        <v>20</v>
      </c>
      <c r="L19" s="6">
        <v>7</v>
      </c>
      <c r="M19" s="6">
        <v>14</v>
      </c>
      <c r="N19" s="6">
        <v>7</v>
      </c>
      <c r="O19" s="6" t="s">
        <v>45</v>
      </c>
    </row>
    <row r="20" spans="1:15" x14ac:dyDescent="0.2">
      <c r="A20" s="1">
        <f t="shared" si="0"/>
        <v>2011</v>
      </c>
      <c r="B20" s="6">
        <v>35</v>
      </c>
      <c r="C20" s="6">
        <v>79</v>
      </c>
      <c r="D20" s="6">
        <v>98</v>
      </c>
      <c r="E20" s="42">
        <v>11</v>
      </c>
      <c r="F20" s="6">
        <v>41</v>
      </c>
      <c r="G20" s="6">
        <v>38</v>
      </c>
      <c r="H20" s="6">
        <v>17</v>
      </c>
      <c r="I20" s="6">
        <v>11</v>
      </c>
      <c r="J20" s="6">
        <v>32</v>
      </c>
      <c r="K20" s="4">
        <v>43</v>
      </c>
      <c r="L20" s="6" t="s">
        <v>45</v>
      </c>
      <c r="M20" s="6">
        <v>19</v>
      </c>
      <c r="N20" s="6">
        <v>41</v>
      </c>
      <c r="O20" s="6">
        <v>7</v>
      </c>
    </row>
    <row r="21" spans="1:15" x14ac:dyDescent="0.2">
      <c r="A21" s="1">
        <f t="shared" si="0"/>
        <v>2012</v>
      </c>
      <c r="B21" s="6">
        <v>57</v>
      </c>
      <c r="C21" s="6">
        <v>103</v>
      </c>
      <c r="D21" s="6">
        <v>113</v>
      </c>
      <c r="E21" s="42">
        <v>20</v>
      </c>
      <c r="F21" s="6">
        <v>39</v>
      </c>
      <c r="G21" s="6">
        <v>87</v>
      </c>
      <c r="H21" s="6">
        <v>13</v>
      </c>
      <c r="I21" s="6">
        <v>20</v>
      </c>
      <c r="J21" s="6">
        <v>33</v>
      </c>
      <c r="K21" s="4">
        <v>34</v>
      </c>
      <c r="L21" s="6">
        <v>9</v>
      </c>
      <c r="M21" s="6">
        <v>30</v>
      </c>
      <c r="N21" s="6">
        <v>29</v>
      </c>
      <c r="O21" s="6">
        <v>11</v>
      </c>
    </row>
    <row r="22" spans="1:15" x14ac:dyDescent="0.2">
      <c r="A22" s="1">
        <f t="shared" si="0"/>
        <v>2013</v>
      </c>
      <c r="B22" s="6">
        <v>63</v>
      </c>
      <c r="C22" s="6">
        <v>133</v>
      </c>
      <c r="D22" s="6">
        <v>175</v>
      </c>
      <c r="E22" s="42">
        <v>24</v>
      </c>
      <c r="F22" s="6">
        <v>70</v>
      </c>
      <c r="G22" s="6">
        <v>78</v>
      </c>
      <c r="H22" s="6">
        <v>15</v>
      </c>
      <c r="I22" s="6">
        <v>18</v>
      </c>
      <c r="J22" s="6">
        <v>62</v>
      </c>
      <c r="K22" s="4">
        <v>62</v>
      </c>
      <c r="L22" s="6">
        <v>17</v>
      </c>
      <c r="M22" s="6">
        <v>37</v>
      </c>
      <c r="N22" s="6">
        <v>59</v>
      </c>
      <c r="O22" s="6" t="s">
        <v>45</v>
      </c>
    </row>
    <row r="23" spans="1:15" x14ac:dyDescent="0.2">
      <c r="A23" s="5" t="s">
        <v>41</v>
      </c>
      <c r="B23" s="6">
        <v>56</v>
      </c>
      <c r="C23" s="6">
        <v>89</v>
      </c>
      <c r="D23" s="6">
        <v>143</v>
      </c>
      <c r="E23" s="6">
        <v>15</v>
      </c>
      <c r="F23" s="6">
        <v>43</v>
      </c>
      <c r="G23" s="6">
        <v>59</v>
      </c>
      <c r="H23" s="6">
        <v>6</v>
      </c>
      <c r="I23" s="6">
        <v>22</v>
      </c>
      <c r="J23" s="6">
        <v>36</v>
      </c>
      <c r="K23" s="6">
        <v>40</v>
      </c>
      <c r="L23" s="6">
        <v>15</v>
      </c>
      <c r="M23" s="6">
        <v>19</v>
      </c>
      <c r="N23" s="6">
        <v>29</v>
      </c>
      <c r="O23" s="6" t="s">
        <v>45</v>
      </c>
    </row>
    <row r="24" spans="1:15" x14ac:dyDescent="0.2">
      <c r="A24" s="1">
        <v>2015</v>
      </c>
      <c r="B24" s="6">
        <v>92</v>
      </c>
      <c r="C24" s="6">
        <v>123</v>
      </c>
      <c r="D24" s="6">
        <v>201</v>
      </c>
      <c r="E24" s="6">
        <v>38</v>
      </c>
      <c r="F24" s="6">
        <v>44</v>
      </c>
      <c r="G24" s="6">
        <v>78</v>
      </c>
      <c r="H24" s="6">
        <v>6</v>
      </c>
      <c r="I24" s="6">
        <v>29</v>
      </c>
      <c r="J24" s="6">
        <v>61</v>
      </c>
      <c r="K24" s="6">
        <v>82</v>
      </c>
      <c r="L24" s="6">
        <v>13</v>
      </c>
      <c r="M24" s="6">
        <v>30</v>
      </c>
      <c r="N24" s="6">
        <v>60</v>
      </c>
      <c r="O24" s="6" t="s">
        <v>45</v>
      </c>
    </row>
    <row r="25" spans="1:15" x14ac:dyDescent="0.2">
      <c r="A25" s="29">
        <f t="shared" si="0"/>
        <v>2016</v>
      </c>
      <c r="B25" s="30">
        <v>83</v>
      </c>
      <c r="C25" s="30">
        <v>145</v>
      </c>
      <c r="D25" s="30">
        <v>219</v>
      </c>
      <c r="E25" s="30">
        <v>23</v>
      </c>
      <c r="F25" s="30">
        <v>39</v>
      </c>
      <c r="G25" s="30">
        <v>92</v>
      </c>
      <c r="H25" s="30">
        <v>7</v>
      </c>
      <c r="I25" s="30">
        <v>34</v>
      </c>
      <c r="J25" s="30">
        <v>38</v>
      </c>
      <c r="K25" s="30">
        <v>93</v>
      </c>
      <c r="L25" s="30">
        <v>20</v>
      </c>
      <c r="M25" s="30">
        <v>35</v>
      </c>
      <c r="N25" s="30">
        <v>65</v>
      </c>
      <c r="O25" s="30">
        <v>0</v>
      </c>
    </row>
    <row r="26" spans="1:15" x14ac:dyDescent="0.2">
      <c r="A26" s="104" t="s">
        <v>43</v>
      </c>
      <c r="B26" s="105"/>
      <c r="C26" s="105"/>
      <c r="D26" s="105"/>
      <c r="E26" s="105"/>
      <c r="F26" s="105"/>
      <c r="G26" s="105"/>
      <c r="H26" s="105"/>
      <c r="I26" s="105"/>
      <c r="J26" s="105"/>
      <c r="K26" s="105"/>
      <c r="L26" s="105"/>
      <c r="M26" s="105"/>
      <c r="N26" s="105"/>
      <c r="O26" s="32"/>
    </row>
    <row r="27" spans="1:15" s="7" customFormat="1" ht="16.5" customHeight="1" x14ac:dyDescent="0.2">
      <c r="A27" s="100" t="s">
        <v>39</v>
      </c>
      <c r="B27" s="101"/>
      <c r="C27" s="101"/>
      <c r="D27" s="101"/>
      <c r="E27" s="101"/>
      <c r="F27" s="101"/>
      <c r="G27" s="101"/>
      <c r="H27" s="101"/>
      <c r="I27" s="101"/>
      <c r="J27" s="101"/>
      <c r="K27" s="13"/>
      <c r="L27" s="13"/>
      <c r="M27" s="13"/>
      <c r="N27" s="13"/>
      <c r="O27" s="43"/>
    </row>
    <row r="28" spans="1:15" s="7" customFormat="1" ht="30" customHeight="1" x14ac:dyDescent="0.2">
      <c r="A28" s="102" t="s">
        <v>40</v>
      </c>
      <c r="B28" s="103"/>
      <c r="C28" s="103"/>
      <c r="D28" s="103"/>
      <c r="E28" s="103"/>
      <c r="F28" s="103"/>
      <c r="G28" s="103"/>
      <c r="H28" s="103"/>
      <c r="I28" s="103"/>
      <c r="J28" s="103"/>
      <c r="K28" s="103"/>
      <c r="L28" s="103"/>
      <c r="M28" s="103"/>
      <c r="N28" s="103"/>
      <c r="O28" s="43"/>
    </row>
    <row r="29" spans="1:15" x14ac:dyDescent="0.2">
      <c r="A29" s="33" t="s">
        <v>46</v>
      </c>
      <c r="B29" s="31"/>
      <c r="C29" s="31"/>
      <c r="D29" s="31"/>
      <c r="E29" s="31"/>
      <c r="F29" s="31"/>
      <c r="G29" s="31"/>
      <c r="H29" s="31"/>
      <c r="I29" s="31"/>
      <c r="J29" s="31"/>
      <c r="K29" s="31"/>
      <c r="L29" s="31"/>
      <c r="M29" s="31"/>
      <c r="N29" s="31"/>
      <c r="O29" s="34"/>
    </row>
    <row r="30" spans="1:15" x14ac:dyDescent="0.2">
      <c r="A30" s="35"/>
      <c r="B30" s="36"/>
      <c r="C30" s="36"/>
      <c r="D30" s="36"/>
      <c r="E30" s="36"/>
      <c r="F30" s="36"/>
      <c r="G30" s="36"/>
      <c r="H30" s="36"/>
      <c r="I30" s="36"/>
      <c r="J30" s="36"/>
      <c r="K30" s="36"/>
      <c r="L30" s="36"/>
      <c r="M30" s="36"/>
      <c r="N30" s="36"/>
      <c r="O30" s="37"/>
    </row>
  </sheetData>
  <mergeCells count="12">
    <mergeCell ref="A27:J27"/>
    <mergeCell ref="A28:N28"/>
    <mergeCell ref="E7:G7"/>
    <mergeCell ref="L7:N7"/>
    <mergeCell ref="A26:N26"/>
    <mergeCell ref="A1:H5"/>
    <mergeCell ref="O7:O8"/>
    <mergeCell ref="B6:G6"/>
    <mergeCell ref="B7:D7"/>
    <mergeCell ref="I6:N6"/>
    <mergeCell ref="I7:K7"/>
    <mergeCell ref="H7:H8"/>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
  <sheetViews>
    <sheetView topLeftCell="I1" workbookViewId="0">
      <selection activeCell="D37" sqref="D37:D41"/>
    </sheetView>
  </sheetViews>
  <sheetFormatPr baseColWidth="10" defaultRowHeight="16" x14ac:dyDescent="0.2"/>
  <cols>
    <col min="6" max="8" width="12.1640625" bestFit="1" customWidth="1"/>
  </cols>
  <sheetData>
    <row r="1" spans="1:21" x14ac:dyDescent="0.2">
      <c r="B1" t="s">
        <v>59</v>
      </c>
      <c r="O1" t="s">
        <v>74</v>
      </c>
    </row>
    <row r="2" spans="1:21" x14ac:dyDescent="0.2">
      <c r="B2" t="s">
        <v>62</v>
      </c>
      <c r="F2" t="s">
        <v>61</v>
      </c>
    </row>
    <row r="3" spans="1:21" x14ac:dyDescent="0.2">
      <c r="A3" t="s">
        <v>0</v>
      </c>
      <c r="B3" t="s">
        <v>57</v>
      </c>
      <c r="C3" t="s">
        <v>58</v>
      </c>
      <c r="D3" t="s">
        <v>5</v>
      </c>
      <c r="E3" t="s">
        <v>60</v>
      </c>
      <c r="F3" t="s">
        <v>57</v>
      </c>
      <c r="G3" t="s">
        <v>58</v>
      </c>
      <c r="H3" t="s">
        <v>5</v>
      </c>
      <c r="I3" t="s">
        <v>85</v>
      </c>
      <c r="J3" t="s">
        <v>81</v>
      </c>
      <c r="K3" t="s">
        <v>82</v>
      </c>
      <c r="L3" t="s">
        <v>83</v>
      </c>
      <c r="M3" t="s">
        <v>84</v>
      </c>
      <c r="N3" t="s">
        <v>66</v>
      </c>
      <c r="O3" t="s">
        <v>71</v>
      </c>
      <c r="P3" t="s">
        <v>76</v>
      </c>
      <c r="Q3" t="s">
        <v>77</v>
      </c>
      <c r="R3" t="s">
        <v>75</v>
      </c>
      <c r="S3" t="s">
        <v>79</v>
      </c>
      <c r="T3" t="s">
        <v>78</v>
      </c>
      <c r="U3" t="s">
        <v>80</v>
      </c>
    </row>
    <row r="4" spans="1:21" x14ac:dyDescent="0.2">
      <c r="A4">
        <f>2000</f>
        <v>2000</v>
      </c>
      <c r="B4">
        <f>'P syphilis cases-rates'!B10+'S syphilis cases-rates'!B10</f>
        <v>26</v>
      </c>
      <c r="C4">
        <f>'EL syphilis cases-rates'!B10</f>
        <v>40</v>
      </c>
      <c r="D4">
        <f>'P syphilis cases-rates'!B10+'S syphilis cases-rates'!B10+'EL syphilis cases-rates'!B10</f>
        <v>66</v>
      </c>
      <c r="E4" s="47">
        <f>'P syphilis cases-rates'!C$39</f>
        <v>1173031</v>
      </c>
      <c r="F4" s="51">
        <f>B4/E4</f>
        <v>2.2164802123729041E-5</v>
      </c>
      <c r="G4" s="51">
        <f>C4/E4</f>
        <v>3.4099695574967755E-5</v>
      </c>
      <c r="H4" s="51">
        <f>D4/E4</f>
        <v>5.6264497698696792E-5</v>
      </c>
      <c r="I4" s="50">
        <f>'P syphilis cases-rates'!B10/'calculations for model'!D4</f>
        <v>0.16666666666666666</v>
      </c>
      <c r="J4" s="50">
        <f>'S syphilis cases-rates'!B10/'calculations for model'!D4</f>
        <v>0.22727272727272727</v>
      </c>
      <c r="K4" s="50">
        <f>C4/D4</f>
        <v>0.60606060606060608</v>
      </c>
      <c r="L4" s="48">
        <f>J4*(1-J4)/D4</f>
        <v>2.6609065865264214E-3</v>
      </c>
      <c r="M4" s="48">
        <f>K4*(1-K4)/D4</f>
        <v>3.6174416339705595E-3</v>
      </c>
      <c r="N4" s="50">
        <f>H4*100000</f>
        <v>5.6264497698696792</v>
      </c>
      <c r="O4" s="52">
        <v>0.57450040000000002</v>
      </c>
      <c r="Q4" s="52"/>
    </row>
    <row r="5" spans="1:21" x14ac:dyDescent="0.2">
      <c r="A5">
        <f>A4+1</f>
        <v>2001</v>
      </c>
      <c r="B5">
        <f>'P syphilis cases-rates'!B11+'S syphilis cases-rates'!B11</f>
        <v>17</v>
      </c>
      <c r="C5">
        <f>'EL syphilis cases-rates'!B11</f>
        <v>20</v>
      </c>
      <c r="D5">
        <f>'P syphilis cases-rates'!B11+'S syphilis cases-rates'!B11+'EL syphilis cases-rates'!B11</f>
        <v>37</v>
      </c>
      <c r="E5" s="47">
        <f>'P syphilis cases-rates'!C$39</f>
        <v>1173031</v>
      </c>
      <c r="F5" s="51">
        <f t="shared" ref="F5:F20" si="0">B5/E5</f>
        <v>1.4492370619361296E-5</v>
      </c>
      <c r="G5" s="51">
        <f t="shared" ref="G5:G20" si="1">C5/E5</f>
        <v>1.7049847787483877E-5</v>
      </c>
      <c r="H5" s="51">
        <f t="shared" ref="H5:H20" si="2">D5/E5</f>
        <v>3.1542218406845171E-5</v>
      </c>
      <c r="I5" s="50">
        <f>'P syphilis cases-rates'!B11/'calculations for model'!D5</f>
        <v>0.10810810810810811</v>
      </c>
      <c r="J5" s="50">
        <f>'S syphilis cases-rates'!B11/'calculations for model'!D5</f>
        <v>0.35135135135135137</v>
      </c>
      <c r="K5" s="50">
        <f t="shared" ref="K5:K20" si="3">C5/D5</f>
        <v>0.54054054054054057</v>
      </c>
      <c r="L5" s="48">
        <f t="shared" ref="L5:L20" si="4">J5*(1-J5)/D5</f>
        <v>6.1595561960792059E-3</v>
      </c>
      <c r="M5" s="48">
        <f t="shared" ref="M5:M20" si="5">K5*(1-K5)/D5</f>
        <v>6.7123368803427242E-3</v>
      </c>
      <c r="N5" s="50">
        <f t="shared" ref="N5:N20" si="6">H5*100000</f>
        <v>3.1542218406845173</v>
      </c>
      <c r="O5" s="52">
        <v>0.32143450000000001</v>
      </c>
      <c r="Q5" s="52"/>
    </row>
    <row r="6" spans="1:21" x14ac:dyDescent="0.2">
      <c r="A6">
        <f t="shared" ref="A6:A20" si="7">A5+1</f>
        <v>2002</v>
      </c>
      <c r="B6">
        <f>'P syphilis cases-rates'!B12+'S syphilis cases-rates'!B12</f>
        <v>60</v>
      </c>
      <c r="C6">
        <f>'EL syphilis cases-rates'!B12</f>
        <v>47</v>
      </c>
      <c r="D6">
        <f>'P syphilis cases-rates'!B12+'S syphilis cases-rates'!B12+'EL syphilis cases-rates'!B12</f>
        <v>107</v>
      </c>
      <c r="E6" s="47">
        <f>'P syphilis cases-rates'!C$39</f>
        <v>1173031</v>
      </c>
      <c r="F6" s="51">
        <f t="shared" si="0"/>
        <v>5.1149543362451632E-5</v>
      </c>
      <c r="G6" s="51">
        <f t="shared" si="1"/>
        <v>4.0067142300587113E-5</v>
      </c>
      <c r="H6" s="51">
        <f t="shared" si="2"/>
        <v>9.1216685663038745E-5</v>
      </c>
      <c r="I6" s="50">
        <f>'P syphilis cases-rates'!B12/'calculations for model'!D6</f>
        <v>0.14953271028037382</v>
      </c>
      <c r="J6" s="50">
        <f>'S syphilis cases-rates'!B12/'calculations for model'!D6</f>
        <v>0.41121495327102803</v>
      </c>
      <c r="K6" s="50">
        <f t="shared" si="3"/>
        <v>0.43925233644859812</v>
      </c>
      <c r="L6" s="48">
        <f t="shared" si="4"/>
        <v>2.2627777147414415E-3</v>
      </c>
      <c r="M6" s="48">
        <f t="shared" si="5"/>
        <v>2.3019600128322028E-3</v>
      </c>
      <c r="N6" s="50">
        <f t="shared" si="6"/>
        <v>9.1216685663038746</v>
      </c>
      <c r="O6" s="52">
        <v>0.93062929999999999</v>
      </c>
      <c r="P6" s="53"/>
      <c r="Q6" s="52"/>
    </row>
    <row r="7" spans="1:21" x14ac:dyDescent="0.2">
      <c r="A7">
        <f t="shared" si="7"/>
        <v>2003</v>
      </c>
      <c r="B7">
        <f>'P syphilis cases-rates'!B13+'S syphilis cases-rates'!B13</f>
        <v>71</v>
      </c>
      <c r="C7">
        <f>'EL syphilis cases-rates'!B13</f>
        <v>65</v>
      </c>
      <c r="D7">
        <f>'P syphilis cases-rates'!B13+'S syphilis cases-rates'!B13+'EL syphilis cases-rates'!B13</f>
        <v>136</v>
      </c>
      <c r="E7" s="47">
        <f>'P syphilis cases-rates'!C$39</f>
        <v>1173031</v>
      </c>
      <c r="F7" s="51">
        <f t="shared" si="0"/>
        <v>6.0526959645567766E-5</v>
      </c>
      <c r="G7" s="51">
        <f t="shared" si="1"/>
        <v>5.54120053093226E-5</v>
      </c>
      <c r="H7" s="51">
        <f t="shared" si="2"/>
        <v>1.1593896495489037E-4</v>
      </c>
      <c r="I7" s="50">
        <f>'P syphilis cases-rates'!B13/'calculations for model'!D7</f>
        <v>0.18382352941176472</v>
      </c>
      <c r="J7" s="50">
        <f>'S syphilis cases-rates'!B13/'calculations for model'!D7</f>
        <v>0.33823529411764708</v>
      </c>
      <c r="K7" s="50">
        <f t="shared" si="3"/>
        <v>0.47794117647058826</v>
      </c>
      <c r="L7" s="48">
        <f t="shared" si="4"/>
        <v>1.6458248524323224E-3</v>
      </c>
      <c r="M7" s="48">
        <f t="shared" si="5"/>
        <v>1.8346574140036636E-3</v>
      </c>
      <c r="N7" s="50">
        <f t="shared" si="6"/>
        <v>11.593896495489037</v>
      </c>
      <c r="O7" s="52">
        <v>1.1826748</v>
      </c>
      <c r="P7" s="53"/>
      <c r="Q7" s="52"/>
    </row>
    <row r="8" spans="1:21" x14ac:dyDescent="0.2">
      <c r="A8">
        <f t="shared" si="7"/>
        <v>2004</v>
      </c>
      <c r="B8">
        <f>'P syphilis cases-rates'!B14+'S syphilis cases-rates'!B14</f>
        <v>66</v>
      </c>
      <c r="C8">
        <f>'EL syphilis cases-rates'!B14</f>
        <v>45</v>
      </c>
      <c r="D8">
        <f>'P syphilis cases-rates'!B14+'S syphilis cases-rates'!B14+'EL syphilis cases-rates'!B14</f>
        <v>111</v>
      </c>
      <c r="E8" s="47">
        <f>'P syphilis cases-rates'!C$39</f>
        <v>1173031</v>
      </c>
      <c r="F8" s="51">
        <f t="shared" si="0"/>
        <v>5.6264497698696792E-5</v>
      </c>
      <c r="G8" s="51">
        <f t="shared" si="1"/>
        <v>3.8362157521838722E-5</v>
      </c>
      <c r="H8" s="51">
        <f t="shared" si="2"/>
        <v>9.4626655220535514E-5</v>
      </c>
      <c r="I8" s="50">
        <f>'P syphilis cases-rates'!B14/'calculations for model'!D8</f>
        <v>0.21621621621621623</v>
      </c>
      <c r="J8" s="50">
        <f>'S syphilis cases-rates'!B14/'calculations for model'!D8</f>
        <v>0.3783783783783784</v>
      </c>
      <c r="K8" s="50">
        <f t="shared" si="3"/>
        <v>0.40540540540540543</v>
      </c>
      <c r="L8" s="48">
        <f t="shared" si="4"/>
        <v>2.1189926230101544E-3</v>
      </c>
      <c r="M8" s="48">
        <f t="shared" si="5"/>
        <v>2.1716384024638223E-3</v>
      </c>
      <c r="N8" s="50">
        <f t="shared" si="6"/>
        <v>9.4626655220535518</v>
      </c>
      <c r="O8" s="52">
        <v>0.96532390000000001</v>
      </c>
      <c r="P8" s="53"/>
      <c r="Q8" s="52"/>
    </row>
    <row r="9" spans="1:21" x14ac:dyDescent="0.2">
      <c r="A9">
        <f t="shared" si="7"/>
        <v>2005</v>
      </c>
      <c r="B9">
        <f>'P syphilis cases-rates'!B15+'S syphilis cases-rates'!B15</f>
        <v>63</v>
      </c>
      <c r="C9">
        <f>'EL syphilis cases-rates'!B15</f>
        <v>49</v>
      </c>
      <c r="D9">
        <f>'P syphilis cases-rates'!B15+'S syphilis cases-rates'!B15+'EL syphilis cases-rates'!B15</f>
        <v>112</v>
      </c>
      <c r="E9">
        <f>'P syphilis cases-rates'!D$39</f>
        <v>1114286</v>
      </c>
      <c r="F9" s="51">
        <f t="shared" si="0"/>
        <v>5.6538447041423837E-5</v>
      </c>
      <c r="G9" s="51">
        <f t="shared" si="1"/>
        <v>4.3974347698885203E-5</v>
      </c>
      <c r="H9" s="51">
        <f t="shared" si="2"/>
        <v>1.0051279474030905E-4</v>
      </c>
      <c r="I9" s="50">
        <f>'P syphilis cases-rates'!B15/'calculations for model'!D9</f>
        <v>0.16964285714285715</v>
      </c>
      <c r="J9" s="50">
        <f>'S syphilis cases-rates'!B15/'calculations for model'!D9</f>
        <v>0.39285714285714285</v>
      </c>
      <c r="K9" s="50">
        <f t="shared" si="3"/>
        <v>0.4375</v>
      </c>
      <c r="L9" s="48">
        <f t="shared" si="4"/>
        <v>2.1296465014577263E-3</v>
      </c>
      <c r="M9" s="48">
        <f t="shared" si="5"/>
        <v>2.197265625E-3</v>
      </c>
      <c r="N9" s="50">
        <f t="shared" si="6"/>
        <v>10.051279474030904</v>
      </c>
      <c r="O9" s="52">
        <v>1.0255289999999999</v>
      </c>
      <c r="P9" s="53"/>
      <c r="Q9" s="52"/>
    </row>
    <row r="10" spans="1:21" x14ac:dyDescent="0.2">
      <c r="A10">
        <f t="shared" si="7"/>
        <v>2006</v>
      </c>
      <c r="B10">
        <f>'P syphilis cases-rates'!B16+'S syphilis cases-rates'!B16</f>
        <v>60</v>
      </c>
      <c r="C10">
        <f>'EL syphilis cases-rates'!B16</f>
        <v>42</v>
      </c>
      <c r="D10">
        <f>'P syphilis cases-rates'!B16+'S syphilis cases-rates'!B16+'EL syphilis cases-rates'!B16</f>
        <v>102</v>
      </c>
      <c r="E10">
        <f>'P syphilis cases-rates'!D$39</f>
        <v>1114286</v>
      </c>
      <c r="F10" s="51">
        <f t="shared" si="0"/>
        <v>5.3846140039451273E-5</v>
      </c>
      <c r="G10" s="51">
        <f t="shared" si="1"/>
        <v>3.7692298027615889E-5</v>
      </c>
      <c r="H10" s="51">
        <f t="shared" si="2"/>
        <v>9.1538438067067162E-5</v>
      </c>
      <c r="I10" s="50">
        <f>'P syphilis cases-rates'!B16/'calculations for model'!D10</f>
        <v>0.23529411764705882</v>
      </c>
      <c r="J10" s="50">
        <f>'S syphilis cases-rates'!B16/'calculations for model'!D10</f>
        <v>0.35294117647058826</v>
      </c>
      <c r="K10" s="50">
        <f t="shared" si="3"/>
        <v>0.41176470588235292</v>
      </c>
      <c r="L10" s="48">
        <f t="shared" si="4"/>
        <v>2.2389578668837776E-3</v>
      </c>
      <c r="M10" s="48">
        <f t="shared" si="5"/>
        <v>2.374652283058552E-3</v>
      </c>
      <c r="N10" s="50">
        <f t="shared" si="6"/>
        <v>9.1538438067067158</v>
      </c>
      <c r="O10" s="52">
        <v>0.93369060000000004</v>
      </c>
      <c r="P10" s="53"/>
      <c r="Q10" s="52"/>
    </row>
    <row r="11" spans="1:21" x14ac:dyDescent="0.2">
      <c r="A11">
        <f t="shared" si="7"/>
        <v>2007</v>
      </c>
      <c r="B11">
        <f>'P syphilis cases-rates'!B17+'S syphilis cases-rates'!B17</f>
        <v>83</v>
      </c>
      <c r="C11">
        <f>'EL syphilis cases-rates'!B17</f>
        <v>47</v>
      </c>
      <c r="D11">
        <f>'P syphilis cases-rates'!B17+'S syphilis cases-rates'!B17+'EL syphilis cases-rates'!B17</f>
        <v>130</v>
      </c>
      <c r="E11">
        <f>'P syphilis cases-rates'!D$39</f>
        <v>1114286</v>
      </c>
      <c r="F11" s="51">
        <f t="shared" si="0"/>
        <v>7.4487160387907593E-5</v>
      </c>
      <c r="G11" s="51">
        <f t="shared" si="1"/>
        <v>4.2179476364236831E-5</v>
      </c>
      <c r="H11" s="51">
        <f t="shared" si="2"/>
        <v>1.1666663675214442E-4</v>
      </c>
      <c r="I11" s="50">
        <f>'P syphilis cases-rates'!B17/'calculations for model'!D11</f>
        <v>0.18461538461538463</v>
      </c>
      <c r="J11" s="50">
        <f>'S syphilis cases-rates'!B17/'calculations for model'!D11</f>
        <v>0.45384615384615384</v>
      </c>
      <c r="K11" s="50">
        <f t="shared" si="3"/>
        <v>0.36153846153846153</v>
      </c>
      <c r="L11" s="48">
        <f t="shared" si="4"/>
        <v>1.906690942193901E-3</v>
      </c>
      <c r="M11" s="48">
        <f t="shared" si="5"/>
        <v>1.7756030951297222E-3</v>
      </c>
      <c r="N11" s="50">
        <f t="shared" si="6"/>
        <v>11.666663675214442</v>
      </c>
      <c r="O11" s="52">
        <v>1.1908382</v>
      </c>
      <c r="P11" s="53">
        <f>SUM('MSM + HIV'!B16:D16)</f>
        <v>95</v>
      </c>
      <c r="Q11" s="52">
        <f>SUM('MSM + HIV'!E16:G16)</f>
        <v>52</v>
      </c>
      <c r="R11" s="49">
        <f>P11/D11</f>
        <v>0.73076923076923073</v>
      </c>
      <c r="S11" s="48">
        <f>R11*(1-R11)/D11</f>
        <v>1.5134274010013657E-3</v>
      </c>
      <c r="T11" s="49">
        <f>Q11/P11</f>
        <v>0.54736842105263162</v>
      </c>
      <c r="U11" s="48">
        <f>T11*(1-T11)/P11</f>
        <v>2.6079603440734801E-3</v>
      </c>
    </row>
    <row r="12" spans="1:21" x14ac:dyDescent="0.2">
      <c r="A12">
        <f t="shared" si="7"/>
        <v>2008</v>
      </c>
      <c r="B12">
        <f>'P syphilis cases-rates'!B18+'S syphilis cases-rates'!B18</f>
        <v>112</v>
      </c>
      <c r="C12">
        <f>'EL syphilis cases-rates'!B18</f>
        <v>76</v>
      </c>
      <c r="D12">
        <f>'P syphilis cases-rates'!B18+'S syphilis cases-rates'!B18+'EL syphilis cases-rates'!B18</f>
        <v>188</v>
      </c>
      <c r="E12">
        <f>'P syphilis cases-rates'!D$39</f>
        <v>1114286</v>
      </c>
      <c r="F12" s="51">
        <f t="shared" si="0"/>
        <v>1.0051279474030905E-4</v>
      </c>
      <c r="G12" s="51">
        <f t="shared" si="1"/>
        <v>6.8205110716638279E-5</v>
      </c>
      <c r="H12" s="51">
        <f t="shared" si="2"/>
        <v>1.6871790545694733E-4</v>
      </c>
      <c r="I12" s="50">
        <f>'P syphilis cases-rates'!B18/'calculations for model'!D12</f>
        <v>0.22340425531914893</v>
      </c>
      <c r="J12" s="50">
        <f>'S syphilis cases-rates'!B18/'calculations for model'!D12</f>
        <v>0.37234042553191488</v>
      </c>
      <c r="K12" s="50">
        <f t="shared" si="3"/>
        <v>0.40425531914893614</v>
      </c>
      <c r="L12" s="48">
        <f t="shared" si="4"/>
        <v>1.2431012396097202E-3</v>
      </c>
      <c r="M12" s="48">
        <f t="shared" si="5"/>
        <v>1.2810263621740846E-3</v>
      </c>
      <c r="N12" s="50">
        <f t="shared" si="6"/>
        <v>16.871790545694733</v>
      </c>
      <c r="O12" s="52">
        <v>1.7214602000000001</v>
      </c>
      <c r="P12" s="53">
        <f>SUM('MSM + HIV'!B17:D17)</f>
        <v>162</v>
      </c>
      <c r="Q12" s="52">
        <f>SUM('MSM + HIV'!E17:G17)</f>
        <v>84</v>
      </c>
      <c r="R12" s="49">
        <f t="shared" ref="R12:R20" si="8">P12/D12</f>
        <v>0.86170212765957444</v>
      </c>
      <c r="S12" s="48">
        <f t="shared" ref="S12:S20" si="9">R12*(1-R12)/D12</f>
        <v>6.3389133429009E-4</v>
      </c>
      <c r="T12" s="49">
        <f t="shared" ref="T12:T20" si="10">Q12/P12</f>
        <v>0.51851851851851849</v>
      </c>
      <c r="U12" s="48">
        <f t="shared" ref="U12:U20" si="11">T12*(1-T12)/P12</f>
        <v>1.5410929905671561E-3</v>
      </c>
    </row>
    <row r="13" spans="1:21" x14ac:dyDescent="0.2">
      <c r="A13">
        <f t="shared" si="7"/>
        <v>2009</v>
      </c>
      <c r="B13">
        <f>'P syphilis cases-rates'!B19+'S syphilis cases-rates'!B19</f>
        <v>125</v>
      </c>
      <c r="C13">
        <f>'EL syphilis cases-rates'!B19</f>
        <v>58</v>
      </c>
      <c r="D13">
        <f>'P syphilis cases-rates'!B19+'S syphilis cases-rates'!B19+'EL syphilis cases-rates'!B19</f>
        <v>183</v>
      </c>
      <c r="E13">
        <f>'P syphilis cases-rates'!D$39</f>
        <v>1114286</v>
      </c>
      <c r="F13" s="51">
        <f t="shared" si="0"/>
        <v>1.1217945841552349E-4</v>
      </c>
      <c r="G13" s="51">
        <f t="shared" si="1"/>
        <v>5.2051268704802895E-5</v>
      </c>
      <c r="H13" s="51">
        <f t="shared" si="2"/>
        <v>1.6423072712032637E-4</v>
      </c>
      <c r="I13" s="50">
        <f>'P syphilis cases-rates'!B19/'calculations for model'!D13</f>
        <v>0.2896174863387978</v>
      </c>
      <c r="J13" s="50">
        <f>'S syphilis cases-rates'!B19/'calculations for model'!D13</f>
        <v>0.39344262295081966</v>
      </c>
      <c r="K13" s="50">
        <f t="shared" si="3"/>
        <v>0.31693989071038253</v>
      </c>
      <c r="L13" s="48">
        <f t="shared" si="4"/>
        <v>1.3040739092699389E-3</v>
      </c>
      <c r="M13" s="48">
        <f t="shared" si="5"/>
        <v>1.1829999802561383E-3</v>
      </c>
      <c r="N13" s="50">
        <f t="shared" si="6"/>
        <v>16.423072712032639</v>
      </c>
      <c r="O13" s="52">
        <v>1.6755409999999999</v>
      </c>
      <c r="P13" s="53">
        <f>SUM('MSM + HIV'!B18:D18)</f>
        <v>152</v>
      </c>
      <c r="Q13" s="52">
        <f>SUM('MSM + HIV'!E18:G18)</f>
        <v>77</v>
      </c>
      <c r="R13" s="49">
        <f t="shared" si="8"/>
        <v>0.8306010928961749</v>
      </c>
      <c r="S13" s="48">
        <f t="shared" si="9"/>
        <v>7.6886840096095489E-4</v>
      </c>
      <c r="T13" s="49">
        <f t="shared" si="10"/>
        <v>0.50657894736842102</v>
      </c>
      <c r="U13" s="48">
        <f t="shared" si="11"/>
        <v>1.6444520884968655E-3</v>
      </c>
    </row>
    <row r="14" spans="1:21" x14ac:dyDescent="0.2">
      <c r="A14">
        <f t="shared" si="7"/>
        <v>2010</v>
      </c>
      <c r="B14">
        <f>'P syphilis cases-rates'!B20+'S syphilis cases-rates'!B20</f>
        <v>134</v>
      </c>
      <c r="C14">
        <f>'EL syphilis cases-rates'!B20</f>
        <v>99</v>
      </c>
      <c r="D14">
        <f>'P syphilis cases-rates'!B20+'S syphilis cases-rates'!B20+'EL syphilis cases-rates'!B20</f>
        <v>233</v>
      </c>
      <c r="E14">
        <f>'P syphilis cases-rates'!E$39</f>
        <v>1086504</v>
      </c>
      <c r="F14" s="51">
        <f t="shared" si="0"/>
        <v>1.2333134530567765E-4</v>
      </c>
      <c r="G14" s="51">
        <f t="shared" si="1"/>
        <v>9.1117934218373791E-5</v>
      </c>
      <c r="H14" s="51">
        <f t="shared" si="2"/>
        <v>2.1444927952405144E-4</v>
      </c>
      <c r="I14" s="50">
        <f>'P syphilis cases-rates'!B20/'calculations for model'!D14</f>
        <v>0.21459227467811159</v>
      </c>
      <c r="J14" s="50">
        <f>'S syphilis cases-rates'!B20/'calculations for model'!D14</f>
        <v>0.36051502145922748</v>
      </c>
      <c r="K14" s="50">
        <f t="shared" si="3"/>
        <v>0.42489270386266093</v>
      </c>
      <c r="L14" s="48">
        <f t="shared" si="4"/>
        <v>9.8945897322523708E-4</v>
      </c>
      <c r="M14" s="48">
        <f t="shared" si="5"/>
        <v>1.048750618313039E-3</v>
      </c>
      <c r="N14" s="50">
        <f t="shared" si="6"/>
        <v>21.444927952405145</v>
      </c>
      <c r="O14" s="52">
        <v>2.1877952999999999</v>
      </c>
      <c r="P14" s="53">
        <f>SUM('MSM + HIV'!B19:D19)</f>
        <v>205</v>
      </c>
      <c r="Q14" s="52">
        <f>SUM('MSM + HIV'!E19:G19)</f>
        <v>81</v>
      </c>
      <c r="R14" s="49">
        <f t="shared" si="8"/>
        <v>0.87982832618025753</v>
      </c>
      <c r="S14" s="48">
        <f t="shared" si="9"/>
        <v>4.5377872373864335E-4</v>
      </c>
      <c r="T14" s="49">
        <f t="shared" si="10"/>
        <v>0.39512195121951221</v>
      </c>
      <c r="U14" s="48">
        <f t="shared" si="11"/>
        <v>1.1658565604097445E-3</v>
      </c>
    </row>
    <row r="15" spans="1:21" x14ac:dyDescent="0.2">
      <c r="A15">
        <f t="shared" si="7"/>
        <v>2011</v>
      </c>
      <c r="B15">
        <f>'P syphilis cases-rates'!B21+'S syphilis cases-rates'!B21</f>
        <v>136</v>
      </c>
      <c r="C15">
        <f>'EL syphilis cases-rates'!B21</f>
        <v>118</v>
      </c>
      <c r="D15">
        <f>'P syphilis cases-rates'!B21+'S syphilis cases-rates'!B21+'EL syphilis cases-rates'!B21</f>
        <v>254</v>
      </c>
      <c r="E15">
        <f>'P syphilis cases-rates'!E$39</f>
        <v>1086504</v>
      </c>
      <c r="F15" s="51">
        <f t="shared" si="0"/>
        <v>1.2517211165352359E-4</v>
      </c>
      <c r="G15" s="51">
        <f t="shared" si="1"/>
        <v>1.0860521452291017E-4</v>
      </c>
      <c r="H15" s="51">
        <f t="shared" si="2"/>
        <v>2.3377732617643377E-4</v>
      </c>
      <c r="I15" s="50">
        <f>'P syphilis cases-rates'!B21/'calculations for model'!D15</f>
        <v>0.18503937007874016</v>
      </c>
      <c r="J15" s="50">
        <f>'S syphilis cases-rates'!B21/'calculations for model'!D15</f>
        <v>0.35039370078740156</v>
      </c>
      <c r="K15" s="50">
        <f t="shared" si="3"/>
        <v>0.46456692913385828</v>
      </c>
      <c r="L15" s="48">
        <f t="shared" si="4"/>
        <v>8.961336820311435E-4</v>
      </c>
      <c r="M15" s="48">
        <f t="shared" si="5"/>
        <v>9.7930904523226372E-4</v>
      </c>
      <c r="N15" s="50">
        <f t="shared" si="6"/>
        <v>23.377732617643378</v>
      </c>
      <c r="O15" s="52">
        <v>2.3857580999999999</v>
      </c>
      <c r="P15" s="53">
        <f>SUM('MSM + HIV'!B20:D20)</f>
        <v>212</v>
      </c>
      <c r="Q15" s="52">
        <f>SUM('MSM + HIV'!E20:G20)</f>
        <v>90</v>
      </c>
      <c r="R15" s="49">
        <f t="shared" si="8"/>
        <v>0.83464566929133854</v>
      </c>
      <c r="S15" s="48">
        <f t="shared" si="9"/>
        <v>5.4335541741949635E-4</v>
      </c>
      <c r="T15" s="49">
        <f t="shared" si="10"/>
        <v>0.42452830188679247</v>
      </c>
      <c r="U15" s="48">
        <f t="shared" si="11"/>
        <v>1.1523774659618342E-3</v>
      </c>
    </row>
    <row r="16" spans="1:21" x14ac:dyDescent="0.2">
      <c r="A16">
        <f t="shared" si="7"/>
        <v>2012</v>
      </c>
      <c r="B16">
        <f>'P syphilis cases-rates'!B22+'S syphilis cases-rates'!B22</f>
        <v>191</v>
      </c>
      <c r="C16">
        <f>'EL syphilis cases-rates'!B22</f>
        <v>131</v>
      </c>
      <c r="D16">
        <f>'P syphilis cases-rates'!B22+'S syphilis cases-rates'!B22+'EL syphilis cases-rates'!B22</f>
        <v>322</v>
      </c>
      <c r="E16">
        <f>'P syphilis cases-rates'!E$39</f>
        <v>1086504</v>
      </c>
      <c r="F16" s="51">
        <f t="shared" si="0"/>
        <v>1.7579318621928681E-4</v>
      </c>
      <c r="G16" s="51">
        <f t="shared" si="1"/>
        <v>1.2057019578390876E-4</v>
      </c>
      <c r="H16" s="51">
        <f t="shared" si="2"/>
        <v>2.9636338200319558E-4</v>
      </c>
      <c r="I16" s="50">
        <f>'P syphilis cases-rates'!B22/'calculations for model'!D16</f>
        <v>0.20807453416149069</v>
      </c>
      <c r="J16" s="50">
        <f>'S syphilis cases-rates'!B22/'calculations for model'!D16</f>
        <v>0.38509316770186336</v>
      </c>
      <c r="K16" s="50">
        <f t="shared" si="3"/>
        <v>0.40683229813664595</v>
      </c>
      <c r="L16" s="48">
        <f t="shared" si="4"/>
        <v>7.3539260835778848E-4</v>
      </c>
      <c r="M16" s="48">
        <f t="shared" si="5"/>
        <v>7.4944030847671171E-4</v>
      </c>
      <c r="N16" s="50">
        <f t="shared" si="6"/>
        <v>29.636338200319557</v>
      </c>
      <c r="O16" s="52">
        <v>3.0245454000000001</v>
      </c>
      <c r="P16" s="53">
        <f>SUM('MSM + HIV'!B21:D21)</f>
        <v>273</v>
      </c>
      <c r="Q16" s="52">
        <f>SUM('MSM + HIV'!E21:G21)</f>
        <v>146</v>
      </c>
      <c r="R16" s="49">
        <f t="shared" si="8"/>
        <v>0.84782608695652173</v>
      </c>
      <c r="S16" s="48">
        <f t="shared" si="9"/>
        <v>4.006739541382428E-4</v>
      </c>
      <c r="T16" s="49">
        <f t="shared" si="10"/>
        <v>0.53479853479853479</v>
      </c>
      <c r="U16" s="48">
        <f t="shared" si="11"/>
        <v>9.1131524533287608E-4</v>
      </c>
    </row>
    <row r="17" spans="1:21" x14ac:dyDescent="0.2">
      <c r="A17">
        <f t="shared" si="7"/>
        <v>2013</v>
      </c>
      <c r="B17">
        <f>'P syphilis cases-rates'!B23+'S syphilis cases-rates'!B23</f>
        <v>235</v>
      </c>
      <c r="C17">
        <f>'EL syphilis cases-rates'!B23</f>
        <v>205</v>
      </c>
      <c r="D17">
        <f>'P syphilis cases-rates'!B23+'S syphilis cases-rates'!B23+'EL syphilis cases-rates'!B23</f>
        <v>440</v>
      </c>
      <c r="E17">
        <f>'P syphilis cases-rates'!E$39</f>
        <v>1086504</v>
      </c>
      <c r="F17" s="51">
        <f t="shared" si="0"/>
        <v>2.1629004587189738E-4</v>
      </c>
      <c r="G17" s="51">
        <f t="shared" si="1"/>
        <v>1.8867855065420836E-4</v>
      </c>
      <c r="H17" s="51">
        <f t="shared" si="2"/>
        <v>4.0496859652610576E-4</v>
      </c>
      <c r="I17" s="50">
        <f>'P syphilis cases-rates'!B23/'calculations for model'!D17</f>
        <v>0.17954545454545454</v>
      </c>
      <c r="J17" s="50">
        <f>'S syphilis cases-rates'!B23/'calculations for model'!D17</f>
        <v>0.35454545454545455</v>
      </c>
      <c r="K17" s="50">
        <f t="shared" si="3"/>
        <v>0.46590909090909088</v>
      </c>
      <c r="L17" s="48">
        <f t="shared" si="4"/>
        <v>5.2009767092411723E-4</v>
      </c>
      <c r="M17" s="48">
        <f t="shared" si="5"/>
        <v>5.6554047708489861E-4</v>
      </c>
      <c r="N17" s="50">
        <f t="shared" si="6"/>
        <v>40.496859652610574</v>
      </c>
      <c r="O17" s="52">
        <v>4.1327290000000003</v>
      </c>
      <c r="P17" s="53">
        <f>SUM('MSM + HIV'!B22:D22)</f>
        <v>371</v>
      </c>
      <c r="Q17" s="52">
        <f>SUM('MSM + HIV'!E22:G22)</f>
        <v>172</v>
      </c>
      <c r="R17" s="49">
        <f t="shared" si="8"/>
        <v>0.84318181818181814</v>
      </c>
      <c r="S17" s="48">
        <f t="shared" si="9"/>
        <v>3.0051418106686706E-4</v>
      </c>
      <c r="T17" s="49">
        <f t="shared" si="10"/>
        <v>0.46361185983827491</v>
      </c>
      <c r="U17" s="48">
        <f t="shared" si="11"/>
        <v>6.7028545351905831E-4</v>
      </c>
    </row>
    <row r="18" spans="1:21" x14ac:dyDescent="0.2">
      <c r="A18">
        <f t="shared" si="7"/>
        <v>2014</v>
      </c>
      <c r="B18">
        <f>'P syphilis cases-rates'!B24+'S syphilis cases-rates'!B24</f>
        <v>199</v>
      </c>
      <c r="C18">
        <f>'EL syphilis cases-rates'!B24</f>
        <v>193</v>
      </c>
      <c r="D18">
        <f>'P syphilis cases-rates'!B24+'S syphilis cases-rates'!B24+'EL syphilis cases-rates'!B24</f>
        <v>392</v>
      </c>
      <c r="E18">
        <f>'P syphilis cases-rates'!E$39</f>
        <v>1086504</v>
      </c>
      <c r="F18" s="51">
        <f t="shared" si="0"/>
        <v>1.8315625161067055E-4</v>
      </c>
      <c r="G18" s="51">
        <f t="shared" si="1"/>
        <v>1.7763395256713274E-4</v>
      </c>
      <c r="H18" s="51">
        <f t="shared" si="2"/>
        <v>3.6079020417780329E-4</v>
      </c>
      <c r="I18" s="50">
        <f>'P syphilis cases-rates'!B24/'calculations for model'!D18</f>
        <v>0.19387755102040816</v>
      </c>
      <c r="J18" s="50">
        <f>'S syphilis cases-rates'!B24/'calculations for model'!D18</f>
        <v>0.31377551020408162</v>
      </c>
      <c r="K18" s="50">
        <f t="shared" si="3"/>
        <v>0.49234693877551022</v>
      </c>
      <c r="L18" s="48">
        <f t="shared" si="4"/>
        <v>5.4928683520471915E-4</v>
      </c>
      <c r="M18" s="48">
        <f t="shared" si="5"/>
        <v>6.3760569044360774E-4</v>
      </c>
      <c r="N18" s="50">
        <f t="shared" si="6"/>
        <v>36.079020417780328</v>
      </c>
      <c r="O18" s="52">
        <v>3.6817003000000001</v>
      </c>
      <c r="P18" s="53">
        <f>SUM('MSM + HIV'!B23:D23)</f>
        <v>288</v>
      </c>
      <c r="Q18" s="52">
        <f>SUM('MSM + HIV'!E23:G23)</f>
        <v>117</v>
      </c>
      <c r="R18" s="49">
        <f t="shared" si="8"/>
        <v>0.73469387755102045</v>
      </c>
      <c r="S18" s="48">
        <f t="shared" si="9"/>
        <v>4.9724179551037398E-4</v>
      </c>
      <c r="T18" s="49">
        <f t="shared" si="10"/>
        <v>0.40625</v>
      </c>
      <c r="U18" s="48">
        <f t="shared" si="11"/>
        <v>8.3753797743055551E-4</v>
      </c>
    </row>
    <row r="19" spans="1:21" x14ac:dyDescent="0.2">
      <c r="A19">
        <f t="shared" si="7"/>
        <v>2015</v>
      </c>
      <c r="B19">
        <f>'P syphilis cases-rates'!B25+'S syphilis cases-rates'!B25</f>
        <v>267</v>
      </c>
      <c r="C19">
        <f>'EL syphilis cases-rates'!B25</f>
        <v>239</v>
      </c>
      <c r="D19">
        <f>'P syphilis cases-rates'!B25+'S syphilis cases-rates'!B25+'EL syphilis cases-rates'!B25</f>
        <v>506</v>
      </c>
      <c r="E19">
        <f>'P syphilis cases-rates'!F$39</f>
        <v>1126158</v>
      </c>
      <c r="F19" s="51">
        <f t="shared" si="0"/>
        <v>2.3708928942475213E-4</v>
      </c>
      <c r="G19" s="51">
        <f t="shared" si="1"/>
        <v>2.1222599315548973E-4</v>
      </c>
      <c r="H19" s="51">
        <f t="shared" si="2"/>
        <v>4.4931528258024186E-4</v>
      </c>
      <c r="I19" s="50">
        <f>'P syphilis cases-rates'!B25/'calculations for model'!D19</f>
        <v>0.22332015810276679</v>
      </c>
      <c r="J19" s="50">
        <f>'S syphilis cases-rates'!B25/'calculations for model'!D19</f>
        <v>0.30434782608695654</v>
      </c>
      <c r="K19" s="50">
        <f t="shared" si="3"/>
        <v>0.47233201581027667</v>
      </c>
      <c r="L19" s="48">
        <f t="shared" si="4"/>
        <v>4.184194206385379E-4</v>
      </c>
      <c r="M19" s="48">
        <f t="shared" si="5"/>
        <v>4.9255826610845302E-4</v>
      </c>
      <c r="N19" s="50">
        <f t="shared" si="6"/>
        <v>44.931528258024187</v>
      </c>
      <c r="O19" s="52">
        <v>4.5847781000000003</v>
      </c>
      <c r="P19" s="53">
        <f>SUM('MSM + HIV'!B24:D24)</f>
        <v>416</v>
      </c>
      <c r="Q19" s="52">
        <f>SUM('MSM + HIV'!E24:G24)</f>
        <v>160</v>
      </c>
      <c r="R19" s="49">
        <f t="shared" si="8"/>
        <v>0.82213438735177868</v>
      </c>
      <c r="S19" s="48">
        <f t="shared" si="9"/>
        <v>2.8899098119662887E-4</v>
      </c>
      <c r="T19" s="49">
        <f t="shared" si="10"/>
        <v>0.38461538461538464</v>
      </c>
      <c r="U19" s="48">
        <f t="shared" si="11"/>
        <v>5.6895766954938559E-4</v>
      </c>
    </row>
    <row r="20" spans="1:21" x14ac:dyDescent="0.2">
      <c r="A20">
        <f t="shared" si="7"/>
        <v>2016</v>
      </c>
      <c r="B20">
        <f>'P syphilis cases-rates'!B26+'S syphilis cases-rates'!B26</f>
        <v>313</v>
      </c>
      <c r="C20">
        <f>'EL syphilis cases-rates'!B26</f>
        <v>321</v>
      </c>
      <c r="D20">
        <f>'P syphilis cases-rates'!B26+'S syphilis cases-rates'!B26+'EL syphilis cases-rates'!B26</f>
        <v>634</v>
      </c>
      <c r="E20">
        <f>'P syphilis cases-rates'!F$39</f>
        <v>1126158</v>
      </c>
      <c r="F20" s="51">
        <f t="shared" si="0"/>
        <v>2.779361332956832E-4</v>
      </c>
      <c r="G20" s="51">
        <f t="shared" si="1"/>
        <v>2.8503993222975818E-4</v>
      </c>
      <c r="H20" s="51">
        <f t="shared" si="2"/>
        <v>5.6297606552544138E-4</v>
      </c>
      <c r="I20" s="50">
        <f>'P syphilis cases-rates'!B26/'calculations for model'!D20</f>
        <v>0.18454258675078863</v>
      </c>
      <c r="J20" s="50">
        <f>'S syphilis cases-rates'!B26/'calculations for model'!D20</f>
        <v>0.30914826498422715</v>
      </c>
      <c r="K20" s="50">
        <f t="shared" si="3"/>
        <v>0.50630914826498419</v>
      </c>
      <c r="L20" s="48">
        <f t="shared" si="4"/>
        <v>3.3687005558591355E-4</v>
      </c>
      <c r="M20" s="48">
        <f t="shared" si="5"/>
        <v>3.9425898209490608E-4</v>
      </c>
      <c r="N20" s="50">
        <f t="shared" si="6"/>
        <v>56.297606552544138</v>
      </c>
      <c r="O20" s="52">
        <v>5.7450035000000002</v>
      </c>
      <c r="P20" s="53">
        <f>SUM('MSM + HIV'!B25:D25)</f>
        <v>447</v>
      </c>
      <c r="Q20" s="52">
        <f>SUM('MSM + HIV'!E25:G25)</f>
        <v>154</v>
      </c>
      <c r="R20" s="49">
        <f t="shared" si="8"/>
        <v>0.70504731861198733</v>
      </c>
      <c r="S20" s="48">
        <f t="shared" si="9"/>
        <v>3.2800567370667847E-4</v>
      </c>
      <c r="T20" s="49">
        <f t="shared" si="10"/>
        <v>0.34451901565995524</v>
      </c>
      <c r="U20" s="48">
        <f t="shared" si="11"/>
        <v>5.0520282664127687E-4</v>
      </c>
    </row>
    <row r="22" spans="1:21" x14ac:dyDescent="0.2">
      <c r="B22" t="s">
        <v>63</v>
      </c>
    </row>
    <row r="23" spans="1:21" x14ac:dyDescent="0.2">
      <c r="B23" t="s">
        <v>62</v>
      </c>
      <c r="F23" t="s">
        <v>61</v>
      </c>
    </row>
    <row r="24" spans="1:21" x14ac:dyDescent="0.2">
      <c r="A24" t="s">
        <v>0</v>
      </c>
      <c r="B24" t="s">
        <v>57</v>
      </c>
      <c r="C24" t="s">
        <v>58</v>
      </c>
      <c r="D24" t="s">
        <v>5</v>
      </c>
      <c r="E24" t="s">
        <v>60</v>
      </c>
      <c r="F24" t="s">
        <v>57</v>
      </c>
      <c r="G24" t="s">
        <v>58</v>
      </c>
      <c r="H24" t="s">
        <v>5</v>
      </c>
      <c r="I24" t="s">
        <v>86</v>
      </c>
      <c r="J24" t="s">
        <v>87</v>
      </c>
      <c r="K24" t="s">
        <v>88</v>
      </c>
      <c r="L24" t="s">
        <v>89</v>
      </c>
      <c r="M24" t="s">
        <v>90</v>
      </c>
      <c r="N24" t="s">
        <v>67</v>
      </c>
      <c r="O24" t="s">
        <v>70</v>
      </c>
      <c r="P24" t="s">
        <v>76</v>
      </c>
      <c r="Q24" t="s">
        <v>77</v>
      </c>
      <c r="R24" t="s">
        <v>75</v>
      </c>
      <c r="S24" t="s">
        <v>79</v>
      </c>
      <c r="T24" t="s">
        <v>78</v>
      </c>
      <c r="U24" t="s">
        <v>80</v>
      </c>
    </row>
    <row r="25" spans="1:21" x14ac:dyDescent="0.2">
      <c r="A25">
        <f>2000</f>
        <v>2000</v>
      </c>
      <c r="B25">
        <f>'P syphilis cases-rates'!F10+'S syphilis cases-rates'!F10</f>
        <v>6</v>
      </c>
      <c r="C25">
        <f>'EL syphilis cases-rates'!F10</f>
        <v>7</v>
      </c>
      <c r="D25">
        <f>'P syphilis cases-rates'!F10+'S syphilis cases-rates'!F10+'EL syphilis cases-rates'!F10</f>
        <v>13</v>
      </c>
      <c r="E25">
        <f>'P syphilis cases-rates'!C$47</f>
        <v>710710</v>
      </c>
      <c r="F25" s="51">
        <f>B25/E25</f>
        <v>8.4422619633887236E-6</v>
      </c>
      <c r="G25" s="51">
        <f>C25/E25</f>
        <v>9.8493056239535114E-6</v>
      </c>
      <c r="H25" s="51">
        <f>D25/E25</f>
        <v>1.8291567587342237E-5</v>
      </c>
      <c r="I25" s="50">
        <f>'P syphilis cases-rates'!F10/'calculations for model'!D25</f>
        <v>0.15384615384615385</v>
      </c>
      <c r="J25" s="50">
        <f>'S syphilis cases-rates'!F10/'calculations for model'!D25</f>
        <v>0.30769230769230771</v>
      </c>
      <c r="K25" s="50">
        <f>C25/D25</f>
        <v>0.53846153846153844</v>
      </c>
      <c r="L25" s="48">
        <f>J25*(1-J25)/D25</f>
        <v>1.6385980883022302E-2</v>
      </c>
      <c r="M25" s="48">
        <f>K25*(1-K25)/D25</f>
        <v>1.9116977696859352E-2</v>
      </c>
      <c r="N25" s="50">
        <f>H25*100000</f>
        <v>1.8291567587342237</v>
      </c>
      <c r="O25" s="52">
        <v>0.18673809999999999</v>
      </c>
      <c r="P25" s="53"/>
      <c r="Q25" s="52"/>
    </row>
    <row r="26" spans="1:21" x14ac:dyDescent="0.2">
      <c r="A26">
        <f>A25+1</f>
        <v>2001</v>
      </c>
      <c r="B26">
        <f>'P syphilis cases-rates'!F11+'S syphilis cases-rates'!F11</f>
        <v>11</v>
      </c>
      <c r="C26">
        <f>'EL syphilis cases-rates'!F11</f>
        <v>7</v>
      </c>
      <c r="D26">
        <f>'P syphilis cases-rates'!F11+'S syphilis cases-rates'!F11+'EL syphilis cases-rates'!F11</f>
        <v>18</v>
      </c>
      <c r="E26">
        <f>'P syphilis cases-rates'!C$47</f>
        <v>710710</v>
      </c>
      <c r="F26" s="51">
        <f t="shared" ref="F26:F41" si="12">B26/E26</f>
        <v>1.5477480266212661E-5</v>
      </c>
      <c r="G26" s="51">
        <f t="shared" ref="G26:G41" si="13">C26/E26</f>
        <v>9.8493056239535114E-6</v>
      </c>
      <c r="H26" s="51">
        <f t="shared" ref="H26:H41" si="14">D26/E26</f>
        <v>2.5326785890166171E-5</v>
      </c>
      <c r="I26" s="50">
        <f>'P syphilis cases-rates'!F11/'calculations for model'!D26</f>
        <v>0.16666666666666666</v>
      </c>
      <c r="J26" s="50">
        <f>'S syphilis cases-rates'!F11/'calculations for model'!D26</f>
        <v>0.44444444444444442</v>
      </c>
      <c r="K26" s="50">
        <f t="shared" ref="K26:K41" si="15">C26/D26</f>
        <v>0.3888888888888889</v>
      </c>
      <c r="L26" s="48">
        <f t="shared" ref="L26:L41" si="16">J26*(1-J26)/D26</f>
        <v>1.3717421124828532E-2</v>
      </c>
      <c r="M26" s="48">
        <f t="shared" ref="M26:M41" si="17">K26*(1-K26)/D26</f>
        <v>1.3203017832647464E-2</v>
      </c>
      <c r="N26" s="50">
        <f t="shared" ref="N26:N41" si="18">H26*100000</f>
        <v>2.532678589016617</v>
      </c>
      <c r="O26" s="52">
        <v>0.25816800000000001</v>
      </c>
      <c r="P26" s="53"/>
      <c r="Q26" s="52"/>
    </row>
    <row r="27" spans="1:21" x14ac:dyDescent="0.2">
      <c r="A27">
        <f t="shared" ref="A27:A41" si="19">A26+1</f>
        <v>2002</v>
      </c>
      <c r="B27">
        <f>'P syphilis cases-rates'!F12+'S syphilis cases-rates'!F12</f>
        <v>9</v>
      </c>
      <c r="C27">
        <f>'EL syphilis cases-rates'!F12</f>
        <v>9</v>
      </c>
      <c r="D27">
        <f>'P syphilis cases-rates'!F12+'S syphilis cases-rates'!F12+'EL syphilis cases-rates'!F12</f>
        <v>18</v>
      </c>
      <c r="E27">
        <f>'P syphilis cases-rates'!C$47</f>
        <v>710710</v>
      </c>
      <c r="F27" s="51">
        <f t="shared" si="12"/>
        <v>1.2663392945083085E-5</v>
      </c>
      <c r="G27" s="51">
        <f t="shared" si="13"/>
        <v>1.2663392945083085E-5</v>
      </c>
      <c r="H27" s="51">
        <f t="shared" si="14"/>
        <v>2.5326785890166171E-5</v>
      </c>
      <c r="I27" s="50">
        <f>'P syphilis cases-rates'!F12/'calculations for model'!D27</f>
        <v>0.1111111111111111</v>
      </c>
      <c r="J27" s="50">
        <f>'S syphilis cases-rates'!F12/'calculations for model'!D27</f>
        <v>0.3888888888888889</v>
      </c>
      <c r="K27" s="50">
        <f t="shared" si="15"/>
        <v>0.5</v>
      </c>
      <c r="L27" s="48">
        <f t="shared" si="16"/>
        <v>1.3203017832647464E-2</v>
      </c>
      <c r="M27" s="48">
        <f t="shared" si="17"/>
        <v>1.3888888888888888E-2</v>
      </c>
      <c r="N27" s="50">
        <f t="shared" si="18"/>
        <v>2.532678589016617</v>
      </c>
      <c r="O27" s="52">
        <v>0.25816800000000001</v>
      </c>
      <c r="P27" s="53"/>
      <c r="Q27" s="52"/>
    </row>
    <row r="28" spans="1:21" x14ac:dyDescent="0.2">
      <c r="A28">
        <f t="shared" si="19"/>
        <v>2003</v>
      </c>
      <c r="B28">
        <f>'P syphilis cases-rates'!F13+'S syphilis cases-rates'!F13</f>
        <v>19</v>
      </c>
      <c r="C28">
        <f>'EL syphilis cases-rates'!F13</f>
        <v>14</v>
      </c>
      <c r="D28">
        <f>'P syphilis cases-rates'!F13+'S syphilis cases-rates'!F13+'EL syphilis cases-rates'!F13</f>
        <v>33</v>
      </c>
      <c r="E28">
        <f>'P syphilis cases-rates'!C$47</f>
        <v>710710</v>
      </c>
      <c r="F28" s="51">
        <f t="shared" si="12"/>
        <v>2.673382955073096E-5</v>
      </c>
      <c r="G28" s="51">
        <f t="shared" si="13"/>
        <v>1.9698611247907023E-5</v>
      </c>
      <c r="H28" s="51">
        <f t="shared" si="14"/>
        <v>4.643244079863798E-5</v>
      </c>
      <c r="I28" s="50">
        <f>'P syphilis cases-rates'!F13/'calculations for model'!D28</f>
        <v>0.21212121212121213</v>
      </c>
      <c r="J28" s="50">
        <f>'S syphilis cases-rates'!F13/'calculations for model'!D28</f>
        <v>0.36363636363636365</v>
      </c>
      <c r="K28" s="50">
        <f t="shared" si="15"/>
        <v>0.42424242424242425</v>
      </c>
      <c r="L28" s="48">
        <f t="shared" si="16"/>
        <v>7.0122714750813922E-3</v>
      </c>
      <c r="M28" s="48">
        <f t="shared" si="17"/>
        <v>7.4018421125859142E-3</v>
      </c>
      <c r="N28" s="50">
        <f t="shared" si="18"/>
        <v>4.6432440798637984</v>
      </c>
      <c r="O28" s="52">
        <v>0.47347810000000001</v>
      </c>
      <c r="P28" s="53"/>
      <c r="Q28" s="52"/>
    </row>
    <row r="29" spans="1:21" x14ac:dyDescent="0.2">
      <c r="A29">
        <f t="shared" si="19"/>
        <v>2004</v>
      </c>
      <c r="B29">
        <f>'P syphilis cases-rates'!F14+'S syphilis cases-rates'!F14</f>
        <v>14</v>
      </c>
      <c r="C29">
        <f>'EL syphilis cases-rates'!F14</f>
        <v>9</v>
      </c>
      <c r="D29">
        <f>'P syphilis cases-rates'!F14+'S syphilis cases-rates'!F14+'EL syphilis cases-rates'!F14</f>
        <v>23</v>
      </c>
      <c r="E29">
        <f>'P syphilis cases-rates'!C$47</f>
        <v>710710</v>
      </c>
      <c r="F29" s="51">
        <f t="shared" si="12"/>
        <v>1.9698611247907023E-5</v>
      </c>
      <c r="G29" s="51">
        <f t="shared" si="13"/>
        <v>1.2663392945083085E-5</v>
      </c>
      <c r="H29" s="51">
        <f t="shared" si="14"/>
        <v>3.2362004192990112E-5</v>
      </c>
      <c r="I29" s="50">
        <f>'P syphilis cases-rates'!F14/'calculations for model'!D29</f>
        <v>0.13043478260869565</v>
      </c>
      <c r="J29" s="50">
        <f>'S syphilis cases-rates'!F14/'calculations for model'!D29</f>
        <v>0.47826086956521741</v>
      </c>
      <c r="K29" s="50">
        <f t="shared" si="15"/>
        <v>0.39130434782608697</v>
      </c>
      <c r="L29" s="48">
        <f t="shared" si="16"/>
        <v>1.0849017835127804E-2</v>
      </c>
      <c r="M29" s="48">
        <f t="shared" si="17"/>
        <v>1.0355880660803814E-2</v>
      </c>
      <c r="N29" s="50">
        <f t="shared" si="18"/>
        <v>3.2362004192990113</v>
      </c>
      <c r="O29" s="52">
        <v>0.33061829999999998</v>
      </c>
      <c r="P29" s="53"/>
      <c r="Q29" s="52"/>
    </row>
    <row r="30" spans="1:21" x14ac:dyDescent="0.2">
      <c r="A30">
        <f t="shared" si="19"/>
        <v>2005</v>
      </c>
      <c r="B30">
        <f>'P syphilis cases-rates'!F15+'S syphilis cases-rates'!F15</f>
        <v>24</v>
      </c>
      <c r="C30">
        <f>'EL syphilis cases-rates'!F15</f>
        <v>12</v>
      </c>
      <c r="D30">
        <f>'P syphilis cases-rates'!F15+'S syphilis cases-rates'!F15+'EL syphilis cases-rates'!F15</f>
        <v>36</v>
      </c>
      <c r="E30">
        <f>'P syphilis cases-rates'!D$47</f>
        <v>811936</v>
      </c>
      <c r="F30" s="51">
        <f t="shared" si="12"/>
        <v>2.9558980018129508E-5</v>
      </c>
      <c r="G30" s="51">
        <f t="shared" si="13"/>
        <v>1.4779490009064754E-5</v>
      </c>
      <c r="H30" s="51">
        <f t="shared" si="14"/>
        <v>4.4338470027194264E-5</v>
      </c>
      <c r="I30" s="50">
        <f>'P syphilis cases-rates'!F15/'calculations for model'!D30</f>
        <v>0.16666666666666666</v>
      </c>
      <c r="J30" s="50">
        <f>'S syphilis cases-rates'!F15/'calculations for model'!D30</f>
        <v>0.5</v>
      </c>
      <c r="K30" s="50">
        <f t="shared" si="15"/>
        <v>0.33333333333333331</v>
      </c>
      <c r="L30" s="48">
        <f t="shared" si="16"/>
        <v>6.9444444444444441E-3</v>
      </c>
      <c r="M30" s="48">
        <f t="shared" si="17"/>
        <v>6.17283950617284E-3</v>
      </c>
      <c r="N30" s="50">
        <f t="shared" si="18"/>
        <v>4.4338470027194266</v>
      </c>
      <c r="O30" s="52">
        <v>0.45204909999999998</v>
      </c>
      <c r="P30" s="53"/>
      <c r="Q30" s="52"/>
    </row>
    <row r="31" spans="1:21" x14ac:dyDescent="0.2">
      <c r="A31">
        <f t="shared" si="19"/>
        <v>2006</v>
      </c>
      <c r="B31">
        <f>'P syphilis cases-rates'!F16+'S syphilis cases-rates'!F16</f>
        <v>26</v>
      </c>
      <c r="C31">
        <f>'EL syphilis cases-rates'!F16</f>
        <v>18</v>
      </c>
      <c r="D31">
        <f>'P syphilis cases-rates'!F16+'S syphilis cases-rates'!F16+'EL syphilis cases-rates'!F16</f>
        <v>44</v>
      </c>
      <c r="E31">
        <f>'P syphilis cases-rates'!D$47</f>
        <v>811936</v>
      </c>
      <c r="F31" s="51">
        <f t="shared" si="12"/>
        <v>3.2022228352973635E-5</v>
      </c>
      <c r="G31" s="51">
        <f t="shared" si="13"/>
        <v>2.2169235013597132E-5</v>
      </c>
      <c r="H31" s="51">
        <f t="shared" si="14"/>
        <v>5.4191463366570764E-5</v>
      </c>
      <c r="I31" s="50">
        <f>'P syphilis cases-rates'!F16/'calculations for model'!D31</f>
        <v>9.0909090909090912E-2</v>
      </c>
      <c r="J31" s="50">
        <f>'S syphilis cases-rates'!F16/'calculations for model'!D31</f>
        <v>0.5</v>
      </c>
      <c r="K31" s="50">
        <f t="shared" si="15"/>
        <v>0.40909090909090912</v>
      </c>
      <c r="L31" s="48">
        <f t="shared" si="16"/>
        <v>5.681818181818182E-3</v>
      </c>
      <c r="M31" s="48">
        <f t="shared" si="17"/>
        <v>5.4939894815927868E-3</v>
      </c>
      <c r="N31" s="50">
        <f t="shared" si="18"/>
        <v>5.419146336657076</v>
      </c>
      <c r="O31" s="52">
        <v>0.55307139999999999</v>
      </c>
      <c r="P31" s="53"/>
      <c r="Q31" s="52"/>
    </row>
    <row r="32" spans="1:21" x14ac:dyDescent="0.2">
      <c r="A32">
        <f t="shared" si="19"/>
        <v>2007</v>
      </c>
      <c r="B32">
        <f>'P syphilis cases-rates'!F17+'S syphilis cases-rates'!F17</f>
        <v>26</v>
      </c>
      <c r="C32">
        <f>'EL syphilis cases-rates'!F17</f>
        <v>20</v>
      </c>
      <c r="D32">
        <f>'P syphilis cases-rates'!F17+'S syphilis cases-rates'!F17+'EL syphilis cases-rates'!F17</f>
        <v>46</v>
      </c>
      <c r="E32">
        <f>'P syphilis cases-rates'!D$47</f>
        <v>811936</v>
      </c>
      <c r="F32" s="51">
        <f t="shared" si="12"/>
        <v>3.2022228352973635E-5</v>
      </c>
      <c r="G32" s="51">
        <f t="shared" si="13"/>
        <v>2.4632483348441255E-5</v>
      </c>
      <c r="H32" s="51">
        <f t="shared" si="14"/>
        <v>5.6654711701414887E-5</v>
      </c>
      <c r="I32" s="50">
        <f>'P syphilis cases-rates'!F17/'calculations for model'!D32</f>
        <v>0.21739130434782608</v>
      </c>
      <c r="J32" s="50">
        <f>'S syphilis cases-rates'!F17/'calculations for model'!D32</f>
        <v>0.34782608695652173</v>
      </c>
      <c r="K32" s="50">
        <f t="shared" si="15"/>
        <v>0.43478260869565216</v>
      </c>
      <c r="L32" s="48">
        <f t="shared" si="16"/>
        <v>4.931371743239911E-3</v>
      </c>
      <c r="M32" s="48">
        <f t="shared" si="17"/>
        <v>5.3423193885099038E-3</v>
      </c>
      <c r="N32" s="50">
        <f t="shared" si="18"/>
        <v>5.6654711701414886</v>
      </c>
      <c r="O32" s="52">
        <v>0.57858209999999999</v>
      </c>
      <c r="P32" s="53">
        <f>SUM('MSM + HIV'!I16:K16)</f>
        <v>37</v>
      </c>
      <c r="Q32" s="52">
        <f>SUM('MSM + HIV'!L16:N16)</f>
        <v>35</v>
      </c>
      <c r="R32" s="50">
        <f>P32/D32</f>
        <v>0.80434782608695654</v>
      </c>
      <c r="S32" s="48">
        <f>R32*(1-R32)/D32</f>
        <v>3.4211391468726877E-3</v>
      </c>
      <c r="T32" s="50">
        <f>Q32/P32</f>
        <v>0.94594594594594594</v>
      </c>
      <c r="U32" s="48">
        <f>T32*(1-T32)/P32</f>
        <v>1.3819517106587961E-3</v>
      </c>
    </row>
    <row r="33" spans="1:21" x14ac:dyDescent="0.2">
      <c r="A33">
        <f t="shared" si="19"/>
        <v>2008</v>
      </c>
      <c r="B33">
        <f>'P syphilis cases-rates'!F18+'S syphilis cases-rates'!F18</f>
        <v>28</v>
      </c>
      <c r="C33">
        <f>'EL syphilis cases-rates'!F18</f>
        <v>21</v>
      </c>
      <c r="D33">
        <f>'P syphilis cases-rates'!F18+'S syphilis cases-rates'!F18+'EL syphilis cases-rates'!F18</f>
        <v>49</v>
      </c>
      <c r="E33">
        <f>'P syphilis cases-rates'!D$47</f>
        <v>811936</v>
      </c>
      <c r="F33" s="51">
        <f t="shared" si="12"/>
        <v>3.4485476687817758E-5</v>
      </c>
      <c r="G33" s="51">
        <f t="shared" si="13"/>
        <v>2.586410751586332E-5</v>
      </c>
      <c r="H33" s="51">
        <f t="shared" si="14"/>
        <v>6.0349584203681078E-5</v>
      </c>
      <c r="I33" s="50">
        <f>'P syphilis cases-rates'!F18/'calculations for model'!D33</f>
        <v>0.2857142857142857</v>
      </c>
      <c r="J33" s="50">
        <f>'S syphilis cases-rates'!F18/'calculations for model'!D33</f>
        <v>0.2857142857142857</v>
      </c>
      <c r="K33" s="50">
        <f t="shared" si="15"/>
        <v>0.42857142857142855</v>
      </c>
      <c r="L33" s="48">
        <f t="shared" si="16"/>
        <v>4.1649312786339026E-3</v>
      </c>
      <c r="M33" s="48">
        <f t="shared" si="17"/>
        <v>4.9979175343606826E-3</v>
      </c>
      <c r="N33" s="50">
        <f t="shared" si="18"/>
        <v>6.0349584203681079</v>
      </c>
      <c r="O33" s="52">
        <v>0.61531740000000001</v>
      </c>
      <c r="P33" s="53">
        <f>SUM('MSM + HIV'!I17:K17)</f>
        <v>41</v>
      </c>
      <c r="Q33" s="54">
        <f>SUM('MSM + HIV'!L17:N17)+2</f>
        <v>21</v>
      </c>
      <c r="R33" s="50">
        <f t="shared" ref="R33:R41" si="20">P33/D33</f>
        <v>0.83673469387755106</v>
      </c>
      <c r="S33" s="48">
        <f t="shared" ref="S33:S41" si="21">R33*(1-R33)/D33</f>
        <v>2.7879539987590201E-3</v>
      </c>
      <c r="T33" s="50">
        <f t="shared" ref="T33:T41" si="22">Q33/P33</f>
        <v>0.51219512195121952</v>
      </c>
      <c r="U33" s="48">
        <f t="shared" ref="U33:U41" si="23">T33*(1-T33)/P33</f>
        <v>6.0939336341608507E-3</v>
      </c>
    </row>
    <row r="34" spans="1:21" x14ac:dyDescent="0.2">
      <c r="A34">
        <f t="shared" si="19"/>
        <v>2009</v>
      </c>
      <c r="B34">
        <f>'P syphilis cases-rates'!F19+'S syphilis cases-rates'!F19</f>
        <v>44</v>
      </c>
      <c r="C34">
        <f>'EL syphilis cases-rates'!F19</f>
        <v>25</v>
      </c>
      <c r="D34">
        <f>'P syphilis cases-rates'!F19+'S syphilis cases-rates'!F19+'EL syphilis cases-rates'!F19</f>
        <v>69</v>
      </c>
      <c r="E34">
        <f>'P syphilis cases-rates'!D$47</f>
        <v>811936</v>
      </c>
      <c r="F34" s="51">
        <f t="shared" si="12"/>
        <v>5.4191463366570764E-5</v>
      </c>
      <c r="G34" s="51">
        <f t="shared" si="13"/>
        <v>3.0790604185551573E-5</v>
      </c>
      <c r="H34" s="51">
        <f t="shared" si="14"/>
        <v>8.4982067552122337E-5</v>
      </c>
      <c r="I34" s="50">
        <f>'P syphilis cases-rates'!F19/'calculations for model'!D34</f>
        <v>0.24637681159420291</v>
      </c>
      <c r="J34" s="50">
        <f>'S syphilis cases-rates'!F19/'calculations for model'!D34</f>
        <v>0.39130434782608697</v>
      </c>
      <c r="K34" s="50">
        <f t="shared" si="15"/>
        <v>0.36231884057971014</v>
      </c>
      <c r="L34" s="48">
        <f t="shared" si="16"/>
        <v>3.4519602202679384E-3</v>
      </c>
      <c r="M34" s="48">
        <f t="shared" si="17"/>
        <v>3.3484622947925319E-3</v>
      </c>
      <c r="N34" s="50">
        <f t="shared" si="18"/>
        <v>8.4982067552122338</v>
      </c>
      <c r="O34" s="52">
        <v>0.86736290000000005</v>
      </c>
      <c r="P34" s="53">
        <f>SUM('MSM + HIV'!I18:K18)</f>
        <v>60</v>
      </c>
      <c r="Q34" s="52">
        <f>SUM('MSM + HIV'!L18:N18)</f>
        <v>36</v>
      </c>
      <c r="R34" s="50">
        <f t="shared" si="20"/>
        <v>0.86956521739130432</v>
      </c>
      <c r="S34" s="48">
        <f t="shared" si="21"/>
        <v>1.6437905810799706E-3</v>
      </c>
      <c r="T34" s="50">
        <f t="shared" si="22"/>
        <v>0.6</v>
      </c>
      <c r="U34" s="48">
        <f t="shared" si="23"/>
        <v>4.0000000000000001E-3</v>
      </c>
    </row>
    <row r="35" spans="1:21" x14ac:dyDescent="0.2">
      <c r="A35">
        <f t="shared" si="19"/>
        <v>2010</v>
      </c>
      <c r="B35">
        <f>'P syphilis cases-rates'!F20+'S syphilis cases-rates'!F20</f>
        <v>52</v>
      </c>
      <c r="C35">
        <f>'EL syphilis cases-rates'!F20</f>
        <v>26</v>
      </c>
      <c r="D35">
        <f>'P syphilis cases-rates'!F20+'S syphilis cases-rates'!F20+'EL syphilis cases-rates'!F20</f>
        <v>78</v>
      </c>
      <c r="E35">
        <f>'P syphilis cases-rates'!E$47</f>
        <v>908168</v>
      </c>
      <c r="F35" s="51">
        <f t="shared" si="12"/>
        <v>5.7258128452004472E-5</v>
      </c>
      <c r="G35" s="51">
        <f t="shared" si="13"/>
        <v>2.8629064226002236E-5</v>
      </c>
      <c r="H35" s="51">
        <f t="shared" si="14"/>
        <v>8.5887192678006714E-5</v>
      </c>
      <c r="I35" s="50">
        <f>'P syphilis cases-rates'!F20/'calculations for model'!D35</f>
        <v>0.29487179487179488</v>
      </c>
      <c r="J35" s="50">
        <f>'S syphilis cases-rates'!F20/'calculations for model'!D35</f>
        <v>0.37179487179487181</v>
      </c>
      <c r="K35" s="50">
        <f t="shared" si="15"/>
        <v>0.33333333333333331</v>
      </c>
      <c r="L35" s="48">
        <f t="shared" si="16"/>
        <v>2.9944031423321362E-3</v>
      </c>
      <c r="M35" s="48">
        <f t="shared" si="17"/>
        <v>2.8490028490028491E-3</v>
      </c>
      <c r="N35" s="50">
        <f t="shared" si="18"/>
        <v>8.5887192678006716</v>
      </c>
      <c r="O35" s="52">
        <v>0.87654670000000001</v>
      </c>
      <c r="P35" s="53">
        <f>SUM('MSM + HIV'!I19:K19)</f>
        <v>67</v>
      </c>
      <c r="Q35" s="52">
        <f>SUM('MSM + HIV'!L19:N19)</f>
        <v>28</v>
      </c>
      <c r="R35" s="50">
        <f t="shared" si="20"/>
        <v>0.85897435897435892</v>
      </c>
      <c r="S35" s="48">
        <f t="shared" si="21"/>
        <v>1.553043712807027E-3</v>
      </c>
      <c r="T35" s="50">
        <f t="shared" si="22"/>
        <v>0.41791044776119401</v>
      </c>
      <c r="U35" s="48">
        <f t="shared" si="23"/>
        <v>3.6307657524363036E-3</v>
      </c>
    </row>
    <row r="36" spans="1:21" x14ac:dyDescent="0.2">
      <c r="A36">
        <f t="shared" si="19"/>
        <v>2011</v>
      </c>
      <c r="B36">
        <f>'P syphilis cases-rates'!F21+'S syphilis cases-rates'!F21</f>
        <v>52</v>
      </c>
      <c r="C36">
        <f>'EL syphilis cases-rates'!F21</f>
        <v>47</v>
      </c>
      <c r="D36">
        <f>'P syphilis cases-rates'!F21+'S syphilis cases-rates'!F21+'EL syphilis cases-rates'!F21</f>
        <v>99</v>
      </c>
      <c r="E36">
        <f>'P syphilis cases-rates'!E$47</f>
        <v>908168</v>
      </c>
      <c r="F36" s="51">
        <f t="shared" si="12"/>
        <v>5.7258128452004472E-5</v>
      </c>
      <c r="G36" s="51">
        <f t="shared" si="13"/>
        <v>5.1752539177773272E-5</v>
      </c>
      <c r="H36" s="51">
        <f t="shared" si="14"/>
        <v>1.0901066762977774E-4</v>
      </c>
      <c r="I36" s="50">
        <f>'P syphilis cases-rates'!F21/'calculations for model'!D36</f>
        <v>0.15151515151515152</v>
      </c>
      <c r="J36" s="50">
        <f>'S syphilis cases-rates'!F21/'calculations for model'!D36</f>
        <v>0.37373737373737376</v>
      </c>
      <c r="K36" s="50">
        <f t="shared" si="15"/>
        <v>0.47474747474747475</v>
      </c>
      <c r="L36" s="48">
        <f t="shared" si="16"/>
        <v>2.3642196889824686E-3</v>
      </c>
      <c r="M36" s="48">
        <f t="shared" si="17"/>
        <v>2.5188112118017234E-3</v>
      </c>
      <c r="N36" s="50">
        <f t="shared" si="18"/>
        <v>10.901066762977774</v>
      </c>
      <c r="O36" s="52">
        <v>1.1122653</v>
      </c>
      <c r="P36" s="53">
        <f>SUM('MSM + HIV'!I20:K20)</f>
        <v>86</v>
      </c>
      <c r="Q36" s="54">
        <f>SUM('MSM + HIV'!L20:N20)+2</f>
        <v>62</v>
      </c>
      <c r="R36" s="50">
        <f t="shared" si="20"/>
        <v>0.86868686868686873</v>
      </c>
      <c r="S36" s="48">
        <f t="shared" si="21"/>
        <v>1.1522221500795114E-3</v>
      </c>
      <c r="T36" s="50">
        <f t="shared" si="22"/>
        <v>0.72093023255813948</v>
      </c>
      <c r="U36" s="48">
        <f t="shared" si="23"/>
        <v>2.3394166551372838E-3</v>
      </c>
    </row>
    <row r="37" spans="1:21" x14ac:dyDescent="0.2">
      <c r="A37">
        <f t="shared" si="19"/>
        <v>2012</v>
      </c>
      <c r="B37">
        <f>'P syphilis cases-rates'!F22+'S syphilis cases-rates'!F22</f>
        <v>63</v>
      </c>
      <c r="C37">
        <f>'EL syphilis cases-rates'!F22</f>
        <v>38</v>
      </c>
      <c r="D37">
        <f>'P syphilis cases-rates'!F22+'S syphilis cases-rates'!F22+'EL syphilis cases-rates'!F22</f>
        <v>101</v>
      </c>
      <c r="E37">
        <f>'P syphilis cases-rates'!E$47</f>
        <v>908168</v>
      </c>
      <c r="F37" s="51">
        <f t="shared" si="12"/>
        <v>6.9370424855313116E-5</v>
      </c>
      <c r="G37" s="51">
        <f t="shared" si="13"/>
        <v>4.1842478484157119E-5</v>
      </c>
      <c r="H37" s="51">
        <f t="shared" si="14"/>
        <v>1.1121290333947023E-4</v>
      </c>
      <c r="I37" s="50">
        <f>'P syphilis cases-rates'!F22/'calculations for model'!D37</f>
        <v>0.26732673267326734</v>
      </c>
      <c r="J37" s="50">
        <f>'S syphilis cases-rates'!F22/'calculations for model'!D37</f>
        <v>0.35643564356435642</v>
      </c>
      <c r="K37" s="50">
        <f t="shared" si="15"/>
        <v>0.37623762376237624</v>
      </c>
      <c r="L37" s="48">
        <f t="shared" si="16"/>
        <v>2.271180946150688E-3</v>
      </c>
      <c r="M37" s="48">
        <f t="shared" si="17"/>
        <v>2.3235928141387809E-3</v>
      </c>
      <c r="N37" s="50">
        <f t="shared" si="18"/>
        <v>11.121290333947023</v>
      </c>
      <c r="O37" s="52">
        <v>1.1347147</v>
      </c>
      <c r="P37" s="53">
        <f>SUM('MSM + HIV'!I21:K21)</f>
        <v>87</v>
      </c>
      <c r="Q37" s="52">
        <f>SUM('MSM + HIV'!L21:N21)</f>
        <v>68</v>
      </c>
      <c r="R37" s="50">
        <f t="shared" si="20"/>
        <v>0.86138613861386137</v>
      </c>
      <c r="S37" s="48">
        <f t="shared" si="21"/>
        <v>1.182178800175871E-3</v>
      </c>
      <c r="T37" s="50">
        <f t="shared" si="22"/>
        <v>0.7816091954022989</v>
      </c>
      <c r="U37" s="48">
        <f t="shared" si="23"/>
        <v>1.9620259892513775E-3</v>
      </c>
    </row>
    <row r="38" spans="1:21" x14ac:dyDescent="0.2">
      <c r="A38">
        <f t="shared" si="19"/>
        <v>2013</v>
      </c>
      <c r="B38">
        <f>'P syphilis cases-rates'!F23+'S syphilis cases-rates'!F23</f>
        <v>93</v>
      </c>
      <c r="C38">
        <f>'EL syphilis cases-rates'!F23</f>
        <v>80</v>
      </c>
      <c r="D38">
        <f>'P syphilis cases-rates'!F23+'S syphilis cases-rates'!F23+'EL syphilis cases-rates'!F23</f>
        <v>173</v>
      </c>
      <c r="E38">
        <f>'P syphilis cases-rates'!E$47</f>
        <v>908168</v>
      </c>
      <c r="F38" s="51">
        <f t="shared" si="12"/>
        <v>1.0240396050070031E-4</v>
      </c>
      <c r="G38" s="51">
        <f t="shared" si="13"/>
        <v>8.8089428387699191E-5</v>
      </c>
      <c r="H38" s="51">
        <f t="shared" si="14"/>
        <v>1.904933888883995E-4</v>
      </c>
      <c r="I38" s="50">
        <f>'P syphilis cases-rates'!F23/'calculations for model'!D38</f>
        <v>0.13294797687861271</v>
      </c>
      <c r="J38" s="50">
        <f>'S syphilis cases-rates'!F23/'calculations for model'!D38</f>
        <v>0.40462427745664742</v>
      </c>
      <c r="K38" s="50">
        <f t="shared" si="15"/>
        <v>0.46242774566473988</v>
      </c>
      <c r="L38" s="48">
        <f t="shared" si="16"/>
        <v>1.3925056158921006E-3</v>
      </c>
      <c r="M38" s="48">
        <f t="shared" si="17"/>
        <v>1.436926738174373E-3</v>
      </c>
      <c r="N38" s="50">
        <f t="shared" si="18"/>
        <v>19.049338888839952</v>
      </c>
      <c r="O38" s="52">
        <v>1.9439133</v>
      </c>
      <c r="P38" s="53">
        <f>SUM('MSM + HIV'!I22:K22)</f>
        <v>142</v>
      </c>
      <c r="Q38" s="52">
        <f>SUM('MSM + HIV'!L22:N22)</f>
        <v>113</v>
      </c>
      <c r="R38" s="50">
        <f t="shared" si="20"/>
        <v>0.82080924855491333</v>
      </c>
      <c r="S38" s="48">
        <f t="shared" si="21"/>
        <v>8.5018165341983732E-4</v>
      </c>
      <c r="T38" s="50">
        <f t="shared" si="22"/>
        <v>0.79577464788732399</v>
      </c>
      <c r="U38" s="48">
        <f t="shared" si="23"/>
        <v>1.1444884342755601E-3</v>
      </c>
    </row>
    <row r="39" spans="1:21" x14ac:dyDescent="0.2">
      <c r="A39">
        <f t="shared" si="19"/>
        <v>2014</v>
      </c>
      <c r="B39">
        <f>'P syphilis cases-rates'!F24+'S syphilis cases-rates'!F24</f>
        <v>75</v>
      </c>
      <c r="C39">
        <f>'EL syphilis cases-rates'!F24</f>
        <v>61</v>
      </c>
      <c r="D39">
        <f>'P syphilis cases-rates'!F24+'S syphilis cases-rates'!F24+'EL syphilis cases-rates'!F24</f>
        <v>136</v>
      </c>
      <c r="E39">
        <f>'P syphilis cases-rates'!E$47</f>
        <v>908168</v>
      </c>
      <c r="F39" s="51">
        <f t="shared" si="12"/>
        <v>8.2583839113467992E-5</v>
      </c>
      <c r="G39" s="51">
        <f t="shared" si="13"/>
        <v>6.7168189145620639E-5</v>
      </c>
      <c r="H39" s="51">
        <f t="shared" si="14"/>
        <v>1.4975202825908863E-4</v>
      </c>
      <c r="I39" s="50">
        <f>'P syphilis cases-rates'!F24/'calculations for model'!D39</f>
        <v>0.19117647058823528</v>
      </c>
      <c r="J39" s="50">
        <f>'S syphilis cases-rates'!F24/'calculations for model'!D39</f>
        <v>0.36029411764705882</v>
      </c>
      <c r="K39" s="50">
        <f t="shared" si="15"/>
        <v>0.4485294117647059</v>
      </c>
      <c r="L39" s="48">
        <f t="shared" si="16"/>
        <v>1.6947225473234273E-3</v>
      </c>
      <c r="M39" s="48">
        <f t="shared" si="17"/>
        <v>1.8187557246081825E-3</v>
      </c>
      <c r="N39" s="50">
        <f t="shared" si="18"/>
        <v>14.975202825908863</v>
      </c>
      <c r="O39" s="52">
        <v>1.5285995000000001</v>
      </c>
      <c r="P39" s="53">
        <f>SUM('MSM + HIV'!I23:K23)</f>
        <v>98</v>
      </c>
      <c r="Q39" s="52">
        <f>SUM('MSM + HIV'!L23:N23)</f>
        <v>63</v>
      </c>
      <c r="R39" s="50">
        <f t="shared" si="20"/>
        <v>0.72058823529411764</v>
      </c>
      <c r="S39" s="48">
        <f t="shared" si="21"/>
        <v>1.480447282719316E-3</v>
      </c>
      <c r="T39" s="50">
        <f t="shared" si="22"/>
        <v>0.6428571428571429</v>
      </c>
      <c r="U39" s="48">
        <f t="shared" si="23"/>
        <v>2.3427738442315699E-3</v>
      </c>
    </row>
    <row r="40" spans="1:21" x14ac:dyDescent="0.2">
      <c r="A40">
        <f t="shared" si="19"/>
        <v>2015</v>
      </c>
      <c r="B40">
        <f>'P syphilis cases-rates'!F25+'S syphilis cases-rates'!F25</f>
        <v>113</v>
      </c>
      <c r="C40">
        <f>'EL syphilis cases-rates'!F25</f>
        <v>94</v>
      </c>
      <c r="D40">
        <f>'P syphilis cases-rates'!F25+'S syphilis cases-rates'!F25+'EL syphilis cases-rates'!F25</f>
        <v>207</v>
      </c>
      <c r="E40">
        <f>'P syphilis cases-rates'!F$47</f>
        <v>945811</v>
      </c>
      <c r="F40" s="51">
        <f t="shared" si="12"/>
        <v>1.1947418670326312E-4</v>
      </c>
      <c r="G40" s="51">
        <f t="shared" si="13"/>
        <v>9.9385606638112693E-5</v>
      </c>
      <c r="H40" s="51">
        <f t="shared" si="14"/>
        <v>2.1885979334137581E-4</v>
      </c>
      <c r="I40" s="50">
        <f>'P syphilis cases-rates'!F25/'calculations for model'!D40</f>
        <v>0.18357487922705315</v>
      </c>
      <c r="J40" s="50">
        <f>'S syphilis cases-rates'!F25/'calculations for model'!D40</f>
        <v>0.36231884057971014</v>
      </c>
      <c r="K40" s="50">
        <f t="shared" si="15"/>
        <v>0.45410628019323673</v>
      </c>
      <c r="L40" s="48">
        <f t="shared" si="16"/>
        <v>1.1161540982641772E-3</v>
      </c>
      <c r="M40" s="48">
        <f t="shared" si="17"/>
        <v>1.1975544274507165E-3</v>
      </c>
      <c r="N40" s="50">
        <f t="shared" si="18"/>
        <v>21.885979334137581</v>
      </c>
      <c r="O40" s="52">
        <v>2.2337145</v>
      </c>
      <c r="P40" s="53">
        <f>SUM('MSM + HIV'!I24:K24)</f>
        <v>172</v>
      </c>
      <c r="Q40" s="52">
        <f>SUM('MSM + HIV'!L24:N24)</f>
        <v>103</v>
      </c>
      <c r="R40" s="50">
        <f t="shared" si="20"/>
        <v>0.83091787439613529</v>
      </c>
      <c r="S40" s="48">
        <f t="shared" si="21"/>
        <v>6.7871188601518659E-4</v>
      </c>
      <c r="T40" s="50">
        <f t="shared" si="22"/>
        <v>0.59883720930232553</v>
      </c>
      <c r="U40" s="48">
        <f t="shared" si="23"/>
        <v>1.3966930584728388E-3</v>
      </c>
    </row>
    <row r="41" spans="1:21" x14ac:dyDescent="0.2">
      <c r="A41">
        <f t="shared" si="19"/>
        <v>2016</v>
      </c>
      <c r="B41">
        <f>'P syphilis cases-rates'!F26+'S syphilis cases-rates'!F26</f>
        <v>133</v>
      </c>
      <c r="C41">
        <f>'EL syphilis cases-rates'!F26</f>
        <v>134</v>
      </c>
      <c r="D41">
        <f>'P syphilis cases-rates'!F26+'S syphilis cases-rates'!F26+'EL syphilis cases-rates'!F26</f>
        <v>267</v>
      </c>
      <c r="E41">
        <f>'P syphilis cases-rates'!F$47</f>
        <v>945811</v>
      </c>
      <c r="F41" s="51">
        <f t="shared" si="12"/>
        <v>1.4062006045605305E-4</v>
      </c>
      <c r="G41" s="51">
        <f t="shared" si="13"/>
        <v>1.4167735414369255E-4</v>
      </c>
      <c r="H41" s="51">
        <f t="shared" si="14"/>
        <v>2.8229741459974563E-4</v>
      </c>
      <c r="I41" s="50">
        <f>'P syphilis cases-rates'!F26/'calculations for model'!D41</f>
        <v>0.16104868913857678</v>
      </c>
      <c r="J41" s="50">
        <f>'S syphilis cases-rates'!F26/'calculations for model'!D41</f>
        <v>0.33707865168539325</v>
      </c>
      <c r="K41" s="50">
        <f t="shared" si="15"/>
        <v>0.50187265917602997</v>
      </c>
      <c r="L41" s="48">
        <f t="shared" si="16"/>
        <v>8.3691623319606971E-4</v>
      </c>
      <c r="M41" s="48">
        <f t="shared" si="17"/>
        <v>9.3631645373636865E-4</v>
      </c>
      <c r="N41" s="50">
        <f t="shared" si="18"/>
        <v>28.229741459974562</v>
      </c>
      <c r="O41" s="52">
        <v>2.8806652000000001</v>
      </c>
      <c r="P41" s="53">
        <f>SUM('MSM + HIV'!I25:K25)</f>
        <v>165</v>
      </c>
      <c r="Q41" s="52">
        <f>SUM('MSM + HIV'!L25:N25)</f>
        <v>120</v>
      </c>
      <c r="R41" s="50">
        <f t="shared" si="20"/>
        <v>0.6179775280898876</v>
      </c>
      <c r="S41" s="48">
        <f t="shared" si="21"/>
        <v>8.8419963620149731E-4</v>
      </c>
      <c r="T41" s="50">
        <f t="shared" si="22"/>
        <v>0.72727272727272729</v>
      </c>
      <c r="U41" s="48">
        <f t="shared" si="23"/>
        <v>1.2021036814425243E-3</v>
      </c>
    </row>
    <row r="43" spans="1:21" x14ac:dyDescent="0.2">
      <c r="B43" t="s">
        <v>65</v>
      </c>
    </row>
    <row r="44" spans="1:21" x14ac:dyDescent="0.2">
      <c r="B44" t="s">
        <v>62</v>
      </c>
      <c r="F44" t="s">
        <v>61</v>
      </c>
    </row>
    <row r="45" spans="1:21" x14ac:dyDescent="0.2">
      <c r="A45" t="s">
        <v>0</v>
      </c>
      <c r="B45" t="s">
        <v>57</v>
      </c>
      <c r="C45" t="s">
        <v>58</v>
      </c>
      <c r="D45" t="s">
        <v>5</v>
      </c>
      <c r="E45" t="s">
        <v>60</v>
      </c>
      <c r="F45" t="s">
        <v>57</v>
      </c>
      <c r="G45" t="s">
        <v>58</v>
      </c>
      <c r="H45" t="s">
        <v>5</v>
      </c>
      <c r="I45" t="s">
        <v>91</v>
      </c>
      <c r="J45" t="s">
        <v>92</v>
      </c>
      <c r="K45" t="s">
        <v>93</v>
      </c>
      <c r="L45" t="s">
        <v>94</v>
      </c>
      <c r="M45" t="s">
        <v>95</v>
      </c>
      <c r="N45" t="s">
        <v>68</v>
      </c>
      <c r="O45" t="s">
        <v>72</v>
      </c>
    </row>
    <row r="46" spans="1:21" x14ac:dyDescent="0.2">
      <c r="A46">
        <f>2000</f>
        <v>2000</v>
      </c>
      <c r="B46">
        <f>'P syphilis cases-rates'!D10+'S syphilis cases-rates'!D10</f>
        <v>16</v>
      </c>
      <c r="C46">
        <f>'EL syphilis cases-rates'!D10</f>
        <v>22</v>
      </c>
      <c r="D46">
        <f>'P syphilis cases-rates'!D10+'S syphilis cases-rates'!D10+'EL syphilis cases-rates'!D10</f>
        <v>38</v>
      </c>
      <c r="E46" s="47">
        <f>'P syphilis cases-rates'!C$35</f>
        <v>1221562</v>
      </c>
      <c r="F46">
        <f>B46/E46</f>
        <v>1.3097984383928119E-5</v>
      </c>
      <c r="G46">
        <f>C46/E46</f>
        <v>1.8009728527901163E-5</v>
      </c>
      <c r="H46">
        <f>D46/E46</f>
        <v>3.110771291182928E-5</v>
      </c>
      <c r="I46" s="50">
        <f>'P syphilis cases-rates'!D10/'calculations for model'!D46</f>
        <v>5.2631578947368418E-2</v>
      </c>
      <c r="J46" s="50">
        <f>'S syphilis cases-rates'!D10/D46</f>
        <v>0.36842105263157893</v>
      </c>
      <c r="K46" s="50">
        <f>C46/D46</f>
        <v>0.57894736842105265</v>
      </c>
      <c r="L46" s="48">
        <f>J46*(1-J46)/D46</f>
        <v>6.1233415949846909E-3</v>
      </c>
      <c r="M46" s="48">
        <f>K46*(1-K46)/D46</f>
        <v>6.4149292899839628E-3</v>
      </c>
      <c r="N46" s="50">
        <f>H46*100000</f>
        <v>3.1107712911829282</v>
      </c>
      <c r="O46" s="52">
        <v>0.31735277000000001</v>
      </c>
      <c r="P46" s="53"/>
      <c r="Q46" s="52"/>
      <c r="R46" s="52"/>
      <c r="S46" s="52"/>
    </row>
    <row r="47" spans="1:21" x14ac:dyDescent="0.2">
      <c r="A47">
        <f>A46+1</f>
        <v>2001</v>
      </c>
      <c r="B47">
        <f>'P syphilis cases-rates'!D11+'S syphilis cases-rates'!D11</f>
        <v>4</v>
      </c>
      <c r="C47">
        <f>'EL syphilis cases-rates'!D11</f>
        <v>13</v>
      </c>
      <c r="D47">
        <f>'P syphilis cases-rates'!D11+'S syphilis cases-rates'!D11+'EL syphilis cases-rates'!D11</f>
        <v>17</v>
      </c>
      <c r="E47" s="47">
        <f>'P syphilis cases-rates'!C$35</f>
        <v>1221562</v>
      </c>
      <c r="F47">
        <f t="shared" ref="F47:F62" si="24">B47/E47</f>
        <v>3.2744960959820297E-6</v>
      </c>
      <c r="G47">
        <f t="shared" ref="G47:G61" si="25">C47/E47</f>
        <v>1.0642112311941596E-5</v>
      </c>
      <c r="H47">
        <f t="shared" ref="H47:H61" si="26">D47/E47</f>
        <v>1.3916608407923625E-5</v>
      </c>
      <c r="I47" s="50">
        <f>'P syphilis cases-rates'!D11/'calculations for model'!D47</f>
        <v>5.8823529411764705E-2</v>
      </c>
      <c r="J47" s="50">
        <f>'S syphilis cases-rates'!D11/D47</f>
        <v>0.17647058823529413</v>
      </c>
      <c r="K47" s="50">
        <f t="shared" ref="K47:K62" si="27">C47/D47</f>
        <v>0.76470588235294112</v>
      </c>
      <c r="L47" s="48">
        <f t="shared" ref="L47:L62" si="28">J47*(1-J47)/D47</f>
        <v>8.5487482190107888E-3</v>
      </c>
      <c r="M47" s="48">
        <f t="shared" ref="M47:M62" si="29">K47*(1-K47)/D47</f>
        <v>1.0584164461632406E-2</v>
      </c>
      <c r="N47" s="50">
        <f t="shared" ref="N47:N62" si="30">H47*100000</f>
        <v>1.3916608407923625</v>
      </c>
      <c r="O47" s="52">
        <v>0.14183934000000001</v>
      </c>
      <c r="P47" s="53"/>
      <c r="Q47" s="52"/>
      <c r="R47" s="52"/>
      <c r="S47" s="52"/>
    </row>
    <row r="48" spans="1:21" x14ac:dyDescent="0.2">
      <c r="A48">
        <f t="shared" ref="A48:A62" si="31">A47+1</f>
        <v>2002</v>
      </c>
      <c r="B48">
        <f>'P syphilis cases-rates'!D12+'S syphilis cases-rates'!D12</f>
        <v>8</v>
      </c>
      <c r="C48">
        <f>'EL syphilis cases-rates'!D12</f>
        <v>13</v>
      </c>
      <c r="D48">
        <f>'P syphilis cases-rates'!D12+'S syphilis cases-rates'!D12+'EL syphilis cases-rates'!D12</f>
        <v>21</v>
      </c>
      <c r="E48" s="47">
        <f>'P syphilis cases-rates'!C$35</f>
        <v>1221562</v>
      </c>
      <c r="F48">
        <f t="shared" si="24"/>
        <v>6.5489921919640595E-6</v>
      </c>
      <c r="G48">
        <f t="shared" si="25"/>
        <v>1.0642112311941596E-5</v>
      </c>
      <c r="H48">
        <f t="shared" si="26"/>
        <v>1.7191104503905656E-5</v>
      </c>
      <c r="I48" s="50">
        <f>'P syphilis cases-rates'!D12/'calculations for model'!D48</f>
        <v>9.5238095238095233E-2</v>
      </c>
      <c r="J48" s="50">
        <f>'S syphilis cases-rates'!D12/D48</f>
        <v>0.2857142857142857</v>
      </c>
      <c r="K48" s="50">
        <f t="shared" si="27"/>
        <v>0.61904761904761907</v>
      </c>
      <c r="L48" s="48">
        <f t="shared" si="28"/>
        <v>9.7181729834791061E-3</v>
      </c>
      <c r="M48" s="48">
        <f t="shared" si="29"/>
        <v>1.1229888780909188E-2</v>
      </c>
      <c r="N48" s="50">
        <f t="shared" si="30"/>
        <v>1.7191104503905656</v>
      </c>
      <c r="O48" s="52">
        <v>0.17551343</v>
      </c>
      <c r="P48" s="53"/>
      <c r="Q48" s="52"/>
      <c r="R48" s="52"/>
      <c r="S48" s="52"/>
    </row>
    <row r="49" spans="1:19" x14ac:dyDescent="0.2">
      <c r="A49">
        <f t="shared" si="31"/>
        <v>2003</v>
      </c>
      <c r="B49">
        <f>'P syphilis cases-rates'!D13+'S syphilis cases-rates'!D13</f>
        <v>2</v>
      </c>
      <c r="C49">
        <f>'EL syphilis cases-rates'!D13</f>
        <v>18</v>
      </c>
      <c r="D49">
        <f>'P syphilis cases-rates'!D13+'S syphilis cases-rates'!D13+'EL syphilis cases-rates'!D13</f>
        <v>20</v>
      </c>
      <c r="E49" s="47">
        <f>'P syphilis cases-rates'!C$35</f>
        <v>1221562</v>
      </c>
      <c r="F49">
        <f t="shared" si="24"/>
        <v>1.6372480479910149E-6</v>
      </c>
      <c r="G49">
        <f t="shared" si="25"/>
        <v>1.4735232431919134E-5</v>
      </c>
      <c r="H49">
        <f t="shared" si="26"/>
        <v>1.6372480479910147E-5</v>
      </c>
      <c r="I49" s="50">
        <f>'P syphilis cases-rates'!D13/'calculations for model'!D49</f>
        <v>0</v>
      </c>
      <c r="J49" s="50">
        <f>'S syphilis cases-rates'!D13/D49</f>
        <v>0.1</v>
      </c>
      <c r="K49" s="50">
        <f t="shared" si="27"/>
        <v>0.9</v>
      </c>
      <c r="L49" s="48">
        <f t="shared" si="28"/>
        <v>4.5000000000000005E-3</v>
      </c>
      <c r="M49" s="48">
        <f t="shared" si="29"/>
        <v>4.4999999999999988E-3</v>
      </c>
      <c r="N49" s="50">
        <f t="shared" si="30"/>
        <v>1.6372480479910148</v>
      </c>
      <c r="O49" s="52">
        <v>0.16735000999999999</v>
      </c>
      <c r="P49" s="53"/>
      <c r="Q49" s="52"/>
      <c r="R49" s="52"/>
      <c r="S49" s="52"/>
    </row>
    <row r="50" spans="1:19" x14ac:dyDescent="0.2">
      <c r="A50">
        <f t="shared" si="31"/>
        <v>2004</v>
      </c>
      <c r="B50">
        <f>'P syphilis cases-rates'!D14+'S syphilis cases-rates'!D14</f>
        <v>3</v>
      </c>
      <c r="C50">
        <f>'EL syphilis cases-rates'!D14</f>
        <v>16</v>
      </c>
      <c r="D50">
        <f>'P syphilis cases-rates'!D14+'S syphilis cases-rates'!D14+'EL syphilis cases-rates'!D14</f>
        <v>19</v>
      </c>
      <c r="E50" s="47">
        <f>'P syphilis cases-rates'!C$35</f>
        <v>1221562</v>
      </c>
      <c r="F50">
        <f t="shared" si="24"/>
        <v>2.455872071986522E-6</v>
      </c>
      <c r="G50">
        <f t="shared" si="25"/>
        <v>1.3097984383928119E-5</v>
      </c>
      <c r="H50">
        <f t="shared" si="26"/>
        <v>1.555385645591464E-5</v>
      </c>
      <c r="I50" s="50">
        <f>'P syphilis cases-rates'!D14/'calculations for model'!D50</f>
        <v>0</v>
      </c>
      <c r="J50" s="50">
        <f>'S syphilis cases-rates'!D14/D50</f>
        <v>0.15789473684210525</v>
      </c>
      <c r="K50" s="50">
        <f t="shared" si="27"/>
        <v>0.84210526315789469</v>
      </c>
      <c r="L50" s="48">
        <f t="shared" si="28"/>
        <v>6.9981046799825032E-3</v>
      </c>
      <c r="M50" s="48">
        <f t="shared" si="29"/>
        <v>6.9981046799825067E-3</v>
      </c>
      <c r="N50" s="50">
        <f t="shared" si="30"/>
        <v>1.5553856455914641</v>
      </c>
      <c r="O50" s="52">
        <v>0.15918660000000001</v>
      </c>
      <c r="P50" s="53"/>
      <c r="Q50" s="52"/>
      <c r="R50" s="52"/>
      <c r="S50" s="52"/>
    </row>
    <row r="51" spans="1:19" x14ac:dyDescent="0.2">
      <c r="A51">
        <f t="shared" si="31"/>
        <v>2005</v>
      </c>
      <c r="B51">
        <f>'P syphilis cases-rates'!D15+'S syphilis cases-rates'!D15</f>
        <v>3</v>
      </c>
      <c r="C51">
        <f>'EL syphilis cases-rates'!D15</f>
        <v>12</v>
      </c>
      <c r="D51">
        <f>'P syphilis cases-rates'!D15+'S syphilis cases-rates'!D15+'EL syphilis cases-rates'!D15</f>
        <v>15</v>
      </c>
      <c r="E51">
        <f>'P syphilis cases-rates'!D$35</f>
        <v>1147153</v>
      </c>
      <c r="F51">
        <f t="shared" si="24"/>
        <v>2.6151699032299963E-6</v>
      </c>
      <c r="G51">
        <f t="shared" si="25"/>
        <v>1.0460679612919985E-5</v>
      </c>
      <c r="H51">
        <f t="shared" si="26"/>
        <v>1.3075849516149982E-5</v>
      </c>
      <c r="I51" s="50">
        <f>'P syphilis cases-rates'!D15/'calculations for model'!D51</f>
        <v>6.6666666666666666E-2</v>
      </c>
      <c r="J51" s="50">
        <f>'S syphilis cases-rates'!D15/D51</f>
        <v>0.13333333333333333</v>
      </c>
      <c r="K51" s="50">
        <f t="shared" si="27"/>
        <v>0.8</v>
      </c>
      <c r="L51" s="48">
        <f t="shared" si="28"/>
        <v>7.7037037037037039E-3</v>
      </c>
      <c r="M51" s="48">
        <f t="shared" si="29"/>
        <v>1.0666666666666665E-2</v>
      </c>
      <c r="N51" s="50">
        <f t="shared" si="30"/>
        <v>1.3075849516149982</v>
      </c>
      <c r="O51" s="52">
        <v>0.13367593</v>
      </c>
      <c r="P51" s="53"/>
      <c r="Q51" s="52"/>
      <c r="R51" s="52"/>
      <c r="S51" s="52"/>
    </row>
    <row r="52" spans="1:19" x14ac:dyDescent="0.2">
      <c r="A52">
        <f t="shared" si="31"/>
        <v>2006</v>
      </c>
      <c r="B52">
        <f>'P syphilis cases-rates'!D16+'S syphilis cases-rates'!D16</f>
        <v>2</v>
      </c>
      <c r="C52">
        <f>'EL syphilis cases-rates'!D16</f>
        <v>8</v>
      </c>
      <c r="D52">
        <f>'P syphilis cases-rates'!D16+'S syphilis cases-rates'!D16+'EL syphilis cases-rates'!D16</f>
        <v>10</v>
      </c>
      <c r="E52">
        <f>'P syphilis cases-rates'!D$35</f>
        <v>1147153</v>
      </c>
      <c r="F52">
        <f t="shared" si="24"/>
        <v>1.7434466021533309E-6</v>
      </c>
      <c r="G52">
        <f t="shared" si="25"/>
        <v>6.9737864086133237E-6</v>
      </c>
      <c r="H52">
        <f t="shared" si="26"/>
        <v>8.7172330107666549E-6</v>
      </c>
      <c r="I52" s="50">
        <f>'P syphilis cases-rates'!D16/'calculations for model'!D52</f>
        <v>0</v>
      </c>
      <c r="J52" s="50">
        <f>'S syphilis cases-rates'!D16/D52</f>
        <v>0.2</v>
      </c>
      <c r="K52" s="50">
        <f t="shared" si="27"/>
        <v>0.8</v>
      </c>
      <c r="L52" s="48">
        <f t="shared" si="28"/>
        <v>1.6000000000000004E-2</v>
      </c>
      <c r="M52" s="48">
        <f t="shared" si="29"/>
        <v>1.5999999999999997E-2</v>
      </c>
      <c r="N52" s="50">
        <f t="shared" si="30"/>
        <v>0.87172330107666551</v>
      </c>
      <c r="O52" s="52">
        <v>8.8777140000000004E-2</v>
      </c>
      <c r="P52" s="53"/>
      <c r="Q52" s="52"/>
      <c r="R52" s="52"/>
      <c r="S52" s="52"/>
    </row>
    <row r="53" spans="1:19" x14ac:dyDescent="0.2">
      <c r="A53">
        <f t="shared" si="31"/>
        <v>2007</v>
      </c>
      <c r="B53">
        <f>'P syphilis cases-rates'!D17+'S syphilis cases-rates'!D17</f>
        <v>8</v>
      </c>
      <c r="C53">
        <f>'EL syphilis cases-rates'!D17</f>
        <v>9</v>
      </c>
      <c r="D53">
        <f>'P syphilis cases-rates'!D17+'S syphilis cases-rates'!D17+'EL syphilis cases-rates'!D17</f>
        <v>17</v>
      </c>
      <c r="E53">
        <f>'P syphilis cases-rates'!D$35</f>
        <v>1147153</v>
      </c>
      <c r="F53">
        <f t="shared" si="24"/>
        <v>6.9737864086133237E-6</v>
      </c>
      <c r="G53">
        <f t="shared" si="25"/>
        <v>7.8455097096899897E-6</v>
      </c>
      <c r="H53">
        <f t="shared" si="26"/>
        <v>1.4819296118303313E-5</v>
      </c>
      <c r="I53" s="50">
        <f>'P syphilis cases-rates'!D17/'calculations for model'!D53</f>
        <v>5.8823529411764705E-2</v>
      </c>
      <c r="J53" s="50">
        <f>'S syphilis cases-rates'!D17/D53</f>
        <v>0.41176470588235292</v>
      </c>
      <c r="K53" s="50">
        <f t="shared" si="27"/>
        <v>0.52941176470588236</v>
      </c>
      <c r="L53" s="48">
        <f t="shared" si="28"/>
        <v>1.4247913698351312E-2</v>
      </c>
      <c r="M53" s="48">
        <f t="shared" si="29"/>
        <v>1.4654996946875635E-2</v>
      </c>
      <c r="N53" s="50">
        <f t="shared" si="30"/>
        <v>1.4819296118303313</v>
      </c>
      <c r="O53" s="52">
        <v>0.15102318000000001</v>
      </c>
      <c r="P53" s="53"/>
      <c r="Q53" s="52"/>
      <c r="R53" s="52"/>
      <c r="S53" s="52"/>
    </row>
    <row r="54" spans="1:19" x14ac:dyDescent="0.2">
      <c r="A54">
        <f t="shared" si="31"/>
        <v>2008</v>
      </c>
      <c r="B54">
        <f>'P syphilis cases-rates'!D18+'S syphilis cases-rates'!D18</f>
        <v>2</v>
      </c>
      <c r="C54">
        <f>'EL syphilis cases-rates'!D18</f>
        <v>9</v>
      </c>
      <c r="D54">
        <f>'P syphilis cases-rates'!D18+'S syphilis cases-rates'!D18+'EL syphilis cases-rates'!D18</f>
        <v>11</v>
      </c>
      <c r="E54">
        <f>'P syphilis cases-rates'!D$35</f>
        <v>1147153</v>
      </c>
      <c r="F54">
        <f t="shared" si="24"/>
        <v>1.7434466021533309E-6</v>
      </c>
      <c r="G54">
        <f t="shared" si="25"/>
        <v>7.8455097096899897E-6</v>
      </c>
      <c r="H54">
        <f t="shared" si="26"/>
        <v>9.58895631184332E-6</v>
      </c>
      <c r="I54" s="50">
        <f>'P syphilis cases-rates'!D18/'calculations for model'!D54</f>
        <v>9.0909090909090912E-2</v>
      </c>
      <c r="J54" s="50">
        <f>'S syphilis cases-rates'!D18/D54</f>
        <v>9.0909090909090912E-2</v>
      </c>
      <c r="K54" s="50">
        <f t="shared" si="27"/>
        <v>0.81818181818181823</v>
      </c>
      <c r="L54" s="48">
        <f t="shared" si="28"/>
        <v>7.5131480090157776E-3</v>
      </c>
      <c r="M54" s="48">
        <f t="shared" si="29"/>
        <v>1.3523666416228397E-2</v>
      </c>
      <c r="N54" s="50">
        <f t="shared" si="30"/>
        <v>0.95889563118433196</v>
      </c>
      <c r="O54" s="52">
        <v>9.7960980000000003E-2</v>
      </c>
      <c r="P54" s="53"/>
      <c r="Q54" s="52"/>
      <c r="R54" s="52"/>
      <c r="S54" s="52"/>
    </row>
    <row r="55" spans="1:19" x14ac:dyDescent="0.2">
      <c r="A55">
        <f t="shared" si="31"/>
        <v>2009</v>
      </c>
      <c r="B55">
        <f>'P syphilis cases-rates'!D19+'S syphilis cases-rates'!D19</f>
        <v>7</v>
      </c>
      <c r="C55">
        <f>'EL syphilis cases-rates'!D19</f>
        <v>10</v>
      </c>
      <c r="D55">
        <f>'P syphilis cases-rates'!D19+'S syphilis cases-rates'!D19+'EL syphilis cases-rates'!D19</f>
        <v>17</v>
      </c>
      <c r="E55">
        <f>'P syphilis cases-rates'!D$35</f>
        <v>1147153</v>
      </c>
      <c r="F55">
        <f t="shared" si="24"/>
        <v>6.1020631075366577E-6</v>
      </c>
      <c r="G55">
        <f t="shared" si="25"/>
        <v>8.7172330107666549E-6</v>
      </c>
      <c r="H55">
        <f t="shared" si="26"/>
        <v>1.4819296118303313E-5</v>
      </c>
      <c r="I55" s="50">
        <f>'P syphilis cases-rates'!D19/'calculations for model'!D55</f>
        <v>5.8823529411764705E-2</v>
      </c>
      <c r="J55" s="50">
        <f>'S syphilis cases-rates'!D19/D55</f>
        <v>0.35294117647058826</v>
      </c>
      <c r="K55" s="50">
        <f t="shared" si="27"/>
        <v>0.58823529411764708</v>
      </c>
      <c r="L55" s="48">
        <f t="shared" si="28"/>
        <v>1.3433747201302665E-2</v>
      </c>
      <c r="M55" s="48">
        <f t="shared" si="29"/>
        <v>1.4247913698351312E-2</v>
      </c>
      <c r="N55" s="50">
        <f t="shared" si="30"/>
        <v>1.4819296118303313</v>
      </c>
      <c r="O55" s="52">
        <v>0.15102318000000001</v>
      </c>
      <c r="P55" s="53"/>
      <c r="Q55" s="52"/>
      <c r="R55" s="52"/>
      <c r="S55" s="52"/>
    </row>
    <row r="56" spans="1:19" x14ac:dyDescent="0.2">
      <c r="A56">
        <f t="shared" si="31"/>
        <v>2010</v>
      </c>
      <c r="B56">
        <f>'P syphilis cases-rates'!D20+'S syphilis cases-rates'!D20</f>
        <v>10</v>
      </c>
      <c r="C56">
        <f>'EL syphilis cases-rates'!D20</f>
        <v>11</v>
      </c>
      <c r="D56">
        <f>'P syphilis cases-rates'!D20+'S syphilis cases-rates'!D20+'EL syphilis cases-rates'!D20</f>
        <v>21</v>
      </c>
      <c r="E56">
        <f>'P syphilis cases-rates'!E$35</f>
        <v>1123147</v>
      </c>
      <c r="F56">
        <f t="shared" si="24"/>
        <v>8.9035540316628181E-6</v>
      </c>
      <c r="G56">
        <f t="shared" si="25"/>
        <v>9.7939094348291009E-6</v>
      </c>
      <c r="H56">
        <f t="shared" si="26"/>
        <v>1.8697463466491921E-5</v>
      </c>
      <c r="I56" s="50">
        <f>'P syphilis cases-rates'!D20/'calculations for model'!D56</f>
        <v>9.5238095238095233E-2</v>
      </c>
      <c r="J56" s="50">
        <f>'S syphilis cases-rates'!D20/D56</f>
        <v>0.38095238095238093</v>
      </c>
      <c r="K56" s="50">
        <f t="shared" si="27"/>
        <v>0.52380952380952384</v>
      </c>
      <c r="L56" s="48">
        <f t="shared" si="28"/>
        <v>1.1229888780909188E-2</v>
      </c>
      <c r="M56" s="48">
        <f t="shared" si="29"/>
        <v>1.1877766979807795E-2</v>
      </c>
      <c r="N56" s="50">
        <f t="shared" si="30"/>
        <v>1.8697463466491921</v>
      </c>
      <c r="O56" s="52">
        <v>0.19081983</v>
      </c>
      <c r="P56" s="53"/>
      <c r="Q56" s="52"/>
      <c r="R56" s="52"/>
      <c r="S56" s="52"/>
    </row>
    <row r="57" spans="1:19" x14ac:dyDescent="0.2">
      <c r="A57">
        <f t="shared" si="31"/>
        <v>2011</v>
      </c>
      <c r="B57">
        <f>'P syphilis cases-rates'!D21+'S syphilis cases-rates'!D21</f>
        <v>14</v>
      </c>
      <c r="C57">
        <f>'EL syphilis cases-rates'!D21</f>
        <v>9</v>
      </c>
      <c r="D57">
        <f>'P syphilis cases-rates'!D21+'S syphilis cases-rates'!D21+'EL syphilis cases-rates'!D21</f>
        <v>23</v>
      </c>
      <c r="E57">
        <f>'P syphilis cases-rates'!E$35</f>
        <v>1123147</v>
      </c>
      <c r="F57">
        <f t="shared" si="24"/>
        <v>1.2464975644327946E-5</v>
      </c>
      <c r="G57">
        <f t="shared" si="25"/>
        <v>8.013198628496537E-6</v>
      </c>
      <c r="H57">
        <f t="shared" si="26"/>
        <v>2.0478174272824483E-5</v>
      </c>
      <c r="I57" s="50">
        <f>'P syphilis cases-rates'!D21/'calculations for model'!D57</f>
        <v>8.6956521739130432E-2</v>
      </c>
      <c r="J57" s="50">
        <f>'S syphilis cases-rates'!D21/D57</f>
        <v>0.52173913043478259</v>
      </c>
      <c r="K57" s="50">
        <f t="shared" si="27"/>
        <v>0.39130434782608697</v>
      </c>
      <c r="L57" s="48">
        <f t="shared" si="28"/>
        <v>1.0849017835127804E-2</v>
      </c>
      <c r="M57" s="48">
        <f t="shared" si="29"/>
        <v>1.0355880660803814E-2</v>
      </c>
      <c r="N57" s="50">
        <f t="shared" si="30"/>
        <v>2.0478174272824483</v>
      </c>
      <c r="O57" s="52">
        <v>0.20918751999999999</v>
      </c>
      <c r="P57" s="53"/>
      <c r="Q57" s="52"/>
      <c r="R57" s="52"/>
      <c r="S57" s="52"/>
    </row>
    <row r="58" spans="1:19" x14ac:dyDescent="0.2">
      <c r="A58">
        <f t="shared" si="31"/>
        <v>2012</v>
      </c>
      <c r="B58">
        <f>'P syphilis cases-rates'!D22+'S syphilis cases-rates'!D22</f>
        <v>12</v>
      </c>
      <c r="C58">
        <f>'EL syphilis cases-rates'!D22</f>
        <v>21</v>
      </c>
      <c r="D58">
        <f>'P syphilis cases-rates'!D22+'S syphilis cases-rates'!D22+'EL syphilis cases-rates'!D22</f>
        <v>33</v>
      </c>
      <c r="E58">
        <f>'P syphilis cases-rates'!E$35</f>
        <v>1123147</v>
      </c>
      <c r="F58">
        <f t="shared" si="24"/>
        <v>1.0684264837995382E-5</v>
      </c>
      <c r="G58">
        <f t="shared" si="25"/>
        <v>1.8697463466491921E-5</v>
      </c>
      <c r="H58">
        <f t="shared" si="26"/>
        <v>2.9381728304487301E-5</v>
      </c>
      <c r="I58" s="50">
        <f>'P syphilis cases-rates'!D22/'calculations for model'!D58</f>
        <v>9.0909090909090912E-2</v>
      </c>
      <c r="J58" s="50">
        <f>'S syphilis cases-rates'!D22/D58</f>
        <v>0.27272727272727271</v>
      </c>
      <c r="K58" s="50">
        <f t="shared" si="27"/>
        <v>0.63636363636363635</v>
      </c>
      <c r="L58" s="48">
        <f t="shared" si="28"/>
        <v>6.0105184072126215E-3</v>
      </c>
      <c r="M58" s="48">
        <f t="shared" si="29"/>
        <v>7.0122714750813922E-3</v>
      </c>
      <c r="N58" s="50">
        <f t="shared" si="30"/>
        <v>2.93817283044873</v>
      </c>
      <c r="O58" s="52">
        <v>0.30000550999999998</v>
      </c>
      <c r="P58" s="53"/>
      <c r="Q58" s="52"/>
      <c r="R58" s="52"/>
      <c r="S58" s="52"/>
    </row>
    <row r="59" spans="1:19" x14ac:dyDescent="0.2">
      <c r="A59">
        <f t="shared" si="31"/>
        <v>2013</v>
      </c>
      <c r="B59">
        <f>'P syphilis cases-rates'!D23+'S syphilis cases-rates'!D23</f>
        <v>11</v>
      </c>
      <c r="C59">
        <f>'EL syphilis cases-rates'!D23</f>
        <v>26</v>
      </c>
      <c r="D59">
        <f>'P syphilis cases-rates'!D23+'S syphilis cases-rates'!D23+'EL syphilis cases-rates'!D23</f>
        <v>37</v>
      </c>
      <c r="E59">
        <f>'P syphilis cases-rates'!E$35</f>
        <v>1123147</v>
      </c>
      <c r="F59">
        <f t="shared" si="24"/>
        <v>9.7939094348291009E-6</v>
      </c>
      <c r="G59">
        <f t="shared" si="25"/>
        <v>2.314924048232333E-5</v>
      </c>
      <c r="H59">
        <f t="shared" si="26"/>
        <v>3.2943149917152429E-5</v>
      </c>
      <c r="I59" s="50">
        <f>'P syphilis cases-rates'!D23/'calculations for model'!D59</f>
        <v>5.4054054054054057E-2</v>
      </c>
      <c r="J59" s="50">
        <f>'S syphilis cases-rates'!D23/D59</f>
        <v>0.24324324324324326</v>
      </c>
      <c r="K59" s="50">
        <f t="shared" si="27"/>
        <v>0.70270270270270274</v>
      </c>
      <c r="L59" s="48">
        <f t="shared" si="28"/>
        <v>4.9750261583716669E-3</v>
      </c>
      <c r="M59" s="48">
        <f t="shared" si="29"/>
        <v>5.6462598464059382E-3</v>
      </c>
      <c r="N59" s="50">
        <f t="shared" si="30"/>
        <v>3.2943149917152428</v>
      </c>
      <c r="O59" s="52">
        <v>0.33572045</v>
      </c>
      <c r="P59" s="53"/>
      <c r="Q59" s="52"/>
      <c r="R59" s="52"/>
      <c r="S59" s="52"/>
    </row>
    <row r="60" spans="1:19" x14ac:dyDescent="0.2">
      <c r="A60">
        <f t="shared" si="31"/>
        <v>2014</v>
      </c>
      <c r="B60">
        <f>'P syphilis cases-rates'!D24+'S syphilis cases-rates'!D24</f>
        <v>17</v>
      </c>
      <c r="C60">
        <f>'EL syphilis cases-rates'!D24</f>
        <v>27</v>
      </c>
      <c r="D60">
        <f>'P syphilis cases-rates'!D24+'S syphilis cases-rates'!D24+'EL syphilis cases-rates'!D24</f>
        <v>44</v>
      </c>
      <c r="E60">
        <f>'P syphilis cases-rates'!E$35</f>
        <v>1123147</v>
      </c>
      <c r="F60">
        <f t="shared" si="24"/>
        <v>1.5136041853826793E-5</v>
      </c>
      <c r="G60">
        <f t="shared" si="25"/>
        <v>2.4039595885489611E-5</v>
      </c>
      <c r="H60">
        <f t="shared" si="26"/>
        <v>3.9175637739316404E-5</v>
      </c>
      <c r="I60" s="50">
        <f>'P syphilis cases-rates'!D24/'calculations for model'!D60</f>
        <v>9.0909090909090912E-2</v>
      </c>
      <c r="J60" s="50">
        <f>'S syphilis cases-rates'!D24/D60</f>
        <v>0.29545454545454547</v>
      </c>
      <c r="K60" s="50">
        <f t="shared" si="27"/>
        <v>0.61363636363636365</v>
      </c>
      <c r="L60" s="48">
        <f t="shared" si="28"/>
        <v>4.7309353869271226E-3</v>
      </c>
      <c r="M60" s="48">
        <f t="shared" si="29"/>
        <v>5.3883358377160026E-3</v>
      </c>
      <c r="N60" s="50">
        <f t="shared" si="30"/>
        <v>3.9175637739316405</v>
      </c>
      <c r="O60" s="52">
        <v>0.40000734999999998</v>
      </c>
      <c r="P60" s="53"/>
      <c r="Q60" s="52"/>
      <c r="R60" s="52"/>
      <c r="S60" s="52"/>
    </row>
    <row r="61" spans="1:19" x14ac:dyDescent="0.2">
      <c r="A61">
        <f t="shared" si="31"/>
        <v>2015</v>
      </c>
      <c r="B61">
        <f>'P syphilis cases-rates'!D25+'S syphilis cases-rates'!D25</f>
        <v>20</v>
      </c>
      <c r="C61">
        <f>'EL syphilis cases-rates'!D25</f>
        <v>23</v>
      </c>
      <c r="D61">
        <f>'P syphilis cases-rates'!D25+'S syphilis cases-rates'!D25+'EL syphilis cases-rates'!D25</f>
        <v>43</v>
      </c>
      <c r="E61">
        <f>'P syphilis cases-rates'!F$35</f>
        <v>1146925</v>
      </c>
      <c r="F61">
        <f t="shared" si="24"/>
        <v>1.7437931861281254E-5</v>
      </c>
      <c r="G61">
        <f t="shared" si="25"/>
        <v>2.0053621640473441E-5</v>
      </c>
      <c r="H61">
        <f t="shared" si="26"/>
        <v>3.7491553501754695E-5</v>
      </c>
      <c r="I61" s="50">
        <f>'P syphilis cases-rates'!D25/'calculations for model'!D61</f>
        <v>0.11627906976744186</v>
      </c>
      <c r="J61" s="50">
        <f>'S syphilis cases-rates'!D25/D61</f>
        <v>0.34883720930232559</v>
      </c>
      <c r="K61" s="50">
        <f t="shared" si="27"/>
        <v>0.53488372093023251</v>
      </c>
      <c r="L61" s="48">
        <f t="shared" si="28"/>
        <v>5.2825537374067699E-3</v>
      </c>
      <c r="M61" s="48">
        <f t="shared" si="29"/>
        <v>5.7856540933502714E-3</v>
      </c>
      <c r="N61" s="50">
        <f t="shared" si="30"/>
        <v>3.7491553501754695</v>
      </c>
      <c r="O61" s="52">
        <v>0.38266009000000001</v>
      </c>
      <c r="P61" s="53"/>
      <c r="Q61" s="52"/>
      <c r="R61" s="52"/>
      <c r="S61" s="52"/>
    </row>
    <row r="62" spans="1:19" x14ac:dyDescent="0.2">
      <c r="A62">
        <f t="shared" si="31"/>
        <v>2016</v>
      </c>
      <c r="B62">
        <f>'P syphilis cases-rates'!D26+'S syphilis cases-rates'!D26</f>
        <v>21</v>
      </c>
      <c r="C62">
        <f>'EL syphilis cases-rates'!D26</f>
        <v>47</v>
      </c>
      <c r="D62">
        <f>'P syphilis cases-rates'!D26+'S syphilis cases-rates'!D26+'EL syphilis cases-rates'!D26</f>
        <v>68</v>
      </c>
      <c r="E62">
        <f>'P syphilis cases-rates'!F$35</f>
        <v>1146925</v>
      </c>
      <c r="F62">
        <f t="shared" si="24"/>
        <v>1.8309828454345314E-5</v>
      </c>
      <c r="G62">
        <f>C62/E62</f>
        <v>4.0979139874010942E-5</v>
      </c>
      <c r="H62">
        <f>D62/E62</f>
        <v>5.9288968328356259E-5</v>
      </c>
      <c r="I62" s="50">
        <f>'P syphilis cases-rates'!D26/'calculations for model'!D62</f>
        <v>0.13235294117647059</v>
      </c>
      <c r="J62" s="50">
        <f>'S syphilis cases-rates'!D26/D62</f>
        <v>0.17647058823529413</v>
      </c>
      <c r="K62" s="50">
        <f t="shared" si="27"/>
        <v>0.69117647058823528</v>
      </c>
      <c r="L62" s="48">
        <f t="shared" si="28"/>
        <v>2.1371870547526972E-3</v>
      </c>
      <c r="M62" s="48">
        <f t="shared" si="29"/>
        <v>3.1389934866680237E-3</v>
      </c>
      <c r="N62" s="50">
        <f t="shared" si="30"/>
        <v>5.9288968328356262</v>
      </c>
      <c r="O62" s="52">
        <v>0.60511316000000004</v>
      </c>
      <c r="P62" s="53"/>
      <c r="Q62" s="52"/>
      <c r="R62" s="52"/>
      <c r="S62" s="52"/>
    </row>
    <row r="64" spans="1:19" x14ac:dyDescent="0.2">
      <c r="B64" t="s">
        <v>64</v>
      </c>
    </row>
    <row r="65" spans="1:16" x14ac:dyDescent="0.2">
      <c r="B65" t="s">
        <v>62</v>
      </c>
      <c r="F65" t="s">
        <v>61</v>
      </c>
    </row>
    <row r="66" spans="1:16" x14ac:dyDescent="0.2">
      <c r="A66" t="s">
        <v>0</v>
      </c>
      <c r="B66" t="s">
        <v>57</v>
      </c>
      <c r="C66" t="s">
        <v>58</v>
      </c>
      <c r="D66" t="s">
        <v>5</v>
      </c>
      <c r="E66" t="s">
        <v>60</v>
      </c>
      <c r="F66" t="s">
        <v>57</v>
      </c>
      <c r="G66" t="s">
        <v>58</v>
      </c>
      <c r="H66" t="s">
        <v>5</v>
      </c>
      <c r="I66" t="s">
        <v>96</v>
      </c>
      <c r="J66" t="s">
        <v>97</v>
      </c>
      <c r="K66" t="s">
        <v>98</v>
      </c>
      <c r="L66" t="s">
        <v>99</v>
      </c>
      <c r="M66" t="s">
        <v>100</v>
      </c>
      <c r="N66" t="s">
        <v>69</v>
      </c>
      <c r="O66" t="s">
        <v>73</v>
      </c>
    </row>
    <row r="67" spans="1:16" x14ac:dyDescent="0.2">
      <c r="A67">
        <f>2000</f>
        <v>2000</v>
      </c>
      <c r="B67">
        <f>'P syphilis cases-rates'!H10+'S syphilis cases-rates'!H10</f>
        <v>0</v>
      </c>
      <c r="C67">
        <f>'EL syphilis cases-rates'!H10</f>
        <v>0</v>
      </c>
      <c r="D67">
        <f>'P syphilis cases-rates'!H10+'S syphilis cases-rates'!H10+'EL syphilis cases-rates'!H10</f>
        <v>0</v>
      </c>
      <c r="E67" s="47">
        <f>'P syphilis cases-rates'!C$43</f>
        <v>764701</v>
      </c>
      <c r="F67">
        <f>B67/E67</f>
        <v>0</v>
      </c>
      <c r="G67">
        <f>C67/E67</f>
        <v>0</v>
      </c>
      <c r="H67">
        <f>D67/E67</f>
        <v>0</v>
      </c>
      <c r="I67" s="50" t="e">
        <f>'P syphilis cases-rates'!H10/'calculations for model'!D67</f>
        <v>#DIV/0!</v>
      </c>
      <c r="J67" s="50" t="e">
        <f>'S syphilis cases-rates'!H10/'calculations for model'!D67</f>
        <v>#DIV/0!</v>
      </c>
      <c r="K67" s="50" t="e">
        <f>'EL syphilis cases-rates'!H10/'calculations for model'!D67</f>
        <v>#DIV/0!</v>
      </c>
      <c r="L67" s="48" t="e">
        <f>J67*(1-J67)/D67</f>
        <v>#DIV/0!</v>
      </c>
      <c r="M67" s="48" t="e">
        <f>K67*(1-K67)/D67</f>
        <v>#DIV/0!</v>
      </c>
      <c r="N67" s="50">
        <f>H67*100000</f>
        <v>0</v>
      </c>
      <c r="O67" s="52">
        <v>0</v>
      </c>
      <c r="P67" s="52"/>
    </row>
    <row r="68" spans="1:16" x14ac:dyDescent="0.2">
      <c r="A68">
        <f>A67+1</f>
        <v>2001</v>
      </c>
      <c r="B68">
        <f>'P syphilis cases-rates'!H11+'S syphilis cases-rates'!H11</f>
        <v>0</v>
      </c>
      <c r="C68">
        <f>'EL syphilis cases-rates'!H11</f>
        <v>3</v>
      </c>
      <c r="D68">
        <f>'P syphilis cases-rates'!H11+'S syphilis cases-rates'!H11+'EL syphilis cases-rates'!H11</f>
        <v>3</v>
      </c>
      <c r="E68" s="47">
        <f>'P syphilis cases-rates'!C$43</f>
        <v>764701</v>
      </c>
      <c r="F68">
        <f t="shared" ref="F68:F83" si="32">B68/E68</f>
        <v>0</v>
      </c>
      <c r="G68">
        <f t="shared" ref="G68:G83" si="33">C68/E68</f>
        <v>3.9231019705741197E-6</v>
      </c>
      <c r="H68">
        <f t="shared" ref="H68:H83" si="34">D68/E68</f>
        <v>3.9231019705741197E-6</v>
      </c>
      <c r="I68" s="50">
        <f>'P syphilis cases-rates'!H11/'calculations for model'!D68</f>
        <v>0</v>
      </c>
      <c r="J68" s="50">
        <f>'S syphilis cases-rates'!H11/'calculations for model'!D68</f>
        <v>0</v>
      </c>
      <c r="K68" s="50">
        <f>'EL syphilis cases-rates'!H11/'calculations for model'!D68</f>
        <v>1</v>
      </c>
      <c r="L68" s="48">
        <f t="shared" ref="L68:L83" si="35">J68*(1-J68)/D68</f>
        <v>0</v>
      </c>
      <c r="M68" s="48">
        <f t="shared" ref="M68:M83" si="36">K68*(1-K68)/D68</f>
        <v>0</v>
      </c>
      <c r="N68" s="50">
        <f t="shared" ref="N68:N83" si="37">H68*100000</f>
        <v>0.39231019705741199</v>
      </c>
      <c r="O68" s="52">
        <v>3.9796650000000003E-2</v>
      </c>
      <c r="P68" s="52"/>
    </row>
    <row r="69" spans="1:16" x14ac:dyDescent="0.2">
      <c r="A69">
        <f t="shared" ref="A69:A83" si="38">A68+1</f>
        <v>2002</v>
      </c>
      <c r="B69">
        <f>'P syphilis cases-rates'!H12+'S syphilis cases-rates'!H12</f>
        <v>0</v>
      </c>
      <c r="C69">
        <f>'EL syphilis cases-rates'!H12</f>
        <v>3</v>
      </c>
      <c r="D69">
        <f>'P syphilis cases-rates'!H12+'S syphilis cases-rates'!H12+'EL syphilis cases-rates'!H12</f>
        <v>3</v>
      </c>
      <c r="E69" s="47">
        <f>'P syphilis cases-rates'!C$43</f>
        <v>764701</v>
      </c>
      <c r="F69">
        <f t="shared" si="32"/>
        <v>0</v>
      </c>
      <c r="G69">
        <f t="shared" si="33"/>
        <v>3.9231019705741197E-6</v>
      </c>
      <c r="H69">
        <f t="shared" si="34"/>
        <v>3.9231019705741197E-6</v>
      </c>
      <c r="I69" s="50">
        <f>'P syphilis cases-rates'!H12/'calculations for model'!D69</f>
        <v>0</v>
      </c>
      <c r="J69" s="50">
        <f>'S syphilis cases-rates'!H12/'calculations for model'!D69</f>
        <v>0</v>
      </c>
      <c r="K69" s="50">
        <f>'EL syphilis cases-rates'!H12/'calculations for model'!D69</f>
        <v>1</v>
      </c>
      <c r="L69" s="48">
        <f t="shared" si="35"/>
        <v>0</v>
      </c>
      <c r="M69" s="48">
        <f t="shared" si="36"/>
        <v>0</v>
      </c>
      <c r="N69" s="50">
        <f t="shared" si="37"/>
        <v>0.39231019705741199</v>
      </c>
      <c r="O69" s="52">
        <v>3.9796650000000003E-2</v>
      </c>
      <c r="P69" s="52"/>
    </row>
    <row r="70" spans="1:16" x14ac:dyDescent="0.2">
      <c r="A70">
        <f t="shared" si="38"/>
        <v>2003</v>
      </c>
      <c r="B70">
        <f>'P syphilis cases-rates'!H13+'S syphilis cases-rates'!H13</f>
        <v>1</v>
      </c>
      <c r="C70">
        <f>'EL syphilis cases-rates'!H13</f>
        <v>4</v>
      </c>
      <c r="D70">
        <f>'P syphilis cases-rates'!H13+'S syphilis cases-rates'!H13+'EL syphilis cases-rates'!H13</f>
        <v>5</v>
      </c>
      <c r="E70" s="47">
        <f>'P syphilis cases-rates'!C$43</f>
        <v>764701</v>
      </c>
      <c r="F70">
        <f t="shared" si="32"/>
        <v>1.30770065685804E-6</v>
      </c>
      <c r="G70">
        <f t="shared" si="33"/>
        <v>5.2308026274321599E-6</v>
      </c>
      <c r="H70">
        <f t="shared" si="34"/>
        <v>6.5385032842902001E-6</v>
      </c>
      <c r="I70" s="50">
        <f>'P syphilis cases-rates'!H13/'calculations for model'!D70</f>
        <v>0</v>
      </c>
      <c r="J70" s="50">
        <f>'S syphilis cases-rates'!H13/'calculations for model'!D70</f>
        <v>0.2</v>
      </c>
      <c r="K70" s="50">
        <f>'EL syphilis cases-rates'!H13/'calculations for model'!D70</f>
        <v>0.8</v>
      </c>
      <c r="L70" s="48">
        <f t="shared" si="35"/>
        <v>3.2000000000000008E-2</v>
      </c>
      <c r="M70" s="48">
        <f t="shared" si="36"/>
        <v>3.1999999999999994E-2</v>
      </c>
      <c r="N70" s="50">
        <f t="shared" si="37"/>
        <v>0.65385032842902002</v>
      </c>
      <c r="O70" s="52">
        <v>6.6327750000000005E-2</v>
      </c>
      <c r="P70" s="52"/>
    </row>
    <row r="71" spans="1:16" x14ac:dyDescent="0.2">
      <c r="A71">
        <f t="shared" si="38"/>
        <v>2004</v>
      </c>
      <c r="B71">
        <f>'P syphilis cases-rates'!H14+'S syphilis cases-rates'!H14</f>
        <v>1</v>
      </c>
      <c r="C71">
        <f>'EL syphilis cases-rates'!H14</f>
        <v>2</v>
      </c>
      <c r="D71">
        <f>'P syphilis cases-rates'!H14+'S syphilis cases-rates'!H14+'EL syphilis cases-rates'!H14</f>
        <v>3</v>
      </c>
      <c r="E71" s="47">
        <f>'P syphilis cases-rates'!C$43</f>
        <v>764701</v>
      </c>
      <c r="F71">
        <f t="shared" si="32"/>
        <v>1.30770065685804E-6</v>
      </c>
      <c r="G71">
        <f t="shared" si="33"/>
        <v>2.6154013137160799E-6</v>
      </c>
      <c r="H71">
        <f t="shared" si="34"/>
        <v>3.9231019705741197E-6</v>
      </c>
      <c r="I71" s="50">
        <f>'P syphilis cases-rates'!H14/'calculations for model'!D71</f>
        <v>0</v>
      </c>
      <c r="J71" s="50">
        <f>'S syphilis cases-rates'!H14/'calculations for model'!D71</f>
        <v>0.33333333333333331</v>
      </c>
      <c r="K71" s="50">
        <f>'EL syphilis cases-rates'!H14/'calculations for model'!D71</f>
        <v>0.66666666666666663</v>
      </c>
      <c r="L71" s="48">
        <f t="shared" si="35"/>
        <v>7.4074074074074084E-2</v>
      </c>
      <c r="M71" s="48">
        <f t="shared" si="36"/>
        <v>7.4074074074074084E-2</v>
      </c>
      <c r="N71" s="50">
        <f t="shared" si="37"/>
        <v>0.39231019705741199</v>
      </c>
      <c r="O71" s="52">
        <v>3.9796650000000003E-2</v>
      </c>
      <c r="P71" s="52"/>
    </row>
    <row r="72" spans="1:16" x14ac:dyDescent="0.2">
      <c r="A72">
        <f t="shared" si="38"/>
        <v>2005</v>
      </c>
      <c r="B72">
        <f>'P syphilis cases-rates'!H15+'S syphilis cases-rates'!H15</f>
        <v>0</v>
      </c>
      <c r="C72">
        <f>'EL syphilis cases-rates'!H15</f>
        <v>0</v>
      </c>
      <c r="D72">
        <f>'P syphilis cases-rates'!H15+'S syphilis cases-rates'!H15+'EL syphilis cases-rates'!H15</f>
        <v>0</v>
      </c>
      <c r="E72">
        <f>'P syphilis cases-rates'!D$43</f>
        <v>871539</v>
      </c>
      <c r="F72">
        <f t="shared" si="32"/>
        <v>0</v>
      </c>
      <c r="G72">
        <f t="shared" si="33"/>
        <v>0</v>
      </c>
      <c r="H72">
        <f t="shared" si="34"/>
        <v>0</v>
      </c>
      <c r="I72" s="50" t="e">
        <f>'P syphilis cases-rates'!H15/'calculations for model'!D72</f>
        <v>#DIV/0!</v>
      </c>
      <c r="J72" s="50" t="e">
        <f>'S syphilis cases-rates'!H15/'calculations for model'!D72</f>
        <v>#DIV/0!</v>
      </c>
      <c r="K72" s="50" t="e">
        <f>'EL syphilis cases-rates'!H15/'calculations for model'!D72</f>
        <v>#DIV/0!</v>
      </c>
      <c r="L72" s="48" t="e">
        <f t="shared" si="35"/>
        <v>#DIV/0!</v>
      </c>
      <c r="M72" s="48" t="e">
        <f t="shared" si="36"/>
        <v>#DIV/0!</v>
      </c>
      <c r="N72" s="50">
        <f t="shared" si="37"/>
        <v>0</v>
      </c>
      <c r="O72" s="52">
        <v>0</v>
      </c>
      <c r="P72" s="52"/>
    </row>
    <row r="73" spans="1:16" x14ac:dyDescent="0.2">
      <c r="A73">
        <f t="shared" si="38"/>
        <v>2006</v>
      </c>
      <c r="B73">
        <f>'P syphilis cases-rates'!H16+'S syphilis cases-rates'!H16</f>
        <v>1</v>
      </c>
      <c r="C73">
        <f>'EL syphilis cases-rates'!H16</f>
        <v>2</v>
      </c>
      <c r="D73">
        <f>'P syphilis cases-rates'!H16+'S syphilis cases-rates'!H16+'EL syphilis cases-rates'!H16</f>
        <v>3</v>
      </c>
      <c r="E73">
        <f>'P syphilis cases-rates'!D$43</f>
        <v>871539</v>
      </c>
      <c r="F73">
        <f t="shared" si="32"/>
        <v>1.1473955841333548E-6</v>
      </c>
      <c r="G73">
        <f t="shared" si="33"/>
        <v>2.2947911682667097E-6</v>
      </c>
      <c r="H73">
        <f t="shared" si="34"/>
        <v>3.4421867524000647E-6</v>
      </c>
      <c r="I73" s="50">
        <f>'P syphilis cases-rates'!H16/'calculations for model'!D73</f>
        <v>0.33333333333333331</v>
      </c>
      <c r="J73" s="50">
        <f>'S syphilis cases-rates'!H16/'calculations for model'!D73</f>
        <v>0</v>
      </c>
      <c r="K73" s="50">
        <f>'EL syphilis cases-rates'!H16/'calculations for model'!D73</f>
        <v>0.66666666666666663</v>
      </c>
      <c r="L73" s="48">
        <f t="shared" si="35"/>
        <v>0</v>
      </c>
      <c r="M73" s="48">
        <f t="shared" si="36"/>
        <v>7.4074074074074084E-2</v>
      </c>
      <c r="N73" s="50">
        <f t="shared" si="37"/>
        <v>0.34421867524000649</v>
      </c>
      <c r="O73" s="52">
        <v>3.469452E-2</v>
      </c>
      <c r="P73" s="52"/>
    </row>
    <row r="74" spans="1:16" x14ac:dyDescent="0.2">
      <c r="A74">
        <f t="shared" si="38"/>
        <v>2007</v>
      </c>
      <c r="B74">
        <f>'P syphilis cases-rates'!H17+'S syphilis cases-rates'!H17</f>
        <v>0</v>
      </c>
      <c r="C74">
        <f>'EL syphilis cases-rates'!H17</f>
        <v>2</v>
      </c>
      <c r="D74">
        <f>'P syphilis cases-rates'!H17+'S syphilis cases-rates'!H17+'EL syphilis cases-rates'!H17</f>
        <v>2</v>
      </c>
      <c r="E74">
        <f>'P syphilis cases-rates'!D$43</f>
        <v>871539</v>
      </c>
      <c r="F74">
        <f t="shared" si="32"/>
        <v>0</v>
      </c>
      <c r="G74">
        <f t="shared" si="33"/>
        <v>2.2947911682667097E-6</v>
      </c>
      <c r="H74">
        <f t="shared" si="34"/>
        <v>2.2947911682667097E-6</v>
      </c>
      <c r="I74" s="50">
        <f>'P syphilis cases-rates'!H17/'calculations for model'!D74</f>
        <v>0</v>
      </c>
      <c r="J74" s="50">
        <f>'S syphilis cases-rates'!H17/'calculations for model'!D74</f>
        <v>0</v>
      </c>
      <c r="K74" s="50">
        <f>'EL syphilis cases-rates'!H17/'calculations for model'!D74</f>
        <v>1</v>
      </c>
      <c r="L74" s="48">
        <f t="shared" si="35"/>
        <v>0</v>
      </c>
      <c r="M74" s="48">
        <f t="shared" si="36"/>
        <v>0</v>
      </c>
      <c r="N74" s="50">
        <f t="shared" si="37"/>
        <v>0.22947911682667096</v>
      </c>
      <c r="O74" s="52">
        <v>2.3469819999999999E-2</v>
      </c>
      <c r="P74" s="52"/>
    </row>
    <row r="75" spans="1:16" x14ac:dyDescent="0.2">
      <c r="A75">
        <f t="shared" si="38"/>
        <v>2008</v>
      </c>
      <c r="B75">
        <f>'P syphilis cases-rates'!H18+'S syphilis cases-rates'!H18</f>
        <v>3</v>
      </c>
      <c r="C75">
        <f>'EL syphilis cases-rates'!H18</f>
        <v>1</v>
      </c>
      <c r="D75">
        <f>'P syphilis cases-rates'!H18+'S syphilis cases-rates'!H18+'EL syphilis cases-rates'!H18</f>
        <v>4</v>
      </c>
      <c r="E75">
        <f>'P syphilis cases-rates'!D$43</f>
        <v>871539</v>
      </c>
      <c r="F75">
        <f t="shared" si="32"/>
        <v>3.4421867524000647E-6</v>
      </c>
      <c r="G75">
        <f t="shared" si="33"/>
        <v>1.1473955841333548E-6</v>
      </c>
      <c r="H75">
        <f t="shared" si="34"/>
        <v>4.5895823365334194E-6</v>
      </c>
      <c r="I75" s="50">
        <f>'P syphilis cases-rates'!H18/'calculations for model'!D75</f>
        <v>0.25</v>
      </c>
      <c r="J75" s="50">
        <f>'S syphilis cases-rates'!H18/'calculations for model'!D75</f>
        <v>0.5</v>
      </c>
      <c r="K75" s="50">
        <f>'EL syphilis cases-rates'!H18/'calculations for model'!D75</f>
        <v>0.25</v>
      </c>
      <c r="L75" s="48">
        <f t="shared" si="35"/>
        <v>6.25E-2</v>
      </c>
      <c r="M75" s="48">
        <f t="shared" si="36"/>
        <v>4.6875E-2</v>
      </c>
      <c r="N75" s="50">
        <f t="shared" si="37"/>
        <v>0.45895823365334193</v>
      </c>
      <c r="O75" s="52">
        <v>4.6939639999999998E-2</v>
      </c>
      <c r="P75" s="52"/>
    </row>
    <row r="76" spans="1:16" x14ac:dyDescent="0.2">
      <c r="A76">
        <f t="shared" si="38"/>
        <v>2009</v>
      </c>
      <c r="B76">
        <f>'P syphilis cases-rates'!H19+'S syphilis cases-rates'!H19</f>
        <v>0</v>
      </c>
      <c r="C76">
        <f>'EL syphilis cases-rates'!H19</f>
        <v>1</v>
      </c>
      <c r="D76">
        <f>'P syphilis cases-rates'!H19+'S syphilis cases-rates'!H19+'EL syphilis cases-rates'!H19</f>
        <v>1</v>
      </c>
      <c r="E76">
        <f>'P syphilis cases-rates'!D$43</f>
        <v>871539</v>
      </c>
      <c r="F76">
        <f t="shared" si="32"/>
        <v>0</v>
      </c>
      <c r="G76">
        <f t="shared" si="33"/>
        <v>1.1473955841333548E-6</v>
      </c>
      <c r="H76">
        <f t="shared" si="34"/>
        <v>1.1473955841333548E-6</v>
      </c>
      <c r="I76" s="50">
        <f>'P syphilis cases-rates'!H19/'calculations for model'!D76</f>
        <v>0</v>
      </c>
      <c r="J76" s="50">
        <f>'S syphilis cases-rates'!H19/'calculations for model'!D76</f>
        <v>0</v>
      </c>
      <c r="K76" s="50">
        <f>'EL syphilis cases-rates'!H19/'calculations for model'!D76</f>
        <v>1</v>
      </c>
      <c r="L76" s="48">
        <f t="shared" si="35"/>
        <v>0</v>
      </c>
      <c r="M76" s="48">
        <f t="shared" si="36"/>
        <v>0</v>
      </c>
      <c r="N76" s="50">
        <f t="shared" si="37"/>
        <v>0.11473955841333548</v>
      </c>
      <c r="O76" s="52">
        <v>1.1224700000000001E-2</v>
      </c>
      <c r="P76" s="52"/>
    </row>
    <row r="77" spans="1:16" x14ac:dyDescent="0.2">
      <c r="A77">
        <f t="shared" si="38"/>
        <v>2010</v>
      </c>
      <c r="B77">
        <f>'P syphilis cases-rates'!H20+'S syphilis cases-rates'!H20</f>
        <v>0</v>
      </c>
      <c r="C77">
        <f>'EL syphilis cases-rates'!H20</f>
        <v>1</v>
      </c>
      <c r="D77">
        <f>'P syphilis cases-rates'!H20+'S syphilis cases-rates'!H20+'EL syphilis cases-rates'!H20</f>
        <v>1</v>
      </c>
      <c r="E77">
        <f>'P syphilis cases-rates'!E$43</f>
        <v>970405</v>
      </c>
      <c r="F77">
        <f t="shared" si="32"/>
        <v>0</v>
      </c>
      <c r="G77">
        <f t="shared" si="33"/>
        <v>1.030497575754453E-6</v>
      </c>
      <c r="H77">
        <f t="shared" si="34"/>
        <v>1.030497575754453E-6</v>
      </c>
      <c r="I77" s="50">
        <f>'P syphilis cases-rates'!H20/'calculations for model'!D77</f>
        <v>0</v>
      </c>
      <c r="J77" s="50">
        <f>'S syphilis cases-rates'!H20/'calculations for model'!D77</f>
        <v>0</v>
      </c>
      <c r="K77" s="50">
        <f>'EL syphilis cases-rates'!H20/'calculations for model'!D77</f>
        <v>1</v>
      </c>
      <c r="L77" s="48">
        <f t="shared" si="35"/>
        <v>0</v>
      </c>
      <c r="M77" s="48">
        <f t="shared" si="36"/>
        <v>0</v>
      </c>
      <c r="N77" s="50">
        <f t="shared" si="37"/>
        <v>0.10304975757544529</v>
      </c>
      <c r="O77" s="52">
        <v>1.020427E-2</v>
      </c>
      <c r="P77" s="52"/>
    </row>
    <row r="78" spans="1:16" x14ac:dyDescent="0.2">
      <c r="A78">
        <f t="shared" si="38"/>
        <v>2011</v>
      </c>
      <c r="B78">
        <f>'P syphilis cases-rates'!H21+'S syphilis cases-rates'!H21</f>
        <v>3</v>
      </c>
      <c r="C78">
        <f>'EL syphilis cases-rates'!H21</f>
        <v>4</v>
      </c>
      <c r="D78">
        <f>'P syphilis cases-rates'!H21+'S syphilis cases-rates'!H21+'EL syphilis cases-rates'!H21</f>
        <v>7</v>
      </c>
      <c r="E78">
        <f>'P syphilis cases-rates'!E$43</f>
        <v>970405</v>
      </c>
      <c r="F78">
        <f t="shared" si="32"/>
        <v>3.091492727263359E-6</v>
      </c>
      <c r="G78">
        <f t="shared" si="33"/>
        <v>4.121990303017812E-6</v>
      </c>
      <c r="H78">
        <f t="shared" si="34"/>
        <v>7.213483030281171E-6</v>
      </c>
      <c r="I78" s="50">
        <f>'P syphilis cases-rates'!H21/'calculations for model'!D78</f>
        <v>0.14285714285714285</v>
      </c>
      <c r="J78" s="50">
        <f>'S syphilis cases-rates'!H21/'calculations for model'!D78</f>
        <v>0.2857142857142857</v>
      </c>
      <c r="K78" s="50">
        <f>'EL syphilis cases-rates'!H21/'calculations for model'!D78</f>
        <v>0.5714285714285714</v>
      </c>
      <c r="L78" s="48">
        <f t="shared" si="35"/>
        <v>2.915451895043732E-2</v>
      </c>
      <c r="M78" s="48">
        <f t="shared" si="36"/>
        <v>3.4985422740524783E-2</v>
      </c>
      <c r="N78" s="50">
        <f t="shared" si="37"/>
        <v>0.72134830302811714</v>
      </c>
      <c r="O78" s="52">
        <v>7.3470740000000007E-2</v>
      </c>
      <c r="P78" s="52"/>
    </row>
    <row r="79" spans="1:16" x14ac:dyDescent="0.2">
      <c r="A79">
        <f t="shared" si="38"/>
        <v>2012</v>
      </c>
      <c r="B79">
        <f>'P syphilis cases-rates'!H22+'S syphilis cases-rates'!H22</f>
        <v>3</v>
      </c>
      <c r="C79">
        <f>'EL syphilis cases-rates'!H22</f>
        <v>2</v>
      </c>
      <c r="D79">
        <f>'P syphilis cases-rates'!H22+'S syphilis cases-rates'!H22+'EL syphilis cases-rates'!H22</f>
        <v>5</v>
      </c>
      <c r="E79">
        <f>'P syphilis cases-rates'!E$43</f>
        <v>970405</v>
      </c>
      <c r="F79">
        <f t="shared" si="32"/>
        <v>3.091492727263359E-6</v>
      </c>
      <c r="G79">
        <f t="shared" si="33"/>
        <v>2.060995151508906E-6</v>
      </c>
      <c r="H79">
        <f t="shared" si="34"/>
        <v>5.152487878772265E-6</v>
      </c>
      <c r="I79" s="50">
        <f>'P syphilis cases-rates'!H22/'calculations for model'!D79</f>
        <v>0.4</v>
      </c>
      <c r="J79" s="50">
        <f>'S syphilis cases-rates'!H22/'calculations for model'!D79</f>
        <v>0.2</v>
      </c>
      <c r="K79" s="50">
        <f>'EL syphilis cases-rates'!H22/'calculations for model'!D79</f>
        <v>0.4</v>
      </c>
      <c r="L79" s="48">
        <f t="shared" si="35"/>
        <v>3.2000000000000008E-2</v>
      </c>
      <c r="M79" s="48">
        <f t="shared" si="36"/>
        <v>4.8000000000000001E-2</v>
      </c>
      <c r="N79" s="50">
        <f t="shared" si="37"/>
        <v>0.5152487878772265</v>
      </c>
      <c r="O79" s="52">
        <v>5.3062199999999997E-2</v>
      </c>
      <c r="P79" s="52"/>
    </row>
    <row r="80" spans="1:16" x14ac:dyDescent="0.2">
      <c r="A80">
        <f t="shared" si="38"/>
        <v>2013</v>
      </c>
      <c r="B80">
        <f>'P syphilis cases-rates'!H23+'S syphilis cases-rates'!H23</f>
        <v>4</v>
      </c>
      <c r="C80">
        <f>'EL syphilis cases-rates'!H23</f>
        <v>9</v>
      </c>
      <c r="D80">
        <f>'P syphilis cases-rates'!H23+'S syphilis cases-rates'!H23+'EL syphilis cases-rates'!H23</f>
        <v>13</v>
      </c>
      <c r="E80">
        <f>'P syphilis cases-rates'!E$43</f>
        <v>970405</v>
      </c>
      <c r="F80">
        <f t="shared" si="32"/>
        <v>4.121990303017812E-6</v>
      </c>
      <c r="G80">
        <f t="shared" si="33"/>
        <v>9.2744781817900779E-6</v>
      </c>
      <c r="H80">
        <f t="shared" si="34"/>
        <v>1.339646848480789E-5</v>
      </c>
      <c r="I80" s="50">
        <f>'P syphilis cases-rates'!H23/'calculations for model'!D80</f>
        <v>7.6923076923076927E-2</v>
      </c>
      <c r="J80" s="50">
        <f>'S syphilis cases-rates'!H23/'calculations for model'!D80</f>
        <v>0.23076923076923078</v>
      </c>
      <c r="K80" s="50">
        <f>'EL syphilis cases-rates'!H23/'calculations for model'!D80</f>
        <v>0.69230769230769229</v>
      </c>
      <c r="L80" s="48">
        <f t="shared" si="35"/>
        <v>1.3654984069185251E-2</v>
      </c>
      <c r="M80" s="48">
        <f t="shared" si="36"/>
        <v>1.6385980883022302E-2</v>
      </c>
      <c r="N80" s="50">
        <f t="shared" si="37"/>
        <v>1.3396468484807891</v>
      </c>
      <c r="O80" s="52">
        <v>0.13673721</v>
      </c>
      <c r="P80" s="52"/>
    </row>
    <row r="81" spans="1:16" x14ac:dyDescent="0.2">
      <c r="A81">
        <f t="shared" si="38"/>
        <v>2014</v>
      </c>
      <c r="B81">
        <f>'P syphilis cases-rates'!H24+'S syphilis cases-rates'!H24</f>
        <v>3</v>
      </c>
      <c r="C81">
        <f>'EL syphilis cases-rates'!H24</f>
        <v>2</v>
      </c>
      <c r="D81">
        <f>'P syphilis cases-rates'!H24+'S syphilis cases-rates'!H24+'EL syphilis cases-rates'!H24</f>
        <v>5</v>
      </c>
      <c r="E81">
        <f>'P syphilis cases-rates'!E$43</f>
        <v>970405</v>
      </c>
      <c r="F81">
        <f t="shared" si="32"/>
        <v>3.091492727263359E-6</v>
      </c>
      <c r="G81">
        <f t="shared" si="33"/>
        <v>2.060995151508906E-6</v>
      </c>
      <c r="H81">
        <f t="shared" si="34"/>
        <v>5.152487878772265E-6</v>
      </c>
      <c r="I81" s="50">
        <f>'P syphilis cases-rates'!H24/'calculations for model'!D81</f>
        <v>0.2</v>
      </c>
      <c r="J81" s="50">
        <f>'S syphilis cases-rates'!H24/'calculations for model'!D81</f>
        <v>0.4</v>
      </c>
      <c r="K81" s="50">
        <f>'EL syphilis cases-rates'!H24/'calculations for model'!D81</f>
        <v>0.4</v>
      </c>
      <c r="L81" s="48">
        <f t="shared" si="35"/>
        <v>4.8000000000000001E-2</v>
      </c>
      <c r="M81" s="48">
        <f t="shared" si="36"/>
        <v>4.8000000000000001E-2</v>
      </c>
      <c r="N81" s="50">
        <f t="shared" si="37"/>
        <v>0.5152487878772265</v>
      </c>
      <c r="O81" s="52">
        <v>5.3062199999999997E-2</v>
      </c>
      <c r="P81" s="52"/>
    </row>
    <row r="82" spans="1:16" x14ac:dyDescent="0.2">
      <c r="A82">
        <f t="shared" si="38"/>
        <v>2015</v>
      </c>
      <c r="B82">
        <f>'P syphilis cases-rates'!H25+'S syphilis cases-rates'!H25</f>
        <v>5</v>
      </c>
      <c r="C82">
        <f>'EL syphilis cases-rates'!H25</f>
        <v>2</v>
      </c>
      <c r="D82">
        <f>'P syphilis cases-rates'!H25+'S syphilis cases-rates'!H25+'EL syphilis cases-rates'!H25</f>
        <v>7</v>
      </c>
      <c r="E82">
        <f>'P syphilis cases-rates'!F$43</f>
        <v>1011707</v>
      </c>
      <c r="F82">
        <f t="shared" si="32"/>
        <v>4.942142339629952E-6</v>
      </c>
      <c r="G82">
        <f t="shared" si="33"/>
        <v>1.9768569358519807E-6</v>
      </c>
      <c r="H82">
        <f t="shared" si="34"/>
        <v>6.9189992754819331E-6</v>
      </c>
      <c r="I82" s="50">
        <f>'P syphilis cases-rates'!H25/'calculations for model'!D82</f>
        <v>0.14285714285714285</v>
      </c>
      <c r="J82" s="50">
        <f>'S syphilis cases-rates'!H25/'calculations for model'!D82</f>
        <v>0.5714285714285714</v>
      </c>
      <c r="K82" s="50">
        <f>'EL syphilis cases-rates'!H25/'calculations for model'!D82</f>
        <v>0.2857142857142857</v>
      </c>
      <c r="L82" s="48">
        <f t="shared" si="35"/>
        <v>3.4985422740524783E-2</v>
      </c>
      <c r="M82" s="48">
        <f t="shared" si="36"/>
        <v>2.915451895043732E-2</v>
      </c>
      <c r="N82" s="50">
        <f t="shared" si="37"/>
        <v>0.69189992754819329</v>
      </c>
      <c r="O82" s="52">
        <v>7.0409459999999993E-2</v>
      </c>
      <c r="P82" s="52"/>
    </row>
    <row r="83" spans="1:16" x14ac:dyDescent="0.2">
      <c r="A83">
        <f t="shared" si="38"/>
        <v>2016</v>
      </c>
      <c r="B83">
        <f>'P syphilis cases-rates'!H26+'S syphilis cases-rates'!H26</f>
        <v>2</v>
      </c>
      <c r="C83">
        <f>'EL syphilis cases-rates'!H26</f>
        <v>5</v>
      </c>
      <c r="D83">
        <f>'P syphilis cases-rates'!H26+'S syphilis cases-rates'!H26+'EL syphilis cases-rates'!H26</f>
        <v>7</v>
      </c>
      <c r="E83">
        <f>'P syphilis cases-rates'!F$43</f>
        <v>1011707</v>
      </c>
      <c r="F83">
        <f t="shared" si="32"/>
        <v>1.9768569358519807E-6</v>
      </c>
      <c r="G83">
        <f t="shared" si="33"/>
        <v>4.942142339629952E-6</v>
      </c>
      <c r="H83">
        <f t="shared" si="34"/>
        <v>6.9189992754819331E-6</v>
      </c>
      <c r="I83" s="50">
        <f>'P syphilis cases-rates'!H26/'calculations for model'!D83</f>
        <v>0</v>
      </c>
      <c r="J83" s="50">
        <f>'S syphilis cases-rates'!H26/'calculations for model'!D83</f>
        <v>0.2857142857142857</v>
      </c>
      <c r="K83" s="50">
        <f>'EL syphilis cases-rates'!H26/'calculations for model'!D83</f>
        <v>0.7142857142857143</v>
      </c>
      <c r="L83" s="48">
        <f t="shared" si="35"/>
        <v>2.915451895043732E-2</v>
      </c>
      <c r="M83" s="48">
        <f t="shared" si="36"/>
        <v>2.915451895043732E-2</v>
      </c>
      <c r="N83" s="50">
        <f t="shared" si="37"/>
        <v>0.69189992754819329</v>
      </c>
      <c r="O83" s="52">
        <v>7.0409459999999993E-2</v>
      </c>
      <c r="P83" s="52"/>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84"/>
  <sheetViews>
    <sheetView topLeftCell="G15" workbookViewId="0">
      <selection activeCell="J82" sqref="J82"/>
    </sheetView>
  </sheetViews>
  <sheetFormatPr baseColWidth="10" defaultRowHeight="16" x14ac:dyDescent="0.2"/>
  <cols>
    <col min="2" max="2" width="16.5" customWidth="1"/>
    <col min="14" max="14" width="10.83203125" style="66"/>
    <col min="15" max="15" width="18" style="66" customWidth="1"/>
    <col min="16" max="19" width="10.83203125" style="66"/>
  </cols>
  <sheetData>
    <row r="3" spans="1:19" x14ac:dyDescent="0.2">
      <c r="A3" t="s">
        <v>0</v>
      </c>
      <c r="B3" t="s">
        <v>102</v>
      </c>
      <c r="C3" t="s">
        <v>103</v>
      </c>
      <c r="D3" t="s">
        <v>104</v>
      </c>
      <c r="E3" t="s">
        <v>101</v>
      </c>
      <c r="F3" t="s">
        <v>105</v>
      </c>
      <c r="G3" t="s">
        <v>140</v>
      </c>
      <c r="H3" t="s">
        <v>106</v>
      </c>
      <c r="I3" t="s">
        <v>107</v>
      </c>
      <c r="J3" t="s">
        <v>108</v>
      </c>
      <c r="K3" t="s">
        <v>109</v>
      </c>
      <c r="M3" t="s">
        <v>144</v>
      </c>
      <c r="N3" s="66" t="s">
        <v>145</v>
      </c>
      <c r="O3" s="66" t="s">
        <v>146</v>
      </c>
    </row>
    <row r="4" spans="1:19" x14ac:dyDescent="0.2">
      <c r="A4">
        <v>2000</v>
      </c>
      <c r="B4">
        <f>'P syphilis cases-rates'!J10+'S syphilis cases-rates'!J10+'EL syphilis cases-rates'!J10</f>
        <v>15</v>
      </c>
      <c r="C4">
        <f>'P syphilis cases-rates'!Z10+'S syphilis cases-rates'!Z10+'EL syphilis cases-rates'!Z10</f>
        <v>21</v>
      </c>
      <c r="D4">
        <f>'P syphilis cases-rates'!R10+'S syphilis cases-rates'!R10+'EL syphilis cases-rates'!R10</f>
        <v>27</v>
      </c>
      <c r="E4">
        <v>66</v>
      </c>
      <c r="F4" s="56">
        <v>70374</v>
      </c>
      <c r="G4" s="56">
        <v>1010000</v>
      </c>
      <c r="H4" s="56">
        <v>92657</v>
      </c>
      <c r="I4" s="56">
        <v>1173031</v>
      </c>
      <c r="J4" s="50">
        <f>(B4/F4)/(E4/I4)</f>
        <v>3.7883018521819785</v>
      </c>
      <c r="K4" s="50">
        <f>(D4/H4)/(E4/I4)</f>
        <v>5.1790616810582923</v>
      </c>
      <c r="M4" s="55">
        <f>100000*B4/F4</f>
        <v>21.314690084406173</v>
      </c>
      <c r="N4" s="72">
        <f>100000*C4/G4</f>
        <v>2.0792079207920793</v>
      </c>
      <c r="O4" s="72">
        <f>100000*D4/H4</f>
        <v>29.139730403531303</v>
      </c>
    </row>
    <row r="5" spans="1:19" x14ac:dyDescent="0.2">
      <c r="A5">
        <f>A4+1</f>
        <v>2001</v>
      </c>
      <c r="B5">
        <f>'P syphilis cases-rates'!J11+'S syphilis cases-rates'!J11+'EL syphilis cases-rates'!J11</f>
        <v>2</v>
      </c>
      <c r="C5">
        <f>'P syphilis cases-rates'!Z11+'S syphilis cases-rates'!Z11+'EL syphilis cases-rates'!Z11</f>
        <v>16</v>
      </c>
      <c r="D5">
        <f>'P syphilis cases-rates'!R11+'S syphilis cases-rates'!R11+'EL syphilis cases-rates'!R11</f>
        <v>12</v>
      </c>
      <c r="E5">
        <v>37</v>
      </c>
      <c r="F5" s="56">
        <v>70374</v>
      </c>
      <c r="G5" s="56">
        <v>1010000</v>
      </c>
      <c r="H5" s="56">
        <v>92657</v>
      </c>
      <c r="I5" s="56">
        <v>1173031</v>
      </c>
      <c r="J5" s="50">
        <f t="shared" ref="J5:J20" si="0">(B5/F5)/(E5/I5)</f>
        <v>0.9010015216000381</v>
      </c>
      <c r="K5" s="50">
        <f t="shared" ref="K5:K20" si="1">(D5/H5)/(E5/I5)</f>
        <v>4.1059227741723401</v>
      </c>
      <c r="M5" s="55">
        <f t="shared" ref="M5:M20" si="2">100000*B5/F5</f>
        <v>2.841958677920823</v>
      </c>
      <c r="N5" s="72">
        <f t="shared" ref="N5:N20" si="3">100000*C5/G5</f>
        <v>1.5841584158415842</v>
      </c>
      <c r="O5" s="72">
        <f t="shared" ref="O5:O20" si="4">100000*D5/H5</f>
        <v>12.950991290458358</v>
      </c>
    </row>
    <row r="6" spans="1:19" x14ac:dyDescent="0.2">
      <c r="A6">
        <f t="shared" ref="A6:A20" si="5">A5+1</f>
        <v>2002</v>
      </c>
      <c r="B6">
        <f>'P syphilis cases-rates'!J12+'S syphilis cases-rates'!J12+'EL syphilis cases-rates'!J12</f>
        <v>15</v>
      </c>
      <c r="C6">
        <f>'P syphilis cases-rates'!Z12+'S syphilis cases-rates'!Z12+'EL syphilis cases-rates'!Z12</f>
        <v>60</v>
      </c>
      <c r="D6">
        <f>'P syphilis cases-rates'!R12+'S syphilis cases-rates'!R12+'EL syphilis cases-rates'!R12</f>
        <v>15</v>
      </c>
      <c r="E6">
        <v>107</v>
      </c>
      <c r="F6" s="56">
        <v>70374</v>
      </c>
      <c r="G6" s="56">
        <v>1010000</v>
      </c>
      <c r="H6" s="56">
        <v>92657</v>
      </c>
      <c r="I6" s="56">
        <v>1173031</v>
      </c>
      <c r="J6" s="50">
        <f t="shared" si="0"/>
        <v>2.3367095536823417</v>
      </c>
      <c r="K6" s="50">
        <f t="shared" si="1"/>
        <v>1.7747563393034647</v>
      </c>
      <c r="M6" s="55">
        <f t="shared" si="2"/>
        <v>21.314690084406173</v>
      </c>
      <c r="N6" s="72">
        <f t="shared" si="3"/>
        <v>5.9405940594059405</v>
      </c>
      <c r="O6" s="72">
        <f t="shared" si="4"/>
        <v>16.188739113072945</v>
      </c>
    </row>
    <row r="7" spans="1:19" x14ac:dyDescent="0.2">
      <c r="A7">
        <f t="shared" si="5"/>
        <v>2003</v>
      </c>
      <c r="B7">
        <f>'P syphilis cases-rates'!J13+'S syphilis cases-rates'!J13+'EL syphilis cases-rates'!J13</f>
        <v>16</v>
      </c>
      <c r="C7">
        <f>'P syphilis cases-rates'!Z13+'S syphilis cases-rates'!Z13+'EL syphilis cases-rates'!Z13</f>
        <v>87</v>
      </c>
      <c r="D7">
        <f>'P syphilis cases-rates'!R13+'S syphilis cases-rates'!R13+'EL syphilis cases-rates'!R13</f>
        <v>22</v>
      </c>
      <c r="E7">
        <v>136</v>
      </c>
      <c r="F7" s="56">
        <v>70374</v>
      </c>
      <c r="G7" s="56">
        <v>1010000</v>
      </c>
      <c r="H7" s="56">
        <v>92657</v>
      </c>
      <c r="I7" s="56">
        <v>1173031</v>
      </c>
      <c r="J7" s="50">
        <f t="shared" si="0"/>
        <v>1.9610033117177299</v>
      </c>
      <c r="K7" s="50">
        <f t="shared" si="1"/>
        <v>2.0479296189805667</v>
      </c>
      <c r="M7" s="55">
        <f t="shared" si="2"/>
        <v>22.735669423366584</v>
      </c>
      <c r="N7" s="72">
        <f t="shared" si="3"/>
        <v>8.6138613861386144</v>
      </c>
      <c r="O7" s="72">
        <f t="shared" si="4"/>
        <v>23.743484032506988</v>
      </c>
      <c r="P7" s="24"/>
      <c r="Q7" s="24"/>
      <c r="R7" s="24"/>
      <c r="S7" s="24"/>
    </row>
    <row r="8" spans="1:19" x14ac:dyDescent="0.2">
      <c r="A8">
        <f t="shared" si="5"/>
        <v>2004</v>
      </c>
      <c r="B8">
        <f>'P syphilis cases-rates'!J14+'S syphilis cases-rates'!J14+'EL syphilis cases-rates'!J14</f>
        <v>19</v>
      </c>
      <c r="C8">
        <f>'P syphilis cases-rates'!Z14+'S syphilis cases-rates'!Z14+'EL syphilis cases-rates'!Z14</f>
        <v>60</v>
      </c>
      <c r="D8">
        <f>'P syphilis cases-rates'!R14+'S syphilis cases-rates'!R14+'EL syphilis cases-rates'!R14</f>
        <v>24</v>
      </c>
      <c r="E8">
        <v>111</v>
      </c>
      <c r="F8" s="56">
        <v>70374</v>
      </c>
      <c r="G8" s="56">
        <v>1010000</v>
      </c>
      <c r="H8" s="56">
        <v>92657</v>
      </c>
      <c r="I8" s="56">
        <v>1173031</v>
      </c>
      <c r="J8" s="50">
        <f t="shared" si="0"/>
        <v>2.8531714850667877</v>
      </c>
      <c r="K8" s="50">
        <f t="shared" si="1"/>
        <v>2.7372818494482263</v>
      </c>
      <c r="M8" s="55">
        <f t="shared" si="2"/>
        <v>26.99860744024782</v>
      </c>
      <c r="N8" s="72">
        <f t="shared" si="3"/>
        <v>5.9405940594059405</v>
      </c>
      <c r="O8" s="72">
        <f t="shared" si="4"/>
        <v>25.901982580916716</v>
      </c>
    </row>
    <row r="9" spans="1:19" x14ac:dyDescent="0.2">
      <c r="A9">
        <f t="shared" si="5"/>
        <v>2005</v>
      </c>
      <c r="B9">
        <f>'P syphilis cases-rates'!J15+'S syphilis cases-rates'!J15+'EL syphilis cases-rates'!J15</f>
        <v>16</v>
      </c>
      <c r="C9">
        <f>'P syphilis cases-rates'!Z15+'S syphilis cases-rates'!Z15+'EL syphilis cases-rates'!Z15</f>
        <v>74</v>
      </c>
      <c r="D9">
        <f>'P syphilis cases-rates'!R15+'S syphilis cases-rates'!R15+'EL syphilis cases-rates'!R15</f>
        <v>20</v>
      </c>
      <c r="E9">
        <v>112</v>
      </c>
      <c r="F9" s="57">
        <v>74910</v>
      </c>
      <c r="G9" s="57">
        <v>929639</v>
      </c>
      <c r="H9" s="57">
        <v>109737</v>
      </c>
      <c r="I9" s="57">
        <v>1114286</v>
      </c>
      <c r="J9" s="50">
        <f t="shared" si="0"/>
        <v>2.1249995232374088</v>
      </c>
      <c r="K9" s="50">
        <f t="shared" si="1"/>
        <v>1.8132411388787997</v>
      </c>
      <c r="M9" s="55">
        <f t="shared" si="2"/>
        <v>21.358964090241624</v>
      </c>
      <c r="N9" s="72">
        <f t="shared" si="3"/>
        <v>7.9600791274892728</v>
      </c>
      <c r="O9" s="72">
        <f t="shared" si="4"/>
        <v>18.2253934406809</v>
      </c>
      <c r="P9" s="26"/>
      <c r="Q9" s="27"/>
      <c r="R9" s="27"/>
      <c r="S9" s="27"/>
    </row>
    <row r="10" spans="1:19" x14ac:dyDescent="0.2">
      <c r="A10">
        <f t="shared" si="5"/>
        <v>2006</v>
      </c>
      <c r="B10">
        <f>'P syphilis cases-rates'!J16+'S syphilis cases-rates'!J16+'EL syphilis cases-rates'!J16</f>
        <v>13</v>
      </c>
      <c r="C10">
        <f>'P syphilis cases-rates'!Z16+'S syphilis cases-rates'!Z16+'EL syphilis cases-rates'!Z16</f>
        <v>66</v>
      </c>
      <c r="D10">
        <f>'P syphilis cases-rates'!R16+'S syphilis cases-rates'!R16+'EL syphilis cases-rates'!R16</f>
        <v>15</v>
      </c>
      <c r="E10">
        <v>102</v>
      </c>
      <c r="F10" s="57">
        <v>74910</v>
      </c>
      <c r="G10" s="57">
        <v>929639</v>
      </c>
      <c r="H10" s="57">
        <v>109737</v>
      </c>
      <c r="I10" s="57">
        <v>1114286</v>
      </c>
      <c r="J10" s="50">
        <f t="shared" si="0"/>
        <v>1.8958329079863157</v>
      </c>
      <c r="K10" s="50">
        <f t="shared" si="1"/>
        <v>1.4932574084884234</v>
      </c>
      <c r="M10" s="55">
        <f t="shared" si="2"/>
        <v>17.354158323321318</v>
      </c>
      <c r="N10" s="72">
        <f t="shared" si="3"/>
        <v>7.0995300326255677</v>
      </c>
      <c r="O10" s="72">
        <f t="shared" si="4"/>
        <v>13.669045080510676</v>
      </c>
      <c r="P10" s="26"/>
      <c r="Q10" s="27"/>
      <c r="R10" s="27"/>
      <c r="S10" s="27"/>
    </row>
    <row r="11" spans="1:19" x14ac:dyDescent="0.2">
      <c r="A11">
        <f t="shared" si="5"/>
        <v>2007</v>
      </c>
      <c r="B11">
        <f>'P syphilis cases-rates'!J17+'S syphilis cases-rates'!J17+'EL syphilis cases-rates'!J17</f>
        <v>20</v>
      </c>
      <c r="C11">
        <f>'P syphilis cases-rates'!Z17+'S syphilis cases-rates'!Z17+'EL syphilis cases-rates'!Z17</f>
        <v>74</v>
      </c>
      <c r="D11">
        <f>'P syphilis cases-rates'!R17+'S syphilis cases-rates'!R17+'EL syphilis cases-rates'!R17</f>
        <v>24</v>
      </c>
      <c r="E11">
        <v>130</v>
      </c>
      <c r="F11" s="57">
        <v>74910</v>
      </c>
      <c r="G11" s="57">
        <v>929639</v>
      </c>
      <c r="H11" s="57">
        <v>109737</v>
      </c>
      <c r="I11" s="57">
        <v>1114286</v>
      </c>
      <c r="J11" s="50">
        <f t="shared" si="0"/>
        <v>2.2884610250249016</v>
      </c>
      <c r="K11" s="50">
        <f t="shared" si="1"/>
        <v>1.874612377425467</v>
      </c>
      <c r="M11" s="55">
        <f t="shared" si="2"/>
        <v>26.698705112802028</v>
      </c>
      <c r="N11" s="72">
        <f t="shared" si="3"/>
        <v>7.9600791274892728</v>
      </c>
      <c r="O11" s="72">
        <f t="shared" si="4"/>
        <v>21.870472128817081</v>
      </c>
      <c r="P11" s="26"/>
      <c r="Q11" s="27"/>
      <c r="R11" s="27"/>
      <c r="S11" s="27"/>
    </row>
    <row r="12" spans="1:19" x14ac:dyDescent="0.2">
      <c r="A12">
        <f t="shared" si="5"/>
        <v>2008</v>
      </c>
      <c r="B12">
        <f>'P syphilis cases-rates'!J18+'S syphilis cases-rates'!J18+'EL syphilis cases-rates'!J18</f>
        <v>34</v>
      </c>
      <c r="C12">
        <f>'P syphilis cases-rates'!Z18+'S syphilis cases-rates'!Z18+'EL syphilis cases-rates'!Z18</f>
        <v>110</v>
      </c>
      <c r="D12">
        <f>'P syphilis cases-rates'!R18+'S syphilis cases-rates'!R18+'EL syphilis cases-rates'!R18</f>
        <v>33</v>
      </c>
      <c r="E12">
        <v>188</v>
      </c>
      <c r="F12" s="57">
        <v>74910</v>
      </c>
      <c r="G12" s="57">
        <v>929639</v>
      </c>
      <c r="H12" s="57">
        <v>109737</v>
      </c>
      <c r="I12" s="57">
        <v>1114286</v>
      </c>
      <c r="J12" s="50">
        <f t="shared" si="0"/>
        <v>2.6901589709069325</v>
      </c>
      <c r="K12" s="50">
        <f t="shared" si="1"/>
        <v>1.7823774599191606</v>
      </c>
      <c r="M12" s="55">
        <f t="shared" si="2"/>
        <v>45.38779869176345</v>
      </c>
      <c r="N12" s="72">
        <f t="shared" si="3"/>
        <v>11.832550054375947</v>
      </c>
      <c r="O12" s="72">
        <f t="shared" si="4"/>
        <v>30.071899177123488</v>
      </c>
      <c r="P12" s="26"/>
      <c r="Q12" s="27"/>
      <c r="R12" s="27"/>
      <c r="S12" s="27"/>
    </row>
    <row r="13" spans="1:19" x14ac:dyDescent="0.2">
      <c r="A13">
        <f t="shared" si="5"/>
        <v>2009</v>
      </c>
      <c r="B13">
        <f>'P syphilis cases-rates'!J19+'S syphilis cases-rates'!J19+'EL syphilis cases-rates'!J19</f>
        <v>36</v>
      </c>
      <c r="C13">
        <f>'P syphilis cases-rates'!Z19+'S syphilis cases-rates'!Z19+'EL syphilis cases-rates'!Z19</f>
        <v>93</v>
      </c>
      <c r="D13">
        <f>'P syphilis cases-rates'!R19+'S syphilis cases-rates'!R19+'EL syphilis cases-rates'!R19</f>
        <v>42</v>
      </c>
      <c r="E13">
        <v>183</v>
      </c>
      <c r="F13" s="57">
        <v>74910</v>
      </c>
      <c r="G13" s="57">
        <v>929639</v>
      </c>
      <c r="H13" s="57">
        <v>109737</v>
      </c>
      <c r="I13" s="57">
        <v>1114286</v>
      </c>
      <c r="J13" s="50">
        <f t="shared" si="0"/>
        <v>2.9262288516711856</v>
      </c>
      <c r="K13" s="50">
        <f t="shared" si="1"/>
        <v>2.3304607424278347</v>
      </c>
      <c r="M13" s="55">
        <f t="shared" si="2"/>
        <v>48.057669203043652</v>
      </c>
      <c r="N13" s="72">
        <f t="shared" si="3"/>
        <v>10.003883227790572</v>
      </c>
      <c r="O13" s="72">
        <f t="shared" si="4"/>
        <v>38.273326225429891</v>
      </c>
      <c r="P13" s="26"/>
      <c r="Q13" s="27"/>
      <c r="R13" s="27"/>
      <c r="S13" s="27"/>
    </row>
    <row r="14" spans="1:19" x14ac:dyDescent="0.2">
      <c r="A14">
        <f t="shared" si="5"/>
        <v>2010</v>
      </c>
      <c r="B14">
        <f>'P syphilis cases-rates'!J20+'S syphilis cases-rates'!J20+'EL syphilis cases-rates'!J20</f>
        <v>31</v>
      </c>
      <c r="C14">
        <f>'P syphilis cases-rates'!Z20+'S syphilis cases-rates'!Z20+'EL syphilis cases-rates'!Z20</f>
        <v>152</v>
      </c>
      <c r="D14">
        <f>'P syphilis cases-rates'!R20+'S syphilis cases-rates'!R20+'EL syphilis cases-rates'!R20</f>
        <v>50</v>
      </c>
      <c r="E14">
        <v>233</v>
      </c>
      <c r="F14" s="57">
        <v>80576</v>
      </c>
      <c r="G14" s="57">
        <v>877768</v>
      </c>
      <c r="H14" s="57">
        <v>128160</v>
      </c>
      <c r="I14" s="57">
        <v>1086504</v>
      </c>
      <c r="J14" s="50">
        <f t="shared" si="0"/>
        <v>1.7940370107756345</v>
      </c>
      <c r="K14" s="50">
        <f t="shared" si="1"/>
        <v>1.8192522222758034</v>
      </c>
      <c r="M14" s="55">
        <f t="shared" si="2"/>
        <v>38.472994440031769</v>
      </c>
      <c r="N14" s="72">
        <f t="shared" si="3"/>
        <v>17.316648590515946</v>
      </c>
      <c r="O14" s="72">
        <f t="shared" si="4"/>
        <v>39.013732833957555</v>
      </c>
      <c r="P14" s="26"/>
      <c r="Q14" s="27"/>
      <c r="R14" s="27"/>
      <c r="S14" s="27"/>
    </row>
    <row r="15" spans="1:19" x14ac:dyDescent="0.2">
      <c r="A15">
        <f t="shared" si="5"/>
        <v>2011</v>
      </c>
      <c r="B15">
        <f>'P syphilis cases-rates'!J21+'S syphilis cases-rates'!J21+'EL syphilis cases-rates'!J21</f>
        <v>58</v>
      </c>
      <c r="C15">
        <f>'P syphilis cases-rates'!Z21+'S syphilis cases-rates'!Z21+'EL syphilis cases-rates'!Z21</f>
        <v>119</v>
      </c>
      <c r="D15">
        <f>'P syphilis cases-rates'!R21+'S syphilis cases-rates'!R21+'EL syphilis cases-rates'!R21</f>
        <v>66</v>
      </c>
      <c r="E15">
        <v>254</v>
      </c>
      <c r="F15" s="57">
        <v>80576</v>
      </c>
      <c r="G15" s="57">
        <v>877768</v>
      </c>
      <c r="H15" s="57">
        <v>128160</v>
      </c>
      <c r="I15" s="57">
        <v>1086504</v>
      </c>
      <c r="J15" s="50">
        <f t="shared" si="0"/>
        <v>3.0790724109248058</v>
      </c>
      <c r="K15" s="50">
        <f t="shared" si="1"/>
        <v>2.2028709192249845</v>
      </c>
      <c r="M15" s="55">
        <f t="shared" si="2"/>
        <v>71.981731532962669</v>
      </c>
      <c r="N15" s="72">
        <f t="shared" si="3"/>
        <v>13.557113041259194</v>
      </c>
      <c r="O15" s="72">
        <f t="shared" si="4"/>
        <v>51.49812734082397</v>
      </c>
      <c r="P15" s="26"/>
      <c r="Q15" s="27"/>
      <c r="R15" s="27"/>
      <c r="S15" s="27"/>
    </row>
    <row r="16" spans="1:19" x14ac:dyDescent="0.2">
      <c r="A16" s="61">
        <f t="shared" si="5"/>
        <v>2012</v>
      </c>
      <c r="B16" s="61">
        <f>'P syphilis cases-rates'!J22+'S syphilis cases-rates'!J22+'EL syphilis cases-rates'!J22</f>
        <v>56</v>
      </c>
      <c r="C16" s="61">
        <f>'P syphilis cases-rates'!Z22+'S syphilis cases-rates'!Z22+'EL syphilis cases-rates'!Z22</f>
        <v>167</v>
      </c>
      <c r="D16" s="61">
        <f>'P syphilis cases-rates'!R22+'S syphilis cases-rates'!R22+'EL syphilis cases-rates'!R22</f>
        <v>78</v>
      </c>
      <c r="E16" s="61">
        <v>322</v>
      </c>
      <c r="F16" s="70">
        <v>80576</v>
      </c>
      <c r="G16" s="70">
        <v>877768</v>
      </c>
      <c r="H16" s="70">
        <v>128160</v>
      </c>
      <c r="I16" s="70">
        <v>1086504</v>
      </c>
      <c r="J16" s="63">
        <f t="shared" si="0"/>
        <v>2.3450806368062991</v>
      </c>
      <c r="K16" s="63">
        <f t="shared" si="1"/>
        <v>2.0536080675553072</v>
      </c>
      <c r="M16" s="55">
        <f t="shared" si="2"/>
        <v>69.499602859412235</v>
      </c>
      <c r="N16" s="72">
        <f t="shared" si="3"/>
        <v>19.025528385632651</v>
      </c>
      <c r="O16" s="72">
        <f t="shared" si="4"/>
        <v>60.861423220973784</v>
      </c>
    </row>
    <row r="17" spans="1:19" x14ac:dyDescent="0.2">
      <c r="A17" s="61">
        <f t="shared" si="5"/>
        <v>2013</v>
      </c>
      <c r="B17" s="61">
        <f>'P syphilis cases-rates'!J23+'S syphilis cases-rates'!J23+'EL syphilis cases-rates'!J23</f>
        <v>69</v>
      </c>
      <c r="C17" s="61">
        <f>'P syphilis cases-rates'!Z23+'S syphilis cases-rates'!Z23+'EL syphilis cases-rates'!Z23</f>
        <v>250</v>
      </c>
      <c r="D17" s="61">
        <f>'P syphilis cases-rates'!R23+'S syphilis cases-rates'!R23+'EL syphilis cases-rates'!R23</f>
        <v>102</v>
      </c>
      <c r="E17" s="61">
        <v>440</v>
      </c>
      <c r="F17" s="70">
        <v>80576</v>
      </c>
      <c r="G17" s="70">
        <v>877768</v>
      </c>
      <c r="H17" s="70">
        <v>128160</v>
      </c>
      <c r="I17" s="70">
        <v>1086504</v>
      </c>
      <c r="J17" s="63">
        <f t="shared" si="0"/>
        <v>2.1145698696656798</v>
      </c>
      <c r="K17" s="63">
        <f t="shared" si="1"/>
        <v>1.9652885597548517</v>
      </c>
      <c r="M17" s="55">
        <f t="shared" si="2"/>
        <v>85.633439237490066</v>
      </c>
      <c r="N17" s="72">
        <f t="shared" si="3"/>
        <v>28.481329918611753</v>
      </c>
      <c r="O17" s="72">
        <f t="shared" si="4"/>
        <v>79.588014981273403</v>
      </c>
      <c r="P17" s="22"/>
      <c r="Q17" s="22"/>
      <c r="R17" s="22"/>
      <c r="S17" s="22"/>
    </row>
    <row r="18" spans="1:19" x14ac:dyDescent="0.2">
      <c r="A18" s="61">
        <f t="shared" si="5"/>
        <v>2014</v>
      </c>
      <c r="B18" s="61">
        <f>'P syphilis cases-rates'!J24+'S syphilis cases-rates'!J24+'EL syphilis cases-rates'!J24</f>
        <v>68</v>
      </c>
      <c r="C18" s="61">
        <f>'P syphilis cases-rates'!Z24+'S syphilis cases-rates'!Z24+'EL syphilis cases-rates'!Z24</f>
        <v>215</v>
      </c>
      <c r="D18" s="61">
        <f>'P syphilis cases-rates'!R24+'S syphilis cases-rates'!R24+'EL syphilis cases-rates'!R24</f>
        <v>79</v>
      </c>
      <c r="E18" s="61">
        <v>392</v>
      </c>
      <c r="F18" s="70">
        <v>80576</v>
      </c>
      <c r="G18" s="70">
        <v>877768</v>
      </c>
      <c r="H18" s="70">
        <v>128160</v>
      </c>
      <c r="I18" s="70">
        <v>1086504</v>
      </c>
      <c r="J18" s="63">
        <f t="shared" si="0"/>
        <v>2.3390982882430178</v>
      </c>
      <c r="K18" s="63">
        <f t="shared" si="1"/>
        <v>1.7085191660934038</v>
      </c>
      <c r="M18" s="55">
        <f t="shared" si="2"/>
        <v>84.392374900714856</v>
      </c>
      <c r="N18" s="72">
        <f t="shared" si="3"/>
        <v>24.493943730006105</v>
      </c>
      <c r="O18" s="72">
        <f t="shared" si="4"/>
        <v>61.641697877652931</v>
      </c>
      <c r="P18" s="22"/>
      <c r="Q18" s="22"/>
      <c r="R18" s="22"/>
      <c r="S18" s="22"/>
    </row>
    <row r="19" spans="1:19" x14ac:dyDescent="0.2">
      <c r="A19" s="61">
        <f t="shared" si="5"/>
        <v>2015</v>
      </c>
      <c r="B19" s="61">
        <f>'P syphilis cases-rates'!J25+'S syphilis cases-rates'!J25+'EL syphilis cases-rates'!J25</f>
        <v>67</v>
      </c>
      <c r="C19" s="61">
        <f>'P syphilis cases-rates'!Z25+'S syphilis cases-rates'!Z25+'EL syphilis cases-rates'!Z25</f>
        <v>257</v>
      </c>
      <c r="D19" s="61">
        <f>'P syphilis cases-rates'!R25+'S syphilis cases-rates'!R25+'EL syphilis cases-rates'!R25</f>
        <v>143</v>
      </c>
      <c r="E19" s="61">
        <v>506</v>
      </c>
      <c r="F19" s="70">
        <v>93230</v>
      </c>
      <c r="G19" s="70">
        <v>874310</v>
      </c>
      <c r="H19" s="70">
        <v>158618</v>
      </c>
      <c r="I19" s="70">
        <v>1126158</v>
      </c>
      <c r="J19" s="63">
        <f t="shared" si="0"/>
        <v>1.5994399078482855</v>
      </c>
      <c r="K19" s="63">
        <f t="shared" si="1"/>
        <v>2.0064686446573581</v>
      </c>
      <c r="M19" s="55">
        <f t="shared" si="2"/>
        <v>71.865279416496833</v>
      </c>
      <c r="N19" s="72">
        <f t="shared" si="3"/>
        <v>29.394608319703536</v>
      </c>
      <c r="O19" s="72">
        <f t="shared" si="4"/>
        <v>90.153702606261589</v>
      </c>
      <c r="P19" s="22"/>
      <c r="Q19" s="22"/>
      <c r="R19" s="22"/>
      <c r="S19" s="22"/>
    </row>
    <row r="20" spans="1:19" x14ac:dyDescent="0.2">
      <c r="A20" s="61">
        <f t="shared" si="5"/>
        <v>2016</v>
      </c>
      <c r="B20" s="61">
        <f>'P syphilis cases-rates'!J26+'S syphilis cases-rates'!J26+'EL syphilis cases-rates'!J26</f>
        <v>102</v>
      </c>
      <c r="C20" s="61">
        <f>'P syphilis cases-rates'!Z26+'S syphilis cases-rates'!Z26+'EL syphilis cases-rates'!Z26</f>
        <v>313</v>
      </c>
      <c r="D20" s="61">
        <f>'P syphilis cases-rates'!R26+'S syphilis cases-rates'!R26+'EL syphilis cases-rates'!R26</f>
        <v>164</v>
      </c>
      <c r="E20" s="61">
        <v>634</v>
      </c>
      <c r="F20" s="70">
        <v>93230</v>
      </c>
      <c r="G20" s="70">
        <v>874310</v>
      </c>
      <c r="H20" s="70">
        <v>158618</v>
      </c>
      <c r="I20" s="70">
        <v>1126158</v>
      </c>
      <c r="J20" s="63">
        <f t="shared" si="0"/>
        <v>1.9433658016824169</v>
      </c>
      <c r="K20" s="63">
        <f t="shared" si="1"/>
        <v>1.8365444619382567</v>
      </c>
      <c r="M20" s="55">
        <f t="shared" si="2"/>
        <v>109.40684329078623</v>
      </c>
      <c r="N20" s="72">
        <f t="shared" si="3"/>
        <v>35.799659159794579</v>
      </c>
      <c r="O20" s="72">
        <f t="shared" si="4"/>
        <v>103.39305753445385</v>
      </c>
    </row>
    <row r="21" spans="1:19" x14ac:dyDescent="0.2">
      <c r="A21" t="s">
        <v>138</v>
      </c>
      <c r="F21" s="57"/>
      <c r="G21" s="57"/>
      <c r="H21" s="57"/>
      <c r="I21" s="57"/>
      <c r="J21" s="64">
        <f>AVERAGE(J16:J20)</f>
        <v>2.0683109008491396</v>
      </c>
      <c r="K21" s="64">
        <f>AVERAGE(K16:K20)</f>
        <v>1.9140857799998354</v>
      </c>
      <c r="N21" s="28"/>
      <c r="O21" s="22"/>
      <c r="P21" s="22"/>
      <c r="Q21" s="22"/>
      <c r="R21" s="22"/>
      <c r="S21" s="22"/>
    </row>
    <row r="22" spans="1:19" x14ac:dyDescent="0.2">
      <c r="J22" s="65"/>
      <c r="K22" s="65"/>
      <c r="N22" s="28"/>
      <c r="O22" s="22"/>
      <c r="P22" s="22"/>
      <c r="Q22" s="22"/>
      <c r="R22" s="22"/>
      <c r="S22" s="22"/>
    </row>
    <row r="23" spans="1:19" x14ac:dyDescent="0.2">
      <c r="A23" t="s">
        <v>0</v>
      </c>
      <c r="B23" t="s">
        <v>110</v>
      </c>
      <c r="C23" t="s">
        <v>111</v>
      </c>
      <c r="D23" t="s">
        <v>112</v>
      </c>
      <c r="E23" t="s">
        <v>113</v>
      </c>
      <c r="F23" t="s">
        <v>114</v>
      </c>
      <c r="G23" t="s">
        <v>141</v>
      </c>
      <c r="H23" t="s">
        <v>115</v>
      </c>
      <c r="I23" t="s">
        <v>116</v>
      </c>
      <c r="J23" t="s">
        <v>119</v>
      </c>
      <c r="K23" t="s">
        <v>117</v>
      </c>
      <c r="M23" t="s">
        <v>147</v>
      </c>
      <c r="N23" s="66" t="s">
        <v>148</v>
      </c>
      <c r="O23" s="66" t="s">
        <v>152</v>
      </c>
      <c r="P23" s="22"/>
      <c r="Q23" s="22"/>
      <c r="R23" s="22"/>
      <c r="S23" s="22"/>
    </row>
    <row r="24" spans="1:19" x14ac:dyDescent="0.2">
      <c r="A24">
        <v>2000</v>
      </c>
      <c r="B24">
        <f>'P syphilis cases-rates'!N10+'S syphilis cases-rates'!N10+'EL syphilis cases-rates'!N10</f>
        <v>4</v>
      </c>
      <c r="C24">
        <f>'P syphilis cases-rates'!AD10+'S syphilis cases-rates'!AD10+'EL syphilis cases-rates'!AD10</f>
        <v>4</v>
      </c>
      <c r="D24">
        <f>'P syphilis cases-rates'!V10+'S syphilis cases-rates'!V10+'EL syphilis cases-rates'!V10</f>
        <v>4</v>
      </c>
      <c r="E24">
        <v>13</v>
      </c>
      <c r="F24" s="22">
        <v>30445</v>
      </c>
      <c r="G24" s="22">
        <v>654641</v>
      </c>
      <c r="H24" s="22">
        <v>25624</v>
      </c>
      <c r="I24" s="22">
        <v>710710</v>
      </c>
      <c r="J24" s="55">
        <f>(B24/F24)/(E24/I24)</f>
        <v>7.182788635243881</v>
      </c>
      <c r="K24" s="55">
        <f>(D24/H24)/(E24/I24)</f>
        <v>8.5341866999687799</v>
      </c>
      <c r="M24" s="55">
        <f>100000*B24/F24</f>
        <v>13.138446378715717</v>
      </c>
      <c r="N24" s="72">
        <f>100000*C24/G24</f>
        <v>0.61102191888378521</v>
      </c>
      <c r="O24" s="72">
        <f>100000*D24/H24</f>
        <v>15.610365282547612</v>
      </c>
    </row>
    <row r="25" spans="1:19" x14ac:dyDescent="0.2">
      <c r="A25">
        <f>A24+1</f>
        <v>2001</v>
      </c>
      <c r="B25">
        <f>'P syphilis cases-rates'!N11+'S syphilis cases-rates'!N11+'EL syphilis cases-rates'!N11</f>
        <v>4</v>
      </c>
      <c r="C25">
        <f>'P syphilis cases-rates'!AD11+'S syphilis cases-rates'!AD11+'EL syphilis cases-rates'!AD11</f>
        <v>12</v>
      </c>
      <c r="D25">
        <f>'P syphilis cases-rates'!V11+'S syphilis cases-rates'!V11+'EL syphilis cases-rates'!V11</f>
        <v>0</v>
      </c>
      <c r="E25">
        <v>18</v>
      </c>
      <c r="F25" s="22">
        <v>30445</v>
      </c>
      <c r="G25" s="22">
        <v>654641</v>
      </c>
      <c r="H25" s="22">
        <v>25624</v>
      </c>
      <c r="I25" s="22">
        <v>710710</v>
      </c>
      <c r="J25" s="55">
        <f t="shared" ref="J25:J40" si="6">(B25/F25)/(E25/I25)</f>
        <v>5.1875695698983595</v>
      </c>
      <c r="K25" s="55">
        <f t="shared" ref="K25:K40" si="7">(D25/H25)/(E25/I25)</f>
        <v>0</v>
      </c>
      <c r="L25" s="57"/>
      <c r="M25" s="55">
        <f t="shared" ref="M25:M40" si="8">100000*B25/F25</f>
        <v>13.138446378715717</v>
      </c>
      <c r="N25" s="72">
        <f t="shared" ref="N25:N40" si="9">100000*C25/G25</f>
        <v>1.8330657566513555</v>
      </c>
      <c r="O25" s="72">
        <f t="shared" ref="O25:O40" si="10">100000*D25/H25</f>
        <v>0</v>
      </c>
    </row>
    <row r="26" spans="1:19" x14ac:dyDescent="0.2">
      <c r="A26">
        <f t="shared" ref="A26:A40" si="11">A25+1</f>
        <v>2002</v>
      </c>
      <c r="B26">
        <f>'P syphilis cases-rates'!N12+'S syphilis cases-rates'!N12+'EL syphilis cases-rates'!N12</f>
        <v>2</v>
      </c>
      <c r="C26">
        <f>'P syphilis cases-rates'!AD12+'S syphilis cases-rates'!AD12+'EL syphilis cases-rates'!AD12</f>
        <v>10</v>
      </c>
      <c r="D26">
        <f>'P syphilis cases-rates'!V12+'S syphilis cases-rates'!V12+'EL syphilis cases-rates'!V12</f>
        <v>2</v>
      </c>
      <c r="E26">
        <v>18</v>
      </c>
      <c r="F26" s="22">
        <v>30445</v>
      </c>
      <c r="G26" s="22">
        <v>654641</v>
      </c>
      <c r="H26" s="22">
        <v>25624</v>
      </c>
      <c r="I26" s="22">
        <v>710710</v>
      </c>
      <c r="J26" s="55">
        <f t="shared" si="6"/>
        <v>2.5937847849491797</v>
      </c>
      <c r="K26" s="55">
        <f t="shared" si="7"/>
        <v>3.0817896416553929</v>
      </c>
      <c r="M26" s="55">
        <f t="shared" si="8"/>
        <v>6.5692231893578583</v>
      </c>
      <c r="N26" s="72">
        <f t="shared" si="9"/>
        <v>1.527554797209463</v>
      </c>
      <c r="O26" s="72">
        <f t="shared" si="10"/>
        <v>7.8051826412738059</v>
      </c>
    </row>
    <row r="27" spans="1:19" x14ac:dyDescent="0.2">
      <c r="A27">
        <f t="shared" si="11"/>
        <v>2003</v>
      </c>
      <c r="B27">
        <f>'P syphilis cases-rates'!N13+'S syphilis cases-rates'!N13+'EL syphilis cases-rates'!N13</f>
        <v>2</v>
      </c>
      <c r="C27">
        <f>'P syphilis cases-rates'!AD13+'S syphilis cases-rates'!AD13+'EL syphilis cases-rates'!AD13</f>
        <v>24</v>
      </c>
      <c r="D27">
        <f>'P syphilis cases-rates'!V13+'S syphilis cases-rates'!V13+'EL syphilis cases-rates'!V13</f>
        <v>4</v>
      </c>
      <c r="E27">
        <v>33</v>
      </c>
      <c r="F27" s="22">
        <v>30445</v>
      </c>
      <c r="G27" s="22">
        <v>654641</v>
      </c>
      <c r="H27" s="22">
        <v>25624</v>
      </c>
      <c r="I27" s="22">
        <v>710710</v>
      </c>
      <c r="J27" s="55">
        <f t="shared" si="6"/>
        <v>1.4147917008813706</v>
      </c>
      <c r="K27" s="55">
        <f t="shared" si="7"/>
        <v>3.3619523363513375</v>
      </c>
      <c r="M27" s="55">
        <f t="shared" si="8"/>
        <v>6.5692231893578583</v>
      </c>
      <c r="N27" s="72">
        <f t="shared" si="9"/>
        <v>3.666131513302711</v>
      </c>
      <c r="O27" s="72">
        <f t="shared" si="10"/>
        <v>15.610365282547612</v>
      </c>
    </row>
    <row r="28" spans="1:19" x14ac:dyDescent="0.2">
      <c r="A28">
        <f t="shared" si="11"/>
        <v>2004</v>
      </c>
      <c r="B28">
        <f>'P syphilis cases-rates'!N14+'S syphilis cases-rates'!N14+'EL syphilis cases-rates'!N14</f>
        <v>3</v>
      </c>
      <c r="C28">
        <f>'P syphilis cases-rates'!AD14+'S syphilis cases-rates'!AD14+'EL syphilis cases-rates'!AD14</f>
        <v>15</v>
      </c>
      <c r="D28">
        <f>'P syphilis cases-rates'!V14+'S syphilis cases-rates'!V14+'EL syphilis cases-rates'!V14</f>
        <v>4</v>
      </c>
      <c r="E28">
        <v>23</v>
      </c>
      <c r="F28" s="22">
        <v>30445</v>
      </c>
      <c r="G28" s="22">
        <v>654641</v>
      </c>
      <c r="H28" s="22">
        <v>25624</v>
      </c>
      <c r="I28" s="22">
        <v>710710</v>
      </c>
      <c r="J28" s="55">
        <f t="shared" si="6"/>
        <v>3.0448777910272975</v>
      </c>
      <c r="K28" s="55">
        <f t="shared" si="7"/>
        <v>4.8236707434606139</v>
      </c>
      <c r="M28" s="55">
        <f t="shared" si="8"/>
        <v>9.8538347840367884</v>
      </c>
      <c r="N28" s="72">
        <f t="shared" si="9"/>
        <v>2.2913321958141943</v>
      </c>
      <c r="O28" s="72">
        <f t="shared" si="10"/>
        <v>15.610365282547612</v>
      </c>
    </row>
    <row r="29" spans="1:19" x14ac:dyDescent="0.2">
      <c r="A29">
        <f t="shared" si="11"/>
        <v>2005</v>
      </c>
      <c r="B29">
        <f>'P syphilis cases-rates'!N15+'S syphilis cases-rates'!N15+'EL syphilis cases-rates'!N15</f>
        <v>4</v>
      </c>
      <c r="C29">
        <f>'P syphilis cases-rates'!AD15+'S syphilis cases-rates'!AD15+'EL syphilis cases-rates'!AD15</f>
        <v>30</v>
      </c>
      <c r="D29">
        <f>'P syphilis cases-rates'!V15+'S syphilis cases-rates'!V15+'EL syphilis cases-rates'!V15</f>
        <v>4</v>
      </c>
      <c r="E29">
        <v>36</v>
      </c>
      <c r="F29" s="22">
        <v>39364</v>
      </c>
      <c r="G29" s="22">
        <v>736502</v>
      </c>
      <c r="H29" s="22">
        <v>36070</v>
      </c>
      <c r="I29" s="22">
        <v>811936</v>
      </c>
      <c r="J29" s="55">
        <f t="shared" si="6"/>
        <v>2.2918176788718396</v>
      </c>
      <c r="K29" s="55">
        <f t="shared" si="7"/>
        <v>2.5011120352401193</v>
      </c>
      <c r="M29" s="55">
        <f t="shared" si="8"/>
        <v>10.1615689462453</v>
      </c>
      <c r="N29" s="72">
        <f t="shared" si="9"/>
        <v>4.0733086943416312</v>
      </c>
      <c r="O29" s="72">
        <f t="shared" si="10"/>
        <v>11.089548100914888</v>
      </c>
    </row>
    <row r="30" spans="1:19" x14ac:dyDescent="0.2">
      <c r="A30">
        <f t="shared" si="11"/>
        <v>2006</v>
      </c>
      <c r="B30">
        <f>'P syphilis cases-rates'!N16+'S syphilis cases-rates'!N16+'EL syphilis cases-rates'!N16</f>
        <v>7</v>
      </c>
      <c r="C30">
        <f>'P syphilis cases-rates'!AD16+'S syphilis cases-rates'!AD16+'EL syphilis cases-rates'!AD16</f>
        <v>29</v>
      </c>
      <c r="D30">
        <f>'P syphilis cases-rates'!V16+'S syphilis cases-rates'!V16+'EL syphilis cases-rates'!V16</f>
        <v>6</v>
      </c>
      <c r="E30">
        <v>44</v>
      </c>
      <c r="F30" s="22">
        <v>39364</v>
      </c>
      <c r="G30" s="22">
        <v>736502</v>
      </c>
      <c r="H30" s="22">
        <v>36070</v>
      </c>
      <c r="I30" s="22">
        <v>811936</v>
      </c>
      <c r="J30" s="55">
        <f t="shared" si="6"/>
        <v>3.2814662220210438</v>
      </c>
      <c r="K30" s="55">
        <f t="shared" si="7"/>
        <v>3.0695465887037834</v>
      </c>
      <c r="M30" s="55">
        <f t="shared" si="8"/>
        <v>17.782745655929276</v>
      </c>
      <c r="N30" s="72">
        <f t="shared" si="9"/>
        <v>3.9375317378635768</v>
      </c>
      <c r="O30" s="72">
        <f t="shared" si="10"/>
        <v>16.634322151372331</v>
      </c>
    </row>
    <row r="31" spans="1:19" x14ac:dyDescent="0.2">
      <c r="A31">
        <f t="shared" si="11"/>
        <v>2007</v>
      </c>
      <c r="B31">
        <f>'P syphilis cases-rates'!N17+'S syphilis cases-rates'!N17+'EL syphilis cases-rates'!N17</f>
        <v>4</v>
      </c>
      <c r="C31">
        <f>'P syphilis cases-rates'!AD17+'S syphilis cases-rates'!AD17+'EL syphilis cases-rates'!AD17</f>
        <v>36</v>
      </c>
      <c r="D31">
        <f>'P syphilis cases-rates'!V17+'S syphilis cases-rates'!V17+'EL syphilis cases-rates'!V17</f>
        <v>4</v>
      </c>
      <c r="E31">
        <v>46</v>
      </c>
      <c r="F31" s="22">
        <v>39364</v>
      </c>
      <c r="G31" s="22">
        <v>736502</v>
      </c>
      <c r="H31" s="22">
        <v>36070</v>
      </c>
      <c r="I31" s="22">
        <v>811936</v>
      </c>
      <c r="J31" s="55">
        <f t="shared" si="6"/>
        <v>1.7935964443344836</v>
      </c>
      <c r="K31" s="55">
        <f t="shared" si="7"/>
        <v>1.9573920275792243</v>
      </c>
      <c r="M31" s="55">
        <f t="shared" si="8"/>
        <v>10.1615689462453</v>
      </c>
      <c r="N31" s="72">
        <f t="shared" si="9"/>
        <v>4.8879704332099569</v>
      </c>
      <c r="O31" s="72">
        <f t="shared" si="10"/>
        <v>11.089548100914888</v>
      </c>
    </row>
    <row r="32" spans="1:19" x14ac:dyDescent="0.2">
      <c r="A32">
        <f t="shared" si="11"/>
        <v>2008</v>
      </c>
      <c r="B32">
        <f>'P syphilis cases-rates'!N18+'S syphilis cases-rates'!N18+'EL syphilis cases-rates'!N18</f>
        <v>6</v>
      </c>
      <c r="C32">
        <f>'P syphilis cases-rates'!AD18+'S syphilis cases-rates'!AD18+'EL syphilis cases-rates'!AD18</f>
        <v>36</v>
      </c>
      <c r="D32">
        <f>'P syphilis cases-rates'!V18+'S syphilis cases-rates'!V18+'EL syphilis cases-rates'!V18</f>
        <v>4</v>
      </c>
      <c r="E32">
        <v>49</v>
      </c>
      <c r="F32" s="22">
        <v>39364</v>
      </c>
      <c r="G32" s="22">
        <v>736502</v>
      </c>
      <c r="H32" s="22">
        <v>36070</v>
      </c>
      <c r="I32" s="22">
        <v>811936</v>
      </c>
      <c r="J32" s="55">
        <f t="shared" si="6"/>
        <v>2.525676625695497</v>
      </c>
      <c r="K32" s="55">
        <f t="shared" si="7"/>
        <v>1.8375516993600878</v>
      </c>
      <c r="M32" s="55">
        <f t="shared" si="8"/>
        <v>15.24235341936795</v>
      </c>
      <c r="N32" s="72">
        <f t="shared" si="9"/>
        <v>4.8879704332099569</v>
      </c>
      <c r="O32" s="72">
        <f t="shared" si="10"/>
        <v>11.089548100914888</v>
      </c>
    </row>
    <row r="33" spans="1:15" x14ac:dyDescent="0.2">
      <c r="A33">
        <f t="shared" si="11"/>
        <v>2009</v>
      </c>
      <c r="B33">
        <f>'P syphilis cases-rates'!N19+'S syphilis cases-rates'!N19+'EL syphilis cases-rates'!N19</f>
        <v>6</v>
      </c>
      <c r="C33">
        <f>'P syphilis cases-rates'!AD19+'S syphilis cases-rates'!AD19+'EL syphilis cases-rates'!AD19</f>
        <v>55</v>
      </c>
      <c r="D33">
        <f>'P syphilis cases-rates'!V19+'S syphilis cases-rates'!V19+'EL syphilis cases-rates'!V19</f>
        <v>8</v>
      </c>
      <c r="E33">
        <v>69</v>
      </c>
      <c r="F33" s="22">
        <v>39364</v>
      </c>
      <c r="G33" s="22">
        <v>736502</v>
      </c>
      <c r="H33" s="22">
        <v>36070</v>
      </c>
      <c r="I33" s="22">
        <v>811936</v>
      </c>
      <c r="J33" s="55">
        <f t="shared" si="6"/>
        <v>1.7935964443344834</v>
      </c>
      <c r="K33" s="55">
        <f t="shared" si="7"/>
        <v>2.6098560367722987</v>
      </c>
      <c r="M33" s="55">
        <f t="shared" si="8"/>
        <v>15.24235341936795</v>
      </c>
      <c r="N33" s="72">
        <f t="shared" si="9"/>
        <v>7.4677326062929907</v>
      </c>
      <c r="O33" s="72">
        <f t="shared" si="10"/>
        <v>22.179096201829775</v>
      </c>
    </row>
    <row r="34" spans="1:15" x14ac:dyDescent="0.2">
      <c r="A34">
        <f t="shared" si="11"/>
        <v>2010</v>
      </c>
      <c r="B34">
        <f>'P syphilis cases-rates'!N20+'S syphilis cases-rates'!N20+'EL syphilis cases-rates'!N20</f>
        <v>10</v>
      </c>
      <c r="C34">
        <f>'P syphilis cases-rates'!AD20+'S syphilis cases-rates'!AD20+'EL syphilis cases-rates'!AD20</f>
        <v>57</v>
      </c>
      <c r="D34">
        <f>'P syphilis cases-rates'!V20+'S syphilis cases-rates'!V20+'EL syphilis cases-rates'!V20</f>
        <v>13</v>
      </c>
      <c r="E34">
        <v>78</v>
      </c>
      <c r="F34" s="22">
        <v>49279</v>
      </c>
      <c r="G34" s="22">
        <v>808766</v>
      </c>
      <c r="H34" s="22">
        <v>50123</v>
      </c>
      <c r="I34" s="22">
        <v>908168</v>
      </c>
      <c r="J34" s="55">
        <f t="shared" si="6"/>
        <v>2.3627061196817074</v>
      </c>
      <c r="K34" s="55">
        <f t="shared" si="7"/>
        <v>3.0197979636760239</v>
      </c>
      <c r="M34" s="55">
        <f t="shared" si="8"/>
        <v>20.29261957426084</v>
      </c>
      <c r="N34" s="72">
        <f t="shared" si="9"/>
        <v>7.047774016217299</v>
      </c>
      <c r="O34" s="72">
        <f t="shared" si="10"/>
        <v>25.936196955489496</v>
      </c>
    </row>
    <row r="35" spans="1:15" x14ac:dyDescent="0.2">
      <c r="A35">
        <f t="shared" si="11"/>
        <v>2011</v>
      </c>
      <c r="B35">
        <f>'P syphilis cases-rates'!N21+'S syphilis cases-rates'!N21+'EL syphilis cases-rates'!N21</f>
        <v>4</v>
      </c>
      <c r="C35">
        <f>'P syphilis cases-rates'!AD21+'S syphilis cases-rates'!AD21+'EL syphilis cases-rates'!AD21</f>
        <v>75</v>
      </c>
      <c r="D35">
        <f>'P syphilis cases-rates'!V21+'S syphilis cases-rates'!V21+'EL syphilis cases-rates'!V21</f>
        <v>14</v>
      </c>
      <c r="E35">
        <v>99</v>
      </c>
      <c r="F35" s="22">
        <v>49279</v>
      </c>
      <c r="G35" s="22">
        <v>808766</v>
      </c>
      <c r="H35" s="22">
        <v>50123</v>
      </c>
      <c r="I35" s="22">
        <v>908168</v>
      </c>
      <c r="J35" s="55">
        <f t="shared" si="6"/>
        <v>0.74461041347544732</v>
      </c>
      <c r="K35" s="55">
        <f t="shared" si="7"/>
        <v>2.562252817664505</v>
      </c>
      <c r="M35" s="55">
        <f t="shared" si="8"/>
        <v>8.1170478297043367</v>
      </c>
      <c r="N35" s="72">
        <f t="shared" si="9"/>
        <v>9.2733868634438146</v>
      </c>
      <c r="O35" s="72">
        <f t="shared" si="10"/>
        <v>27.931289028988687</v>
      </c>
    </row>
    <row r="36" spans="1:15" x14ac:dyDescent="0.2">
      <c r="A36" s="61">
        <f t="shared" si="11"/>
        <v>2012</v>
      </c>
      <c r="B36" s="61">
        <f>'P syphilis cases-rates'!N22+'S syphilis cases-rates'!N22+'EL syphilis cases-rates'!N22</f>
        <v>6</v>
      </c>
      <c r="C36" s="61">
        <f>'P syphilis cases-rates'!AD22+'S syphilis cases-rates'!AD22+'EL syphilis cases-rates'!AD22</f>
        <v>75</v>
      </c>
      <c r="D36" s="61">
        <f>'P syphilis cases-rates'!V22+'S syphilis cases-rates'!V22+'EL syphilis cases-rates'!V22</f>
        <v>10</v>
      </c>
      <c r="E36" s="61">
        <v>101</v>
      </c>
      <c r="F36" s="62">
        <v>49279</v>
      </c>
      <c r="G36" s="62">
        <v>808766</v>
      </c>
      <c r="H36" s="62">
        <v>50123</v>
      </c>
      <c r="I36" s="62">
        <v>908168</v>
      </c>
      <c r="J36" s="68">
        <f t="shared" si="6"/>
        <v>1.0947984792188508</v>
      </c>
      <c r="K36" s="68">
        <f t="shared" si="7"/>
        <v>1.7939393843619942</v>
      </c>
      <c r="M36" s="55">
        <f t="shared" si="8"/>
        <v>12.175571744556505</v>
      </c>
      <c r="N36" s="72">
        <f t="shared" si="9"/>
        <v>9.2733868634438146</v>
      </c>
      <c r="O36" s="72">
        <f t="shared" si="10"/>
        <v>19.950920734991922</v>
      </c>
    </row>
    <row r="37" spans="1:15" x14ac:dyDescent="0.2">
      <c r="A37" s="61">
        <f t="shared" si="11"/>
        <v>2013</v>
      </c>
      <c r="B37" s="61">
        <f>'P syphilis cases-rates'!N23+'S syphilis cases-rates'!N23+'EL syphilis cases-rates'!N23</f>
        <v>18</v>
      </c>
      <c r="C37" s="61">
        <f>'P syphilis cases-rates'!AD23+'S syphilis cases-rates'!AD23+'EL syphilis cases-rates'!AD23</f>
        <v>123</v>
      </c>
      <c r="D37" s="61">
        <f>'P syphilis cases-rates'!V23+'S syphilis cases-rates'!V23+'EL syphilis cases-rates'!V23</f>
        <v>24</v>
      </c>
      <c r="E37" s="61">
        <v>173</v>
      </c>
      <c r="F37" s="62">
        <v>49279</v>
      </c>
      <c r="G37" s="62">
        <v>808766</v>
      </c>
      <c r="H37" s="62">
        <v>50123</v>
      </c>
      <c r="I37" s="62">
        <v>908168</v>
      </c>
      <c r="J37" s="68">
        <f t="shared" si="6"/>
        <v>1.9174794173601835</v>
      </c>
      <c r="K37" s="68">
        <f t="shared" si="7"/>
        <v>2.5135890564702161</v>
      </c>
      <c r="M37" s="55">
        <f t="shared" si="8"/>
        <v>36.526715233669513</v>
      </c>
      <c r="N37" s="72">
        <f t="shared" si="9"/>
        <v>15.208354456047855</v>
      </c>
      <c r="O37" s="72">
        <f t="shared" si="10"/>
        <v>47.882209763980605</v>
      </c>
    </row>
    <row r="38" spans="1:15" x14ac:dyDescent="0.2">
      <c r="A38" s="61">
        <f t="shared" si="11"/>
        <v>2014</v>
      </c>
      <c r="B38" s="61">
        <f>'P syphilis cases-rates'!N24+'S syphilis cases-rates'!N24+'EL syphilis cases-rates'!N24</f>
        <v>9</v>
      </c>
      <c r="C38" s="61">
        <f>'P syphilis cases-rates'!AD24+'S syphilis cases-rates'!AD24+'EL syphilis cases-rates'!AD24</f>
        <v>95</v>
      </c>
      <c r="D38" s="61">
        <f>'P syphilis cases-rates'!V24+'S syphilis cases-rates'!V24+'EL syphilis cases-rates'!V24</f>
        <v>22</v>
      </c>
      <c r="E38" s="61">
        <v>136</v>
      </c>
      <c r="F38" s="62">
        <v>49279</v>
      </c>
      <c r="G38" s="62">
        <v>808766</v>
      </c>
      <c r="H38" s="62">
        <v>50123</v>
      </c>
      <c r="I38" s="62">
        <v>908168</v>
      </c>
      <c r="J38" s="68">
        <f t="shared" si="6"/>
        <v>1.2195733058945284</v>
      </c>
      <c r="K38" s="68">
        <f t="shared" si="7"/>
        <v>2.9309803765090821</v>
      </c>
      <c r="M38" s="55">
        <f t="shared" si="8"/>
        <v>18.263357616834757</v>
      </c>
      <c r="N38" s="72">
        <f t="shared" si="9"/>
        <v>11.746290027028831</v>
      </c>
      <c r="O38" s="72">
        <f t="shared" si="10"/>
        <v>43.892025616982224</v>
      </c>
    </row>
    <row r="39" spans="1:15" x14ac:dyDescent="0.2">
      <c r="A39" s="61">
        <f t="shared" si="11"/>
        <v>2015</v>
      </c>
      <c r="B39" s="69">
        <f>'P syphilis cases-rates'!N25+'S syphilis cases-rates'!N25+'EL syphilis cases-rates'!N25</f>
        <v>16</v>
      </c>
      <c r="C39" s="61">
        <f>'P syphilis cases-rates'!AD25+'S syphilis cases-rates'!AD25+'EL syphilis cases-rates'!AD25</f>
        <v>137</v>
      </c>
      <c r="D39" s="61">
        <f>'P syphilis cases-rates'!V25+'S syphilis cases-rates'!V25+'EL syphilis cases-rates'!V25</f>
        <v>31</v>
      </c>
      <c r="E39" s="61">
        <v>207</v>
      </c>
      <c r="F39" s="62">
        <v>57775</v>
      </c>
      <c r="G39" s="62">
        <v>822398</v>
      </c>
      <c r="H39" s="62">
        <v>65638</v>
      </c>
      <c r="I39" s="62">
        <v>945811</v>
      </c>
      <c r="J39" s="68">
        <f t="shared" si="6"/>
        <v>1.2653598312627905</v>
      </c>
      <c r="K39" s="68">
        <f t="shared" si="7"/>
        <v>2.1579449897424507</v>
      </c>
      <c r="M39" s="55">
        <f t="shared" si="8"/>
        <v>27.693639117265253</v>
      </c>
      <c r="N39" s="72">
        <f t="shared" si="9"/>
        <v>16.658600823445582</v>
      </c>
      <c r="O39" s="72">
        <f t="shared" si="10"/>
        <v>47.228739449709011</v>
      </c>
    </row>
    <row r="40" spans="1:15" x14ac:dyDescent="0.2">
      <c r="A40" s="61">
        <f t="shared" si="11"/>
        <v>2016</v>
      </c>
      <c r="B40" s="61">
        <f>'P syphilis cases-rates'!N26+'S syphilis cases-rates'!N26+'EL syphilis cases-rates'!N26</f>
        <v>27</v>
      </c>
      <c r="C40" s="61">
        <f>'P syphilis cases-rates'!AD26+'S syphilis cases-rates'!AD26+'EL syphilis cases-rates'!AD26</f>
        <v>170</v>
      </c>
      <c r="D40" s="61">
        <f>'P syphilis cases-rates'!V26+'S syphilis cases-rates'!V26+'EL syphilis cases-rates'!V26</f>
        <v>40</v>
      </c>
      <c r="E40" s="61">
        <v>267</v>
      </c>
      <c r="F40" s="62">
        <v>57775</v>
      </c>
      <c r="G40" s="62">
        <v>822398</v>
      </c>
      <c r="H40" s="62">
        <v>65638</v>
      </c>
      <c r="I40" s="62">
        <v>945811</v>
      </c>
      <c r="J40" s="68">
        <f t="shared" si="6"/>
        <v>1.6554532062096761</v>
      </c>
      <c r="K40" s="68">
        <f t="shared" si="7"/>
        <v>2.1587271372559491</v>
      </c>
      <c r="M40" s="55">
        <f t="shared" si="8"/>
        <v>46.733016010385114</v>
      </c>
      <c r="N40" s="72">
        <f t="shared" si="9"/>
        <v>20.671256496246343</v>
      </c>
      <c r="O40" s="72">
        <f t="shared" si="10"/>
        <v>60.940308967366462</v>
      </c>
    </row>
    <row r="41" spans="1:15" x14ac:dyDescent="0.2">
      <c r="A41" t="s">
        <v>138</v>
      </c>
      <c r="F41" s="22"/>
      <c r="G41" s="22"/>
      <c r="H41" s="22"/>
      <c r="I41" s="22"/>
      <c r="J41" s="64">
        <f>AVERAGE(J36:J40)</f>
        <v>1.4305328479892059</v>
      </c>
      <c r="K41" s="64">
        <f>AVERAGE(K36:K40)</f>
        <v>2.3110361888679387</v>
      </c>
    </row>
    <row r="42" spans="1:15" x14ac:dyDescent="0.2">
      <c r="J42" s="65"/>
      <c r="K42" s="65"/>
    </row>
    <row r="43" spans="1:15" x14ac:dyDescent="0.2">
      <c r="A43" t="s">
        <v>0</v>
      </c>
      <c r="B43" t="s">
        <v>120</v>
      </c>
      <c r="C43" t="s">
        <v>121</v>
      </c>
      <c r="D43" t="s">
        <v>122</v>
      </c>
      <c r="E43" t="s">
        <v>123</v>
      </c>
      <c r="F43" t="s">
        <v>124</v>
      </c>
      <c r="G43" t="s">
        <v>142</v>
      </c>
      <c r="H43" t="s">
        <v>125</v>
      </c>
      <c r="I43" t="s">
        <v>126</v>
      </c>
      <c r="J43" t="s">
        <v>127</v>
      </c>
      <c r="K43" t="s">
        <v>128</v>
      </c>
      <c r="L43" s="22"/>
      <c r="M43" t="s">
        <v>149</v>
      </c>
      <c r="N43" s="66" t="s">
        <v>150</v>
      </c>
      <c r="O43" s="66" t="s">
        <v>151</v>
      </c>
    </row>
    <row r="44" spans="1:15" x14ac:dyDescent="0.2">
      <c r="A44">
        <v>2000</v>
      </c>
      <c r="B44">
        <f>'P syphilis cases-rates'!L10+'S syphilis cases-rates'!L10+'EL syphilis cases-rates'!L10</f>
        <v>14</v>
      </c>
      <c r="C44">
        <f>'P syphilis cases-rates'!AB10+'S syphilis cases-rates'!AB10+'EL syphilis cases-rates'!AB10</f>
        <v>6</v>
      </c>
      <c r="D44">
        <f>'P syphilis cases-rates'!T10+'S syphilis cases-rates'!T10+'EL syphilis cases-rates'!T10</f>
        <v>17</v>
      </c>
      <c r="E44">
        <v>38</v>
      </c>
      <c r="F44" s="26">
        <v>76313</v>
      </c>
      <c r="G44" s="25">
        <v>1050000</v>
      </c>
      <c r="H44" s="26">
        <v>95249</v>
      </c>
      <c r="I44" s="26">
        <v>1221562</v>
      </c>
      <c r="J44" s="50">
        <f>(B44/F44)/(E44/I44)</f>
        <v>5.8974114226244128</v>
      </c>
      <c r="K44" s="50">
        <f>(D44/H44)/(E44/I44)</f>
        <v>5.7374698228631775</v>
      </c>
      <c r="M44" s="55">
        <f>100000*B44/F44</f>
        <v>18.345498145794295</v>
      </c>
      <c r="N44" s="72">
        <f>100000*C44/G44</f>
        <v>0.5714285714285714</v>
      </c>
      <c r="O44" s="72">
        <f>100000*D44/H44</f>
        <v>17.84795640899117</v>
      </c>
    </row>
    <row r="45" spans="1:15" x14ac:dyDescent="0.2">
      <c r="A45">
        <f>A44+1</f>
        <v>2001</v>
      </c>
      <c r="B45">
        <f>'P syphilis cases-rates'!L11+'S syphilis cases-rates'!L11+'EL syphilis cases-rates'!L11</f>
        <v>4</v>
      </c>
      <c r="C45">
        <f>'P syphilis cases-rates'!AB11+'S syphilis cases-rates'!AB11+'EL syphilis cases-rates'!AB11</f>
        <v>2</v>
      </c>
      <c r="D45">
        <f>'P syphilis cases-rates'!T11+'S syphilis cases-rates'!T11+'EL syphilis cases-rates'!T11</f>
        <v>6</v>
      </c>
      <c r="E45">
        <v>17</v>
      </c>
      <c r="F45" s="26">
        <v>76313</v>
      </c>
      <c r="G45" s="25">
        <v>1050000</v>
      </c>
      <c r="H45" s="26">
        <v>95249</v>
      </c>
      <c r="I45" s="26">
        <v>1221562</v>
      </c>
      <c r="J45" s="50">
        <f t="shared" ref="J45:J60" si="12">(B45/F45)/(E45/I45)</f>
        <v>3.7664140178105496</v>
      </c>
      <c r="K45" s="50">
        <f t="shared" ref="K45:K60" si="13">(D45/H45)/(E45/I45)</f>
        <v>4.5264467806671425</v>
      </c>
      <c r="M45" s="55">
        <f t="shared" ref="M45:M60" si="14">100000*B45/F45</f>
        <v>5.2415708987983702</v>
      </c>
      <c r="N45" s="72">
        <f t="shared" ref="N45:N60" si="15">100000*C45/G45</f>
        <v>0.19047619047619047</v>
      </c>
      <c r="O45" s="72">
        <f t="shared" ref="O45:O60" si="16">100000*D45/H45</f>
        <v>6.2992787325851189</v>
      </c>
    </row>
    <row r="46" spans="1:15" x14ac:dyDescent="0.2">
      <c r="A46">
        <f t="shared" ref="A46:A60" si="17">A45+1</f>
        <v>2002</v>
      </c>
      <c r="B46">
        <f>'P syphilis cases-rates'!L12+'S syphilis cases-rates'!L12+'EL syphilis cases-rates'!L12</f>
        <v>5</v>
      </c>
      <c r="C46">
        <f>'P syphilis cases-rates'!AB12+'S syphilis cases-rates'!AB12+'EL syphilis cases-rates'!AB12</f>
        <v>2</v>
      </c>
      <c r="D46">
        <f>'P syphilis cases-rates'!T12+'S syphilis cases-rates'!T12+'EL syphilis cases-rates'!T12</f>
        <v>7</v>
      </c>
      <c r="E46">
        <v>21</v>
      </c>
      <c r="F46" s="26">
        <v>76313</v>
      </c>
      <c r="G46" s="25">
        <v>1050000</v>
      </c>
      <c r="H46" s="26">
        <v>95249</v>
      </c>
      <c r="I46" s="26">
        <v>1221562</v>
      </c>
      <c r="J46" s="50">
        <f t="shared" si="12"/>
        <v>3.8112522799273418</v>
      </c>
      <c r="K46" s="50">
        <f t="shared" si="13"/>
        <v>4.2749775150745233</v>
      </c>
      <c r="M46" s="55">
        <f t="shared" si="14"/>
        <v>6.5519636234979624</v>
      </c>
      <c r="N46" s="72">
        <f t="shared" si="15"/>
        <v>0.19047619047619047</v>
      </c>
      <c r="O46" s="72">
        <f t="shared" si="16"/>
        <v>7.3491585213493051</v>
      </c>
    </row>
    <row r="47" spans="1:15" x14ac:dyDescent="0.2">
      <c r="A47">
        <f t="shared" si="17"/>
        <v>2003</v>
      </c>
      <c r="B47">
        <f>'P syphilis cases-rates'!L13+'S syphilis cases-rates'!L13+'EL syphilis cases-rates'!L13</f>
        <v>7</v>
      </c>
      <c r="C47">
        <f>'P syphilis cases-rates'!AB13+'S syphilis cases-rates'!AB13+'EL syphilis cases-rates'!AB13</f>
        <v>7</v>
      </c>
      <c r="D47">
        <f>'P syphilis cases-rates'!T13+'S syphilis cases-rates'!T13+'EL syphilis cases-rates'!T13</f>
        <v>6</v>
      </c>
      <c r="E47">
        <v>20</v>
      </c>
      <c r="F47" s="26">
        <v>76313</v>
      </c>
      <c r="G47" s="25">
        <v>1050000</v>
      </c>
      <c r="H47" s="26">
        <v>95249</v>
      </c>
      <c r="I47" s="26">
        <v>1221562</v>
      </c>
      <c r="J47" s="50">
        <f t="shared" si="12"/>
        <v>5.6025408514931927</v>
      </c>
      <c r="K47" s="50">
        <f t="shared" si="13"/>
        <v>3.8474797635670717</v>
      </c>
      <c r="M47" s="55">
        <f t="shared" si="14"/>
        <v>9.1727490728971475</v>
      </c>
      <c r="N47" s="72">
        <f t="shared" si="15"/>
        <v>0.66666666666666663</v>
      </c>
      <c r="O47" s="72">
        <f t="shared" si="16"/>
        <v>6.2992787325851189</v>
      </c>
    </row>
    <row r="48" spans="1:15" x14ac:dyDescent="0.2">
      <c r="A48">
        <f t="shared" si="17"/>
        <v>2004</v>
      </c>
      <c r="B48">
        <f>'P syphilis cases-rates'!L14+'S syphilis cases-rates'!L14+'EL syphilis cases-rates'!L14</f>
        <v>4</v>
      </c>
      <c r="C48">
        <f>'P syphilis cases-rates'!AB14+'S syphilis cases-rates'!AB14+'EL syphilis cases-rates'!AB14</f>
        <v>5</v>
      </c>
      <c r="D48">
        <f>'P syphilis cases-rates'!T14+'S syphilis cases-rates'!T14+'EL syphilis cases-rates'!T14</f>
        <v>7</v>
      </c>
      <c r="E48">
        <v>19</v>
      </c>
      <c r="F48" s="26">
        <v>76313</v>
      </c>
      <c r="G48" s="25">
        <v>1050000</v>
      </c>
      <c r="H48" s="26">
        <v>95249</v>
      </c>
      <c r="I48" s="26">
        <v>1221562</v>
      </c>
      <c r="J48" s="50">
        <f t="shared" si="12"/>
        <v>3.3699493843568074</v>
      </c>
      <c r="K48" s="50">
        <f t="shared" si="13"/>
        <v>4.7249751482402633</v>
      </c>
      <c r="M48" s="55">
        <f t="shared" si="14"/>
        <v>5.2415708987983702</v>
      </c>
      <c r="N48" s="72">
        <f t="shared" si="15"/>
        <v>0.47619047619047616</v>
      </c>
      <c r="O48" s="72">
        <f t="shared" si="16"/>
        <v>7.3491585213493051</v>
      </c>
    </row>
    <row r="49" spans="1:15" x14ac:dyDescent="0.2">
      <c r="A49">
        <f t="shared" si="17"/>
        <v>2005</v>
      </c>
      <c r="B49">
        <f>'P syphilis cases-rates'!L15+'S syphilis cases-rates'!L15+'EL syphilis cases-rates'!L15</f>
        <v>3</v>
      </c>
      <c r="C49">
        <f>'P syphilis cases-rates'!AB15+'S syphilis cases-rates'!AB15+'EL syphilis cases-rates'!AB15</f>
        <v>7</v>
      </c>
      <c r="D49">
        <f>'P syphilis cases-rates'!T15+'S syphilis cases-rates'!T15+'EL syphilis cases-rates'!T15</f>
        <v>5</v>
      </c>
      <c r="E49">
        <v>15</v>
      </c>
      <c r="F49" s="27">
        <v>80202</v>
      </c>
      <c r="G49" s="24">
        <v>954913</v>
      </c>
      <c r="H49" s="27">
        <v>112038</v>
      </c>
      <c r="I49" s="27">
        <v>1147153</v>
      </c>
      <c r="J49" s="50">
        <f t="shared" si="12"/>
        <v>2.8606593351786738</v>
      </c>
      <c r="K49" s="50">
        <f t="shared" si="13"/>
        <v>3.4129878553109956</v>
      </c>
      <c r="M49" s="55">
        <f t="shared" si="14"/>
        <v>3.7405550983765989</v>
      </c>
      <c r="N49" s="72">
        <f t="shared" si="15"/>
        <v>0.7330510737627407</v>
      </c>
      <c r="O49" s="72">
        <f t="shared" si="16"/>
        <v>4.4627715596494051</v>
      </c>
    </row>
    <row r="50" spans="1:15" x14ac:dyDescent="0.2">
      <c r="A50">
        <f t="shared" si="17"/>
        <v>2006</v>
      </c>
      <c r="B50">
        <f>'P syphilis cases-rates'!L16+'S syphilis cases-rates'!L16+'EL syphilis cases-rates'!L16</f>
        <v>0</v>
      </c>
      <c r="C50">
        <f>'P syphilis cases-rates'!AB16+'S syphilis cases-rates'!AB16+'EL syphilis cases-rates'!AB16</f>
        <v>5</v>
      </c>
      <c r="D50">
        <f>'P syphilis cases-rates'!T16+'S syphilis cases-rates'!T16+'EL syphilis cases-rates'!T16</f>
        <v>5</v>
      </c>
      <c r="E50">
        <v>10</v>
      </c>
      <c r="F50" s="27">
        <v>80202</v>
      </c>
      <c r="G50" s="24">
        <v>954913</v>
      </c>
      <c r="H50" s="27">
        <v>112038</v>
      </c>
      <c r="I50" s="27">
        <v>1147153</v>
      </c>
      <c r="J50" s="50">
        <f t="shared" si="12"/>
        <v>0</v>
      </c>
      <c r="K50" s="50">
        <f t="shared" si="13"/>
        <v>5.1194817829664929</v>
      </c>
      <c r="M50" s="55">
        <f t="shared" si="14"/>
        <v>0</v>
      </c>
      <c r="N50" s="72">
        <f t="shared" si="15"/>
        <v>0.52360790983052907</v>
      </c>
      <c r="O50" s="72">
        <f t="shared" si="16"/>
        <v>4.4627715596494051</v>
      </c>
    </row>
    <row r="51" spans="1:15" x14ac:dyDescent="0.2">
      <c r="A51">
        <f t="shared" si="17"/>
        <v>2007</v>
      </c>
      <c r="B51">
        <f>'P syphilis cases-rates'!L17+'S syphilis cases-rates'!L17+'EL syphilis cases-rates'!L17</f>
        <v>9</v>
      </c>
      <c r="C51">
        <f>'P syphilis cases-rates'!AB17+'S syphilis cases-rates'!AB17+'EL syphilis cases-rates'!AB17</f>
        <v>2</v>
      </c>
      <c r="D51">
        <f>'P syphilis cases-rates'!T17+'S syphilis cases-rates'!T17+'EL syphilis cases-rates'!T17</f>
        <v>6</v>
      </c>
      <c r="E51">
        <v>17</v>
      </c>
      <c r="F51" s="27">
        <v>80202</v>
      </c>
      <c r="G51" s="24">
        <v>954913</v>
      </c>
      <c r="H51" s="27">
        <v>112038</v>
      </c>
      <c r="I51" s="27">
        <v>1147153</v>
      </c>
      <c r="J51" s="50">
        <f t="shared" si="12"/>
        <v>7.5723335342964893</v>
      </c>
      <c r="K51" s="50">
        <f t="shared" si="13"/>
        <v>3.6137518467998779</v>
      </c>
      <c r="M51" s="55">
        <f t="shared" si="14"/>
        <v>11.221665295129798</v>
      </c>
      <c r="N51" s="72">
        <f t="shared" si="15"/>
        <v>0.20944316393221163</v>
      </c>
      <c r="O51" s="72">
        <f t="shared" si="16"/>
        <v>5.3553258715792857</v>
      </c>
    </row>
    <row r="52" spans="1:15" x14ac:dyDescent="0.2">
      <c r="A52">
        <f t="shared" si="17"/>
        <v>2008</v>
      </c>
      <c r="B52">
        <f>'P syphilis cases-rates'!L18+'S syphilis cases-rates'!L18+'EL syphilis cases-rates'!L18</f>
        <v>2</v>
      </c>
      <c r="C52">
        <f>'P syphilis cases-rates'!AB18+'S syphilis cases-rates'!AB18+'EL syphilis cases-rates'!AB18</f>
        <v>2</v>
      </c>
      <c r="D52">
        <f>'P syphilis cases-rates'!T18+'S syphilis cases-rates'!T18+'EL syphilis cases-rates'!T18</f>
        <v>5</v>
      </c>
      <c r="E52">
        <v>11</v>
      </c>
      <c r="F52" s="27">
        <v>80202</v>
      </c>
      <c r="G52" s="24">
        <v>954913</v>
      </c>
      <c r="H52" s="27">
        <v>112038</v>
      </c>
      <c r="I52" s="27">
        <v>1147153</v>
      </c>
      <c r="J52" s="50">
        <f t="shared" si="12"/>
        <v>2.600599395616976</v>
      </c>
      <c r="K52" s="50">
        <f t="shared" si="13"/>
        <v>4.654074348151358</v>
      </c>
      <c r="M52" s="55">
        <f t="shared" si="14"/>
        <v>2.4937033989177326</v>
      </c>
      <c r="N52" s="72">
        <f t="shared" si="15"/>
        <v>0.20944316393221163</v>
      </c>
      <c r="O52" s="72">
        <f t="shared" si="16"/>
        <v>4.4627715596494051</v>
      </c>
    </row>
    <row r="53" spans="1:15" x14ac:dyDescent="0.2">
      <c r="A53">
        <f t="shared" si="17"/>
        <v>2009</v>
      </c>
      <c r="B53">
        <f>'P syphilis cases-rates'!L19+'S syphilis cases-rates'!L19+'EL syphilis cases-rates'!L19</f>
        <v>12</v>
      </c>
      <c r="C53">
        <f>'P syphilis cases-rates'!AB19+'S syphilis cases-rates'!AB19+'EL syphilis cases-rates'!AB19</f>
        <v>2</v>
      </c>
      <c r="D53">
        <f>'P syphilis cases-rates'!T19+'S syphilis cases-rates'!T19+'EL syphilis cases-rates'!T19</f>
        <v>2</v>
      </c>
      <c r="E53">
        <v>17</v>
      </c>
      <c r="F53" s="27">
        <v>80202</v>
      </c>
      <c r="G53" s="24">
        <v>954913</v>
      </c>
      <c r="H53" s="27">
        <v>112038</v>
      </c>
      <c r="I53" s="27">
        <v>1147153</v>
      </c>
      <c r="J53" s="50">
        <f t="shared" si="12"/>
        <v>10.09644471239532</v>
      </c>
      <c r="K53" s="50">
        <f t="shared" si="13"/>
        <v>1.2045839489332926</v>
      </c>
      <c r="M53" s="55">
        <f t="shared" si="14"/>
        <v>14.962220393506396</v>
      </c>
      <c r="N53" s="72">
        <f t="shared" si="15"/>
        <v>0.20944316393221163</v>
      </c>
      <c r="O53" s="72">
        <f t="shared" si="16"/>
        <v>1.7851086238597618</v>
      </c>
    </row>
    <row r="54" spans="1:15" x14ac:dyDescent="0.2">
      <c r="A54">
        <f t="shared" si="17"/>
        <v>2010</v>
      </c>
      <c r="B54">
        <f>'P syphilis cases-rates'!L20+'S syphilis cases-rates'!L20+'EL syphilis cases-rates'!L20</f>
        <v>6</v>
      </c>
      <c r="C54">
        <f>'P syphilis cases-rates'!AB20+'S syphilis cases-rates'!AB20+'EL syphilis cases-rates'!AB20</f>
        <v>11</v>
      </c>
      <c r="D54">
        <f>'P syphilis cases-rates'!T20+'S syphilis cases-rates'!T20+'EL syphilis cases-rates'!T20</f>
        <v>4</v>
      </c>
      <c r="E54">
        <v>21</v>
      </c>
      <c r="F54" s="27">
        <v>86230</v>
      </c>
      <c r="G54" s="24">
        <v>905801</v>
      </c>
      <c r="H54" s="27">
        <v>131116</v>
      </c>
      <c r="I54" s="27">
        <v>1123147</v>
      </c>
      <c r="J54" s="50">
        <f t="shared" si="12"/>
        <v>3.7214327131757257</v>
      </c>
      <c r="K54" s="50">
        <f t="shared" si="13"/>
        <v>1.6316297164706206</v>
      </c>
      <c r="M54" s="55">
        <f t="shared" si="14"/>
        <v>6.9581352197611039</v>
      </c>
      <c r="N54" s="72">
        <f t="shared" si="15"/>
        <v>1.2143947732448959</v>
      </c>
      <c r="O54" s="72">
        <f t="shared" si="16"/>
        <v>3.0507337014551998</v>
      </c>
    </row>
    <row r="55" spans="1:15" x14ac:dyDescent="0.2">
      <c r="A55">
        <f t="shared" si="17"/>
        <v>2011</v>
      </c>
      <c r="B55">
        <f>'P syphilis cases-rates'!L21+'S syphilis cases-rates'!L21+'EL syphilis cases-rates'!L21</f>
        <v>6</v>
      </c>
      <c r="C55">
        <f>'P syphilis cases-rates'!AB21+'S syphilis cases-rates'!AB21+'EL syphilis cases-rates'!AB21</f>
        <v>6</v>
      </c>
      <c r="D55">
        <f>'P syphilis cases-rates'!T21+'S syphilis cases-rates'!T21+'EL syphilis cases-rates'!T21</f>
        <v>11</v>
      </c>
      <c r="E55">
        <v>23</v>
      </c>
      <c r="F55" s="27">
        <v>86230</v>
      </c>
      <c r="G55" s="24">
        <v>905801</v>
      </c>
      <c r="H55" s="27">
        <v>131116</v>
      </c>
      <c r="I55" s="27">
        <v>1123147</v>
      </c>
      <c r="J55" s="50">
        <f t="shared" si="12"/>
        <v>3.3978298685517498</v>
      </c>
      <c r="K55" s="50">
        <f t="shared" si="13"/>
        <v>4.0968093967903636</v>
      </c>
      <c r="M55" s="55">
        <f t="shared" si="14"/>
        <v>6.9581352197611039</v>
      </c>
      <c r="N55" s="72">
        <f t="shared" si="15"/>
        <v>0.66239714904267055</v>
      </c>
      <c r="O55" s="72">
        <f t="shared" si="16"/>
        <v>8.3895176790018002</v>
      </c>
    </row>
    <row r="56" spans="1:15" x14ac:dyDescent="0.2">
      <c r="A56" s="61">
        <f t="shared" si="17"/>
        <v>2012</v>
      </c>
      <c r="B56" s="61">
        <f>'P syphilis cases-rates'!L22+'S syphilis cases-rates'!L22+'EL syphilis cases-rates'!L22</f>
        <v>15</v>
      </c>
      <c r="C56" s="61">
        <f>'P syphilis cases-rates'!AB22+'S syphilis cases-rates'!AB22+'EL syphilis cases-rates'!AB22</f>
        <v>8</v>
      </c>
      <c r="D56" s="61">
        <f>'P syphilis cases-rates'!T22+'S syphilis cases-rates'!T22+'EL syphilis cases-rates'!T22</f>
        <v>8</v>
      </c>
      <c r="E56" s="61">
        <v>33</v>
      </c>
      <c r="F56" s="67">
        <v>86230</v>
      </c>
      <c r="G56" s="71">
        <v>905801</v>
      </c>
      <c r="H56" s="67">
        <v>131116</v>
      </c>
      <c r="I56" s="67">
        <v>1123147</v>
      </c>
      <c r="J56" s="63">
        <f t="shared" si="12"/>
        <v>5.9204611345977467</v>
      </c>
      <c r="K56" s="63">
        <f t="shared" si="13"/>
        <v>2.0766196391444263</v>
      </c>
      <c r="M56" s="55">
        <f t="shared" si="14"/>
        <v>17.39533804940276</v>
      </c>
      <c r="N56" s="72">
        <f t="shared" si="15"/>
        <v>0.8831961987235607</v>
      </c>
      <c r="O56" s="72">
        <f t="shared" si="16"/>
        <v>6.1014674029103997</v>
      </c>
    </row>
    <row r="57" spans="1:15" x14ac:dyDescent="0.2">
      <c r="A57" s="61">
        <f t="shared" si="17"/>
        <v>2013</v>
      </c>
      <c r="B57" s="61">
        <v>8</v>
      </c>
      <c r="C57" s="61">
        <f>'P syphilis cases-rates'!AB23+'S syphilis cases-rates'!AB23+'EL syphilis cases-rates'!AB23</f>
        <v>12</v>
      </c>
      <c r="D57" s="61">
        <f>'P syphilis cases-rates'!T23+'S syphilis cases-rates'!T23+'EL syphilis cases-rates'!T23</f>
        <v>16</v>
      </c>
      <c r="E57" s="61">
        <v>37</v>
      </c>
      <c r="F57" s="67">
        <v>86230</v>
      </c>
      <c r="G57" s="71">
        <v>905801</v>
      </c>
      <c r="H57" s="67">
        <v>131116</v>
      </c>
      <c r="I57" s="67">
        <v>1123147</v>
      </c>
      <c r="J57" s="63">
        <f t="shared" si="12"/>
        <v>2.8162193505113606</v>
      </c>
      <c r="K57" s="63">
        <f t="shared" si="13"/>
        <v>3.7042404373927607</v>
      </c>
      <c r="M57" s="55">
        <f t="shared" si="14"/>
        <v>9.2775136263481386</v>
      </c>
      <c r="N57" s="72">
        <f t="shared" si="15"/>
        <v>1.3247942980853411</v>
      </c>
      <c r="O57" s="72">
        <f t="shared" si="16"/>
        <v>12.202934805820799</v>
      </c>
    </row>
    <row r="58" spans="1:15" x14ac:dyDescent="0.2">
      <c r="A58" s="61">
        <f t="shared" si="17"/>
        <v>2014</v>
      </c>
      <c r="B58" s="61">
        <f>'P syphilis cases-rates'!L24+'S syphilis cases-rates'!L24+'EL syphilis cases-rates'!L24</f>
        <v>9</v>
      </c>
      <c r="C58" s="61">
        <f>'P syphilis cases-rates'!AB24+'S syphilis cases-rates'!AB24+'EL syphilis cases-rates'!AB24</f>
        <v>15</v>
      </c>
      <c r="D58" s="61">
        <f>'P syphilis cases-rates'!T24+'S syphilis cases-rates'!T24+'EL syphilis cases-rates'!T24</f>
        <v>19</v>
      </c>
      <c r="E58" s="61">
        <v>44</v>
      </c>
      <c r="F58" s="67">
        <v>86230</v>
      </c>
      <c r="G58" s="71">
        <v>905801</v>
      </c>
      <c r="H58" s="67">
        <v>131116</v>
      </c>
      <c r="I58" s="67">
        <v>1123147</v>
      </c>
      <c r="J58" s="63">
        <f t="shared" si="12"/>
        <v>2.6642075105689855</v>
      </c>
      <c r="K58" s="63">
        <f t="shared" si="13"/>
        <v>3.6989787322260095</v>
      </c>
      <c r="M58" s="55">
        <f t="shared" si="14"/>
        <v>10.437202829641656</v>
      </c>
      <c r="N58" s="72">
        <f t="shared" si="15"/>
        <v>1.6559928726066764</v>
      </c>
      <c r="O58" s="72">
        <f t="shared" si="16"/>
        <v>14.4909850819122</v>
      </c>
    </row>
    <row r="59" spans="1:15" x14ac:dyDescent="0.2">
      <c r="A59" s="61">
        <f t="shared" si="17"/>
        <v>2015</v>
      </c>
      <c r="B59" s="61">
        <f>'P syphilis cases-rates'!L25+'S syphilis cases-rates'!L25+'EL syphilis cases-rates'!L25</f>
        <v>9</v>
      </c>
      <c r="C59" s="61">
        <f>'P syphilis cases-rates'!AB25+'S syphilis cases-rates'!AB25+'EL syphilis cases-rates'!AB25</f>
        <v>16</v>
      </c>
      <c r="D59" s="61">
        <f>'P syphilis cases-rates'!T25+'S syphilis cases-rates'!T25+'EL syphilis cases-rates'!T25</f>
        <v>12</v>
      </c>
      <c r="E59" s="61">
        <v>43</v>
      </c>
      <c r="F59" s="67">
        <v>95562</v>
      </c>
      <c r="G59" s="71">
        <v>897593</v>
      </c>
      <c r="H59" s="67">
        <v>153770</v>
      </c>
      <c r="I59" s="67">
        <v>1146925</v>
      </c>
      <c r="J59" s="63">
        <f t="shared" si="12"/>
        <v>2.5120243377853315</v>
      </c>
      <c r="K59" s="63">
        <f t="shared" si="13"/>
        <v>2.0814989466297447</v>
      </c>
      <c r="M59" s="55">
        <f t="shared" si="14"/>
        <v>9.4179694857788654</v>
      </c>
      <c r="N59" s="72">
        <f t="shared" si="15"/>
        <v>1.7825450956056921</v>
      </c>
      <c r="O59" s="72">
        <f t="shared" si="16"/>
        <v>7.8038629121415104</v>
      </c>
    </row>
    <row r="60" spans="1:15" x14ac:dyDescent="0.2">
      <c r="A60" s="61">
        <f t="shared" si="17"/>
        <v>2016</v>
      </c>
      <c r="B60" s="61">
        <f>'P syphilis cases-rates'!L26+'S syphilis cases-rates'!L26+'EL syphilis cases-rates'!L26</f>
        <v>13</v>
      </c>
      <c r="C60" s="61">
        <f>'P syphilis cases-rates'!AB26+'S syphilis cases-rates'!AB26+'EL syphilis cases-rates'!AB26</f>
        <v>29</v>
      </c>
      <c r="D60" s="61">
        <f>'P syphilis cases-rates'!T26+'S syphilis cases-rates'!T26+'EL syphilis cases-rates'!T26</f>
        <v>22</v>
      </c>
      <c r="E60" s="61">
        <v>68</v>
      </c>
      <c r="F60" s="67">
        <v>95562</v>
      </c>
      <c r="G60" s="71">
        <v>897593</v>
      </c>
      <c r="H60" s="67">
        <v>153770</v>
      </c>
      <c r="I60" s="67">
        <v>1146925</v>
      </c>
      <c r="J60" s="63">
        <f t="shared" si="12"/>
        <v>2.2944797464411768</v>
      </c>
      <c r="K60" s="63">
        <f t="shared" si="13"/>
        <v>2.4131102984212478</v>
      </c>
      <c r="M60" s="55">
        <f t="shared" si="14"/>
        <v>13.603733701680584</v>
      </c>
      <c r="N60" s="72">
        <f t="shared" si="15"/>
        <v>3.2308629857853171</v>
      </c>
      <c r="O60" s="72">
        <f t="shared" si="16"/>
        <v>14.307082005592768</v>
      </c>
    </row>
    <row r="61" spans="1:15" x14ac:dyDescent="0.2">
      <c r="A61" t="s">
        <v>139</v>
      </c>
      <c r="I61" s="22"/>
      <c r="J61" s="64">
        <f>AVERAGE(J56:J60)</f>
        <v>3.2414784159809202</v>
      </c>
      <c r="K61" s="64">
        <f>AVERAGE(K56:K60)</f>
        <v>2.794889610762838</v>
      </c>
      <c r="L61" s="24"/>
      <c r="M61" s="24"/>
    </row>
    <row r="62" spans="1:15" x14ac:dyDescent="0.2">
      <c r="I62" s="22"/>
      <c r="J62" s="65"/>
      <c r="K62" s="65"/>
    </row>
    <row r="63" spans="1:15" x14ac:dyDescent="0.2">
      <c r="A63" t="s">
        <v>0</v>
      </c>
      <c r="B63" t="s">
        <v>129</v>
      </c>
      <c r="C63" t="s">
        <v>130</v>
      </c>
      <c r="D63" t="s">
        <v>131</v>
      </c>
      <c r="E63" t="s">
        <v>132</v>
      </c>
      <c r="F63" t="s">
        <v>133</v>
      </c>
      <c r="G63" t="s">
        <v>143</v>
      </c>
      <c r="H63" t="s">
        <v>134</v>
      </c>
      <c r="I63" t="s">
        <v>135</v>
      </c>
      <c r="J63" t="s">
        <v>136</v>
      </c>
      <c r="K63" t="s">
        <v>137</v>
      </c>
      <c r="M63" t="s">
        <v>153</v>
      </c>
      <c r="N63" s="66" t="s">
        <v>154</v>
      </c>
      <c r="O63" s="66" t="s">
        <v>155</v>
      </c>
    </row>
    <row r="64" spans="1:15" x14ac:dyDescent="0.2">
      <c r="A64">
        <v>2000</v>
      </c>
      <c r="B64">
        <f>'P syphilis cases-rates'!P10+'S syphilis cases-rates'!P10+'EL syphilis cases-rates'!P10</f>
        <v>0</v>
      </c>
      <c r="C64">
        <f>'P syphilis cases-rates'!AF10+'S syphilis cases-rates'!AF10+'EL syphilis cases-rates'!AF10</f>
        <v>0</v>
      </c>
      <c r="D64">
        <f>'P syphilis cases-rates'!X10+'S syphilis cases-rates'!X10+'EL syphilis cases-rates'!X10</f>
        <v>0</v>
      </c>
      <c r="E64">
        <v>0</v>
      </c>
      <c r="F64" s="22">
        <v>35632</v>
      </c>
      <c r="G64" s="22">
        <v>699071</v>
      </c>
      <c r="H64" s="22">
        <v>29998</v>
      </c>
      <c r="I64" s="22">
        <v>764701</v>
      </c>
      <c r="J64" s="50" t="e">
        <f>(B64/F64)/(E64/I64)</f>
        <v>#DIV/0!</v>
      </c>
      <c r="K64" s="50" t="e">
        <f>(D64/H64)/(E64/I64)</f>
        <v>#DIV/0!</v>
      </c>
      <c r="M64" s="55">
        <f>100000*B64/F64</f>
        <v>0</v>
      </c>
      <c r="N64" s="72">
        <f>100000*C64/G64</f>
        <v>0</v>
      </c>
      <c r="O64" s="72">
        <f>100000*D64/H64</f>
        <v>0</v>
      </c>
    </row>
    <row r="65" spans="1:15" x14ac:dyDescent="0.2">
      <c r="A65">
        <f>A64+1</f>
        <v>2001</v>
      </c>
      <c r="B65">
        <f>'P syphilis cases-rates'!P11+'S syphilis cases-rates'!P11+'EL syphilis cases-rates'!P11</f>
        <v>0</v>
      </c>
      <c r="C65">
        <f>'P syphilis cases-rates'!AF11+'S syphilis cases-rates'!AF11+'EL syphilis cases-rates'!AF11</f>
        <v>1</v>
      </c>
      <c r="D65">
        <f>'P syphilis cases-rates'!X11+'S syphilis cases-rates'!X11+'EL syphilis cases-rates'!X11</f>
        <v>2</v>
      </c>
      <c r="E65">
        <v>3</v>
      </c>
      <c r="F65" s="22">
        <v>35632</v>
      </c>
      <c r="G65" s="22">
        <v>699071</v>
      </c>
      <c r="H65" s="22">
        <v>29998</v>
      </c>
      <c r="I65" s="22">
        <v>764701</v>
      </c>
      <c r="J65" s="50">
        <f t="shared" ref="J65:J80" si="18">(B65/F65)/(E65/I65)</f>
        <v>0</v>
      </c>
      <c r="K65" s="50">
        <f t="shared" ref="K65:K80" si="19">(D65/H65)/(E65/I65)</f>
        <v>16.994488521456987</v>
      </c>
      <c r="M65" s="55">
        <f t="shared" ref="M65:M80" si="20">100000*B65/F65</f>
        <v>0</v>
      </c>
      <c r="N65" s="72">
        <f t="shared" ref="N65:N80" si="21">100000*C65/G65</f>
        <v>0.14304698664370286</v>
      </c>
      <c r="O65" s="72">
        <f t="shared" ref="O65:O80" si="22">100000*D65/H65</f>
        <v>6.6671111407427164</v>
      </c>
    </row>
    <row r="66" spans="1:15" x14ac:dyDescent="0.2">
      <c r="A66">
        <f t="shared" ref="A66:A80" si="23">A65+1</f>
        <v>2002</v>
      </c>
      <c r="B66">
        <f>'P syphilis cases-rates'!P12+'S syphilis cases-rates'!P12+'EL syphilis cases-rates'!P12</f>
        <v>2</v>
      </c>
      <c r="C66">
        <f>'P syphilis cases-rates'!AF12+'S syphilis cases-rates'!AF12+'EL syphilis cases-rates'!AF12</f>
        <v>0</v>
      </c>
      <c r="D66">
        <f>'P syphilis cases-rates'!X12+'S syphilis cases-rates'!X12+'EL syphilis cases-rates'!X12</f>
        <v>0</v>
      </c>
      <c r="E66">
        <v>3</v>
      </c>
      <c r="F66" s="22">
        <v>35632</v>
      </c>
      <c r="G66" s="22">
        <v>699071</v>
      </c>
      <c r="H66" s="22">
        <v>29998</v>
      </c>
      <c r="I66" s="22">
        <v>764701</v>
      </c>
      <c r="J66" s="50">
        <f t="shared" si="18"/>
        <v>14.307382876814847</v>
      </c>
      <c r="K66" s="50">
        <f t="shared" si="19"/>
        <v>0</v>
      </c>
      <c r="M66" s="55">
        <f t="shared" si="20"/>
        <v>5.6129321957790754</v>
      </c>
      <c r="N66" s="72">
        <f t="shared" si="21"/>
        <v>0</v>
      </c>
      <c r="O66" s="72">
        <f t="shared" si="22"/>
        <v>0</v>
      </c>
    </row>
    <row r="67" spans="1:15" x14ac:dyDescent="0.2">
      <c r="A67">
        <f t="shared" si="23"/>
        <v>2003</v>
      </c>
      <c r="B67">
        <f>'P syphilis cases-rates'!P13+'S syphilis cases-rates'!P13+'EL syphilis cases-rates'!P13</f>
        <v>2</v>
      </c>
      <c r="C67">
        <f>'P syphilis cases-rates'!AF13+'S syphilis cases-rates'!AF13+'EL syphilis cases-rates'!AF13</f>
        <v>0</v>
      </c>
      <c r="D67">
        <f>'P syphilis cases-rates'!X13+'S syphilis cases-rates'!X13+'EL syphilis cases-rates'!X13</f>
        <v>0</v>
      </c>
      <c r="E67">
        <v>5</v>
      </c>
      <c r="F67" s="22">
        <v>35632</v>
      </c>
      <c r="G67" s="22">
        <v>699071</v>
      </c>
      <c r="H67" s="22">
        <v>29998</v>
      </c>
      <c r="I67" s="22">
        <v>764701</v>
      </c>
      <c r="J67" s="50">
        <f t="shared" si="18"/>
        <v>8.5844297260889082</v>
      </c>
      <c r="K67" s="50">
        <f t="shared" si="19"/>
        <v>0</v>
      </c>
      <c r="M67" s="55">
        <f t="shared" si="20"/>
        <v>5.6129321957790754</v>
      </c>
      <c r="N67" s="72">
        <f t="shared" si="21"/>
        <v>0</v>
      </c>
      <c r="O67" s="72">
        <f t="shared" si="22"/>
        <v>0</v>
      </c>
    </row>
    <row r="68" spans="1:15" x14ac:dyDescent="0.2">
      <c r="A68">
        <f t="shared" si="23"/>
        <v>2004</v>
      </c>
      <c r="B68">
        <f>'P syphilis cases-rates'!P14+'S syphilis cases-rates'!P14+'EL syphilis cases-rates'!P14</f>
        <v>2</v>
      </c>
      <c r="C68">
        <f>'P syphilis cases-rates'!AF14+'S syphilis cases-rates'!AF14+'EL syphilis cases-rates'!AF14</f>
        <v>1</v>
      </c>
      <c r="D68">
        <f>'P syphilis cases-rates'!X14+'S syphilis cases-rates'!X14+'EL syphilis cases-rates'!X14</f>
        <v>0</v>
      </c>
      <c r="E68">
        <v>3</v>
      </c>
      <c r="F68" s="22">
        <v>35632</v>
      </c>
      <c r="G68" s="22">
        <v>699071</v>
      </c>
      <c r="H68" s="22">
        <v>29998</v>
      </c>
      <c r="I68" s="22">
        <v>764701</v>
      </c>
      <c r="J68" s="50">
        <f t="shared" si="18"/>
        <v>14.307382876814847</v>
      </c>
      <c r="K68" s="50">
        <f t="shared" si="19"/>
        <v>0</v>
      </c>
      <c r="M68" s="55">
        <f t="shared" si="20"/>
        <v>5.6129321957790754</v>
      </c>
      <c r="N68" s="72">
        <f t="shared" si="21"/>
        <v>0.14304698664370286</v>
      </c>
      <c r="O68" s="72">
        <f t="shared" si="22"/>
        <v>0</v>
      </c>
    </row>
    <row r="69" spans="1:15" x14ac:dyDescent="0.2">
      <c r="A69">
        <f t="shared" si="23"/>
        <v>2005</v>
      </c>
      <c r="B69">
        <f>'P syphilis cases-rates'!P15+'S syphilis cases-rates'!P15+'EL syphilis cases-rates'!P15</f>
        <v>0</v>
      </c>
      <c r="C69">
        <f>'P syphilis cases-rates'!AF15+'S syphilis cases-rates'!AF15+'EL syphilis cases-rates'!AF15</f>
        <v>0</v>
      </c>
      <c r="D69">
        <f>'P syphilis cases-rates'!X15+'S syphilis cases-rates'!X15+'EL syphilis cases-rates'!X15</f>
        <v>0</v>
      </c>
      <c r="E69">
        <v>0</v>
      </c>
      <c r="F69" s="22">
        <v>44616</v>
      </c>
      <c r="G69" s="22">
        <v>785046</v>
      </c>
      <c r="H69" s="22">
        <v>41877</v>
      </c>
      <c r="I69" s="22">
        <v>871539</v>
      </c>
      <c r="J69" s="50" t="e">
        <f t="shared" si="18"/>
        <v>#DIV/0!</v>
      </c>
      <c r="K69" s="50" t="e">
        <f t="shared" si="19"/>
        <v>#DIV/0!</v>
      </c>
      <c r="M69" s="55">
        <f t="shared" si="20"/>
        <v>0</v>
      </c>
      <c r="N69" s="72">
        <f t="shared" si="21"/>
        <v>0</v>
      </c>
      <c r="O69" s="72">
        <f t="shared" si="22"/>
        <v>0</v>
      </c>
    </row>
    <row r="70" spans="1:15" x14ac:dyDescent="0.2">
      <c r="A70">
        <f t="shared" si="23"/>
        <v>2006</v>
      </c>
      <c r="B70">
        <f>'P syphilis cases-rates'!P16+'S syphilis cases-rates'!P16+'EL syphilis cases-rates'!P16</f>
        <v>0</v>
      </c>
      <c r="C70">
        <f>'P syphilis cases-rates'!AF16+'S syphilis cases-rates'!AF16+'EL syphilis cases-rates'!AF16</f>
        <v>2</v>
      </c>
      <c r="D70">
        <f>'P syphilis cases-rates'!X16+'S syphilis cases-rates'!X16+'EL syphilis cases-rates'!X16</f>
        <v>2</v>
      </c>
      <c r="E70">
        <v>3</v>
      </c>
      <c r="F70" s="22">
        <v>44616</v>
      </c>
      <c r="G70" s="22">
        <v>785046</v>
      </c>
      <c r="H70" s="22">
        <v>41877</v>
      </c>
      <c r="I70" s="22">
        <v>871539</v>
      </c>
      <c r="J70" s="50">
        <f t="shared" si="18"/>
        <v>0</v>
      </c>
      <c r="K70" s="50">
        <f t="shared" si="19"/>
        <v>13.874585094443249</v>
      </c>
      <c r="M70" s="55">
        <f t="shared" si="20"/>
        <v>0</v>
      </c>
      <c r="N70" s="72">
        <f t="shared" si="21"/>
        <v>0.25476214132675029</v>
      </c>
      <c r="O70" s="72">
        <f t="shared" si="22"/>
        <v>4.7758913007139956</v>
      </c>
    </row>
    <row r="71" spans="1:15" x14ac:dyDescent="0.2">
      <c r="A71">
        <f t="shared" si="23"/>
        <v>2007</v>
      </c>
      <c r="B71">
        <f>'P syphilis cases-rates'!P17+'S syphilis cases-rates'!P17+'EL syphilis cases-rates'!P17</f>
        <v>2</v>
      </c>
      <c r="C71">
        <f>'P syphilis cases-rates'!AF17+'S syphilis cases-rates'!AF17+'EL syphilis cases-rates'!AF17</f>
        <v>1</v>
      </c>
      <c r="D71">
        <f>'P syphilis cases-rates'!X17+'S syphilis cases-rates'!X17+'EL syphilis cases-rates'!X17</f>
        <v>0</v>
      </c>
      <c r="E71">
        <v>2</v>
      </c>
      <c r="F71" s="22">
        <v>44616</v>
      </c>
      <c r="G71" s="22">
        <v>785046</v>
      </c>
      <c r="H71" s="22">
        <v>41877</v>
      </c>
      <c r="I71" s="22">
        <v>871539</v>
      </c>
      <c r="J71" s="50">
        <f t="shared" si="18"/>
        <v>19.534225389994621</v>
      </c>
      <c r="K71" s="50">
        <f t="shared" si="19"/>
        <v>0</v>
      </c>
      <c r="M71" s="55">
        <f t="shared" si="20"/>
        <v>4.482696790389098</v>
      </c>
      <c r="N71" s="72">
        <f t="shared" si="21"/>
        <v>0.12738107066337515</v>
      </c>
      <c r="O71" s="72">
        <f t="shared" si="22"/>
        <v>0</v>
      </c>
    </row>
    <row r="72" spans="1:15" x14ac:dyDescent="0.2">
      <c r="A72">
        <f t="shared" si="23"/>
        <v>2008</v>
      </c>
      <c r="B72">
        <f>'P syphilis cases-rates'!P18+'S syphilis cases-rates'!P18+'EL syphilis cases-rates'!P18</f>
        <v>4</v>
      </c>
      <c r="C72">
        <f>'P syphilis cases-rates'!AF18+'S syphilis cases-rates'!AF18+'EL syphilis cases-rates'!AF18</f>
        <v>1</v>
      </c>
      <c r="D72">
        <f>'P syphilis cases-rates'!X18+'S syphilis cases-rates'!X18+'EL syphilis cases-rates'!X18</f>
        <v>0</v>
      </c>
      <c r="E72">
        <v>4</v>
      </c>
      <c r="F72" s="22">
        <v>44616</v>
      </c>
      <c r="G72" s="22">
        <v>785046</v>
      </c>
      <c r="H72" s="22">
        <v>41877</v>
      </c>
      <c r="I72" s="22">
        <v>871539</v>
      </c>
      <c r="J72" s="50">
        <f t="shared" si="18"/>
        <v>19.534225389994621</v>
      </c>
      <c r="K72" s="50">
        <f t="shared" si="19"/>
        <v>0</v>
      </c>
      <c r="M72" s="55">
        <f t="shared" si="20"/>
        <v>8.9653935807781959</v>
      </c>
      <c r="N72" s="72">
        <f t="shared" si="21"/>
        <v>0.12738107066337515</v>
      </c>
      <c r="O72" s="72">
        <f t="shared" si="22"/>
        <v>0</v>
      </c>
    </row>
    <row r="73" spans="1:15" x14ac:dyDescent="0.2">
      <c r="A73">
        <f t="shared" si="23"/>
        <v>2009</v>
      </c>
      <c r="B73">
        <f>'P syphilis cases-rates'!P19+'S syphilis cases-rates'!P19+'EL syphilis cases-rates'!P19</f>
        <v>2</v>
      </c>
      <c r="C73">
        <f>'P syphilis cases-rates'!AF19+'S syphilis cases-rates'!AF19+'EL syphilis cases-rates'!AF19</f>
        <v>0</v>
      </c>
      <c r="D73">
        <f>'P syphilis cases-rates'!X19+'S syphilis cases-rates'!X19+'EL syphilis cases-rates'!X19</f>
        <v>0</v>
      </c>
      <c r="E73">
        <v>1</v>
      </c>
      <c r="F73" s="22">
        <v>44616</v>
      </c>
      <c r="G73" s="22">
        <v>785046</v>
      </c>
      <c r="H73" s="22">
        <v>41877</v>
      </c>
      <c r="I73" s="22">
        <v>871539</v>
      </c>
      <c r="J73" s="50">
        <f t="shared" si="18"/>
        <v>39.068450779989242</v>
      </c>
      <c r="K73" s="50">
        <f t="shared" si="19"/>
        <v>0</v>
      </c>
      <c r="M73" s="55">
        <f t="shared" si="20"/>
        <v>4.482696790389098</v>
      </c>
      <c r="N73" s="72">
        <f t="shared" si="21"/>
        <v>0</v>
      </c>
      <c r="O73" s="72">
        <f t="shared" si="22"/>
        <v>0</v>
      </c>
    </row>
    <row r="74" spans="1:15" x14ac:dyDescent="0.2">
      <c r="A74">
        <f t="shared" si="23"/>
        <v>2010</v>
      </c>
      <c r="B74">
        <f>'P syphilis cases-rates'!P20+'S syphilis cases-rates'!P20+'EL syphilis cases-rates'!P20</f>
        <v>0</v>
      </c>
      <c r="C74">
        <f>'P syphilis cases-rates'!AF20+'S syphilis cases-rates'!AF20+'EL syphilis cases-rates'!AF20</f>
        <v>1</v>
      </c>
      <c r="D74">
        <f>'P syphilis cases-rates'!X20+'S syphilis cases-rates'!X20+'EL syphilis cases-rates'!X20</f>
        <v>0</v>
      </c>
      <c r="E74">
        <v>1</v>
      </c>
      <c r="F74" s="22">
        <v>54537</v>
      </c>
      <c r="G74" s="22">
        <v>857720</v>
      </c>
      <c r="H74" s="22">
        <v>58148</v>
      </c>
      <c r="I74" s="22">
        <v>970405</v>
      </c>
      <c r="J74" s="50">
        <f t="shared" si="18"/>
        <v>0</v>
      </c>
      <c r="K74" s="50">
        <f t="shared" si="19"/>
        <v>0</v>
      </c>
      <c r="M74" s="55">
        <f t="shared" si="20"/>
        <v>0</v>
      </c>
      <c r="N74" s="72">
        <f t="shared" si="21"/>
        <v>0.1165881639695938</v>
      </c>
      <c r="O74" s="72">
        <f t="shared" si="22"/>
        <v>0</v>
      </c>
    </row>
    <row r="75" spans="1:15" x14ac:dyDescent="0.2">
      <c r="A75">
        <f t="shared" si="23"/>
        <v>2011</v>
      </c>
      <c r="B75">
        <f>'P syphilis cases-rates'!P21+'S syphilis cases-rates'!P21+'EL syphilis cases-rates'!P21</f>
        <v>2</v>
      </c>
      <c r="C75">
        <f>'P syphilis cases-rates'!AF21+'S syphilis cases-rates'!AF21+'EL syphilis cases-rates'!AF21</f>
        <v>2</v>
      </c>
      <c r="D75">
        <f>'P syphilis cases-rates'!X21+'S syphilis cases-rates'!X21+'EL syphilis cases-rates'!X21</f>
        <v>1</v>
      </c>
      <c r="E75">
        <v>7</v>
      </c>
      <c r="F75" s="22">
        <v>54537</v>
      </c>
      <c r="G75" s="22">
        <v>857720</v>
      </c>
      <c r="H75" s="22">
        <v>58148</v>
      </c>
      <c r="I75" s="22">
        <v>970405</v>
      </c>
      <c r="J75" s="50">
        <f t="shared" si="18"/>
        <v>5.0838618081040652</v>
      </c>
      <c r="K75" s="50">
        <f t="shared" si="19"/>
        <v>2.3840765927338126</v>
      </c>
      <c r="M75" s="55">
        <f t="shared" si="20"/>
        <v>3.6672350881053228</v>
      </c>
      <c r="N75" s="72">
        <f t="shared" si="21"/>
        <v>0.23317632793918761</v>
      </c>
      <c r="O75" s="72">
        <f t="shared" si="22"/>
        <v>1.7197496044575911</v>
      </c>
    </row>
    <row r="76" spans="1:15" x14ac:dyDescent="0.2">
      <c r="A76" s="61">
        <f t="shared" si="23"/>
        <v>2012</v>
      </c>
      <c r="B76" s="61">
        <f>'P syphilis cases-rates'!P22+'S syphilis cases-rates'!P22+'EL syphilis cases-rates'!P22</f>
        <v>0</v>
      </c>
      <c r="C76" s="61">
        <f>'P syphilis cases-rates'!AF22+'S syphilis cases-rates'!AF22+'EL syphilis cases-rates'!AF22</f>
        <v>2</v>
      </c>
      <c r="D76" s="61">
        <f>'P syphilis cases-rates'!X22+'S syphilis cases-rates'!X22+'EL syphilis cases-rates'!X22</f>
        <v>0</v>
      </c>
      <c r="E76" s="61">
        <v>5</v>
      </c>
      <c r="F76" s="62">
        <v>54537</v>
      </c>
      <c r="G76" s="62">
        <v>857720</v>
      </c>
      <c r="H76" s="62">
        <v>58148</v>
      </c>
      <c r="I76" s="62">
        <v>970405</v>
      </c>
      <c r="J76" s="63">
        <f t="shared" si="18"/>
        <v>0</v>
      </c>
      <c r="K76" s="63">
        <f t="shared" si="19"/>
        <v>0</v>
      </c>
      <c r="M76" s="55">
        <f t="shared" si="20"/>
        <v>0</v>
      </c>
      <c r="N76" s="72">
        <f t="shared" si="21"/>
        <v>0.23317632793918761</v>
      </c>
      <c r="O76" s="72">
        <f t="shared" si="22"/>
        <v>0</v>
      </c>
    </row>
    <row r="77" spans="1:15" x14ac:dyDescent="0.2">
      <c r="A77" s="61">
        <f t="shared" si="23"/>
        <v>2013</v>
      </c>
      <c r="B77" s="61">
        <f>'P syphilis cases-rates'!P23+'S syphilis cases-rates'!P23+'EL syphilis cases-rates'!P23</f>
        <v>9</v>
      </c>
      <c r="C77" s="61">
        <f>'P syphilis cases-rates'!AF23+'S syphilis cases-rates'!AF23+'EL syphilis cases-rates'!AF23</f>
        <v>4</v>
      </c>
      <c r="D77" s="61">
        <f>'P syphilis cases-rates'!X23+'S syphilis cases-rates'!X23+'EL syphilis cases-rates'!X23</f>
        <v>2</v>
      </c>
      <c r="E77" s="61">
        <v>13</v>
      </c>
      <c r="F77" s="62">
        <v>54537</v>
      </c>
      <c r="G77" s="62">
        <v>857720</v>
      </c>
      <c r="H77" s="62">
        <v>58148</v>
      </c>
      <c r="I77" s="62">
        <v>970405</v>
      </c>
      <c r="J77" s="63">
        <f t="shared" si="18"/>
        <v>12.318588227329082</v>
      </c>
      <c r="K77" s="63">
        <f t="shared" si="19"/>
        <v>2.5674670998671822</v>
      </c>
      <c r="M77" s="55">
        <f t="shared" si="20"/>
        <v>16.502557896473952</v>
      </c>
      <c r="N77" s="72">
        <f t="shared" si="21"/>
        <v>0.46635265587837521</v>
      </c>
      <c r="O77" s="72">
        <f t="shared" si="22"/>
        <v>3.4394992089151821</v>
      </c>
    </row>
    <row r="78" spans="1:15" x14ac:dyDescent="0.2">
      <c r="A78" s="61">
        <f t="shared" si="23"/>
        <v>2014</v>
      </c>
      <c r="B78" s="61">
        <f>'P syphilis cases-rates'!P24+'S syphilis cases-rates'!P24+'EL syphilis cases-rates'!P24</f>
        <v>2</v>
      </c>
      <c r="C78" s="61">
        <f>'P syphilis cases-rates'!AF24+'S syphilis cases-rates'!AF24+'EL syphilis cases-rates'!AF24</f>
        <v>4</v>
      </c>
      <c r="D78" s="61">
        <f>'P syphilis cases-rates'!X24+'S syphilis cases-rates'!X24+'EL syphilis cases-rates'!X24</f>
        <v>0</v>
      </c>
      <c r="E78" s="61">
        <v>5</v>
      </c>
      <c r="F78" s="62">
        <v>54537</v>
      </c>
      <c r="G78" s="62">
        <v>857720</v>
      </c>
      <c r="H78" s="62">
        <v>58148</v>
      </c>
      <c r="I78" s="62">
        <v>970405</v>
      </c>
      <c r="J78" s="63">
        <f t="shared" si="18"/>
        <v>7.1174065313456918</v>
      </c>
      <c r="K78" s="63">
        <f t="shared" si="19"/>
        <v>0</v>
      </c>
      <c r="M78" s="55">
        <f t="shared" si="20"/>
        <v>3.6672350881053228</v>
      </c>
      <c r="N78" s="72">
        <f t="shared" si="21"/>
        <v>0.46635265587837521</v>
      </c>
      <c r="O78" s="72">
        <f t="shared" si="22"/>
        <v>0</v>
      </c>
    </row>
    <row r="79" spans="1:15" x14ac:dyDescent="0.2">
      <c r="A79" s="61">
        <f t="shared" si="23"/>
        <v>2015</v>
      </c>
      <c r="B79" s="61">
        <f>'P syphilis cases-rates'!P25+'S syphilis cases-rates'!P25+'EL syphilis cases-rates'!P25</f>
        <v>1</v>
      </c>
      <c r="C79" s="61">
        <f>'P syphilis cases-rates'!AF25+'S syphilis cases-rates'!AF25+'EL syphilis cases-rates'!AF25</f>
        <v>2</v>
      </c>
      <c r="D79" s="61">
        <f>'P syphilis cases-rates'!X25+'S syphilis cases-rates'!X25+'EL syphilis cases-rates'!X25</f>
        <v>3</v>
      </c>
      <c r="E79" s="61">
        <v>7</v>
      </c>
      <c r="F79" s="62">
        <v>64283</v>
      </c>
      <c r="G79" s="62">
        <v>873234</v>
      </c>
      <c r="H79" s="62">
        <v>74190</v>
      </c>
      <c r="I79" s="62">
        <v>1011707</v>
      </c>
      <c r="J79" s="63">
        <f t="shared" si="18"/>
        <v>2.2483327073809782</v>
      </c>
      <c r="K79" s="63">
        <f t="shared" si="19"/>
        <v>5.8443013113049505</v>
      </c>
      <c r="M79" s="55">
        <f t="shared" si="20"/>
        <v>1.5556212373411322</v>
      </c>
      <c r="N79" s="72">
        <f t="shared" si="21"/>
        <v>0.2290336839839035</v>
      </c>
      <c r="O79" s="72">
        <f t="shared" si="22"/>
        <v>4.0436716538617068</v>
      </c>
    </row>
    <row r="80" spans="1:15" x14ac:dyDescent="0.2">
      <c r="A80" s="61">
        <f t="shared" si="23"/>
        <v>2016</v>
      </c>
      <c r="B80" s="61">
        <f>'P syphilis cases-rates'!P26+'S syphilis cases-rates'!P26+'EL syphilis cases-rates'!P26</f>
        <v>3</v>
      </c>
      <c r="C80" s="61">
        <f>'P syphilis cases-rates'!AF26+'S syphilis cases-rates'!AF26+'EL syphilis cases-rates'!AF26</f>
        <v>1</v>
      </c>
      <c r="D80" s="61">
        <f>'P syphilis cases-rates'!X26+'S syphilis cases-rates'!X26+'EL syphilis cases-rates'!X26</f>
        <v>2</v>
      </c>
      <c r="E80" s="61">
        <v>7</v>
      </c>
      <c r="F80" s="62">
        <v>64283</v>
      </c>
      <c r="G80" s="62">
        <v>873234</v>
      </c>
      <c r="H80" s="62">
        <v>74190</v>
      </c>
      <c r="I80" s="62">
        <v>1011707</v>
      </c>
      <c r="J80" s="63">
        <f t="shared" si="18"/>
        <v>6.7449981221429347</v>
      </c>
      <c r="K80" s="63">
        <f t="shared" si="19"/>
        <v>3.8962008742033003</v>
      </c>
      <c r="M80" s="55">
        <f t="shared" si="20"/>
        <v>4.6668637120233969</v>
      </c>
      <c r="N80" s="72">
        <f t="shared" si="21"/>
        <v>0.11451684199195175</v>
      </c>
      <c r="O80" s="72">
        <f t="shared" si="22"/>
        <v>2.6957811025744709</v>
      </c>
    </row>
    <row r="81" spans="1:12" x14ac:dyDescent="0.2">
      <c r="A81" t="s">
        <v>138</v>
      </c>
      <c r="H81" s="22"/>
      <c r="I81" s="22"/>
      <c r="J81" s="64">
        <f>AVERAGE(J76:J80)</f>
        <v>5.6858651176397377</v>
      </c>
      <c r="K81" s="64">
        <f>AVERAGE(K76:K80)</f>
        <v>2.4615938570750866</v>
      </c>
      <c r="L81" s="22"/>
    </row>
    <row r="82" spans="1:12" x14ac:dyDescent="0.2">
      <c r="H82" s="22"/>
      <c r="J82" s="65"/>
      <c r="K82" s="65"/>
      <c r="L82" s="66"/>
    </row>
    <row r="83" spans="1:12" x14ac:dyDescent="0.2">
      <c r="H83" s="22"/>
    </row>
    <row r="84" spans="1:12" x14ac:dyDescent="0.2">
      <c r="H84" s="22"/>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0" sqref="A10"/>
    </sheetView>
  </sheetViews>
  <sheetFormatPr baseColWidth="10" defaultRowHeight="16" x14ac:dyDescent="0.2"/>
  <sheetData>
    <row r="1" spans="1:5" x14ac:dyDescent="0.2">
      <c r="A1" t="s">
        <v>2</v>
      </c>
      <c r="B1" t="s">
        <v>0</v>
      </c>
      <c r="C1" t="s">
        <v>76</v>
      </c>
      <c r="D1" t="s">
        <v>77</v>
      </c>
      <c r="E1" t="s">
        <v>157</v>
      </c>
    </row>
    <row r="2" spans="1:5" x14ac:dyDescent="0.2">
      <c r="B2">
        <v>2012</v>
      </c>
      <c r="C2">
        <v>273</v>
      </c>
      <c r="D2">
        <v>146</v>
      </c>
      <c r="E2" s="73">
        <v>322</v>
      </c>
    </row>
    <row r="3" spans="1:5" x14ac:dyDescent="0.2">
      <c r="B3">
        <v>2013</v>
      </c>
      <c r="C3">
        <v>371</v>
      </c>
      <c r="D3">
        <v>172</v>
      </c>
      <c r="E3" s="73">
        <v>440</v>
      </c>
    </row>
    <row r="4" spans="1:5" x14ac:dyDescent="0.2">
      <c r="B4">
        <v>2014</v>
      </c>
      <c r="C4">
        <v>288</v>
      </c>
      <c r="D4">
        <v>117</v>
      </c>
      <c r="E4" s="73">
        <v>392</v>
      </c>
    </row>
    <row r="5" spans="1:5" x14ac:dyDescent="0.2">
      <c r="B5">
        <v>2015</v>
      </c>
      <c r="C5">
        <v>416</v>
      </c>
      <c r="D5">
        <v>160</v>
      </c>
      <c r="E5" s="73">
        <v>506</v>
      </c>
    </row>
    <row r="6" spans="1:5" x14ac:dyDescent="0.2">
      <c r="B6">
        <v>2016</v>
      </c>
      <c r="C6">
        <v>447</v>
      </c>
      <c r="D6">
        <v>154</v>
      </c>
      <c r="E6" s="73">
        <v>634</v>
      </c>
    </row>
    <row r="9" spans="1:5" x14ac:dyDescent="0.2">
      <c r="A9" t="s">
        <v>3</v>
      </c>
    </row>
    <row r="10" spans="1:5" x14ac:dyDescent="0.2">
      <c r="B10" t="s">
        <v>0</v>
      </c>
      <c r="C10" t="s">
        <v>76</v>
      </c>
      <c r="D10" t="s">
        <v>77</v>
      </c>
      <c r="E10" t="s">
        <v>157</v>
      </c>
    </row>
    <row r="11" spans="1:5" x14ac:dyDescent="0.2">
      <c r="B11">
        <v>2012</v>
      </c>
      <c r="C11">
        <v>87</v>
      </c>
      <c r="D11">
        <v>68</v>
      </c>
      <c r="E11">
        <v>101</v>
      </c>
    </row>
    <row r="12" spans="1:5" x14ac:dyDescent="0.2">
      <c r="B12">
        <v>2013</v>
      </c>
      <c r="C12">
        <v>142</v>
      </c>
      <c r="D12">
        <v>113</v>
      </c>
      <c r="E12">
        <v>173</v>
      </c>
    </row>
    <row r="13" spans="1:5" x14ac:dyDescent="0.2">
      <c r="B13">
        <v>2014</v>
      </c>
      <c r="C13">
        <v>98</v>
      </c>
      <c r="D13">
        <v>63</v>
      </c>
      <c r="E13">
        <v>136</v>
      </c>
    </row>
    <row r="14" spans="1:5" x14ac:dyDescent="0.2">
      <c r="B14">
        <v>2015</v>
      </c>
      <c r="C14">
        <v>172</v>
      </c>
      <c r="D14">
        <v>103</v>
      </c>
      <c r="E14">
        <v>207</v>
      </c>
    </row>
    <row r="15" spans="1:5" x14ac:dyDescent="0.2">
      <c r="B15">
        <v>2016</v>
      </c>
      <c r="C15">
        <v>165</v>
      </c>
      <c r="D15">
        <v>120</v>
      </c>
      <c r="E15">
        <v>267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 syphilis cases-rates</vt:lpstr>
      <vt:lpstr>S syphilis cases-rates</vt:lpstr>
      <vt:lpstr>EL syphilis cases-rates</vt:lpstr>
      <vt:lpstr>MSM + HIV</vt:lpstr>
      <vt:lpstr>calculations for model</vt:lpstr>
      <vt:lpstr>calculations ii</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Ashleigh</dc:creator>
  <cp:lastModifiedBy>Microsoft Office User</cp:lastModifiedBy>
  <dcterms:created xsi:type="dcterms:W3CDTF">2017-04-05T13:53:35Z</dcterms:created>
  <dcterms:modified xsi:type="dcterms:W3CDTF">2018-12-19T19:59:29Z</dcterms:modified>
</cp:coreProperties>
</file>