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УИТП\ГОТОВО\М4\"/>
    </mc:Choice>
  </mc:AlternateContent>
  <bookViews>
    <workbookView xWindow="0" yWindow="0" windowWidth="28800" windowHeight="12045" tabRatio="929" activeTab="10"/>
  </bookViews>
  <sheets>
    <sheet name="Окружение" sheetId="2" r:id="rId1"/>
    <sheet name="Пр-во и Продажи" sheetId="1" r:id="rId2"/>
    <sheet name="Персонал" sheetId="4" r:id="rId3"/>
    <sheet name="Затраты" sheetId="5" r:id="rId4"/>
    <sheet name="НА и ОС" sheetId="6" r:id="rId5"/>
    <sheet name="Оборот. К." sheetId="8" state="hidden" r:id="rId6"/>
    <sheet name="Финан-е" sheetId="9" r:id="rId7"/>
    <sheet name="Форма 1" sheetId="19" state="hidden" r:id="rId8"/>
    <sheet name="Форма 2" sheetId="7" state="hidden" r:id="rId9"/>
    <sheet name="CF" sheetId="18" r:id="rId10"/>
    <sheet name="Анализ проекта" sheetId="10" r:id="rId11"/>
    <sheet name="Прогнозные отчеты" sheetId="21" r:id="rId12"/>
    <sheet name="Общий анализ" sheetId="26" state="hidden" r:id="rId13"/>
    <sheet name="Горизонт. анализ" sheetId="23" state="hidden" r:id="rId14"/>
    <sheet name="Вертикальный анализ" sheetId="25" state="hidden" r:id="rId15"/>
    <sheet name="Анализ рентабельности" sheetId="32" state="hidden" r:id="rId16"/>
    <sheet name="Анализ ликвидности" sheetId="27" state="hidden" r:id="rId17"/>
    <sheet name="Анализ платежеспособности" sheetId="31" state="hidden" r:id="rId18"/>
    <sheet name="Анализ оборачиваемости" sheetId="28" state="hidden" r:id="rId19"/>
    <sheet name="Анализ долг. и налог. нагрузки" sheetId="34" state="hidden" r:id="rId20"/>
    <sheet name="Анализ рисков" sheetId="29" state="hidden" r:id="rId21"/>
    <sheet name="Лист1" sheetId="35" state="hidden" r:id="rId22"/>
    <sheet name="Лист2" sheetId="36" r:id="rId23"/>
  </sheets>
  <definedNames>
    <definedName name="_xlnm.Print_Area" localSheetId="0">Окружение!$A$1:$W$33</definedName>
  </definedNames>
  <calcPr calcId="152511" iterate="1" iterateCount="32767" iterateDelta="0.01"/>
</workbook>
</file>

<file path=xl/calcChain.xml><?xml version="1.0" encoding="utf-8"?>
<calcChain xmlns="http://schemas.openxmlformats.org/spreadsheetml/2006/main">
  <c r="F6" i="4" l="1"/>
  <c r="F12" i="4"/>
  <c r="F26" i="4"/>
  <c r="F29" i="4"/>
  <c r="F58" i="4"/>
  <c r="F21" i="5" l="1"/>
  <c r="G18" i="5"/>
  <c r="J57" i="5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J48" i="5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K21" i="5" l="1"/>
  <c r="M21" i="5"/>
  <c r="Q21" i="5"/>
  <c r="U21" i="5"/>
  <c r="Y21" i="5"/>
  <c r="J18" i="5"/>
  <c r="J25" i="5" s="1"/>
  <c r="K18" i="5"/>
  <c r="K25" i="5" s="1"/>
  <c r="M18" i="5"/>
  <c r="M25" i="5" s="1"/>
  <c r="O18" i="5"/>
  <c r="O25" i="5" s="1"/>
  <c r="Q18" i="5"/>
  <c r="Q25" i="5" s="1"/>
  <c r="S18" i="5"/>
  <c r="S25" i="5" s="1"/>
  <c r="U18" i="5"/>
  <c r="U25" i="5" s="1"/>
  <c r="W18" i="5"/>
  <c r="W25" i="5" s="1"/>
  <c r="Y18" i="5"/>
  <c r="Y25" i="5" s="1"/>
  <c r="H8" i="5"/>
  <c r="L8" i="5"/>
  <c r="N8" i="5"/>
  <c r="N18" i="5" s="1"/>
  <c r="P8" i="5"/>
  <c r="T8" i="5" s="1"/>
  <c r="F25" i="5"/>
  <c r="L25" i="5" l="1"/>
  <c r="H18" i="5"/>
  <c r="L18" i="5"/>
  <c r="I8" i="5"/>
  <c r="J21" i="5"/>
  <c r="W21" i="5"/>
  <c r="S21" i="5"/>
  <c r="O21" i="5"/>
  <c r="L21" i="5"/>
  <c r="R8" i="5"/>
  <c r="V8" i="5" s="1"/>
  <c r="V18" i="5" s="1"/>
  <c r="V21" i="5" s="1"/>
  <c r="T18" i="5"/>
  <c r="T21" i="5" s="1"/>
  <c r="R18" i="5"/>
  <c r="R21" i="5" s="1"/>
  <c r="P18" i="5"/>
  <c r="P25" i="5" s="1"/>
  <c r="X8" i="5"/>
  <c r="N25" i="5"/>
  <c r="N21" i="5"/>
  <c r="K73" i="4"/>
  <c r="L73" i="4" s="1"/>
  <c r="J73" i="4"/>
  <c r="J70" i="4"/>
  <c r="K70" i="4" s="1"/>
  <c r="L70" i="4" s="1"/>
  <c r="J62" i="4"/>
  <c r="K62" i="4" s="1"/>
  <c r="L62" i="4" s="1"/>
  <c r="G58" i="4"/>
  <c r="H58" i="4" s="1"/>
  <c r="J55" i="4"/>
  <c r="K55" i="4" s="1"/>
  <c r="L55" i="4" s="1"/>
  <c r="J52" i="4"/>
  <c r="K52" i="4" s="1"/>
  <c r="L52" i="4" s="1"/>
  <c r="K45" i="4"/>
  <c r="L45" i="4" s="1"/>
  <c r="J42" i="4"/>
  <c r="K42" i="4" s="1"/>
  <c r="L42" i="4" s="1"/>
  <c r="J32" i="4"/>
  <c r="K32" i="4" s="1"/>
  <c r="L32" i="4" s="1"/>
  <c r="J39" i="4"/>
  <c r="K39" i="4" s="1"/>
  <c r="L39" i="4" s="1"/>
  <c r="G29" i="4"/>
  <c r="H29" i="4" s="1"/>
  <c r="I29" i="4" s="1"/>
  <c r="J29" i="4" s="1"/>
  <c r="K29" i="4" s="1"/>
  <c r="L29" i="4" s="1"/>
  <c r="M29" i="4" s="1"/>
  <c r="N29" i="4" s="1"/>
  <c r="O29" i="4" s="1"/>
  <c r="P29" i="4" s="1"/>
  <c r="I26" i="4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G26" i="4"/>
  <c r="H26" i="4" s="1"/>
  <c r="G37" i="5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J16" i="4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G12" i="4"/>
  <c r="H12" i="4"/>
  <c r="I12" i="4" s="1"/>
  <c r="J12" i="4" s="1"/>
  <c r="G6" i="4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L5" i="1"/>
  <c r="M5" i="1"/>
  <c r="N5" i="1"/>
  <c r="O5" i="1"/>
  <c r="I18" i="5" l="1"/>
  <c r="R25" i="5"/>
  <c r="T25" i="5"/>
  <c r="V25" i="5"/>
  <c r="P21" i="5"/>
  <c r="X18" i="5"/>
  <c r="X21" i="5" s="1"/>
  <c r="K12" i="4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X25" i="5" l="1"/>
  <c r="E64" i="4"/>
  <c r="I64" i="4"/>
  <c r="I75" i="4"/>
  <c r="E75" i="4"/>
  <c r="E76" i="4"/>
  <c r="E48" i="6"/>
  <c r="G53" i="6" s="1"/>
  <c r="E32" i="6"/>
  <c r="E87" i="4"/>
  <c r="F72" i="4"/>
  <c r="G72" i="4" s="1"/>
  <c r="H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F69" i="4"/>
  <c r="E65" i="4"/>
  <c r="E86" i="4" s="1"/>
  <c r="F61" i="4"/>
  <c r="G61" i="4" s="1"/>
  <c r="H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E19" i="4"/>
  <c r="E83" i="4" s="1"/>
  <c r="E18" i="4"/>
  <c r="F15" i="4"/>
  <c r="G15" i="4" s="1"/>
  <c r="F5" i="4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F75" i="4" l="1"/>
  <c r="I76" i="4"/>
  <c r="G69" i="4"/>
  <c r="G75" i="4" s="1"/>
  <c r="F18" i="4"/>
  <c r="G18" i="4"/>
  <c r="H15" i="4"/>
  <c r="I19" i="4"/>
  <c r="G19" i="4"/>
  <c r="F19" i="4"/>
  <c r="H69" i="4" l="1"/>
  <c r="H75" i="4" s="1"/>
  <c r="H18" i="4"/>
  <c r="H19" i="4"/>
  <c r="J19" i="4"/>
  <c r="J15" i="4" l="1"/>
  <c r="I18" i="4"/>
  <c r="K19" i="4"/>
  <c r="J69" i="4" l="1"/>
  <c r="J75" i="4" s="1"/>
  <c r="K15" i="4"/>
  <c r="J18" i="4"/>
  <c r="L19" i="4"/>
  <c r="K69" i="4" l="1"/>
  <c r="K75" i="4" s="1"/>
  <c r="L15" i="4"/>
  <c r="K18" i="4"/>
  <c r="M19" i="4"/>
  <c r="L69" i="4" l="1"/>
  <c r="L75" i="4" s="1"/>
  <c r="M15" i="4"/>
  <c r="L18" i="4"/>
  <c r="N19" i="4"/>
  <c r="M69" i="4" l="1"/>
  <c r="M75" i="4" s="1"/>
  <c r="N15" i="4"/>
  <c r="M18" i="4"/>
  <c r="O19" i="4"/>
  <c r="N69" i="4" l="1"/>
  <c r="N75" i="4" s="1"/>
  <c r="O15" i="4"/>
  <c r="N18" i="4"/>
  <c r="P19" i="4"/>
  <c r="O69" i="4" l="1"/>
  <c r="O75" i="4" s="1"/>
  <c r="P15" i="4"/>
  <c r="O18" i="4"/>
  <c r="Q19" i="4"/>
  <c r="P69" i="4" l="1"/>
  <c r="P75" i="4" s="1"/>
  <c r="Q15" i="4"/>
  <c r="P18" i="4"/>
  <c r="R19" i="4"/>
  <c r="Q69" i="4" l="1"/>
  <c r="Q75" i="4" s="1"/>
  <c r="R15" i="4"/>
  <c r="Q18" i="4"/>
  <c r="S19" i="4"/>
  <c r="R69" i="4" l="1"/>
  <c r="R75" i="4" s="1"/>
  <c r="S15" i="4"/>
  <c r="R18" i="4"/>
  <c r="T19" i="4"/>
  <c r="S69" i="4" l="1"/>
  <c r="S75" i="4" s="1"/>
  <c r="T15" i="4"/>
  <c r="S18" i="4"/>
  <c r="U19" i="4"/>
  <c r="T69" i="4" l="1"/>
  <c r="T75" i="4" s="1"/>
  <c r="U15" i="4"/>
  <c r="T18" i="4"/>
  <c r="V19" i="4"/>
  <c r="U69" i="4" l="1"/>
  <c r="U75" i="4" s="1"/>
  <c r="V15" i="4"/>
  <c r="U18" i="4"/>
  <c r="X19" i="4"/>
  <c r="W19" i="4"/>
  <c r="V69" i="4" l="1"/>
  <c r="V75" i="4" s="1"/>
  <c r="W15" i="4"/>
  <c r="V18" i="4"/>
  <c r="W69" i="4" l="1"/>
  <c r="X15" i="4"/>
  <c r="X18" i="4" s="1"/>
  <c r="W18" i="4"/>
  <c r="X69" i="4" l="1"/>
  <c r="X75" i="4" s="1"/>
  <c r="W75" i="4"/>
  <c r="G24" i="19" l="1"/>
  <c r="E8" i="4" l="1"/>
  <c r="E82" i="4" s="1"/>
  <c r="I7" i="4"/>
  <c r="E7" i="4"/>
  <c r="X7" i="4"/>
  <c r="F7" i="4"/>
  <c r="W7" i="4" l="1"/>
  <c r="U7" i="4"/>
  <c r="S7" i="4"/>
  <c r="Q7" i="4"/>
  <c r="O7" i="4"/>
  <c r="M7" i="4"/>
  <c r="K7" i="4"/>
  <c r="V7" i="4"/>
  <c r="T7" i="4"/>
  <c r="R7" i="4"/>
  <c r="P7" i="4"/>
  <c r="N7" i="4"/>
  <c r="L7" i="4"/>
  <c r="J7" i="4"/>
  <c r="G8" i="4"/>
  <c r="F8" i="4"/>
  <c r="E7" i="1"/>
  <c r="H7" i="4" l="1"/>
  <c r="G7" i="4"/>
  <c r="E19" i="1"/>
  <c r="E13" i="1"/>
  <c r="A38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A39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A37" i="35"/>
  <c r="J28" i="35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E18" i="9"/>
  <c r="E19" i="9" s="1"/>
  <c r="E7" i="2"/>
  <c r="I7" i="2"/>
  <c r="J7" i="2" s="1"/>
  <c r="M7" i="2"/>
  <c r="N7" i="2" s="1"/>
  <c r="Q7" i="2"/>
  <c r="U7" i="2"/>
  <c r="V7" i="2" s="1"/>
  <c r="D8" i="2"/>
  <c r="E10" i="2" s="1"/>
  <c r="H8" i="2"/>
  <c r="I10" i="2" s="1"/>
  <c r="I8" i="2"/>
  <c r="L8" i="2"/>
  <c r="M10" i="2" s="1"/>
  <c r="P8" i="2"/>
  <c r="Q10" i="2" s="1"/>
  <c r="T8" i="2"/>
  <c r="U10" i="2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E14" i="2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E16" i="2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D20" i="2"/>
  <c r="E20" i="2"/>
  <c r="F74" i="9" s="1"/>
  <c r="F20" i="2"/>
  <c r="G20" i="2"/>
  <c r="H74" i="9" s="1"/>
  <c r="H20" i="2"/>
  <c r="I20" i="2"/>
  <c r="J74" i="9" s="1"/>
  <c r="J20" i="2"/>
  <c r="K20" i="2"/>
  <c r="L74" i="9" s="1"/>
  <c r="L20" i="2"/>
  <c r="M20" i="2"/>
  <c r="N74" i="9" s="1"/>
  <c r="N20" i="2"/>
  <c r="O20" i="2"/>
  <c r="P74" i="9" s="1"/>
  <c r="P20" i="2"/>
  <c r="Q20" i="2"/>
  <c r="R74" i="9" s="1"/>
  <c r="R20" i="2"/>
  <c r="S20" i="2"/>
  <c r="T74" i="9" s="1"/>
  <c r="T20" i="2"/>
  <c r="U20" i="2"/>
  <c r="V74" i="9" s="1"/>
  <c r="V20" i="2"/>
  <c r="W20" i="2"/>
  <c r="X74" i="9" s="1"/>
  <c r="F5" i="1"/>
  <c r="F7" i="1" s="1"/>
  <c r="G5" i="1"/>
  <c r="G7" i="1" s="1"/>
  <c r="H5" i="1"/>
  <c r="H7" i="1" s="1"/>
  <c r="I5" i="1"/>
  <c r="I7" i="1" s="1"/>
  <c r="J5" i="1"/>
  <c r="J7" i="1" s="1"/>
  <c r="K5" i="1"/>
  <c r="K7" i="1" s="1"/>
  <c r="L7" i="1"/>
  <c r="M7" i="1"/>
  <c r="N7" i="1"/>
  <c r="O7" i="1"/>
  <c r="P5" i="1"/>
  <c r="P7" i="1" s="1"/>
  <c r="Q5" i="1"/>
  <c r="Q7" i="1" s="1"/>
  <c r="R5" i="1"/>
  <c r="R7" i="1" s="1"/>
  <c r="S5" i="1"/>
  <c r="S7" i="1" s="1"/>
  <c r="T5" i="1"/>
  <c r="T7" i="1" s="1"/>
  <c r="U5" i="1"/>
  <c r="U7" i="1" s="1"/>
  <c r="V5" i="1"/>
  <c r="V7" i="1" s="1"/>
  <c r="W5" i="1"/>
  <c r="W7" i="1" s="1"/>
  <c r="X5" i="1"/>
  <c r="X7" i="1" s="1"/>
  <c r="E27" i="1"/>
  <c r="F41" i="1"/>
  <c r="G41" i="1" s="1"/>
  <c r="H41" i="1" s="1"/>
  <c r="J41" i="1"/>
  <c r="K41" i="1" s="1"/>
  <c r="L41" i="1" s="1"/>
  <c r="N41" i="1"/>
  <c r="O41" i="1" s="1"/>
  <c r="P41" i="1" s="1"/>
  <c r="R41" i="1"/>
  <c r="S41" i="1" s="1"/>
  <c r="T41" i="1" s="1"/>
  <c r="U41" i="1" s="1"/>
  <c r="V41" i="1" s="1"/>
  <c r="W41" i="1" s="1"/>
  <c r="X41" i="1" s="1"/>
  <c r="F22" i="4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F25" i="4"/>
  <c r="H25" i="4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J28" i="4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F31" i="4"/>
  <c r="G31" i="4" s="1"/>
  <c r="E33" i="4"/>
  <c r="E34" i="4"/>
  <c r="E84" i="4" s="1"/>
  <c r="F38" i="4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F41" i="4"/>
  <c r="G41" i="4" s="1"/>
  <c r="H41" i="4" s="1"/>
  <c r="F44" i="4"/>
  <c r="G44" i="4" s="1"/>
  <c r="J44" i="4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E46" i="4"/>
  <c r="E78" i="4" s="1"/>
  <c r="E47" i="4"/>
  <c r="E98" i="4" s="1"/>
  <c r="F51" i="4"/>
  <c r="G51" i="4" s="1"/>
  <c r="H51" i="4" s="1"/>
  <c r="J51" i="4"/>
  <c r="F54" i="4"/>
  <c r="G54" i="4" s="1"/>
  <c r="H54" i="4" s="1"/>
  <c r="F57" i="4"/>
  <c r="F94" i="4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S94" i="4" s="1"/>
  <c r="T94" i="4" s="1"/>
  <c r="U94" i="4" s="1"/>
  <c r="V94" i="4" s="1"/>
  <c r="W94" i="4" s="1"/>
  <c r="X94" i="4" s="1"/>
  <c r="F97" i="4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F100" i="4"/>
  <c r="G100" i="4" s="1"/>
  <c r="G7" i="5"/>
  <c r="G10" i="5"/>
  <c r="G13" i="5"/>
  <c r="G16" i="5"/>
  <c r="F36" i="5"/>
  <c r="F38" i="5"/>
  <c r="F40" i="5"/>
  <c r="F42" i="5"/>
  <c r="F43" i="5"/>
  <c r="F49" i="5"/>
  <c r="F51" i="5"/>
  <c r="F52" i="5"/>
  <c r="F93" i="5" s="1"/>
  <c r="F58" i="5"/>
  <c r="F60" i="5"/>
  <c r="F62" i="5"/>
  <c r="F63" i="5"/>
  <c r="F118" i="5" s="1"/>
  <c r="G79" i="5"/>
  <c r="H79" i="5" s="1"/>
  <c r="I79" i="5" s="1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U79" i="5" s="1"/>
  <c r="V79" i="5" s="1"/>
  <c r="W79" i="5" s="1"/>
  <c r="X79" i="5" s="1"/>
  <c r="Y79" i="5" s="1"/>
  <c r="G80" i="5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U80" i="5" s="1"/>
  <c r="V80" i="5" s="1"/>
  <c r="W80" i="5" s="1"/>
  <c r="X80" i="5" s="1"/>
  <c r="Y80" i="5" s="1"/>
  <c r="G81" i="5"/>
  <c r="H81" i="5" s="1"/>
  <c r="I81" i="5" s="1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W81" i="5" s="1"/>
  <c r="X81" i="5" s="1"/>
  <c r="Y81" i="5" s="1"/>
  <c r="G82" i="5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G89" i="5"/>
  <c r="H89" i="5" s="1"/>
  <c r="I89" i="5" s="1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89" i="5" s="1"/>
  <c r="U89" i="5" s="1"/>
  <c r="V89" i="5" s="1"/>
  <c r="W89" i="5" s="1"/>
  <c r="X89" i="5" s="1"/>
  <c r="Y89" i="5" s="1"/>
  <c r="G92" i="5"/>
  <c r="H92" i="5" s="1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W92" i="5" s="1"/>
  <c r="X92" i="5" s="1"/>
  <c r="Y92" i="5" s="1"/>
  <c r="G95" i="5"/>
  <c r="H95" i="5" s="1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U95" i="5" s="1"/>
  <c r="V95" i="5" s="1"/>
  <c r="W95" i="5" s="1"/>
  <c r="X95" i="5" s="1"/>
  <c r="Y95" i="5" s="1"/>
  <c r="G101" i="5"/>
  <c r="H101" i="5" s="1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U101" i="5" s="1"/>
  <c r="V101" i="5" s="1"/>
  <c r="W101" i="5" s="1"/>
  <c r="X101" i="5" s="1"/>
  <c r="Y101" i="5" s="1"/>
  <c r="G102" i="5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W102" i="5" s="1"/>
  <c r="X102" i="5" s="1"/>
  <c r="Y102" i="5" s="1"/>
  <c r="G103" i="5"/>
  <c r="H103" i="5" s="1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W103" i="5" s="1"/>
  <c r="X103" i="5" s="1"/>
  <c r="Y103" i="5" s="1"/>
  <c r="G104" i="5"/>
  <c r="H104" i="5" s="1"/>
  <c r="G111" i="5"/>
  <c r="H111" i="5" s="1"/>
  <c r="I111" i="5" s="1"/>
  <c r="J111" i="5" s="1"/>
  <c r="K111" i="5" s="1"/>
  <c r="L111" i="5" s="1"/>
  <c r="M111" i="5" s="1"/>
  <c r="N111" i="5" s="1"/>
  <c r="O111" i="5" s="1"/>
  <c r="G114" i="5"/>
  <c r="H114" i="5" s="1"/>
  <c r="I114" i="5" s="1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W114" i="5" s="1"/>
  <c r="X114" i="5" s="1"/>
  <c r="Y114" i="5" s="1"/>
  <c r="G117" i="5"/>
  <c r="H117" i="5" s="1"/>
  <c r="I117" i="5" s="1"/>
  <c r="J117" i="5" s="1"/>
  <c r="K117" i="5" s="1"/>
  <c r="L117" i="5" s="1"/>
  <c r="M117" i="5" s="1"/>
  <c r="N117" i="5" s="1"/>
  <c r="O117" i="5" s="1"/>
  <c r="P117" i="5" s="1"/>
  <c r="Q117" i="5" s="1"/>
  <c r="R117" i="5" s="1"/>
  <c r="S117" i="5" s="1"/>
  <c r="T117" i="5" s="1"/>
  <c r="U117" i="5" s="1"/>
  <c r="V117" i="5" s="1"/>
  <c r="W117" i="5" s="1"/>
  <c r="X117" i="5" s="1"/>
  <c r="Y117" i="5" s="1"/>
  <c r="E7" i="6"/>
  <c r="G12" i="6" s="1"/>
  <c r="G23" i="6" s="1"/>
  <c r="AA8" i="6"/>
  <c r="AB8" i="6" s="1"/>
  <c r="G11" i="6"/>
  <c r="G22" i="6" s="1"/>
  <c r="H11" i="6"/>
  <c r="H22" i="6" s="1"/>
  <c r="I11" i="6"/>
  <c r="I22" i="6" s="1"/>
  <c r="J11" i="6"/>
  <c r="J22" i="6" s="1"/>
  <c r="K11" i="6"/>
  <c r="K22" i="6" s="1"/>
  <c r="L11" i="6"/>
  <c r="L22" i="6" s="1"/>
  <c r="M11" i="6"/>
  <c r="M22" i="6" s="1"/>
  <c r="N11" i="6"/>
  <c r="N22" i="6" s="1"/>
  <c r="O11" i="6"/>
  <c r="O22" i="6" s="1"/>
  <c r="P11" i="6"/>
  <c r="P22" i="6" s="1"/>
  <c r="Q11" i="6"/>
  <c r="Q22" i="6" s="1"/>
  <c r="R11" i="6"/>
  <c r="R22" i="6" s="1"/>
  <c r="S11" i="6"/>
  <c r="S22" i="6" s="1"/>
  <c r="T11" i="6"/>
  <c r="T22" i="6" s="1"/>
  <c r="U11" i="6"/>
  <c r="U22" i="6" s="1"/>
  <c r="V11" i="6"/>
  <c r="V22" i="6" s="1"/>
  <c r="W11" i="6"/>
  <c r="W22" i="6" s="1"/>
  <c r="X11" i="6"/>
  <c r="X22" i="6" s="1"/>
  <c r="Y11" i="6"/>
  <c r="Y22" i="6" s="1"/>
  <c r="Z11" i="6"/>
  <c r="Z22" i="6" s="1"/>
  <c r="E33" i="6"/>
  <c r="G38" i="6" s="1"/>
  <c r="AA34" i="6"/>
  <c r="AB34" i="6" s="1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E49" i="6"/>
  <c r="H54" i="6" s="1"/>
  <c r="AA50" i="6"/>
  <c r="AB50" i="6" s="1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E65" i="6"/>
  <c r="H70" i="6" s="1"/>
  <c r="AA66" i="6"/>
  <c r="AB66" i="6" s="1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E81" i="6"/>
  <c r="H86" i="6" s="1"/>
  <c r="AA82" i="6"/>
  <c r="AB82" i="6" s="1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E5" i="9"/>
  <c r="E9" i="9" s="1"/>
  <c r="F5" i="9"/>
  <c r="G5" i="9"/>
  <c r="H5" i="9"/>
  <c r="I5" i="9"/>
  <c r="J5" i="9"/>
  <c r="M5" i="9"/>
  <c r="N5" i="9"/>
  <c r="P5" i="9"/>
  <c r="Q5" i="9"/>
  <c r="R5" i="9"/>
  <c r="S5" i="9"/>
  <c r="T5" i="9"/>
  <c r="U5" i="9"/>
  <c r="V5" i="9"/>
  <c r="W5" i="9"/>
  <c r="X5" i="9"/>
  <c r="F14" i="9"/>
  <c r="G14" i="9" s="1"/>
  <c r="H14" i="9" s="1"/>
  <c r="H15" i="9" s="1"/>
  <c r="E15" i="9"/>
  <c r="F15" i="9"/>
  <c r="F26" i="9"/>
  <c r="G26" i="9" s="1"/>
  <c r="E27" i="9"/>
  <c r="E32" i="9" s="1"/>
  <c r="E34" i="9" s="1"/>
  <c r="E35" i="9" s="1"/>
  <c r="E36" i="9" s="1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E31" i="9"/>
  <c r="F41" i="9"/>
  <c r="G41" i="9" s="1"/>
  <c r="H41" i="9" s="1"/>
  <c r="E42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E46" i="9"/>
  <c r="E47" i="9" s="1"/>
  <c r="E49" i="9" s="1"/>
  <c r="E50" i="9" s="1"/>
  <c r="F53" i="9"/>
  <c r="F54" i="9" s="1"/>
  <c r="G53" i="9"/>
  <c r="H53" i="9" s="1"/>
  <c r="E54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E58" i="9"/>
  <c r="E59" i="9" s="1"/>
  <c r="E61" i="9" s="1"/>
  <c r="E62" i="9" s="1"/>
  <c r="E74" i="9"/>
  <c r="G74" i="9"/>
  <c r="I74" i="9"/>
  <c r="K74" i="9"/>
  <c r="M74" i="9"/>
  <c r="O74" i="9"/>
  <c r="Q74" i="9"/>
  <c r="S74" i="9"/>
  <c r="U74" i="9"/>
  <c r="W74" i="9"/>
  <c r="E78" i="9"/>
  <c r="F78" i="9" s="1"/>
  <c r="G78" i="9" s="1"/>
  <c r="H78" i="9" s="1"/>
  <c r="I78" i="9" s="1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E26" i="29"/>
  <c r="F26" i="29" s="1"/>
  <c r="E27" i="29"/>
  <c r="F27" i="29" s="1"/>
  <c r="E28" i="29"/>
  <c r="F28" i="29" s="1"/>
  <c r="E29" i="29"/>
  <c r="F29" i="29" s="1"/>
  <c r="F22" i="19"/>
  <c r="F21" i="19" s="1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V21" i="19" s="1"/>
  <c r="W22" i="19"/>
  <c r="X22" i="19"/>
  <c r="Y22" i="19"/>
  <c r="F23" i="19"/>
  <c r="G23" i="19"/>
  <c r="H23" i="19"/>
  <c r="H21" i="19" s="1"/>
  <c r="I23" i="19"/>
  <c r="I21" i="19" s="1"/>
  <c r="C24" i="21" s="1"/>
  <c r="J23" i="19"/>
  <c r="J21" i="19" s="1"/>
  <c r="K23" i="19"/>
  <c r="L23" i="19"/>
  <c r="L21" i="19" s="1"/>
  <c r="M23" i="19"/>
  <c r="N23" i="19"/>
  <c r="N21" i="19" s="1"/>
  <c r="O23" i="19"/>
  <c r="P23" i="19"/>
  <c r="P21" i="19" s="1"/>
  <c r="Q23" i="19"/>
  <c r="R23" i="19"/>
  <c r="R21" i="19" s="1"/>
  <c r="S23" i="19"/>
  <c r="T23" i="19"/>
  <c r="T21" i="19" s="1"/>
  <c r="U23" i="19"/>
  <c r="V23" i="19"/>
  <c r="W23" i="19"/>
  <c r="X23" i="19"/>
  <c r="X21" i="19" s="1"/>
  <c r="Y23" i="19"/>
  <c r="Y21" i="19" s="1"/>
  <c r="G24" i="21" s="1"/>
  <c r="F24" i="19"/>
  <c r="H24" i="19"/>
  <c r="I24" i="19"/>
  <c r="C25" i="21" s="1"/>
  <c r="J24" i="19"/>
  <c r="K24" i="19"/>
  <c r="L24" i="19"/>
  <c r="M24" i="19"/>
  <c r="D25" i="21" s="1"/>
  <c r="D25" i="26" s="1"/>
  <c r="N24" i="19"/>
  <c r="O24" i="19"/>
  <c r="P24" i="19"/>
  <c r="Q24" i="19"/>
  <c r="E25" i="21" s="1"/>
  <c r="R24" i="19"/>
  <c r="S24" i="19"/>
  <c r="T24" i="19"/>
  <c r="U24" i="19"/>
  <c r="F25" i="21" s="1"/>
  <c r="F25" i="26" s="1"/>
  <c r="V24" i="19"/>
  <c r="W24" i="19"/>
  <c r="X24" i="19"/>
  <c r="Y24" i="19"/>
  <c r="G25" i="21" s="1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G27" i="18"/>
  <c r="H27" i="18"/>
  <c r="I27" i="18"/>
  <c r="J27" i="18"/>
  <c r="K27" i="18"/>
  <c r="L27" i="18"/>
  <c r="L26" i="18" s="1"/>
  <c r="M27" i="18"/>
  <c r="N27" i="18"/>
  <c r="N26" i="18" s="1"/>
  <c r="O27" i="18"/>
  <c r="P27" i="18"/>
  <c r="Q27" i="18"/>
  <c r="R27" i="18"/>
  <c r="R26" i="18" s="1"/>
  <c r="S27" i="18"/>
  <c r="T27" i="18"/>
  <c r="U27" i="18"/>
  <c r="V27" i="18"/>
  <c r="W27" i="18"/>
  <c r="X27" i="18"/>
  <c r="Y27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G14" i="10"/>
  <c r="H14" i="10" s="1"/>
  <c r="I14" i="10" s="1"/>
  <c r="J14" i="10" s="1"/>
  <c r="K14" i="10" s="1"/>
  <c r="G20" i="10"/>
  <c r="C2" i="21"/>
  <c r="D2" i="21" s="1"/>
  <c r="E2" i="21" s="1"/>
  <c r="F2" i="21" s="1"/>
  <c r="G2" i="21" s="1"/>
  <c r="C47" i="21"/>
  <c r="D47" i="21" s="1"/>
  <c r="E47" i="21" s="1"/>
  <c r="F47" i="21" s="1"/>
  <c r="G47" i="21" s="1"/>
  <c r="C2" i="26"/>
  <c r="D2" i="26" s="1"/>
  <c r="E2" i="26" s="1"/>
  <c r="F2" i="26" s="1"/>
  <c r="G2" i="26" s="1"/>
  <c r="C44" i="26"/>
  <c r="D44" i="26" s="1"/>
  <c r="E44" i="26" s="1"/>
  <c r="F44" i="26" s="1"/>
  <c r="G44" i="26" s="1"/>
  <c r="C2" i="23"/>
  <c r="D2" i="23" s="1"/>
  <c r="E2" i="23" s="1"/>
  <c r="F2" i="23" s="1"/>
  <c r="G2" i="23" s="1"/>
  <c r="C43" i="23"/>
  <c r="D43" i="23" s="1"/>
  <c r="E43" i="23" s="1"/>
  <c r="F43" i="23" s="1"/>
  <c r="G43" i="23" s="1"/>
  <c r="C72" i="23"/>
  <c r="D72" i="23" s="1"/>
  <c r="E72" i="23" s="1"/>
  <c r="F72" i="23" s="1"/>
  <c r="G72" i="23" s="1"/>
  <c r="C74" i="23"/>
  <c r="C75" i="23"/>
  <c r="C76" i="23"/>
  <c r="C77" i="23"/>
  <c r="C2" i="25"/>
  <c r="D2" i="25" s="1"/>
  <c r="E2" i="25" s="1"/>
  <c r="F2" i="25" s="1"/>
  <c r="G2" i="25" s="1"/>
  <c r="C45" i="25"/>
  <c r="D45" i="25" s="1"/>
  <c r="E45" i="25" s="1"/>
  <c r="F45" i="25" s="1"/>
  <c r="G45" i="25" s="1"/>
  <c r="C2" i="32"/>
  <c r="D2" i="32" s="1"/>
  <c r="E2" i="32" s="1"/>
  <c r="F2" i="32" s="1"/>
  <c r="G2" i="32" s="1"/>
  <c r="C2" i="27"/>
  <c r="D2" i="27" s="1"/>
  <c r="E2" i="27" s="1"/>
  <c r="F2" i="27" s="1"/>
  <c r="G2" i="27" s="1"/>
  <c r="C2" i="31"/>
  <c r="D2" i="31" s="1"/>
  <c r="E2" i="31" s="1"/>
  <c r="F2" i="31" s="1"/>
  <c r="G2" i="31" s="1"/>
  <c r="C2" i="28"/>
  <c r="D2" i="28" s="1"/>
  <c r="E2" i="28" s="1"/>
  <c r="F2" i="28" s="1"/>
  <c r="G2" i="28" s="1"/>
  <c r="C40" i="28"/>
  <c r="C41" i="28"/>
  <c r="C42" i="28"/>
  <c r="C2" i="34"/>
  <c r="D2" i="34" s="1"/>
  <c r="E2" i="34" s="1"/>
  <c r="F2" i="34" s="1"/>
  <c r="G2" i="34" s="1"/>
  <c r="V26" i="18"/>
  <c r="E63" i="9"/>
  <c r="J26" i="18"/>
  <c r="G21" i="19"/>
  <c r="F46" i="9"/>
  <c r="G46" i="9" s="1"/>
  <c r="H46" i="9" s="1"/>
  <c r="I46" i="9" s="1"/>
  <c r="J46" i="9" s="1"/>
  <c r="K46" i="9" s="1"/>
  <c r="L46" i="9" s="1"/>
  <c r="M46" i="9" s="1"/>
  <c r="N46" i="9" s="1"/>
  <c r="W21" i="19"/>
  <c r="H13" i="5"/>
  <c r="E8" i="2"/>
  <c r="F23" i="4" s="1"/>
  <c r="F7" i="2"/>
  <c r="F8" i="2" s="1"/>
  <c r="U8" i="2"/>
  <c r="V10" i="2" s="1"/>
  <c r="E9" i="2"/>
  <c r="F9" i="2" s="1"/>
  <c r="F45" i="4"/>
  <c r="F39" i="4"/>
  <c r="G39" i="4" s="1"/>
  <c r="G39" i="5"/>
  <c r="G40" i="5" s="1"/>
  <c r="G57" i="5"/>
  <c r="G58" i="5" s="1"/>
  <c r="F32" i="4"/>
  <c r="F55" i="4"/>
  <c r="G55" i="4" s="1"/>
  <c r="G11" i="5"/>
  <c r="G14" i="5"/>
  <c r="H14" i="5" s="1"/>
  <c r="F42" i="4"/>
  <c r="G35" i="5"/>
  <c r="G48" i="5"/>
  <c r="H49" i="5" s="1"/>
  <c r="G59" i="5"/>
  <c r="G60" i="5" s="1"/>
  <c r="G17" i="5"/>
  <c r="F52" i="4"/>
  <c r="G41" i="5"/>
  <c r="G42" i="5" s="1"/>
  <c r="G61" i="5"/>
  <c r="G50" i="5"/>
  <c r="G51" i="5" s="1"/>
  <c r="P111" i="5"/>
  <c r="Q111" i="5" s="1"/>
  <c r="R111" i="5" s="1"/>
  <c r="S111" i="5" s="1"/>
  <c r="T111" i="5" s="1"/>
  <c r="U111" i="5" s="1"/>
  <c r="V111" i="5" s="1"/>
  <c r="W111" i="5" s="1"/>
  <c r="X111" i="5" s="1"/>
  <c r="Y111" i="5" s="1"/>
  <c r="U21" i="19"/>
  <c r="F24" i="21" s="1"/>
  <c r="G24" i="26" s="1"/>
  <c r="N96" i="6" l="1"/>
  <c r="M23" i="18" s="1"/>
  <c r="H17" i="5"/>
  <c r="G42" i="4"/>
  <c r="G47" i="4" s="1"/>
  <c r="G85" i="4" s="1"/>
  <c r="I14" i="9"/>
  <c r="G42" i="9"/>
  <c r="G54" i="9"/>
  <c r="G25" i="5"/>
  <c r="G21" i="5"/>
  <c r="W70" i="6"/>
  <c r="H38" i="6"/>
  <c r="G86" i="6"/>
  <c r="G87" i="6" s="1"/>
  <c r="W86" i="6"/>
  <c r="X38" i="6"/>
  <c r="Q21" i="19"/>
  <c r="E24" i="21" s="1"/>
  <c r="G54" i="6"/>
  <c r="G55" i="6" s="1"/>
  <c r="G56" i="6" s="1"/>
  <c r="F6" i="18"/>
  <c r="O26" i="18"/>
  <c r="M26" i="18"/>
  <c r="K26" i="18"/>
  <c r="I26" i="18"/>
  <c r="G26" i="18"/>
  <c r="I41" i="9"/>
  <c r="H42" i="9"/>
  <c r="J10" i="2"/>
  <c r="J18" i="1"/>
  <c r="R7" i="2"/>
  <c r="S7" i="2" s="1"/>
  <c r="S8" i="2" s="1"/>
  <c r="T10" i="2" s="1"/>
  <c r="Q29" i="4"/>
  <c r="R29" i="4" s="1"/>
  <c r="S29" i="4" s="1"/>
  <c r="T29" i="4" s="1"/>
  <c r="U29" i="4" s="1"/>
  <c r="V29" i="4" s="1"/>
  <c r="W29" i="4" s="1"/>
  <c r="X29" i="4" s="1"/>
  <c r="H61" i="5"/>
  <c r="H62" i="5" s="1"/>
  <c r="G32" i="4"/>
  <c r="G45" i="4"/>
  <c r="F10" i="2"/>
  <c r="G23" i="4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F70" i="4"/>
  <c r="G70" i="4" s="1"/>
  <c r="F62" i="4"/>
  <c r="G62" i="4" s="1"/>
  <c r="F16" i="4"/>
  <c r="G16" i="4" s="1"/>
  <c r="F73" i="4"/>
  <c r="F18" i="1"/>
  <c r="G15" i="9"/>
  <c r="F32" i="19"/>
  <c r="F58" i="9"/>
  <c r="G58" i="9" s="1"/>
  <c r="H58" i="9" s="1"/>
  <c r="F9" i="9"/>
  <c r="G9" i="9" s="1"/>
  <c r="N86" i="6"/>
  <c r="K51" i="4"/>
  <c r="Q8" i="2"/>
  <c r="R10" i="2" s="1"/>
  <c r="G70" i="6"/>
  <c r="O70" i="6"/>
  <c r="X26" i="18"/>
  <c r="T26" i="18"/>
  <c r="P26" i="18"/>
  <c r="H26" i="18"/>
  <c r="D24" i="23"/>
  <c r="Y26" i="18"/>
  <c r="U26" i="18"/>
  <c r="Q26" i="18"/>
  <c r="D66" i="21"/>
  <c r="D26" i="31" s="1"/>
  <c r="M21" i="19"/>
  <c r="D24" i="21" s="1"/>
  <c r="E24" i="26" s="1"/>
  <c r="Z86" i="6"/>
  <c r="J86" i="6"/>
  <c r="P38" i="6"/>
  <c r="O12" i="6"/>
  <c r="O23" i="6" s="1"/>
  <c r="W26" i="18"/>
  <c r="S26" i="18"/>
  <c r="G66" i="21"/>
  <c r="G5" i="34" s="1"/>
  <c r="F66" i="21"/>
  <c r="G62" i="23" s="1"/>
  <c r="C66" i="21"/>
  <c r="C5" i="34" s="1"/>
  <c r="S21" i="19"/>
  <c r="O21" i="19"/>
  <c r="S86" i="6"/>
  <c r="F14" i="2"/>
  <c r="F83" i="4"/>
  <c r="F82" i="4"/>
  <c r="W12" i="6"/>
  <c r="W23" i="6" s="1"/>
  <c r="G57" i="4"/>
  <c r="F64" i="4"/>
  <c r="G26" i="31"/>
  <c r="G27" i="31" s="1"/>
  <c r="F5" i="34"/>
  <c r="E66" i="21"/>
  <c r="E5" i="34" s="1"/>
  <c r="F31" i="9"/>
  <c r="G31" i="9" s="1"/>
  <c r="H31" i="9" s="1"/>
  <c r="I31" i="9" s="1"/>
  <c r="J31" i="9" s="1"/>
  <c r="G96" i="6"/>
  <c r="Y86" i="6"/>
  <c r="U86" i="6"/>
  <c r="P86" i="6"/>
  <c r="L86" i="6"/>
  <c r="I86" i="6"/>
  <c r="AA85" i="6"/>
  <c r="AB85" i="6" s="1"/>
  <c r="T96" i="6"/>
  <c r="S23" i="18" s="1"/>
  <c r="AA11" i="6"/>
  <c r="AB11" i="6" s="1"/>
  <c r="F29" i="5"/>
  <c r="F27" i="5"/>
  <c r="F28" i="5" s="1"/>
  <c r="F31" i="5"/>
  <c r="Q96" i="6"/>
  <c r="P23" i="18" s="1"/>
  <c r="T38" i="6"/>
  <c r="L38" i="6"/>
  <c r="E79" i="4"/>
  <c r="H8" i="4"/>
  <c r="G36" i="5"/>
  <c r="H35" i="5"/>
  <c r="I8" i="4"/>
  <c r="S70" i="6"/>
  <c r="K70" i="6"/>
  <c r="W54" i="6"/>
  <c r="S12" i="6"/>
  <c r="S23" i="6" s="1"/>
  <c r="F26" i="18"/>
  <c r="G24" i="23"/>
  <c r="F19" i="9"/>
  <c r="F29" i="19"/>
  <c r="E20" i="9"/>
  <c r="E22" i="9" s="1"/>
  <c r="E23" i="9" s="1"/>
  <c r="E24" i="9" s="1"/>
  <c r="E37" i="9" s="1"/>
  <c r="E70" i="9" s="1"/>
  <c r="E75" i="9" s="1"/>
  <c r="Y70" i="6"/>
  <c r="U70" i="6"/>
  <c r="Q70" i="6"/>
  <c r="M70" i="6"/>
  <c r="I70" i="6"/>
  <c r="AA69" i="6"/>
  <c r="AB69" i="6" s="1"/>
  <c r="AA53" i="6"/>
  <c r="AB53" i="6" s="1"/>
  <c r="X96" i="6"/>
  <c r="W23" i="18" s="1"/>
  <c r="R96" i="6"/>
  <c r="Q23" i="18" s="1"/>
  <c r="P96" i="6"/>
  <c r="O23" i="18" s="1"/>
  <c r="L96" i="6"/>
  <c r="K23" i="18" s="1"/>
  <c r="H96" i="6"/>
  <c r="G23" i="18" s="1"/>
  <c r="AA37" i="6"/>
  <c r="AB37" i="6" s="1"/>
  <c r="Z96" i="6"/>
  <c r="Y23" i="18" s="1"/>
  <c r="V96" i="6"/>
  <c r="U23" i="18" s="1"/>
  <c r="J96" i="6"/>
  <c r="I23" i="18" s="1"/>
  <c r="O54" i="6"/>
  <c r="K12" i="6"/>
  <c r="K23" i="6" s="1"/>
  <c r="H7" i="5"/>
  <c r="I13" i="5"/>
  <c r="H16" i="5"/>
  <c r="H10" i="5"/>
  <c r="F8" i="18"/>
  <c r="F115" i="5"/>
  <c r="F96" i="5"/>
  <c r="F90" i="5"/>
  <c r="F53" i="5"/>
  <c r="G43" i="5"/>
  <c r="F112" i="5"/>
  <c r="F47" i="4"/>
  <c r="F98" i="4" s="1"/>
  <c r="F46" i="4"/>
  <c r="E85" i="4"/>
  <c r="F65" i="4"/>
  <c r="F87" i="4" s="1"/>
  <c r="E101" i="4"/>
  <c r="E95" i="4"/>
  <c r="P36" i="1"/>
  <c r="V19" i="1"/>
  <c r="R19" i="1"/>
  <c r="N19" i="1"/>
  <c r="L19" i="1"/>
  <c r="J19" i="1"/>
  <c r="H19" i="1"/>
  <c r="F19" i="1"/>
  <c r="X36" i="1"/>
  <c r="F13" i="1"/>
  <c r="W19" i="1"/>
  <c r="S19" i="1"/>
  <c r="O19" i="1"/>
  <c r="M36" i="1"/>
  <c r="K19" i="1"/>
  <c r="I14" i="1"/>
  <c r="G19" i="1"/>
  <c r="V13" i="1"/>
  <c r="R13" i="1"/>
  <c r="W13" i="1"/>
  <c r="U36" i="1"/>
  <c r="S13" i="1"/>
  <c r="Q14" i="1"/>
  <c r="O13" i="1"/>
  <c r="N13" i="1"/>
  <c r="J13" i="1"/>
  <c r="K14" i="1"/>
  <c r="F26" i="1"/>
  <c r="F28" i="1" s="1"/>
  <c r="E26" i="1"/>
  <c r="H13" i="1"/>
  <c r="G13" i="1"/>
  <c r="G71" i="6"/>
  <c r="H71" i="6" s="1"/>
  <c r="S54" i="6"/>
  <c r="K54" i="6"/>
  <c r="Z38" i="6"/>
  <c r="V38" i="6"/>
  <c r="R38" i="6"/>
  <c r="N38" i="6"/>
  <c r="J38" i="6"/>
  <c r="V8" i="2"/>
  <c r="W10" i="2" s="1"/>
  <c r="W7" i="2"/>
  <c r="W8" i="2" s="1"/>
  <c r="G63" i="5"/>
  <c r="G62" i="5"/>
  <c r="G64" i="5" s="1"/>
  <c r="G38" i="5"/>
  <c r="G7" i="2"/>
  <c r="G8" i="2" s="1"/>
  <c r="G9" i="2" s="1"/>
  <c r="H9" i="2" s="1"/>
  <c r="I9" i="2" s="1"/>
  <c r="M8" i="2"/>
  <c r="N10" i="2" s="1"/>
  <c r="G10" i="2"/>
  <c r="H39" i="5"/>
  <c r="H40" i="5" s="1"/>
  <c r="G52" i="4"/>
  <c r="H41" i="5"/>
  <c r="H42" i="5" s="1"/>
  <c r="H59" i="5"/>
  <c r="H60" i="5" s="1"/>
  <c r="H11" i="5"/>
  <c r="H54" i="9"/>
  <c r="I53" i="9"/>
  <c r="I104" i="5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U104" i="5" s="1"/>
  <c r="V104" i="5" s="1"/>
  <c r="W104" i="5" s="1"/>
  <c r="X104" i="5" s="1"/>
  <c r="Y104" i="5" s="1"/>
  <c r="R8" i="2"/>
  <c r="S10" i="2" s="1"/>
  <c r="J8" i="2"/>
  <c r="K10" i="2" s="1"/>
  <c r="K7" i="2"/>
  <c r="K8" i="2" s="1"/>
  <c r="H26" i="9"/>
  <c r="G27" i="9"/>
  <c r="H100" i="4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O7" i="2"/>
  <c r="N8" i="2"/>
  <c r="F27" i="9"/>
  <c r="Y96" i="6"/>
  <c r="X23" i="18" s="1"/>
  <c r="W96" i="6"/>
  <c r="V23" i="18" s="1"/>
  <c r="U96" i="6"/>
  <c r="T23" i="18" s="1"/>
  <c r="S96" i="6"/>
  <c r="R23" i="18" s="1"/>
  <c r="O96" i="6"/>
  <c r="N23" i="18" s="1"/>
  <c r="M96" i="6"/>
  <c r="L23" i="18" s="1"/>
  <c r="K96" i="6"/>
  <c r="J23" i="18" s="1"/>
  <c r="I96" i="6"/>
  <c r="H23" i="18" s="1"/>
  <c r="G23" i="23"/>
  <c r="O46" i="9"/>
  <c r="E51" i="9"/>
  <c r="E64" i="9" s="1"/>
  <c r="F20" i="9"/>
  <c r="F22" i="9" s="1"/>
  <c r="F23" i="9" s="1"/>
  <c r="H10" i="2"/>
  <c r="I17" i="5"/>
  <c r="H39" i="4"/>
  <c r="H45" i="4"/>
  <c r="M45" i="4" s="1"/>
  <c r="N45" i="4" s="1"/>
  <c r="O45" i="4" s="1"/>
  <c r="P45" i="4" s="1"/>
  <c r="H50" i="5"/>
  <c r="H51" i="5" s="1"/>
  <c r="H53" i="5" s="1"/>
  <c r="G52" i="5"/>
  <c r="F69" i="9"/>
  <c r="K21" i="19"/>
  <c r="G25" i="26"/>
  <c r="E69" i="9"/>
  <c r="F42" i="9"/>
  <c r="F47" i="9" s="1"/>
  <c r="F49" i="9" s="1"/>
  <c r="F50" i="9" s="1"/>
  <c r="Y54" i="6"/>
  <c r="U54" i="6"/>
  <c r="Q54" i="6"/>
  <c r="M54" i="6"/>
  <c r="I54" i="6"/>
  <c r="Y12" i="6"/>
  <c r="Y23" i="6" s="1"/>
  <c r="U12" i="6"/>
  <c r="U23" i="6" s="1"/>
  <c r="Q12" i="6"/>
  <c r="Q23" i="6" s="1"/>
  <c r="M12" i="6"/>
  <c r="M23" i="6" s="1"/>
  <c r="I12" i="6"/>
  <c r="I23" i="6" s="1"/>
  <c r="F64" i="5"/>
  <c r="G39" i="6"/>
  <c r="H39" i="6" s="1"/>
  <c r="H97" i="6"/>
  <c r="G49" i="5"/>
  <c r="G53" i="5" s="1"/>
  <c r="X86" i="6"/>
  <c r="V86" i="6"/>
  <c r="T86" i="6"/>
  <c r="R86" i="6"/>
  <c r="Q86" i="6"/>
  <c r="O86" i="6"/>
  <c r="M86" i="6"/>
  <c r="K86" i="6"/>
  <c r="Z70" i="6"/>
  <c r="X70" i="6"/>
  <c r="V70" i="6"/>
  <c r="T70" i="6"/>
  <c r="R70" i="6"/>
  <c r="P70" i="6"/>
  <c r="N70" i="6"/>
  <c r="L70" i="6"/>
  <c r="J70" i="6"/>
  <c r="Z54" i="6"/>
  <c r="X54" i="6"/>
  <c r="V54" i="6"/>
  <c r="T54" i="6"/>
  <c r="R54" i="6"/>
  <c r="P54" i="6"/>
  <c r="N54" i="6"/>
  <c r="L54" i="6"/>
  <c r="J54" i="6"/>
  <c r="Y38" i="6"/>
  <c r="W38" i="6"/>
  <c r="U38" i="6"/>
  <c r="S38" i="6"/>
  <c r="Q38" i="6"/>
  <c r="O38" i="6"/>
  <c r="M38" i="6"/>
  <c r="K38" i="6"/>
  <c r="I38" i="6"/>
  <c r="Z12" i="6"/>
  <c r="Z23" i="6" s="1"/>
  <c r="X12" i="6"/>
  <c r="X23" i="6" s="1"/>
  <c r="V12" i="6"/>
  <c r="V23" i="6" s="1"/>
  <c r="T12" i="6"/>
  <c r="T23" i="6" s="1"/>
  <c r="R12" i="6"/>
  <c r="R23" i="6" s="1"/>
  <c r="P12" i="6"/>
  <c r="P23" i="6" s="1"/>
  <c r="N12" i="6"/>
  <c r="N23" i="6" s="1"/>
  <c r="L12" i="6"/>
  <c r="L23" i="6" s="1"/>
  <c r="J12" i="6"/>
  <c r="J23" i="6" s="1"/>
  <c r="H12" i="6"/>
  <c r="H23" i="6" s="1"/>
  <c r="F44" i="5"/>
  <c r="H55" i="6"/>
  <c r="H57" i="6" s="1"/>
  <c r="F23" i="23"/>
  <c r="F24" i="26"/>
  <c r="D24" i="26"/>
  <c r="E23" i="23"/>
  <c r="H31" i="4"/>
  <c r="G33" i="4"/>
  <c r="E24" i="23"/>
  <c r="F24" i="23"/>
  <c r="E25" i="26"/>
  <c r="G13" i="6"/>
  <c r="H44" i="4"/>
  <c r="G46" i="4"/>
  <c r="F33" i="4"/>
  <c r="G57" i="6"/>
  <c r="G88" i="6" l="1"/>
  <c r="H87" i="6"/>
  <c r="H88" i="6" s="1"/>
  <c r="W97" i="6"/>
  <c r="G97" i="6"/>
  <c r="E71" i="9"/>
  <c r="D19" i="8"/>
  <c r="H25" i="5"/>
  <c r="H21" i="5"/>
  <c r="I15" i="9"/>
  <c r="J14" i="9"/>
  <c r="F34" i="4"/>
  <c r="F70" i="5"/>
  <c r="F9" i="7"/>
  <c r="F71" i="5"/>
  <c r="F13" i="7"/>
  <c r="F14" i="7"/>
  <c r="F72" i="5"/>
  <c r="G72" i="5"/>
  <c r="G14" i="7"/>
  <c r="G13" i="7"/>
  <c r="G71" i="5"/>
  <c r="G115" i="5"/>
  <c r="F26" i="5"/>
  <c r="F69" i="5" s="1"/>
  <c r="F7" i="18"/>
  <c r="F7" i="7"/>
  <c r="E62" i="23"/>
  <c r="D5" i="34"/>
  <c r="E26" i="31"/>
  <c r="E27" i="31" s="1"/>
  <c r="F63" i="26"/>
  <c r="D63" i="26"/>
  <c r="C26" i="31"/>
  <c r="C27" i="31" s="1"/>
  <c r="O8" i="2"/>
  <c r="P10" i="2" s="1"/>
  <c r="P18" i="1"/>
  <c r="R14" i="1"/>
  <c r="F14" i="1"/>
  <c r="G74" i="5"/>
  <c r="G27" i="5"/>
  <c r="G28" i="5" s="1"/>
  <c r="G31" i="5"/>
  <c r="G32" i="5" s="1"/>
  <c r="H29" i="5"/>
  <c r="H30" i="5" s="1"/>
  <c r="G29" i="5"/>
  <c r="G30" i="5" s="1"/>
  <c r="L51" i="4"/>
  <c r="I58" i="9"/>
  <c r="I32" i="19"/>
  <c r="C34" i="21" s="1"/>
  <c r="D33" i="23" s="1"/>
  <c r="G73" i="4"/>
  <c r="F76" i="4"/>
  <c r="H62" i="4"/>
  <c r="M62" i="4" s="1"/>
  <c r="N62" i="4" s="1"/>
  <c r="O62" i="4" s="1"/>
  <c r="P62" i="4" s="1"/>
  <c r="W23" i="4"/>
  <c r="V23" i="4"/>
  <c r="X23" i="4" s="1"/>
  <c r="M73" i="4"/>
  <c r="J41" i="9"/>
  <c r="I42" i="9"/>
  <c r="H32" i="19"/>
  <c r="D23" i="23"/>
  <c r="I61" i="5"/>
  <c r="I62" i="5" s="1"/>
  <c r="I39" i="5"/>
  <c r="I40" i="5" s="1"/>
  <c r="H32" i="4"/>
  <c r="H34" i="4" s="1"/>
  <c r="G59" i="9"/>
  <c r="G61" i="9" s="1"/>
  <c r="G62" i="9" s="1"/>
  <c r="H59" i="9" s="1"/>
  <c r="H61" i="9" s="1"/>
  <c r="H62" i="9" s="1"/>
  <c r="F62" i="23"/>
  <c r="H14" i="1"/>
  <c r="J14" i="1"/>
  <c r="S36" i="1"/>
  <c r="W14" i="1"/>
  <c r="V14" i="1"/>
  <c r="I35" i="5"/>
  <c r="G63" i="26"/>
  <c r="F59" i="9"/>
  <c r="F61" i="9" s="1"/>
  <c r="F62" i="9" s="1"/>
  <c r="F63" i="9" s="1"/>
  <c r="G18" i="1"/>
  <c r="H18" i="1" s="1"/>
  <c r="H23" i="1" s="1"/>
  <c r="F23" i="1"/>
  <c r="F27" i="1"/>
  <c r="H16" i="4"/>
  <c r="H70" i="4"/>
  <c r="J76" i="4"/>
  <c r="K18" i="1"/>
  <c r="G32" i="19"/>
  <c r="E63" i="26"/>
  <c r="G44" i="5"/>
  <c r="G9" i="7" s="1"/>
  <c r="H36" i="5"/>
  <c r="D62" i="23"/>
  <c r="F26" i="31"/>
  <c r="F78" i="4"/>
  <c r="I87" i="6"/>
  <c r="I89" i="6" s="1"/>
  <c r="F85" i="4"/>
  <c r="N14" i="1"/>
  <c r="O14" i="1"/>
  <c r="S97" i="6"/>
  <c r="H56" i="6"/>
  <c r="G14" i="2"/>
  <c r="G83" i="4"/>
  <c r="G82" i="4"/>
  <c r="H57" i="4"/>
  <c r="G64" i="4"/>
  <c r="G78" i="4" s="1"/>
  <c r="F32" i="9"/>
  <c r="F34" i="9" s="1"/>
  <c r="F35" i="9" s="1"/>
  <c r="F36" i="9" s="1"/>
  <c r="G89" i="6"/>
  <c r="G90" i="6" s="1"/>
  <c r="G91" i="6" s="1"/>
  <c r="H89" i="6"/>
  <c r="H90" i="6" s="1"/>
  <c r="G73" i="6"/>
  <c r="G74" i="6" s="1"/>
  <c r="G72" i="6"/>
  <c r="F101" i="4"/>
  <c r="F86" i="4"/>
  <c r="F84" i="4"/>
  <c r="F32" i="5"/>
  <c r="F86" i="5"/>
  <c r="F30" i="5"/>
  <c r="F85" i="5"/>
  <c r="E88" i="4"/>
  <c r="F17" i="18" s="1"/>
  <c r="E31" i="1"/>
  <c r="F49" i="1" s="1"/>
  <c r="E28" i="1"/>
  <c r="J8" i="4"/>
  <c r="G40" i="6"/>
  <c r="U97" i="6"/>
  <c r="E102" i="4"/>
  <c r="D18" i="8" s="1"/>
  <c r="G19" i="9"/>
  <c r="G20" i="9" s="1"/>
  <c r="G22" i="9" s="1"/>
  <c r="G23" i="9" s="1"/>
  <c r="G29" i="19"/>
  <c r="H73" i="6"/>
  <c r="H74" i="6" s="1"/>
  <c r="H75" i="6" s="1"/>
  <c r="H72" i="6"/>
  <c r="I71" i="6"/>
  <c r="J71" i="6" s="1"/>
  <c r="I55" i="6"/>
  <c r="J55" i="6" s="1"/>
  <c r="I10" i="5"/>
  <c r="H27" i="5"/>
  <c r="H28" i="5" s="1"/>
  <c r="I16" i="5"/>
  <c r="H31" i="5"/>
  <c r="H32" i="5" s="1"/>
  <c r="J13" i="5"/>
  <c r="I7" i="5"/>
  <c r="G8" i="18"/>
  <c r="H52" i="5"/>
  <c r="H43" i="5"/>
  <c r="G112" i="5"/>
  <c r="G90" i="5"/>
  <c r="G34" i="4"/>
  <c r="G84" i="4" s="1"/>
  <c r="F95" i="4"/>
  <c r="G65" i="4"/>
  <c r="G98" i="4"/>
  <c r="T14" i="1"/>
  <c r="P14" i="1"/>
  <c r="G83" i="5"/>
  <c r="G84" i="5"/>
  <c r="L14" i="1"/>
  <c r="M14" i="1"/>
  <c r="F36" i="1"/>
  <c r="X14" i="1"/>
  <c r="R36" i="1"/>
  <c r="L36" i="1"/>
  <c r="U14" i="1"/>
  <c r="G86" i="5"/>
  <c r="W36" i="1"/>
  <c r="N36" i="1"/>
  <c r="T36" i="1"/>
  <c r="O36" i="1"/>
  <c r="Q36" i="1"/>
  <c r="J36" i="1"/>
  <c r="F31" i="1"/>
  <c r="F32" i="1" s="1"/>
  <c r="V36" i="1"/>
  <c r="S14" i="1"/>
  <c r="H85" i="5"/>
  <c r="G14" i="1"/>
  <c r="K36" i="1"/>
  <c r="H36" i="1"/>
  <c r="E14" i="1"/>
  <c r="E36" i="1"/>
  <c r="F22" i="5"/>
  <c r="I36" i="1"/>
  <c r="G36" i="1"/>
  <c r="AA12" i="6"/>
  <c r="AB12" i="6" s="1"/>
  <c r="G41" i="6"/>
  <c r="G42" i="6" s="1"/>
  <c r="G43" i="6" s="1"/>
  <c r="I97" i="6"/>
  <c r="Y97" i="6"/>
  <c r="M32" i="4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J9" i="2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G118" i="5"/>
  <c r="G96" i="5"/>
  <c r="G93" i="5"/>
  <c r="I50" i="5"/>
  <c r="J50" i="5" s="1"/>
  <c r="H55" i="4"/>
  <c r="M55" i="4" s="1"/>
  <c r="N55" i="4" s="1"/>
  <c r="O55" i="4" s="1"/>
  <c r="P55" i="4" s="1"/>
  <c r="H42" i="4"/>
  <c r="M42" i="4" s="1"/>
  <c r="I41" i="5"/>
  <c r="I42" i="5" s="1"/>
  <c r="I58" i="5"/>
  <c r="I49" i="5"/>
  <c r="I59" i="5"/>
  <c r="J59" i="5" s="1"/>
  <c r="I11" i="5"/>
  <c r="J11" i="5" s="1"/>
  <c r="I14" i="5"/>
  <c r="I29" i="5" s="1"/>
  <c r="I30" i="5" s="1"/>
  <c r="H52" i="4"/>
  <c r="M52" i="4" s="1"/>
  <c r="N52" i="4" s="1"/>
  <c r="O52" i="4" s="1"/>
  <c r="P52" i="4" s="1"/>
  <c r="I58" i="4"/>
  <c r="M39" i="4"/>
  <c r="H38" i="5"/>
  <c r="H63" i="5"/>
  <c r="H58" i="5"/>
  <c r="H64" i="5" s="1"/>
  <c r="Q97" i="6"/>
  <c r="AA96" i="6"/>
  <c r="AB96" i="6" s="1"/>
  <c r="F23" i="18"/>
  <c r="I26" i="9"/>
  <c r="H27" i="9"/>
  <c r="I54" i="9"/>
  <c r="J53" i="9"/>
  <c r="O10" i="2"/>
  <c r="L10" i="2"/>
  <c r="G47" i="9"/>
  <c r="G49" i="9" s="1"/>
  <c r="G50" i="9" s="1"/>
  <c r="F51" i="9"/>
  <c r="F64" i="9" s="1"/>
  <c r="L97" i="6"/>
  <c r="P97" i="6"/>
  <c r="T97" i="6"/>
  <c r="X97" i="6"/>
  <c r="AA70" i="6"/>
  <c r="AB70" i="6" s="1"/>
  <c r="AA86" i="6"/>
  <c r="AB86" i="6" s="1"/>
  <c r="I19" i="1"/>
  <c r="F24" i="9"/>
  <c r="F37" i="9" s="1"/>
  <c r="F70" i="9" s="1"/>
  <c r="F75" i="9" s="1"/>
  <c r="E19" i="8"/>
  <c r="K31" i="9"/>
  <c r="E72" i="9"/>
  <c r="E73" i="9" s="1"/>
  <c r="H9" i="9"/>
  <c r="G69" i="9"/>
  <c r="J61" i="5"/>
  <c r="J17" i="5"/>
  <c r="P46" i="9"/>
  <c r="I38" i="5"/>
  <c r="K97" i="6"/>
  <c r="O97" i="6"/>
  <c r="J97" i="6"/>
  <c r="N97" i="6"/>
  <c r="R97" i="6"/>
  <c r="V97" i="6"/>
  <c r="Z97" i="6"/>
  <c r="M97" i="6"/>
  <c r="AA54" i="6"/>
  <c r="AB54" i="6" s="1"/>
  <c r="AA38" i="6"/>
  <c r="AB38" i="6" s="1"/>
  <c r="G58" i="6"/>
  <c r="G59" i="6" s="1"/>
  <c r="G14" i="6"/>
  <c r="G24" i="6" s="1"/>
  <c r="H13" i="6"/>
  <c r="G15" i="6"/>
  <c r="G25" i="6" s="1"/>
  <c r="H58" i="6"/>
  <c r="H33" i="4"/>
  <c r="I31" i="4"/>
  <c r="I46" i="4"/>
  <c r="J41" i="4"/>
  <c r="I39" i="6"/>
  <c r="H40" i="6"/>
  <c r="H41" i="6"/>
  <c r="J54" i="4"/>
  <c r="I88" i="6"/>
  <c r="H46" i="4"/>
  <c r="G63" i="9" l="1"/>
  <c r="I25" i="5"/>
  <c r="I21" i="5"/>
  <c r="H84" i="4"/>
  <c r="K14" i="9"/>
  <c r="J15" i="9"/>
  <c r="F79" i="4"/>
  <c r="G7" i="18" s="1"/>
  <c r="G27" i="1"/>
  <c r="J58" i="4"/>
  <c r="K58" i="4" s="1"/>
  <c r="L58" i="4" s="1"/>
  <c r="M58" i="4" s="1"/>
  <c r="N42" i="4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N73" i="4"/>
  <c r="O73" i="4" s="1"/>
  <c r="P73" i="4" s="1"/>
  <c r="Q73" i="4" s="1"/>
  <c r="N39" i="4"/>
  <c r="O39" i="4" s="1"/>
  <c r="P39" i="4" s="1"/>
  <c r="Q39" i="4" s="1"/>
  <c r="G100" i="6"/>
  <c r="J39" i="5"/>
  <c r="H26" i="1"/>
  <c r="H31" i="1" s="1"/>
  <c r="H43" i="1" s="1"/>
  <c r="H14" i="7"/>
  <c r="H72" i="5"/>
  <c r="H13" i="7"/>
  <c r="H71" i="5"/>
  <c r="H44" i="5"/>
  <c r="H9" i="7" s="1"/>
  <c r="H115" i="5"/>
  <c r="G70" i="5"/>
  <c r="F11" i="18"/>
  <c r="F6" i="7"/>
  <c r="H112" i="5"/>
  <c r="H70" i="5"/>
  <c r="H26" i="5"/>
  <c r="H69" i="5" s="1"/>
  <c r="G26" i="5"/>
  <c r="G69" i="5" s="1"/>
  <c r="F8" i="7"/>
  <c r="K76" i="4"/>
  <c r="J87" i="6"/>
  <c r="K87" i="6" s="1"/>
  <c r="H98" i="6"/>
  <c r="I72" i="6"/>
  <c r="H27" i="1"/>
  <c r="G26" i="1"/>
  <c r="G28" i="1" s="1"/>
  <c r="G23" i="1"/>
  <c r="Q45" i="4"/>
  <c r="Q52" i="4"/>
  <c r="Q55" i="4"/>
  <c r="J35" i="5"/>
  <c r="I36" i="5"/>
  <c r="I44" i="5" s="1"/>
  <c r="K41" i="9"/>
  <c r="J42" i="9"/>
  <c r="Q62" i="4"/>
  <c r="H73" i="4"/>
  <c r="H76" i="4" s="1"/>
  <c r="G76" i="4"/>
  <c r="G79" i="4" s="1"/>
  <c r="J32" i="19"/>
  <c r="J58" i="9"/>
  <c r="M51" i="4"/>
  <c r="T18" i="1"/>
  <c r="P19" i="1"/>
  <c r="G75" i="6"/>
  <c r="G76" i="6" s="1"/>
  <c r="I51" i="5"/>
  <c r="I53" i="5" s="1"/>
  <c r="I56" i="6"/>
  <c r="E32" i="1"/>
  <c r="E33" i="1" s="1"/>
  <c r="E52" i="1" s="1"/>
  <c r="G98" i="6"/>
  <c r="F9" i="19" s="1"/>
  <c r="H14" i="2"/>
  <c r="H83" i="4"/>
  <c r="H82" i="4"/>
  <c r="J57" i="4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H64" i="4"/>
  <c r="H78" i="4" s="1"/>
  <c r="G32" i="9"/>
  <c r="G34" i="9" s="1"/>
  <c r="G35" i="9" s="1"/>
  <c r="G86" i="4"/>
  <c r="G87" i="4"/>
  <c r="E90" i="4"/>
  <c r="G49" i="1"/>
  <c r="H49" i="1"/>
  <c r="E43" i="1"/>
  <c r="E44" i="1" s="1"/>
  <c r="D11" i="8" s="1"/>
  <c r="E49" i="1"/>
  <c r="H28" i="1"/>
  <c r="H6" i="18"/>
  <c r="G22" i="5"/>
  <c r="G11" i="18" s="1"/>
  <c r="G6" i="18"/>
  <c r="G95" i="4"/>
  <c r="H93" i="5"/>
  <c r="H106" i="5"/>
  <c r="K8" i="4"/>
  <c r="F102" i="4"/>
  <c r="E18" i="8" s="1"/>
  <c r="H19" i="9"/>
  <c r="H20" i="9" s="1"/>
  <c r="H22" i="9" s="1"/>
  <c r="H23" i="9" s="1"/>
  <c r="H29" i="19"/>
  <c r="I73" i="6"/>
  <c r="I74" i="6" s="1"/>
  <c r="I75" i="6" s="1"/>
  <c r="I57" i="6"/>
  <c r="I58" i="6" s="1"/>
  <c r="I59" i="6" s="1"/>
  <c r="G99" i="6"/>
  <c r="I60" i="5"/>
  <c r="I64" i="5" s="1"/>
  <c r="K13" i="5"/>
  <c r="J16" i="5"/>
  <c r="I31" i="5"/>
  <c r="I32" i="5" s="1"/>
  <c r="J10" i="5"/>
  <c r="I27" i="5"/>
  <c r="I28" i="5" s="1"/>
  <c r="I63" i="5"/>
  <c r="J14" i="5"/>
  <c r="J29" i="5" s="1"/>
  <c r="J30" i="5" s="1"/>
  <c r="I52" i="5"/>
  <c r="C60" i="5" s="1"/>
  <c r="J49" i="5"/>
  <c r="J41" i="5"/>
  <c r="J42" i="5" s="1"/>
  <c r="H90" i="5"/>
  <c r="I43" i="5"/>
  <c r="H8" i="18"/>
  <c r="G101" i="4"/>
  <c r="H65" i="4"/>
  <c r="I47" i="4"/>
  <c r="I98" i="4" s="1"/>
  <c r="H47" i="4"/>
  <c r="G106" i="5"/>
  <c r="G85" i="5"/>
  <c r="G87" i="5" s="1"/>
  <c r="G97" i="5" s="1"/>
  <c r="G105" i="5"/>
  <c r="G108" i="5"/>
  <c r="H107" i="5"/>
  <c r="G107" i="5"/>
  <c r="F33" i="1"/>
  <c r="F52" i="1" s="1"/>
  <c r="F43" i="1"/>
  <c r="F44" i="1" s="1"/>
  <c r="E11" i="8" s="1"/>
  <c r="F50" i="1"/>
  <c r="H84" i="5"/>
  <c r="H86" i="5"/>
  <c r="H108" i="5"/>
  <c r="F108" i="5"/>
  <c r="F107" i="5"/>
  <c r="F84" i="5"/>
  <c r="F106" i="5"/>
  <c r="F83" i="5"/>
  <c r="F105" i="5"/>
  <c r="H59" i="6"/>
  <c r="J58" i="5"/>
  <c r="F88" i="4"/>
  <c r="G17" i="18" s="1"/>
  <c r="I65" i="4"/>
  <c r="H22" i="5"/>
  <c r="H6" i="7" s="1"/>
  <c r="H118" i="5"/>
  <c r="H96" i="5"/>
  <c r="H83" i="5"/>
  <c r="H105" i="5"/>
  <c r="AA97" i="6"/>
  <c r="AB97" i="6" s="1"/>
  <c r="E76" i="9"/>
  <c r="G7" i="10" s="1"/>
  <c r="G8" i="10" s="1"/>
  <c r="K53" i="9"/>
  <c r="J54" i="9"/>
  <c r="I27" i="9"/>
  <c r="J26" i="9"/>
  <c r="H63" i="9"/>
  <c r="I59" i="9"/>
  <c r="I61" i="9" s="1"/>
  <c r="I62" i="9" s="1"/>
  <c r="G51" i="9"/>
  <c r="H47" i="9"/>
  <c r="H49" i="9" s="1"/>
  <c r="H50" i="9" s="1"/>
  <c r="K39" i="5"/>
  <c r="J40" i="5"/>
  <c r="K17" i="5"/>
  <c r="K61" i="5"/>
  <c r="J62" i="5"/>
  <c r="F19" i="8"/>
  <c r="G24" i="9"/>
  <c r="I23" i="1"/>
  <c r="I27" i="1"/>
  <c r="I26" i="1"/>
  <c r="I28" i="1" s="1"/>
  <c r="K11" i="5"/>
  <c r="F71" i="9"/>
  <c r="Q46" i="9"/>
  <c r="I9" i="9"/>
  <c r="H69" i="9"/>
  <c r="L31" i="9"/>
  <c r="I85" i="5"/>
  <c r="I107" i="5"/>
  <c r="J60" i="5"/>
  <c r="K59" i="5"/>
  <c r="K71" i="6"/>
  <c r="J72" i="6"/>
  <c r="J73" i="6"/>
  <c r="J38" i="5"/>
  <c r="H91" i="6"/>
  <c r="K50" i="5"/>
  <c r="J51" i="5"/>
  <c r="G44" i="6"/>
  <c r="G60" i="6"/>
  <c r="K55" i="6"/>
  <c r="J56" i="6"/>
  <c r="J57" i="6"/>
  <c r="G92" i="6"/>
  <c r="G77" i="6"/>
  <c r="H76" i="6"/>
  <c r="I33" i="4"/>
  <c r="I78" i="4" s="1"/>
  <c r="J31" i="4"/>
  <c r="I34" i="4"/>
  <c r="G16" i="6"/>
  <c r="G17" i="6" s="1"/>
  <c r="G26" i="6" s="1"/>
  <c r="J89" i="6"/>
  <c r="J88" i="6"/>
  <c r="I90" i="6"/>
  <c r="I91" i="6" s="1"/>
  <c r="K54" i="4"/>
  <c r="H42" i="6"/>
  <c r="H43" i="6" s="1"/>
  <c r="H100" i="6" s="1"/>
  <c r="H99" i="6"/>
  <c r="I41" i="6"/>
  <c r="J39" i="6"/>
  <c r="I40" i="6"/>
  <c r="I98" i="6" s="1"/>
  <c r="K41" i="4"/>
  <c r="J46" i="4"/>
  <c r="J47" i="4"/>
  <c r="H95" i="4"/>
  <c r="H14" i="6"/>
  <c r="I13" i="6"/>
  <c r="H15" i="6"/>
  <c r="H25" i="6" s="1"/>
  <c r="K15" i="9" l="1"/>
  <c r="L14" i="9"/>
  <c r="J65" i="4"/>
  <c r="J87" i="4" s="1"/>
  <c r="G64" i="9"/>
  <c r="G31" i="1"/>
  <c r="G32" i="1" s="1"/>
  <c r="G7" i="7"/>
  <c r="F68" i="5"/>
  <c r="R73" i="4"/>
  <c r="S73" i="4" s="1"/>
  <c r="T73" i="4" s="1"/>
  <c r="U73" i="4" s="1"/>
  <c r="V73" i="4" s="1"/>
  <c r="W73" i="4" s="1"/>
  <c r="X73" i="4" s="1"/>
  <c r="N58" i="4"/>
  <c r="O58" i="4" s="1"/>
  <c r="P58" i="4" s="1"/>
  <c r="Q58" i="4" s="1"/>
  <c r="R39" i="4"/>
  <c r="S39" i="4" s="1"/>
  <c r="T39" i="4" s="1"/>
  <c r="U39" i="4" s="1"/>
  <c r="V39" i="4" s="1"/>
  <c r="W39" i="4" s="1"/>
  <c r="X39" i="4" s="1"/>
  <c r="R55" i="4"/>
  <c r="S55" i="4" s="1"/>
  <c r="T55" i="4" s="1"/>
  <c r="U55" i="4" s="1"/>
  <c r="V55" i="4" s="1"/>
  <c r="W55" i="4" s="1"/>
  <c r="X55" i="4" s="1"/>
  <c r="R45" i="4"/>
  <c r="S45" i="4" s="1"/>
  <c r="T45" i="4" s="1"/>
  <c r="U45" i="4" s="1"/>
  <c r="V45" i="4" s="1"/>
  <c r="W45" i="4" s="1"/>
  <c r="X45" i="4" s="1"/>
  <c r="I9" i="7"/>
  <c r="F73" i="5"/>
  <c r="F51" i="1"/>
  <c r="G10" i="18" s="1"/>
  <c r="G16" i="18" s="1"/>
  <c r="R62" i="4"/>
  <c r="S62" i="4" s="1"/>
  <c r="T62" i="4" s="1"/>
  <c r="U62" i="4" s="1"/>
  <c r="V62" i="4" s="1"/>
  <c r="W62" i="4" s="1"/>
  <c r="X62" i="4" s="1"/>
  <c r="R52" i="4"/>
  <c r="S52" i="4" s="1"/>
  <c r="T52" i="4" s="1"/>
  <c r="U52" i="4" s="1"/>
  <c r="V52" i="4" s="1"/>
  <c r="W52" i="4" s="1"/>
  <c r="X52" i="4" s="1"/>
  <c r="I118" i="5"/>
  <c r="I72" i="5"/>
  <c r="I14" i="7"/>
  <c r="I115" i="5"/>
  <c r="I13" i="7"/>
  <c r="I71" i="5"/>
  <c r="K41" i="5"/>
  <c r="I93" i="5"/>
  <c r="I26" i="5"/>
  <c r="I69" i="5" s="1"/>
  <c r="G6" i="7"/>
  <c r="I112" i="5"/>
  <c r="I70" i="5"/>
  <c r="H7" i="18"/>
  <c r="H7" i="7"/>
  <c r="G8" i="7"/>
  <c r="K58" i="9"/>
  <c r="K32" i="19"/>
  <c r="K42" i="9"/>
  <c r="L41" i="9"/>
  <c r="K35" i="5"/>
  <c r="J36" i="5"/>
  <c r="L76" i="4"/>
  <c r="M70" i="4"/>
  <c r="N70" i="4" s="1"/>
  <c r="O70" i="4" s="1"/>
  <c r="P70" i="4" s="1"/>
  <c r="J64" i="4"/>
  <c r="K64" i="4"/>
  <c r="I84" i="4"/>
  <c r="X18" i="1"/>
  <c r="X19" i="1" s="1"/>
  <c r="T19" i="1"/>
  <c r="N51" i="4"/>
  <c r="H79" i="4"/>
  <c r="G80" i="4" s="1"/>
  <c r="E17" i="8"/>
  <c r="G5" i="18"/>
  <c r="E50" i="1"/>
  <c r="I14" i="2"/>
  <c r="I82" i="4"/>
  <c r="I83" i="4"/>
  <c r="G36" i="9"/>
  <c r="G37" i="9" s="1"/>
  <c r="G70" i="9" s="1"/>
  <c r="H32" i="9"/>
  <c r="H34" i="9" s="1"/>
  <c r="H35" i="9" s="1"/>
  <c r="J86" i="4"/>
  <c r="I86" i="4"/>
  <c r="I87" i="4"/>
  <c r="H101" i="4"/>
  <c r="H87" i="4"/>
  <c r="C60" i="21" s="1"/>
  <c r="H86" i="4"/>
  <c r="I79" i="4"/>
  <c r="I83" i="5"/>
  <c r="H11" i="18"/>
  <c r="H24" i="6"/>
  <c r="G9" i="19" s="1"/>
  <c r="I86" i="5"/>
  <c r="K49" i="5"/>
  <c r="F109" i="5"/>
  <c r="I22" i="5"/>
  <c r="I11" i="18" s="1"/>
  <c r="I6" i="18"/>
  <c r="I96" i="5"/>
  <c r="C61" i="21"/>
  <c r="L8" i="4"/>
  <c r="G102" i="4"/>
  <c r="F18" i="8" s="1"/>
  <c r="I19" i="9"/>
  <c r="I29" i="19"/>
  <c r="C30" i="21" s="1"/>
  <c r="C31" i="21" s="1"/>
  <c r="I108" i="5"/>
  <c r="I105" i="5"/>
  <c r="K14" i="5"/>
  <c r="L14" i="5" s="1"/>
  <c r="I106" i="5"/>
  <c r="K10" i="5"/>
  <c r="J27" i="5"/>
  <c r="J28" i="5" s="1"/>
  <c r="K16" i="5"/>
  <c r="J31" i="5"/>
  <c r="J32" i="5" s="1"/>
  <c r="J26" i="5"/>
  <c r="J69" i="5" s="1"/>
  <c r="L13" i="5"/>
  <c r="I8" i="18"/>
  <c r="J43" i="5"/>
  <c r="I90" i="5"/>
  <c r="J52" i="5"/>
  <c r="K58" i="5"/>
  <c r="J63" i="5"/>
  <c r="I84" i="5"/>
  <c r="G88" i="4"/>
  <c r="H17" i="18" s="1"/>
  <c r="I85" i="4"/>
  <c r="I101" i="4"/>
  <c r="H85" i="4"/>
  <c r="C55" i="21" s="1"/>
  <c r="H98" i="4"/>
  <c r="G12" i="18"/>
  <c r="G109" i="5"/>
  <c r="E12" i="8"/>
  <c r="F87" i="5"/>
  <c r="H109" i="5"/>
  <c r="H87" i="5"/>
  <c r="F90" i="4"/>
  <c r="G68" i="5" s="1"/>
  <c r="J53" i="5"/>
  <c r="J44" i="5"/>
  <c r="G50" i="1"/>
  <c r="G43" i="1"/>
  <c r="G44" i="1" s="1"/>
  <c r="F11" i="8" s="1"/>
  <c r="J64" i="5"/>
  <c r="E83" i="9"/>
  <c r="E84" i="9" s="1"/>
  <c r="K54" i="9"/>
  <c r="L53" i="9"/>
  <c r="J27" i="9"/>
  <c r="K26" i="9"/>
  <c r="H24" i="9"/>
  <c r="I20" i="9"/>
  <c r="I22" i="9" s="1"/>
  <c r="I23" i="9" s="1"/>
  <c r="H51" i="9"/>
  <c r="H64" i="9" s="1"/>
  <c r="I47" i="9"/>
  <c r="I49" i="9" s="1"/>
  <c r="I50" i="9" s="1"/>
  <c r="I63" i="9"/>
  <c r="J59" i="9"/>
  <c r="J61" i="9" s="1"/>
  <c r="J62" i="9" s="1"/>
  <c r="M31" i="9"/>
  <c r="I69" i="9"/>
  <c r="J9" i="9"/>
  <c r="R46" i="9"/>
  <c r="L11" i="5"/>
  <c r="J107" i="5"/>
  <c r="J85" i="5"/>
  <c r="K42" i="5"/>
  <c r="L41" i="5"/>
  <c r="K62" i="5"/>
  <c r="L61" i="5"/>
  <c r="L17" i="5"/>
  <c r="L39" i="5"/>
  <c r="K40" i="5"/>
  <c r="K60" i="5"/>
  <c r="L59" i="5"/>
  <c r="F72" i="9"/>
  <c r="F73" i="9" s="1"/>
  <c r="I31" i="1"/>
  <c r="J23" i="1"/>
  <c r="J27" i="1"/>
  <c r="J26" i="1"/>
  <c r="J28" i="1" s="1"/>
  <c r="L50" i="5"/>
  <c r="K51" i="5"/>
  <c r="K38" i="5"/>
  <c r="J74" i="6"/>
  <c r="J75" i="6" s="1"/>
  <c r="K72" i="6"/>
  <c r="L71" i="6"/>
  <c r="K73" i="6"/>
  <c r="J13" i="6"/>
  <c r="I15" i="6"/>
  <c r="I25" i="6" s="1"/>
  <c r="I14" i="6"/>
  <c r="J85" i="4"/>
  <c r="J98" i="4"/>
  <c r="L41" i="4"/>
  <c r="K47" i="4"/>
  <c r="K46" i="4"/>
  <c r="K39" i="6"/>
  <c r="J40" i="6"/>
  <c r="J98" i="6" s="1"/>
  <c r="J41" i="6"/>
  <c r="J101" i="4"/>
  <c r="L54" i="4"/>
  <c r="L64" i="4" s="1"/>
  <c r="K65" i="4"/>
  <c r="K88" i="6"/>
  <c r="L87" i="6"/>
  <c r="K89" i="6"/>
  <c r="F6" i="19"/>
  <c r="I95" i="4"/>
  <c r="H92" i="6"/>
  <c r="G93" i="6"/>
  <c r="J58" i="6"/>
  <c r="J59" i="6" s="1"/>
  <c r="K56" i="6"/>
  <c r="L55" i="6"/>
  <c r="K57" i="6"/>
  <c r="H16" i="6"/>
  <c r="H17" i="6" s="1"/>
  <c r="H26" i="6" s="1"/>
  <c r="G73" i="5" s="1"/>
  <c r="I42" i="6"/>
  <c r="I43" i="6" s="1"/>
  <c r="I100" i="6" s="1"/>
  <c r="I99" i="6"/>
  <c r="J90" i="6"/>
  <c r="J91" i="6" s="1"/>
  <c r="G18" i="6"/>
  <c r="G27" i="6" s="1"/>
  <c r="G101" i="6" s="1"/>
  <c r="G102" i="6" s="1"/>
  <c r="F10" i="7"/>
  <c r="J33" i="4"/>
  <c r="K31" i="4"/>
  <c r="J34" i="4"/>
  <c r="H77" i="6"/>
  <c r="I76" i="6"/>
  <c r="H60" i="6"/>
  <c r="G61" i="6"/>
  <c r="H44" i="6"/>
  <c r="G45" i="6"/>
  <c r="G75" i="9" l="1"/>
  <c r="G71" i="9"/>
  <c r="G72" i="9" s="1"/>
  <c r="L15" i="9"/>
  <c r="M14" i="9"/>
  <c r="J7" i="7"/>
  <c r="R58" i="4"/>
  <c r="S58" i="4" s="1"/>
  <c r="T58" i="4" s="1"/>
  <c r="U58" i="4" s="1"/>
  <c r="V58" i="4" s="1"/>
  <c r="W58" i="4" s="1"/>
  <c r="X58" i="4" s="1"/>
  <c r="G51" i="1"/>
  <c r="H10" i="18" s="1"/>
  <c r="H16" i="18" s="1"/>
  <c r="J9" i="7"/>
  <c r="G4" i="7"/>
  <c r="E51" i="1"/>
  <c r="F10" i="18" s="1"/>
  <c r="J14" i="7"/>
  <c r="J72" i="5"/>
  <c r="J13" i="7"/>
  <c r="J71" i="5"/>
  <c r="J6" i="18"/>
  <c r="J115" i="5"/>
  <c r="J112" i="5"/>
  <c r="J70" i="5"/>
  <c r="I6" i="7"/>
  <c r="H8" i="7"/>
  <c r="I7" i="18"/>
  <c r="I7" i="7"/>
  <c r="C53" i="21" s="1"/>
  <c r="L35" i="5"/>
  <c r="K36" i="5"/>
  <c r="K44" i="5" s="1"/>
  <c r="L32" i="19"/>
  <c r="L58" i="9"/>
  <c r="J78" i="4"/>
  <c r="K43" i="5"/>
  <c r="O51" i="4"/>
  <c r="M76" i="4"/>
  <c r="L42" i="9"/>
  <c r="M41" i="9"/>
  <c r="K52" i="5"/>
  <c r="K29" i="5"/>
  <c r="K30" i="5" s="1"/>
  <c r="D17" i="8"/>
  <c r="F5" i="18"/>
  <c r="F17" i="8"/>
  <c r="H5" i="18"/>
  <c r="J14" i="2"/>
  <c r="K87" i="4" s="1"/>
  <c r="J82" i="4"/>
  <c r="J83" i="4"/>
  <c r="J108" i="5"/>
  <c r="J105" i="5"/>
  <c r="J106" i="5"/>
  <c r="I32" i="9"/>
  <c r="I34" i="9" s="1"/>
  <c r="I35" i="9" s="1"/>
  <c r="H19" i="8" s="1"/>
  <c r="H36" i="9"/>
  <c r="G19" i="8"/>
  <c r="C38" i="21" s="1"/>
  <c r="H37" i="9"/>
  <c r="H70" i="9" s="1"/>
  <c r="K86" i="4"/>
  <c r="J79" i="4"/>
  <c r="K7" i="7" s="1"/>
  <c r="J84" i="4"/>
  <c r="J86" i="5"/>
  <c r="J84" i="5"/>
  <c r="I24" i="6"/>
  <c r="H9" i="19" s="1"/>
  <c r="J49" i="1"/>
  <c r="K22" i="5"/>
  <c r="M8" i="4"/>
  <c r="I102" i="4"/>
  <c r="H18" i="8" s="1"/>
  <c r="J90" i="5"/>
  <c r="I87" i="5"/>
  <c r="I97" i="5" s="1"/>
  <c r="G12" i="8" s="1"/>
  <c r="K63" i="5"/>
  <c r="I109" i="5"/>
  <c r="I119" i="5" s="1"/>
  <c r="G16" i="8" s="1"/>
  <c r="C35" i="21" s="1"/>
  <c r="G90" i="4"/>
  <c r="H68" i="5" s="1"/>
  <c r="H102" i="4"/>
  <c r="G18" i="8" s="1"/>
  <c r="C37" i="21" s="1"/>
  <c r="D36" i="23" s="1"/>
  <c r="J19" i="9"/>
  <c r="J29" i="19"/>
  <c r="G10" i="7"/>
  <c r="G5" i="7" s="1"/>
  <c r="G12" i="7" s="1"/>
  <c r="G16" i="7" s="1"/>
  <c r="J83" i="5"/>
  <c r="L29" i="5"/>
  <c r="L30" i="5" s="1"/>
  <c r="M13" i="5"/>
  <c r="J22" i="5"/>
  <c r="J6" i="7" s="1"/>
  <c r="L16" i="5"/>
  <c r="K31" i="5"/>
  <c r="K32" i="5" s="1"/>
  <c r="L10" i="5"/>
  <c r="K27" i="5"/>
  <c r="K28" i="5" s="1"/>
  <c r="J93" i="5"/>
  <c r="F119" i="5"/>
  <c r="D16" i="8" s="1"/>
  <c r="H119" i="5"/>
  <c r="F16" i="8" s="1"/>
  <c r="F97" i="5"/>
  <c r="D12" i="8" s="1"/>
  <c r="H97" i="5"/>
  <c r="F12" i="8" s="1"/>
  <c r="G119" i="5"/>
  <c r="E16" i="8" s="1"/>
  <c r="E20" i="8" s="1"/>
  <c r="E5" i="8" s="1"/>
  <c r="G33" i="19" s="1"/>
  <c r="G34" i="19" s="1"/>
  <c r="J96" i="5"/>
  <c r="J8" i="18"/>
  <c r="J118" i="5"/>
  <c r="K53" i="5"/>
  <c r="H88" i="4"/>
  <c r="I17" i="18" s="1"/>
  <c r="F5" i="7"/>
  <c r="H44" i="1"/>
  <c r="G11" i="8" s="1"/>
  <c r="C13" i="21" s="1"/>
  <c r="H32" i="1"/>
  <c r="H50" i="1"/>
  <c r="G33" i="1"/>
  <c r="G52" i="1" s="1"/>
  <c r="K27" i="9"/>
  <c r="L26" i="9"/>
  <c r="M53" i="9"/>
  <c r="L54" i="9"/>
  <c r="I24" i="9"/>
  <c r="J20" i="9"/>
  <c r="J22" i="9" s="1"/>
  <c r="J23" i="9" s="1"/>
  <c r="J63" i="9"/>
  <c r="K59" i="9"/>
  <c r="K61" i="9" s="1"/>
  <c r="K62" i="9" s="1"/>
  <c r="I51" i="9"/>
  <c r="I64" i="9" s="1"/>
  <c r="J47" i="9"/>
  <c r="J49" i="9" s="1"/>
  <c r="J50" i="9" s="1"/>
  <c r="M11" i="5"/>
  <c r="J69" i="9"/>
  <c r="K9" i="9"/>
  <c r="D29" i="23"/>
  <c r="J31" i="1"/>
  <c r="K26" i="1"/>
  <c r="K28" i="1" s="1"/>
  <c r="K23" i="1"/>
  <c r="K27" i="1"/>
  <c r="M17" i="5"/>
  <c r="M61" i="5"/>
  <c r="L62" i="5"/>
  <c r="I43" i="1"/>
  <c r="I44" i="1" s="1"/>
  <c r="H11" i="8" s="1"/>
  <c r="I32" i="1"/>
  <c r="M14" i="5"/>
  <c r="F76" i="9"/>
  <c r="L60" i="5"/>
  <c r="M59" i="5"/>
  <c r="L63" i="5"/>
  <c r="L40" i="5"/>
  <c r="M39" i="5"/>
  <c r="L42" i="5"/>
  <c r="M41" i="5"/>
  <c r="G73" i="9"/>
  <c r="G76" i="9" s="1"/>
  <c r="I7" i="10" s="1"/>
  <c r="S46" i="9"/>
  <c r="K64" i="5"/>
  <c r="N31" i="9"/>
  <c r="K74" i="6"/>
  <c r="K75" i="6" s="1"/>
  <c r="L38" i="5"/>
  <c r="M50" i="5"/>
  <c r="L51" i="5"/>
  <c r="L72" i="6"/>
  <c r="M71" i="6"/>
  <c r="L73" i="6"/>
  <c r="L74" i="6" s="1"/>
  <c r="K90" i="5"/>
  <c r="G103" i="6"/>
  <c r="G105" i="6" s="1"/>
  <c r="I60" i="6"/>
  <c r="H61" i="6"/>
  <c r="I77" i="6"/>
  <c r="J76" i="6"/>
  <c r="J95" i="4"/>
  <c r="G6" i="19"/>
  <c r="K58" i="6"/>
  <c r="K59" i="6" s="1"/>
  <c r="J7" i="18"/>
  <c r="K90" i="6"/>
  <c r="K91" i="6" s="1"/>
  <c r="M41" i="4"/>
  <c r="L46" i="4"/>
  <c r="L47" i="4"/>
  <c r="K13" i="6"/>
  <c r="J14" i="6"/>
  <c r="J15" i="6"/>
  <c r="J25" i="6" s="1"/>
  <c r="I44" i="6"/>
  <c r="H45" i="6"/>
  <c r="K33" i="4"/>
  <c r="K78" i="4" s="1"/>
  <c r="L31" i="4"/>
  <c r="K34" i="4"/>
  <c r="H18" i="6"/>
  <c r="H27" i="6" s="1"/>
  <c r="H101" i="6" s="1"/>
  <c r="H102" i="6" s="1"/>
  <c r="M55" i="6"/>
  <c r="L57" i="6"/>
  <c r="L56" i="6"/>
  <c r="I92" i="6"/>
  <c r="H93" i="6"/>
  <c r="I88" i="4"/>
  <c r="J17" i="18" s="1"/>
  <c r="M87" i="6"/>
  <c r="L89" i="6"/>
  <c r="L88" i="6"/>
  <c r="K101" i="4"/>
  <c r="M54" i="4"/>
  <c r="M64" i="4" s="1"/>
  <c r="L65" i="4"/>
  <c r="J42" i="6"/>
  <c r="J43" i="6" s="1"/>
  <c r="J100" i="6" s="1"/>
  <c r="J99" i="6"/>
  <c r="L39" i="6"/>
  <c r="K40" i="6"/>
  <c r="K98" i="6" s="1"/>
  <c r="K41" i="6"/>
  <c r="K98" i="4"/>
  <c r="I16" i="6"/>
  <c r="I17" i="6" s="1"/>
  <c r="I26" i="6" s="1"/>
  <c r="H73" i="5" s="1"/>
  <c r="M15" i="9" l="1"/>
  <c r="N14" i="9"/>
  <c r="K112" i="5"/>
  <c r="K9" i="7"/>
  <c r="F4" i="7"/>
  <c r="F12" i="7" s="1"/>
  <c r="F16" i="7" s="1"/>
  <c r="H4" i="7"/>
  <c r="H51" i="1"/>
  <c r="I10" i="18" s="1"/>
  <c r="I16" i="18" s="1"/>
  <c r="F16" i="18"/>
  <c r="F12" i="18"/>
  <c r="K72" i="5"/>
  <c r="K14" i="7"/>
  <c r="K93" i="5"/>
  <c r="K13" i="7"/>
  <c r="K71" i="5"/>
  <c r="K115" i="5"/>
  <c r="K8" i="18"/>
  <c r="L52" i="5"/>
  <c r="L115" i="5" s="1"/>
  <c r="L49" i="5"/>
  <c r="L53" i="5" s="1"/>
  <c r="K85" i="5"/>
  <c r="K26" i="5"/>
  <c r="K69" i="5" s="1"/>
  <c r="K6" i="18"/>
  <c r="K6" i="7"/>
  <c r="K70" i="5"/>
  <c r="J8" i="7"/>
  <c r="I8" i="7"/>
  <c r="C54" i="21" s="1"/>
  <c r="M42" i="9"/>
  <c r="N41" i="9"/>
  <c r="N76" i="4"/>
  <c r="M35" i="5"/>
  <c r="L36" i="5"/>
  <c r="L44" i="5" s="1"/>
  <c r="K85" i="4"/>
  <c r="L43" i="5"/>
  <c r="K106" i="5"/>
  <c r="P51" i="4"/>
  <c r="M58" i="9"/>
  <c r="M32" i="19"/>
  <c r="D34" i="21" s="1"/>
  <c r="K118" i="5"/>
  <c r="K107" i="5"/>
  <c r="K96" i="5"/>
  <c r="J109" i="5"/>
  <c r="J119" i="5" s="1"/>
  <c r="H16" i="8" s="1"/>
  <c r="D20" i="8"/>
  <c r="D5" i="8" s="1"/>
  <c r="F33" i="19" s="1"/>
  <c r="F34" i="19" s="1"/>
  <c r="F20" i="8"/>
  <c r="F5" i="8" s="1"/>
  <c r="H33" i="19" s="1"/>
  <c r="H34" i="19" s="1"/>
  <c r="G17" i="8"/>
  <c r="G20" i="8" s="1"/>
  <c r="G5" i="8" s="1"/>
  <c r="I33" i="19" s="1"/>
  <c r="I34" i="19" s="1"/>
  <c r="I5" i="18"/>
  <c r="K14" i="2"/>
  <c r="L86" i="4" s="1"/>
  <c r="K83" i="4"/>
  <c r="K82" i="4"/>
  <c r="K86" i="5"/>
  <c r="J87" i="5"/>
  <c r="J97" i="5" s="1"/>
  <c r="H12" i="8" s="1"/>
  <c r="J32" i="9"/>
  <c r="J34" i="9" s="1"/>
  <c r="J35" i="9" s="1"/>
  <c r="I36" i="9"/>
  <c r="I37" i="9" s="1"/>
  <c r="I70" i="9" s="1"/>
  <c r="H75" i="9"/>
  <c r="H71" i="9"/>
  <c r="H72" i="9" s="1"/>
  <c r="H73" i="9" s="1"/>
  <c r="K79" i="4"/>
  <c r="L7" i="7" s="1"/>
  <c r="K84" i="4"/>
  <c r="H90" i="4"/>
  <c r="J24" i="6"/>
  <c r="I9" i="19" s="1"/>
  <c r="C8" i="21" s="1"/>
  <c r="J11" i="18"/>
  <c r="M63" i="5"/>
  <c r="L58" i="5"/>
  <c r="L64" i="5" s="1"/>
  <c r="L72" i="5" s="1"/>
  <c r="N8" i="4"/>
  <c r="K11" i="18"/>
  <c r="K83" i="5"/>
  <c r="J102" i="4"/>
  <c r="I18" i="8" s="1"/>
  <c r="K19" i="9"/>
  <c r="K29" i="19"/>
  <c r="K84" i="5"/>
  <c r="K108" i="5"/>
  <c r="K105" i="5"/>
  <c r="M29" i="5"/>
  <c r="M30" i="5" s="1"/>
  <c r="N13" i="5"/>
  <c r="M10" i="5"/>
  <c r="L27" i="5"/>
  <c r="L28" i="5" s="1"/>
  <c r="M16" i="5"/>
  <c r="L31" i="5"/>
  <c r="L32" i="5" s="1"/>
  <c r="L26" i="5"/>
  <c r="L69" i="5" s="1"/>
  <c r="D34" i="23"/>
  <c r="C21" i="27"/>
  <c r="C52" i="21"/>
  <c r="L75" i="6"/>
  <c r="H12" i="18"/>
  <c r="H33" i="1"/>
  <c r="H52" i="1" s="1"/>
  <c r="D13" i="23"/>
  <c r="C23" i="27"/>
  <c r="M26" i="9"/>
  <c r="L27" i="9"/>
  <c r="M54" i="9"/>
  <c r="N53" i="9"/>
  <c r="J51" i="9"/>
  <c r="J64" i="9" s="1"/>
  <c r="K47" i="9"/>
  <c r="K49" i="9" s="1"/>
  <c r="K50" i="9" s="1"/>
  <c r="K63" i="9"/>
  <c r="L59" i="9"/>
  <c r="L61" i="9" s="1"/>
  <c r="L62" i="9" s="1"/>
  <c r="O31" i="9"/>
  <c r="M42" i="5"/>
  <c r="N41" i="5"/>
  <c r="M49" i="5"/>
  <c r="L96" i="5"/>
  <c r="L118" i="5"/>
  <c r="L107" i="5"/>
  <c r="L85" i="5"/>
  <c r="I33" i="1"/>
  <c r="I52" i="1" s="1"/>
  <c r="M62" i="5"/>
  <c r="N61" i="5"/>
  <c r="N17" i="5"/>
  <c r="L27" i="1"/>
  <c r="M19" i="1"/>
  <c r="L23" i="1"/>
  <c r="L26" i="1"/>
  <c r="L28" i="1" s="1"/>
  <c r="J43" i="1"/>
  <c r="J44" i="1" s="1"/>
  <c r="I11" i="8" s="1"/>
  <c r="J32" i="1"/>
  <c r="J50" i="1"/>
  <c r="D30" i="23"/>
  <c r="L9" i="9"/>
  <c r="K69" i="9"/>
  <c r="N11" i="5"/>
  <c r="T46" i="9"/>
  <c r="M40" i="5"/>
  <c r="N39" i="5"/>
  <c r="M60" i="5"/>
  <c r="N59" i="5"/>
  <c r="H7" i="10"/>
  <c r="H8" i="10" s="1"/>
  <c r="I8" i="10" s="1"/>
  <c r="F83" i="9"/>
  <c r="N14" i="5"/>
  <c r="L22" i="5"/>
  <c r="H76" i="9"/>
  <c r="J7" i="10" s="1"/>
  <c r="K31" i="1"/>
  <c r="J24" i="9"/>
  <c r="I19" i="8"/>
  <c r="K20" i="9"/>
  <c r="K22" i="9" s="1"/>
  <c r="K23" i="9" s="1"/>
  <c r="M72" i="6"/>
  <c r="N71" i="6"/>
  <c r="M73" i="6"/>
  <c r="L93" i="5"/>
  <c r="M52" i="5"/>
  <c r="M51" i="5"/>
  <c r="N50" i="5"/>
  <c r="M38" i="5"/>
  <c r="M43" i="5"/>
  <c r="H6" i="19"/>
  <c r="N54" i="4"/>
  <c r="N64" i="4" s="1"/>
  <c r="M65" i="4"/>
  <c r="L90" i="6"/>
  <c r="L91" i="6" s="1"/>
  <c r="M56" i="6"/>
  <c r="N55" i="6"/>
  <c r="M57" i="6"/>
  <c r="I18" i="6"/>
  <c r="I27" i="6" s="1"/>
  <c r="I101" i="6" s="1"/>
  <c r="I102" i="6" s="1"/>
  <c r="I103" i="6" s="1"/>
  <c r="I105" i="6" s="1"/>
  <c r="H19" i="6"/>
  <c r="K95" i="4"/>
  <c r="J44" i="6"/>
  <c r="I45" i="6"/>
  <c r="J16" i="6"/>
  <c r="J17" i="6" s="1"/>
  <c r="K14" i="6"/>
  <c r="L13" i="6"/>
  <c r="K15" i="6"/>
  <c r="K25" i="6" s="1"/>
  <c r="J88" i="4"/>
  <c r="K17" i="18" s="1"/>
  <c r="K76" i="6"/>
  <c r="J77" i="6"/>
  <c r="F18" i="18"/>
  <c r="F74" i="5"/>
  <c r="F17" i="7"/>
  <c r="I90" i="4"/>
  <c r="J68" i="5" s="1"/>
  <c r="H10" i="7"/>
  <c r="K42" i="6"/>
  <c r="K43" i="6" s="1"/>
  <c r="K100" i="6" s="1"/>
  <c r="K99" i="6"/>
  <c r="M39" i="6"/>
  <c r="L40" i="6"/>
  <c r="L98" i="6" s="1"/>
  <c r="L41" i="6"/>
  <c r="L101" i="4"/>
  <c r="M89" i="6"/>
  <c r="M88" i="6"/>
  <c r="N87" i="6"/>
  <c r="J92" i="6"/>
  <c r="I93" i="6"/>
  <c r="L58" i="6"/>
  <c r="L59" i="6" s="1"/>
  <c r="F7" i="19"/>
  <c r="F8" i="19" s="1"/>
  <c r="G28" i="6"/>
  <c r="L33" i="4"/>
  <c r="L78" i="4" s="1"/>
  <c r="M31" i="4"/>
  <c r="L34" i="4"/>
  <c r="L85" i="4"/>
  <c r="L98" i="4"/>
  <c r="N41" i="4"/>
  <c r="M46" i="4"/>
  <c r="M47" i="4"/>
  <c r="K7" i="18"/>
  <c r="J60" i="6"/>
  <c r="I61" i="6"/>
  <c r="H103" i="6"/>
  <c r="H105" i="6" s="1"/>
  <c r="L87" i="4" l="1"/>
  <c r="O14" i="9"/>
  <c r="N15" i="9"/>
  <c r="J51" i="1"/>
  <c r="K10" i="18" s="1"/>
  <c r="K16" i="18" s="1"/>
  <c r="L90" i="5"/>
  <c r="L9" i="7"/>
  <c r="F22" i="7"/>
  <c r="F24" i="7" s="1"/>
  <c r="I4" i="7"/>
  <c r="F13" i="18"/>
  <c r="F14" i="18" s="1"/>
  <c r="F15" i="18" s="1"/>
  <c r="F13" i="19" s="1"/>
  <c r="G13" i="18"/>
  <c r="G14" i="18" s="1"/>
  <c r="L14" i="7"/>
  <c r="L13" i="7"/>
  <c r="L71" i="5"/>
  <c r="L70" i="5"/>
  <c r="L112" i="5"/>
  <c r="L8" i="18"/>
  <c r="H13" i="18"/>
  <c r="H14" i="18" s="1"/>
  <c r="L6" i="18"/>
  <c r="L6" i="7"/>
  <c r="K8" i="7"/>
  <c r="I68" i="5"/>
  <c r="N58" i="9"/>
  <c r="N32" i="19"/>
  <c r="Q51" i="4"/>
  <c r="O76" i="4"/>
  <c r="O41" i="9"/>
  <c r="N42" i="9"/>
  <c r="D34" i="26"/>
  <c r="E33" i="23"/>
  <c r="N35" i="5"/>
  <c r="M36" i="5"/>
  <c r="M44" i="5" s="1"/>
  <c r="M9" i="7" s="1"/>
  <c r="I17" i="8"/>
  <c r="K5" i="18"/>
  <c r="L14" i="2"/>
  <c r="L83" i="4"/>
  <c r="L82" i="4"/>
  <c r="M22" i="5"/>
  <c r="I75" i="9"/>
  <c r="I71" i="9"/>
  <c r="I72" i="9" s="1"/>
  <c r="J36" i="9"/>
  <c r="J37" i="9" s="1"/>
  <c r="J70" i="9" s="1"/>
  <c r="K32" i="9"/>
  <c r="K34" i="9" s="1"/>
  <c r="K35" i="9" s="1"/>
  <c r="K36" i="9" s="1"/>
  <c r="M86" i="4"/>
  <c r="M87" i="4"/>
  <c r="L79" i="4"/>
  <c r="M7" i="7" s="1"/>
  <c r="D53" i="21" s="1"/>
  <c r="L84" i="4"/>
  <c r="L105" i="5"/>
  <c r="L84" i="5"/>
  <c r="L108" i="5"/>
  <c r="J26" i="6"/>
  <c r="K24" i="6"/>
  <c r="J9" i="19" s="1"/>
  <c r="L11" i="18"/>
  <c r="K109" i="5"/>
  <c r="K119" i="5" s="1"/>
  <c r="I16" i="8" s="1"/>
  <c r="K87" i="5"/>
  <c r="K97" i="5" s="1"/>
  <c r="I12" i="8" s="1"/>
  <c r="O8" i="4"/>
  <c r="M58" i="5"/>
  <c r="M64" i="5" s="1"/>
  <c r="M14" i="7" s="1"/>
  <c r="K102" i="4"/>
  <c r="J18" i="8" s="1"/>
  <c r="L19" i="9"/>
  <c r="L29" i="19"/>
  <c r="L106" i="5"/>
  <c r="L86" i="5"/>
  <c r="L83" i="5"/>
  <c r="N29" i="5"/>
  <c r="N30" i="5" s="1"/>
  <c r="O13" i="5"/>
  <c r="N16" i="5"/>
  <c r="M31" i="5"/>
  <c r="M32" i="5" s="1"/>
  <c r="N10" i="5"/>
  <c r="M27" i="5"/>
  <c r="M28" i="5" s="1"/>
  <c r="M53" i="5"/>
  <c r="M71" i="5" s="1"/>
  <c r="I12" i="18"/>
  <c r="C39" i="21"/>
  <c r="C49" i="21"/>
  <c r="J8" i="10"/>
  <c r="J90" i="4"/>
  <c r="K68" i="5" s="1"/>
  <c r="N54" i="9"/>
  <c r="O53" i="9"/>
  <c r="N26" i="9"/>
  <c r="M27" i="9"/>
  <c r="K24" i="9"/>
  <c r="L20" i="9"/>
  <c r="L22" i="9" s="1"/>
  <c r="L23" i="9" s="1"/>
  <c r="L63" i="9"/>
  <c r="M59" i="9"/>
  <c r="M61" i="9" s="1"/>
  <c r="M62" i="9" s="1"/>
  <c r="K51" i="9"/>
  <c r="K64" i="9" s="1"/>
  <c r="L47" i="9"/>
  <c r="L49" i="9" s="1"/>
  <c r="L50" i="9" s="1"/>
  <c r="K43" i="1"/>
  <c r="K44" i="1" s="1"/>
  <c r="J11" i="8" s="1"/>
  <c r="K32" i="1"/>
  <c r="M85" i="5"/>
  <c r="M107" i="5"/>
  <c r="F84" i="9"/>
  <c r="G83" i="9"/>
  <c r="N60" i="5"/>
  <c r="O59" i="5"/>
  <c r="N63" i="5"/>
  <c r="M118" i="5"/>
  <c r="M96" i="5"/>
  <c r="O39" i="5"/>
  <c r="N40" i="5"/>
  <c r="O11" i="5"/>
  <c r="L69" i="9"/>
  <c r="M9" i="9"/>
  <c r="L31" i="1"/>
  <c r="M23" i="1"/>
  <c r="M27" i="1"/>
  <c r="M26" i="1"/>
  <c r="M28" i="1" s="1"/>
  <c r="N18" i="1"/>
  <c r="O17" i="5"/>
  <c r="O61" i="5"/>
  <c r="N62" i="5"/>
  <c r="N49" i="5"/>
  <c r="P31" i="9"/>
  <c r="O14" i="5"/>
  <c r="E79" i="9"/>
  <c r="E80" i="9" s="1"/>
  <c r="G17" i="10" s="1"/>
  <c r="U46" i="9"/>
  <c r="J33" i="1"/>
  <c r="J52" i="1" s="1"/>
  <c r="N42" i="5"/>
  <c r="O41" i="5"/>
  <c r="N51" i="5"/>
  <c r="N52" i="5"/>
  <c r="O50" i="5"/>
  <c r="M115" i="5"/>
  <c r="M93" i="5"/>
  <c r="O71" i="6"/>
  <c r="N72" i="6"/>
  <c r="N73" i="6"/>
  <c r="M8" i="18"/>
  <c r="M90" i="5"/>
  <c r="M112" i="5"/>
  <c r="N38" i="5"/>
  <c r="N43" i="5"/>
  <c r="M74" i="6"/>
  <c r="M75" i="6" s="1"/>
  <c r="H18" i="18"/>
  <c r="H75" i="5"/>
  <c r="H17" i="7"/>
  <c r="H5" i="7"/>
  <c r="H12" i="7" s="1"/>
  <c r="H16" i="7" s="1"/>
  <c r="K60" i="6"/>
  <c r="J61" i="6"/>
  <c r="M85" i="4"/>
  <c r="M98" i="4"/>
  <c r="O41" i="4"/>
  <c r="N46" i="4"/>
  <c r="N47" i="4"/>
  <c r="L95" i="4"/>
  <c r="O87" i="6"/>
  <c r="N88" i="6"/>
  <c r="N89" i="6"/>
  <c r="M90" i="6"/>
  <c r="M91" i="6" s="1"/>
  <c r="F75" i="5"/>
  <c r="L14" i="6"/>
  <c r="M13" i="6"/>
  <c r="L15" i="6"/>
  <c r="L25" i="6" s="1"/>
  <c r="I6" i="19"/>
  <c r="K44" i="6"/>
  <c r="J45" i="6"/>
  <c r="L7" i="18"/>
  <c r="K88" i="4"/>
  <c r="L17" i="18" s="1"/>
  <c r="J18" i="6"/>
  <c r="J27" i="6" s="1"/>
  <c r="J101" i="6" s="1"/>
  <c r="J102" i="6" s="1"/>
  <c r="J103" i="6" s="1"/>
  <c r="J105" i="6" s="1"/>
  <c r="I19" i="6"/>
  <c r="M58" i="6"/>
  <c r="M59" i="6" s="1"/>
  <c r="O54" i="4"/>
  <c r="O64" i="4" s="1"/>
  <c r="N65" i="4"/>
  <c r="G17" i="7"/>
  <c r="G22" i="7" s="1"/>
  <c r="G24" i="7" s="1"/>
  <c r="G75" i="5"/>
  <c r="G18" i="18"/>
  <c r="M33" i="4"/>
  <c r="M78" i="4" s="1"/>
  <c r="N31" i="4"/>
  <c r="M34" i="4"/>
  <c r="K92" i="6"/>
  <c r="J93" i="6"/>
  <c r="L42" i="6"/>
  <c r="L43" i="6" s="1"/>
  <c r="L100" i="6" s="1"/>
  <c r="L99" i="6"/>
  <c r="M41" i="6"/>
  <c r="N39" i="6"/>
  <c r="M40" i="6"/>
  <c r="M98" i="6" s="1"/>
  <c r="K77" i="6"/>
  <c r="L76" i="6"/>
  <c r="K16" i="6"/>
  <c r="K17" i="6" s="1"/>
  <c r="K26" i="6" s="1"/>
  <c r="J73" i="5" s="1"/>
  <c r="G7" i="19"/>
  <c r="G8" i="19" s="1"/>
  <c r="H28" i="6"/>
  <c r="O55" i="6"/>
  <c r="N56" i="6"/>
  <c r="N57" i="6"/>
  <c r="M101" i="4"/>
  <c r="H22" i="7" l="1"/>
  <c r="H24" i="7" s="1"/>
  <c r="K37" i="9"/>
  <c r="K70" i="9" s="1"/>
  <c r="O15" i="9"/>
  <c r="P14" i="9"/>
  <c r="F23" i="7"/>
  <c r="G23" i="7" s="1"/>
  <c r="H15" i="18"/>
  <c r="G15" i="18"/>
  <c r="G13" i="19" s="1"/>
  <c r="I10" i="7"/>
  <c r="I5" i="7" s="1"/>
  <c r="I12" i="7" s="1"/>
  <c r="I16" i="7" s="1"/>
  <c r="I73" i="5"/>
  <c r="I75" i="5" s="1"/>
  <c r="K4" i="7"/>
  <c r="M72" i="5"/>
  <c r="M13" i="7"/>
  <c r="H13" i="19"/>
  <c r="D55" i="21"/>
  <c r="D51" i="23" s="1"/>
  <c r="M70" i="5"/>
  <c r="I13" i="18"/>
  <c r="I14" i="18" s="1"/>
  <c r="I15" i="18" s="1"/>
  <c r="M26" i="5"/>
  <c r="M69" i="5" s="1"/>
  <c r="M6" i="18"/>
  <c r="M6" i="7"/>
  <c r="D60" i="21"/>
  <c r="D57" i="26" s="1"/>
  <c r="L8" i="7"/>
  <c r="P76" i="4"/>
  <c r="Q70" i="4"/>
  <c r="R70" i="4" s="1"/>
  <c r="S70" i="4" s="1"/>
  <c r="T70" i="4" s="1"/>
  <c r="O35" i="5"/>
  <c r="N36" i="5"/>
  <c r="N44" i="5" s="1"/>
  <c r="N70" i="5" s="1"/>
  <c r="O42" i="9"/>
  <c r="P41" i="9"/>
  <c r="R51" i="4"/>
  <c r="O32" i="19"/>
  <c r="O58" i="9"/>
  <c r="I20" i="8"/>
  <c r="I5" i="8" s="1"/>
  <c r="K33" i="19" s="1"/>
  <c r="K34" i="19" s="1"/>
  <c r="D61" i="21"/>
  <c r="D58" i="26" s="1"/>
  <c r="I49" i="1"/>
  <c r="K49" i="1"/>
  <c r="L49" i="1"/>
  <c r="M14" i="2"/>
  <c r="M82" i="4"/>
  <c r="M83" i="4"/>
  <c r="M86" i="5"/>
  <c r="L109" i="5"/>
  <c r="L119" i="5" s="1"/>
  <c r="J16" i="8" s="1"/>
  <c r="J75" i="9"/>
  <c r="J71" i="9"/>
  <c r="J72" i="9" s="1"/>
  <c r="J73" i="9" s="1"/>
  <c r="L32" i="9"/>
  <c r="L34" i="9" s="1"/>
  <c r="L35" i="9" s="1"/>
  <c r="I73" i="9"/>
  <c r="I76" i="9" s="1"/>
  <c r="K7" i="10" s="1"/>
  <c r="K8" i="10" s="1"/>
  <c r="J19" i="8"/>
  <c r="N86" i="4"/>
  <c r="N87" i="4"/>
  <c r="M79" i="4"/>
  <c r="N7" i="7" s="1"/>
  <c r="M84" i="4"/>
  <c r="C56" i="21"/>
  <c r="C21" i="32" s="1"/>
  <c r="L87" i="5"/>
  <c r="L97" i="5" s="1"/>
  <c r="J12" i="8" s="1"/>
  <c r="L24" i="6"/>
  <c r="K9" i="19" s="1"/>
  <c r="M11" i="18"/>
  <c r="M84" i="5"/>
  <c r="O63" i="5"/>
  <c r="N58" i="5"/>
  <c r="N64" i="5" s="1"/>
  <c r="N72" i="5" s="1"/>
  <c r="P8" i="4"/>
  <c r="L102" i="4"/>
  <c r="K18" i="8" s="1"/>
  <c r="D37" i="21" s="1"/>
  <c r="M19" i="9"/>
  <c r="M20" i="9" s="1"/>
  <c r="M22" i="9" s="1"/>
  <c r="M23" i="9" s="1"/>
  <c r="M29" i="19"/>
  <c r="D30" i="21" s="1"/>
  <c r="M105" i="5"/>
  <c r="M108" i="5"/>
  <c r="M106" i="5"/>
  <c r="M83" i="5"/>
  <c r="O29" i="5"/>
  <c r="O30" i="5" s="1"/>
  <c r="P13" i="5"/>
  <c r="O10" i="5"/>
  <c r="N27" i="5"/>
  <c r="N28" i="5" s="1"/>
  <c r="O16" i="5"/>
  <c r="N31" i="5"/>
  <c r="N32" i="5" s="1"/>
  <c r="N53" i="5"/>
  <c r="N71" i="5" s="1"/>
  <c r="C47" i="25"/>
  <c r="C47" i="28"/>
  <c r="C11" i="32"/>
  <c r="C20" i="28"/>
  <c r="C26" i="28"/>
  <c r="C26" i="27"/>
  <c r="C52" i="28"/>
  <c r="C64" i="25"/>
  <c r="C16" i="32"/>
  <c r="C23" i="32"/>
  <c r="C57" i="28"/>
  <c r="C6" i="32"/>
  <c r="C58" i="25"/>
  <c r="C50" i="25"/>
  <c r="C5" i="28"/>
  <c r="C53" i="25"/>
  <c r="C59" i="25"/>
  <c r="C52" i="25"/>
  <c r="C51" i="25"/>
  <c r="D56" i="23"/>
  <c r="C37" i="27"/>
  <c r="C12" i="27"/>
  <c r="C17" i="27"/>
  <c r="C6" i="27"/>
  <c r="C20" i="31"/>
  <c r="C15" i="31"/>
  <c r="O26" i="9"/>
  <c r="N27" i="9"/>
  <c r="O54" i="9"/>
  <c r="P53" i="9"/>
  <c r="L51" i="9"/>
  <c r="L64" i="9" s="1"/>
  <c r="M47" i="9"/>
  <c r="M49" i="9" s="1"/>
  <c r="M50" i="9" s="1"/>
  <c r="M63" i="9"/>
  <c r="N59" i="9"/>
  <c r="N61" i="9" s="1"/>
  <c r="N62" i="9" s="1"/>
  <c r="K19" i="8"/>
  <c r="D38" i="21" s="1"/>
  <c r="L24" i="9"/>
  <c r="K12" i="18"/>
  <c r="V46" i="9"/>
  <c r="P14" i="5"/>
  <c r="Q31" i="9"/>
  <c r="O49" i="5"/>
  <c r="P17" i="5"/>
  <c r="O18" i="1"/>
  <c r="N23" i="1"/>
  <c r="N26" i="1"/>
  <c r="N28" i="1" s="1"/>
  <c r="N27" i="1"/>
  <c r="M69" i="9"/>
  <c r="N9" i="9"/>
  <c r="O40" i="5"/>
  <c r="P39" i="5"/>
  <c r="O60" i="5"/>
  <c r="P59" i="5"/>
  <c r="O42" i="5"/>
  <c r="P41" i="5"/>
  <c r="N107" i="5"/>
  <c r="N85" i="5"/>
  <c r="O62" i="5"/>
  <c r="P61" i="5"/>
  <c r="M31" i="1"/>
  <c r="L32" i="1"/>
  <c r="L43" i="1"/>
  <c r="L44" i="1" s="1"/>
  <c r="K11" i="8" s="1"/>
  <c r="D13" i="21" s="1"/>
  <c r="P11" i="5"/>
  <c r="N118" i="5"/>
  <c r="N96" i="5"/>
  <c r="G84" i="9"/>
  <c r="H83" i="9"/>
  <c r="K33" i="1"/>
  <c r="K52" i="1" s="1"/>
  <c r="N112" i="5"/>
  <c r="N90" i="5"/>
  <c r="N8" i="18"/>
  <c r="N74" i="6"/>
  <c r="N75" i="6" s="1"/>
  <c r="P71" i="6"/>
  <c r="O73" i="6"/>
  <c r="O74" i="6" s="1"/>
  <c r="O72" i="6"/>
  <c r="N93" i="5"/>
  <c r="N115" i="5"/>
  <c r="O38" i="5"/>
  <c r="O43" i="5"/>
  <c r="O51" i="5"/>
  <c r="P50" i="5"/>
  <c r="O52" i="5"/>
  <c r="J10" i="7"/>
  <c r="I17" i="7"/>
  <c r="I18" i="18"/>
  <c r="D50" i="26"/>
  <c r="D49" i="23"/>
  <c r="L77" i="6"/>
  <c r="M76" i="6"/>
  <c r="M42" i="6"/>
  <c r="M43" i="6" s="1"/>
  <c r="M100" i="6" s="1"/>
  <c r="M99" i="6"/>
  <c r="L92" i="6"/>
  <c r="K93" i="6"/>
  <c r="M95" i="4"/>
  <c r="G37" i="1"/>
  <c r="N101" i="4"/>
  <c r="K18" i="6"/>
  <c r="K27" i="6" s="1"/>
  <c r="K101" i="6" s="1"/>
  <c r="K102" i="6" s="1"/>
  <c r="J19" i="6"/>
  <c r="C7" i="21"/>
  <c r="L16" i="6"/>
  <c r="L17" i="6" s="1"/>
  <c r="N90" i="6"/>
  <c r="N91" i="6" s="1"/>
  <c r="O88" i="6"/>
  <c r="P87" i="6"/>
  <c r="O89" i="6"/>
  <c r="M7" i="18"/>
  <c r="N85" i="4"/>
  <c r="N98" i="4"/>
  <c r="P41" i="4"/>
  <c r="O46" i="4"/>
  <c r="O47" i="4"/>
  <c r="C54" i="25"/>
  <c r="K90" i="4"/>
  <c r="L68" i="5" s="1"/>
  <c r="N58" i="6"/>
  <c r="N59" i="6" s="1"/>
  <c r="O56" i="6"/>
  <c r="P55" i="6"/>
  <c r="O57" i="6"/>
  <c r="J6" i="19"/>
  <c r="N40" i="6"/>
  <c r="N98" i="6" s="1"/>
  <c r="N41" i="6"/>
  <c r="O39" i="6"/>
  <c r="N33" i="4"/>
  <c r="N78" i="4" s="1"/>
  <c r="O31" i="4"/>
  <c r="N34" i="4"/>
  <c r="F37" i="1"/>
  <c r="P54" i="4"/>
  <c r="P64" i="4" s="1"/>
  <c r="O65" i="4"/>
  <c r="H7" i="19"/>
  <c r="H8" i="19" s="1"/>
  <c r="I28" i="6"/>
  <c r="L44" i="6"/>
  <c r="K45" i="6"/>
  <c r="M15" i="6"/>
  <c r="M25" i="6" s="1"/>
  <c r="N13" i="6"/>
  <c r="M14" i="6"/>
  <c r="E37" i="1"/>
  <c r="E38" i="1" s="1"/>
  <c r="D10" i="8" s="1"/>
  <c r="D13" i="8" s="1"/>
  <c r="D4" i="8" s="1"/>
  <c r="L88" i="4"/>
  <c r="M17" i="18" s="1"/>
  <c r="L60" i="6"/>
  <c r="K61" i="6"/>
  <c r="F25" i="7"/>
  <c r="Q14" i="9" l="1"/>
  <c r="P15" i="9"/>
  <c r="K75" i="9"/>
  <c r="K71" i="9"/>
  <c r="K72" i="9" s="1"/>
  <c r="K73" i="9" s="1"/>
  <c r="N84" i="5"/>
  <c r="N9" i="7"/>
  <c r="I22" i="7"/>
  <c r="I24" i="7" s="1"/>
  <c r="N14" i="7"/>
  <c r="N13" i="7"/>
  <c r="I13" i="19"/>
  <c r="D52" i="26"/>
  <c r="N26" i="5"/>
  <c r="N69" i="5" s="1"/>
  <c r="N6" i="18"/>
  <c r="N22" i="5"/>
  <c r="N6" i="7" s="1"/>
  <c r="M8" i="7"/>
  <c r="D54" i="21" s="1"/>
  <c r="P32" i="19"/>
  <c r="P58" i="9"/>
  <c r="Q41" i="9"/>
  <c r="P42" i="9"/>
  <c r="Q76" i="4"/>
  <c r="S51" i="4"/>
  <c r="P35" i="5"/>
  <c r="P43" i="5" s="1"/>
  <c r="O36" i="5"/>
  <c r="O44" i="5" s="1"/>
  <c r="O9" i="7" s="1"/>
  <c r="I50" i="1"/>
  <c r="O75" i="6"/>
  <c r="L50" i="1"/>
  <c r="N108" i="5"/>
  <c r="K50" i="1"/>
  <c r="N14" i="2"/>
  <c r="N82" i="4"/>
  <c r="N83" i="4"/>
  <c r="N83" i="5"/>
  <c r="N86" i="5"/>
  <c r="N106" i="5"/>
  <c r="N105" i="5"/>
  <c r="L36" i="9"/>
  <c r="L37" i="9" s="1"/>
  <c r="L70" i="9" s="1"/>
  <c r="L75" i="9" s="1"/>
  <c r="M32" i="9"/>
  <c r="M34" i="9" s="1"/>
  <c r="M35" i="9" s="1"/>
  <c r="M36" i="9" s="1"/>
  <c r="C51" i="21"/>
  <c r="C32" i="27" s="1"/>
  <c r="O87" i="4"/>
  <c r="N79" i="4"/>
  <c r="O7" i="7" s="1"/>
  <c r="N84" i="4"/>
  <c r="M87" i="5"/>
  <c r="M97" i="5" s="1"/>
  <c r="K12" i="8" s="1"/>
  <c r="D14" i="23" s="1"/>
  <c r="N49" i="1"/>
  <c r="M109" i="5"/>
  <c r="M119" i="5" s="1"/>
  <c r="K16" i="8" s="1"/>
  <c r="D35" i="21" s="1"/>
  <c r="M24" i="6"/>
  <c r="L9" i="19" s="1"/>
  <c r="L26" i="6"/>
  <c r="Q8" i="4"/>
  <c r="P63" i="5"/>
  <c r="O58" i="5"/>
  <c r="O64" i="5" s="1"/>
  <c r="O14" i="7" s="1"/>
  <c r="M102" i="4"/>
  <c r="L18" i="8" s="1"/>
  <c r="D31" i="21"/>
  <c r="D30" i="26"/>
  <c r="N19" i="9"/>
  <c r="N29" i="19"/>
  <c r="P16" i="5"/>
  <c r="O31" i="5"/>
  <c r="O32" i="5" s="1"/>
  <c r="P10" i="5"/>
  <c r="O27" i="5"/>
  <c r="O28" i="5" s="1"/>
  <c r="P29" i="5"/>
  <c r="P30" i="5" s="1"/>
  <c r="Q13" i="5"/>
  <c r="D57" i="23"/>
  <c r="O53" i="5"/>
  <c r="O71" i="5" s="1"/>
  <c r="F38" i="1"/>
  <c r="E10" i="8" s="1"/>
  <c r="E13" i="8" s="1"/>
  <c r="E4" i="8" s="1"/>
  <c r="G12" i="19" s="1"/>
  <c r="C65" i="21"/>
  <c r="C63" i="25" s="1"/>
  <c r="Q53" i="9"/>
  <c r="P54" i="9"/>
  <c r="O27" i="9"/>
  <c r="P26" i="9"/>
  <c r="N20" i="9"/>
  <c r="N22" i="9" s="1"/>
  <c r="N23" i="9" s="1"/>
  <c r="M24" i="9"/>
  <c r="L19" i="8"/>
  <c r="N63" i="9"/>
  <c r="O59" i="9"/>
  <c r="O61" i="9" s="1"/>
  <c r="O62" i="9" s="1"/>
  <c r="M51" i="9"/>
  <c r="M64" i="9" s="1"/>
  <c r="N47" i="9"/>
  <c r="N49" i="9" s="1"/>
  <c r="N50" i="9" s="1"/>
  <c r="L33" i="1"/>
  <c r="P62" i="5"/>
  <c r="Q61" i="5"/>
  <c r="K76" i="9"/>
  <c r="M7" i="10" s="1"/>
  <c r="O96" i="5"/>
  <c r="O118" i="5"/>
  <c r="O9" i="9"/>
  <c r="N69" i="9"/>
  <c r="N31" i="1"/>
  <c r="O27" i="1"/>
  <c r="O26" i="1"/>
  <c r="O28" i="1" s="1"/>
  <c r="O23" i="1"/>
  <c r="P49" i="5"/>
  <c r="R31" i="9"/>
  <c r="D52" i="21"/>
  <c r="Q14" i="5"/>
  <c r="W46" i="9"/>
  <c r="D37" i="23"/>
  <c r="D38" i="26"/>
  <c r="I83" i="9"/>
  <c r="H84" i="9"/>
  <c r="Q11" i="5"/>
  <c r="D21" i="28"/>
  <c r="D25" i="28"/>
  <c r="D13" i="26"/>
  <c r="D23" i="27"/>
  <c r="M32" i="1"/>
  <c r="M43" i="1"/>
  <c r="M44" i="1" s="1"/>
  <c r="L11" i="8" s="1"/>
  <c r="Q41" i="5"/>
  <c r="P42" i="5"/>
  <c r="Q59" i="5"/>
  <c r="P60" i="5"/>
  <c r="Q39" i="5"/>
  <c r="P40" i="5"/>
  <c r="Q17" i="5"/>
  <c r="J76" i="9"/>
  <c r="O85" i="5"/>
  <c r="O107" i="5"/>
  <c r="Q50" i="5"/>
  <c r="P51" i="5"/>
  <c r="P52" i="5"/>
  <c r="P38" i="5"/>
  <c r="P72" i="6"/>
  <c r="Q71" i="6"/>
  <c r="P73" i="6"/>
  <c r="O93" i="5"/>
  <c r="O115" i="5"/>
  <c r="O112" i="5"/>
  <c r="O8" i="18"/>
  <c r="O90" i="5"/>
  <c r="H23" i="7"/>
  <c r="G25" i="7"/>
  <c r="D6" i="8"/>
  <c r="D7" i="8" s="1"/>
  <c r="F22" i="18" s="1"/>
  <c r="F12" i="19"/>
  <c r="M16" i="6"/>
  <c r="M17" i="6" s="1"/>
  <c r="O101" i="4"/>
  <c r="P31" i="4"/>
  <c r="O33" i="4"/>
  <c r="O78" i="4" s="1"/>
  <c r="O34" i="4"/>
  <c r="P39" i="6"/>
  <c r="O40" i="6"/>
  <c r="O98" i="6" s="1"/>
  <c r="O41" i="6"/>
  <c r="Q55" i="6"/>
  <c r="P57" i="6"/>
  <c r="P56" i="6"/>
  <c r="Q87" i="6"/>
  <c r="P89" i="6"/>
  <c r="P88" i="6"/>
  <c r="K6" i="19"/>
  <c r="C58" i="28"/>
  <c r="L18" i="6"/>
  <c r="L27" i="6" s="1"/>
  <c r="L101" i="6" s="1"/>
  <c r="L102" i="6" s="1"/>
  <c r="K19" i="6"/>
  <c r="N7" i="18"/>
  <c r="F19" i="18"/>
  <c r="F9" i="18" s="1"/>
  <c r="F27" i="7"/>
  <c r="F30" i="7" s="1"/>
  <c r="F31" i="7" s="1"/>
  <c r="M60" i="6"/>
  <c r="L61" i="6"/>
  <c r="E36" i="23"/>
  <c r="D37" i="26"/>
  <c r="N14" i="6"/>
  <c r="N15" i="6"/>
  <c r="N25" i="6" s="1"/>
  <c r="O13" i="6"/>
  <c r="M44" i="6"/>
  <c r="L45" i="6"/>
  <c r="Q54" i="4"/>
  <c r="Q64" i="4" s="1"/>
  <c r="P65" i="4"/>
  <c r="N95" i="4"/>
  <c r="N42" i="6"/>
  <c r="N43" i="6" s="1"/>
  <c r="N100" i="6" s="1"/>
  <c r="N99" i="6"/>
  <c r="O58" i="6"/>
  <c r="O59" i="6" s="1"/>
  <c r="J5" i="7"/>
  <c r="C49" i="25"/>
  <c r="O98" i="4"/>
  <c r="Q41" i="4"/>
  <c r="P46" i="4"/>
  <c r="P47" i="4"/>
  <c r="O90" i="6"/>
  <c r="O91" i="6" s="1"/>
  <c r="I7" i="19"/>
  <c r="I8" i="19" s="1"/>
  <c r="J28" i="6"/>
  <c r="C6" i="21" s="1"/>
  <c r="M88" i="4"/>
  <c r="N17" i="18" s="1"/>
  <c r="M92" i="6"/>
  <c r="L93" i="6"/>
  <c r="M77" i="6"/>
  <c r="N76" i="6"/>
  <c r="H37" i="1"/>
  <c r="L90" i="4"/>
  <c r="M68" i="5" s="1"/>
  <c r="K103" i="6"/>
  <c r="G38" i="1"/>
  <c r="F10" i="8" s="1"/>
  <c r="F13" i="8" s="1"/>
  <c r="F4" i="8" s="1"/>
  <c r="R14" i="9" l="1"/>
  <c r="Q15" i="9"/>
  <c r="N11" i="18"/>
  <c r="K10" i="7"/>
  <c r="K5" i="7" s="1"/>
  <c r="K12" i="7" s="1"/>
  <c r="K16" i="7" s="1"/>
  <c r="K73" i="5"/>
  <c r="K51" i="1"/>
  <c r="L10" i="18" s="1"/>
  <c r="L51" i="1"/>
  <c r="M10" i="18" s="1"/>
  <c r="M16" i="18" s="1"/>
  <c r="I51" i="1"/>
  <c r="J10" i="18" s="1"/>
  <c r="O72" i="5"/>
  <c r="O13" i="7"/>
  <c r="K13" i="19"/>
  <c r="O70" i="5"/>
  <c r="O26" i="5"/>
  <c r="O69" i="5" s="1"/>
  <c r="O86" i="5"/>
  <c r="O105" i="5"/>
  <c r="O6" i="18"/>
  <c r="D51" i="26"/>
  <c r="D50" i="23"/>
  <c r="F4" i="18"/>
  <c r="F34" i="18" s="1"/>
  <c r="N8" i="7"/>
  <c r="R76" i="4"/>
  <c r="Q58" i="9"/>
  <c r="Q32" i="19"/>
  <c r="E34" i="21" s="1"/>
  <c r="Q35" i="5"/>
  <c r="Q43" i="5" s="1"/>
  <c r="P36" i="5"/>
  <c r="T51" i="4"/>
  <c r="R41" i="9"/>
  <c r="Q42" i="9"/>
  <c r="K105" i="6"/>
  <c r="J17" i="7" s="1"/>
  <c r="O22" i="5"/>
  <c r="O11" i="18" s="1"/>
  <c r="H17" i="8"/>
  <c r="H20" i="8" s="1"/>
  <c r="H5" i="8" s="1"/>
  <c r="J33" i="19" s="1"/>
  <c r="J34" i="19" s="1"/>
  <c r="J5" i="18"/>
  <c r="O106" i="5"/>
  <c r="J17" i="8"/>
  <c r="J20" i="8" s="1"/>
  <c r="J5" i="8" s="1"/>
  <c r="L33" i="19" s="1"/>
  <c r="L34" i="19" s="1"/>
  <c r="L5" i="18"/>
  <c r="K17" i="8"/>
  <c r="D39" i="21" s="1"/>
  <c r="M5" i="18"/>
  <c r="J92" i="4"/>
  <c r="N87" i="5"/>
  <c r="N97" i="5" s="1"/>
  <c r="C30" i="28"/>
  <c r="O14" i="2"/>
  <c r="P86" i="4" s="1"/>
  <c r="O83" i="4"/>
  <c r="O82" i="4"/>
  <c r="O85" i="4"/>
  <c r="O86" i="4"/>
  <c r="N109" i="5"/>
  <c r="N119" i="5" s="1"/>
  <c r="L16" i="8" s="1"/>
  <c r="O108" i="5"/>
  <c r="O84" i="5"/>
  <c r="C58" i="21"/>
  <c r="C63" i="21" s="1"/>
  <c r="C70" i="21" s="1"/>
  <c r="C10" i="28"/>
  <c r="C36" i="28"/>
  <c r="C16" i="28"/>
  <c r="M37" i="9"/>
  <c r="M70" i="9" s="1"/>
  <c r="L71" i="9"/>
  <c r="L72" i="9" s="1"/>
  <c r="L73" i="9" s="1"/>
  <c r="N32" i="9"/>
  <c r="N34" i="9" s="1"/>
  <c r="N35" i="9" s="1"/>
  <c r="P87" i="4"/>
  <c r="O79" i="4"/>
  <c r="P7" i="7" s="1"/>
  <c r="O84" i="4"/>
  <c r="N24" i="6"/>
  <c r="M9" i="19" s="1"/>
  <c r="D8" i="21" s="1"/>
  <c r="D8" i="26" s="1"/>
  <c r="M26" i="6"/>
  <c r="L52" i="1"/>
  <c r="Q63" i="5"/>
  <c r="P58" i="5"/>
  <c r="P64" i="5" s="1"/>
  <c r="P14" i="7" s="1"/>
  <c r="R8" i="4"/>
  <c r="N102" i="4"/>
  <c r="M18" i="8" s="1"/>
  <c r="O19" i="9"/>
  <c r="O29" i="19"/>
  <c r="D31" i="26"/>
  <c r="O83" i="5"/>
  <c r="Q29" i="5"/>
  <c r="Q30" i="5" s="1"/>
  <c r="R13" i="5"/>
  <c r="Q10" i="5"/>
  <c r="P27" i="5"/>
  <c r="P28" i="5" s="1"/>
  <c r="Q16" i="5"/>
  <c r="P31" i="5"/>
  <c r="P32" i="5" s="1"/>
  <c r="P26" i="5"/>
  <c r="P69" i="5" s="1"/>
  <c r="E6" i="8"/>
  <c r="E7" i="8" s="1"/>
  <c r="G22" i="18" s="1"/>
  <c r="L12" i="8"/>
  <c r="D14" i="26"/>
  <c r="P44" i="5"/>
  <c r="P70" i="5" s="1"/>
  <c r="P27" i="9"/>
  <c r="Q26" i="9"/>
  <c r="P53" i="5"/>
  <c r="P13" i="7" s="1"/>
  <c r="Q54" i="9"/>
  <c r="R53" i="9"/>
  <c r="N51" i="9"/>
  <c r="N64" i="9" s="1"/>
  <c r="O47" i="9"/>
  <c r="O49" i="9" s="1"/>
  <c r="O50" i="9" s="1"/>
  <c r="O63" i="9"/>
  <c r="P59" i="9"/>
  <c r="P61" i="9" s="1"/>
  <c r="P62" i="9" s="1"/>
  <c r="L7" i="10"/>
  <c r="L8" i="10" s="1"/>
  <c r="M8" i="10" s="1"/>
  <c r="R39" i="5"/>
  <c r="Q40" i="5"/>
  <c r="R11" i="5"/>
  <c r="R14" i="5"/>
  <c r="D49" i="26"/>
  <c r="D48" i="23"/>
  <c r="S31" i="9"/>
  <c r="Q49" i="5"/>
  <c r="Q19" i="1"/>
  <c r="P26" i="1"/>
  <c r="P28" i="1" s="1"/>
  <c r="P27" i="1"/>
  <c r="P23" i="1"/>
  <c r="O31" i="1"/>
  <c r="R61" i="5"/>
  <c r="Q62" i="5"/>
  <c r="O20" i="9"/>
  <c r="O22" i="9" s="1"/>
  <c r="O23" i="9" s="1"/>
  <c r="N24" i="9"/>
  <c r="M19" i="8"/>
  <c r="R17" i="5"/>
  <c r="P118" i="5"/>
  <c r="P96" i="5"/>
  <c r="R59" i="5"/>
  <c r="Q60" i="5"/>
  <c r="Q42" i="5"/>
  <c r="R41" i="5"/>
  <c r="M33" i="1"/>
  <c r="L76" i="9"/>
  <c r="N7" i="10" s="1"/>
  <c r="J83" i="9"/>
  <c r="I84" i="9"/>
  <c r="P83" i="5"/>
  <c r="X46" i="9"/>
  <c r="P85" i="5"/>
  <c r="P107" i="5"/>
  <c r="N50" i="1"/>
  <c r="N43" i="1"/>
  <c r="N44" i="1" s="1"/>
  <c r="M11" i="8" s="1"/>
  <c r="N32" i="1"/>
  <c r="O69" i="9"/>
  <c r="P9" i="9"/>
  <c r="D35" i="28"/>
  <c r="D31" i="28"/>
  <c r="D32" i="28" s="1"/>
  <c r="D35" i="26"/>
  <c r="E34" i="23"/>
  <c r="D21" i="27"/>
  <c r="Q73" i="6"/>
  <c r="Q72" i="6"/>
  <c r="R71" i="6"/>
  <c r="P8" i="18"/>
  <c r="P90" i="5"/>
  <c r="P112" i="5"/>
  <c r="Q38" i="5"/>
  <c r="P93" i="5"/>
  <c r="P115" i="5"/>
  <c r="R50" i="5"/>
  <c r="Q52" i="5"/>
  <c r="Q51" i="5"/>
  <c r="P74" i="6"/>
  <c r="P75" i="6" s="1"/>
  <c r="H12" i="19"/>
  <c r="F6" i="8"/>
  <c r="H38" i="1"/>
  <c r="G10" i="8" s="1"/>
  <c r="N92" i="6"/>
  <c r="M93" i="6"/>
  <c r="C9" i="21"/>
  <c r="O7" i="18"/>
  <c r="P101" i="4"/>
  <c r="P13" i="6"/>
  <c r="O15" i="6"/>
  <c r="O25" i="6" s="1"/>
  <c r="O14" i="6"/>
  <c r="F25" i="19"/>
  <c r="F27" i="19" s="1"/>
  <c r="F36" i="19" s="1"/>
  <c r="M18" i="6"/>
  <c r="M27" i="6" s="1"/>
  <c r="M101" i="6" s="1"/>
  <c r="M102" i="6" s="1"/>
  <c r="L19" i="6"/>
  <c r="Q89" i="6"/>
  <c r="Q88" i="6"/>
  <c r="R87" i="6"/>
  <c r="P58" i="6"/>
  <c r="P59" i="6" s="1"/>
  <c r="O42" i="6"/>
  <c r="O43" i="6" s="1"/>
  <c r="O100" i="6" s="1"/>
  <c r="O99" i="6"/>
  <c r="P40" i="6"/>
  <c r="P98" i="6" s="1"/>
  <c r="P41" i="6"/>
  <c r="Q39" i="6"/>
  <c r="O95" i="4"/>
  <c r="P33" i="4"/>
  <c r="P78" i="4" s="1"/>
  <c r="Q31" i="4"/>
  <c r="P34" i="4"/>
  <c r="L6" i="19"/>
  <c r="G19" i="18"/>
  <c r="G9" i="18" s="1"/>
  <c r="G27" i="7"/>
  <c r="G30" i="7" s="1"/>
  <c r="G31" i="7" s="1"/>
  <c r="L103" i="6"/>
  <c r="L105" i="6" s="1"/>
  <c r="N77" i="6"/>
  <c r="O76" i="6"/>
  <c r="P85" i="4"/>
  <c r="P98" i="4"/>
  <c r="R41" i="4"/>
  <c r="Q46" i="4"/>
  <c r="Q47" i="4"/>
  <c r="C56" i="25"/>
  <c r="N88" i="4"/>
  <c r="O17" i="18" s="1"/>
  <c r="R54" i="4"/>
  <c r="R64" i="4" s="1"/>
  <c r="Q65" i="4"/>
  <c r="N44" i="6"/>
  <c r="M45" i="6"/>
  <c r="N16" i="6"/>
  <c r="N17" i="6" s="1"/>
  <c r="N26" i="6" s="1"/>
  <c r="M73" i="5" s="1"/>
  <c r="D38" i="23"/>
  <c r="N60" i="6"/>
  <c r="M61" i="6"/>
  <c r="J7" i="19"/>
  <c r="J8" i="19" s="1"/>
  <c r="K28" i="6"/>
  <c r="P90" i="6"/>
  <c r="P91" i="6" s="1"/>
  <c r="Q57" i="6"/>
  <c r="Q56" i="6"/>
  <c r="R55" i="6"/>
  <c r="H25" i="7"/>
  <c r="I23" i="7"/>
  <c r="M90" i="4"/>
  <c r="S14" i="9" l="1"/>
  <c r="R15" i="9"/>
  <c r="J18" i="18"/>
  <c r="M12" i="18"/>
  <c r="M4" i="7"/>
  <c r="J4" i="7"/>
  <c r="L4" i="7"/>
  <c r="L10" i="7"/>
  <c r="L5" i="7" s="1"/>
  <c r="L73" i="5"/>
  <c r="J16" i="18"/>
  <c r="J12" i="18"/>
  <c r="L16" i="18"/>
  <c r="L12" i="18"/>
  <c r="P9" i="7"/>
  <c r="N68" i="5"/>
  <c r="N51" i="1"/>
  <c r="O10" i="18" s="1"/>
  <c r="O16" i="18" s="1"/>
  <c r="P72" i="5"/>
  <c r="P71" i="5"/>
  <c r="P6" i="18"/>
  <c r="O6" i="7"/>
  <c r="G4" i="18"/>
  <c r="G5" i="10"/>
  <c r="G9" i="10" s="1"/>
  <c r="O8" i="7"/>
  <c r="O109" i="5"/>
  <c r="O119" i="5" s="1"/>
  <c r="M16" i="8" s="1"/>
  <c r="F33" i="23"/>
  <c r="E34" i="26"/>
  <c r="S76" i="4"/>
  <c r="R42" i="9"/>
  <c r="S41" i="9"/>
  <c r="U51" i="4"/>
  <c r="R35" i="5"/>
  <c r="R43" i="5" s="1"/>
  <c r="Q36" i="5"/>
  <c r="Q44" i="5" s="1"/>
  <c r="Q9" i="7" s="1"/>
  <c r="R58" i="9"/>
  <c r="R32" i="19"/>
  <c r="D37" i="27"/>
  <c r="D6" i="27"/>
  <c r="D15" i="31"/>
  <c r="D17" i="27"/>
  <c r="K20" i="8"/>
  <c r="K5" i="8" s="1"/>
  <c r="M33" i="19" s="1"/>
  <c r="M34" i="19" s="1"/>
  <c r="M17" i="8"/>
  <c r="O5" i="18"/>
  <c r="D39" i="26"/>
  <c r="D12" i="27"/>
  <c r="D35" i="23"/>
  <c r="D36" i="26"/>
  <c r="D20" i="31"/>
  <c r="P14" i="2"/>
  <c r="Q86" i="4" s="1"/>
  <c r="P83" i="4"/>
  <c r="P82" i="4"/>
  <c r="C5" i="32"/>
  <c r="C7" i="32" s="1"/>
  <c r="O87" i="5"/>
  <c r="O97" i="5" s="1"/>
  <c r="M12" i="8" s="1"/>
  <c r="D8" i="23"/>
  <c r="N37" i="9"/>
  <c r="N70" i="9" s="1"/>
  <c r="N75" i="9" s="1"/>
  <c r="N36" i="9"/>
  <c r="O32" i="9"/>
  <c r="O34" i="9" s="1"/>
  <c r="O35" i="9" s="1"/>
  <c r="N19" i="8" s="1"/>
  <c r="M75" i="9"/>
  <c r="M71" i="9"/>
  <c r="M72" i="9" s="1"/>
  <c r="P79" i="4"/>
  <c r="Q7" i="7" s="1"/>
  <c r="P84" i="4"/>
  <c r="P106" i="5"/>
  <c r="P108" i="5"/>
  <c r="O24" i="6"/>
  <c r="N9" i="19" s="1"/>
  <c r="M52" i="1"/>
  <c r="P84" i="5"/>
  <c r="P86" i="5"/>
  <c r="P22" i="5"/>
  <c r="P11" i="18" s="1"/>
  <c r="S8" i="4"/>
  <c r="R63" i="5"/>
  <c r="Q58" i="5"/>
  <c r="Q64" i="5" s="1"/>
  <c r="Q14" i="7" s="1"/>
  <c r="O102" i="4"/>
  <c r="N18" i="8" s="1"/>
  <c r="P19" i="9"/>
  <c r="P29" i="19"/>
  <c r="P105" i="5"/>
  <c r="R29" i="5"/>
  <c r="R30" i="5" s="1"/>
  <c r="S13" i="5"/>
  <c r="R16" i="5"/>
  <c r="Q31" i="5"/>
  <c r="Q32" i="5" s="1"/>
  <c r="R10" i="5"/>
  <c r="Q27" i="5"/>
  <c r="Q28" i="5" s="1"/>
  <c r="F7" i="8"/>
  <c r="H22" i="18" s="1"/>
  <c r="Q53" i="5"/>
  <c r="Q13" i="7" s="1"/>
  <c r="S53" i="9"/>
  <c r="R54" i="9"/>
  <c r="R26" i="9"/>
  <c r="Q27" i="9"/>
  <c r="M13" i="18"/>
  <c r="M14" i="18" s="1"/>
  <c r="P63" i="9"/>
  <c r="Q59" i="9"/>
  <c r="Q61" i="9" s="1"/>
  <c r="Q62" i="9" s="1"/>
  <c r="O51" i="9"/>
  <c r="O64" i="9" s="1"/>
  <c r="P47" i="9"/>
  <c r="P49" i="9" s="1"/>
  <c r="P50" i="9" s="1"/>
  <c r="K83" i="9"/>
  <c r="J84" i="9"/>
  <c r="R42" i="5"/>
  <c r="S41" i="5"/>
  <c r="Q118" i="5"/>
  <c r="Q96" i="5"/>
  <c r="S59" i="5"/>
  <c r="R60" i="5"/>
  <c r="S17" i="5"/>
  <c r="Q26" i="1"/>
  <c r="Q28" i="1" s="1"/>
  <c r="Q27" i="1"/>
  <c r="Q23" i="1"/>
  <c r="R18" i="1"/>
  <c r="T31" i="9"/>
  <c r="S14" i="5"/>
  <c r="S39" i="5"/>
  <c r="R40" i="5"/>
  <c r="F79" i="9"/>
  <c r="F80" i="9" s="1"/>
  <c r="H17" i="10" s="1"/>
  <c r="P69" i="9"/>
  <c r="Q9" i="9"/>
  <c r="N33" i="1"/>
  <c r="N52" i="1" s="1"/>
  <c r="O24" i="9"/>
  <c r="P20" i="9"/>
  <c r="P22" i="9" s="1"/>
  <c r="P23" i="9" s="1"/>
  <c r="D45" i="23"/>
  <c r="D75" i="23" s="1"/>
  <c r="S61" i="5"/>
  <c r="R62" i="5"/>
  <c r="N71" i="9"/>
  <c r="O32" i="1"/>
  <c r="O43" i="1"/>
  <c r="O44" i="1" s="1"/>
  <c r="N11" i="8" s="1"/>
  <c r="P31" i="1"/>
  <c r="R49" i="5"/>
  <c r="Q85" i="5"/>
  <c r="Q107" i="5"/>
  <c r="S11" i="5"/>
  <c r="M73" i="9"/>
  <c r="M76" i="9" s="1"/>
  <c r="N8" i="10"/>
  <c r="Q93" i="5"/>
  <c r="Q115" i="5"/>
  <c r="S50" i="5"/>
  <c r="R52" i="5"/>
  <c r="R51" i="5"/>
  <c r="Q112" i="5"/>
  <c r="Q90" i="5"/>
  <c r="Q8" i="18"/>
  <c r="R38" i="5"/>
  <c r="S71" i="6"/>
  <c r="R73" i="6"/>
  <c r="R74" i="6" s="1"/>
  <c r="R72" i="6"/>
  <c r="Q74" i="6"/>
  <c r="Q75" i="6" s="1"/>
  <c r="G25" i="19"/>
  <c r="G27" i="19" s="1"/>
  <c r="G36" i="19" s="1"/>
  <c r="G13" i="8"/>
  <c r="G4" i="8" s="1"/>
  <c r="C12" i="21"/>
  <c r="H19" i="18"/>
  <c r="H9" i="18" s="1"/>
  <c r="H27" i="7"/>
  <c r="H30" i="7" s="1"/>
  <c r="H31" i="7" s="1"/>
  <c r="R56" i="6"/>
  <c r="S55" i="6"/>
  <c r="R57" i="6"/>
  <c r="Q58" i="6"/>
  <c r="Q59" i="6" s="1"/>
  <c r="F35" i="18"/>
  <c r="O60" i="6"/>
  <c r="N61" i="6"/>
  <c r="M10" i="7"/>
  <c r="O44" i="6"/>
  <c r="N45" i="6"/>
  <c r="S54" i="4"/>
  <c r="S64" i="4" s="1"/>
  <c r="R65" i="4"/>
  <c r="Q98" i="4"/>
  <c r="S41" i="4"/>
  <c r="R46" i="4"/>
  <c r="R47" i="4"/>
  <c r="P76" i="6"/>
  <c r="O77" i="6"/>
  <c r="K75" i="5"/>
  <c r="K18" i="18"/>
  <c r="K17" i="7"/>
  <c r="K22" i="7" s="1"/>
  <c r="K24" i="7" s="1"/>
  <c r="R31" i="4"/>
  <c r="Q33" i="4"/>
  <c r="Q78" i="4" s="1"/>
  <c r="Q34" i="4"/>
  <c r="P42" i="6"/>
  <c r="P43" i="6" s="1"/>
  <c r="P100" i="6" s="1"/>
  <c r="P99" i="6"/>
  <c r="N18" i="6"/>
  <c r="N27" i="6" s="1"/>
  <c r="N101" i="6" s="1"/>
  <c r="N102" i="6" s="1"/>
  <c r="N103" i="6" s="1"/>
  <c r="M19" i="6"/>
  <c r="P15" i="6"/>
  <c r="P25" i="6" s="1"/>
  <c r="P14" i="6"/>
  <c r="Q13" i="6"/>
  <c r="I25" i="7"/>
  <c r="M6" i="19"/>
  <c r="Q101" i="4"/>
  <c r="C15" i="32"/>
  <c r="C17" i="32" s="1"/>
  <c r="C49" i="32"/>
  <c r="C32" i="32"/>
  <c r="C6" i="34"/>
  <c r="C7" i="34" s="1"/>
  <c r="C20" i="32"/>
  <c r="C22" i="32" s="1"/>
  <c r="C24" i="32" s="1"/>
  <c r="C25" i="31"/>
  <c r="C61" i="25"/>
  <c r="J75" i="5"/>
  <c r="P95" i="4"/>
  <c r="O88" i="4"/>
  <c r="P17" i="18" s="1"/>
  <c r="P7" i="18"/>
  <c r="R39" i="6"/>
  <c r="Q40" i="6"/>
  <c r="Q98" i="6" s="1"/>
  <c r="Q41" i="6"/>
  <c r="R88" i="6"/>
  <c r="S87" i="6"/>
  <c r="R89" i="6"/>
  <c r="Q90" i="6"/>
  <c r="Q91" i="6" s="1"/>
  <c r="K7" i="19"/>
  <c r="K8" i="19" s="1"/>
  <c r="L28" i="6"/>
  <c r="O16" i="6"/>
  <c r="O17" i="6" s="1"/>
  <c r="O92" i="6"/>
  <c r="N93" i="6"/>
  <c r="M103" i="6"/>
  <c r="M105" i="6" s="1"/>
  <c r="N90" i="4"/>
  <c r="O68" i="5" s="1"/>
  <c r="T14" i="9" l="1"/>
  <c r="S15" i="9"/>
  <c r="G6" i="10"/>
  <c r="G11" i="10" s="1"/>
  <c r="O4" i="7"/>
  <c r="D49" i="21"/>
  <c r="J12" i="7"/>
  <c r="J16" i="7" s="1"/>
  <c r="J22" i="7" s="1"/>
  <c r="L12" i="7"/>
  <c r="L16" i="7" s="1"/>
  <c r="J13" i="18"/>
  <c r="J14" i="18" s="1"/>
  <c r="J15" i="18" s="1"/>
  <c r="J13" i="19" s="1"/>
  <c r="K13" i="18"/>
  <c r="K14" i="18" s="1"/>
  <c r="L13" i="18"/>
  <c r="L14" i="18" s="1"/>
  <c r="E55" i="21"/>
  <c r="E51" i="23" s="1"/>
  <c r="M20" i="8"/>
  <c r="M5" i="8" s="1"/>
  <c r="O33" i="19" s="1"/>
  <c r="O34" i="19" s="1"/>
  <c r="Q72" i="5"/>
  <c r="Q71" i="5"/>
  <c r="Q26" i="5"/>
  <c r="Q69" i="5" s="1"/>
  <c r="Q6" i="18"/>
  <c r="P6" i="7"/>
  <c r="Q70" i="5"/>
  <c r="E60" i="21"/>
  <c r="E57" i="26" s="1"/>
  <c r="G34" i="18"/>
  <c r="G35" i="18" s="1"/>
  <c r="H5" i="10"/>
  <c r="H9" i="10" s="1"/>
  <c r="H10" i="10" s="1"/>
  <c r="H12" i="10" s="1"/>
  <c r="P8" i="7"/>
  <c r="H4" i="18"/>
  <c r="S32" i="19"/>
  <c r="S58" i="9"/>
  <c r="S35" i="5"/>
  <c r="R36" i="5"/>
  <c r="R44" i="5" s="1"/>
  <c r="R70" i="5" s="1"/>
  <c r="V51" i="4"/>
  <c r="S42" i="9"/>
  <c r="T41" i="9"/>
  <c r="T76" i="4"/>
  <c r="U70" i="4"/>
  <c r="V70" i="4" s="1"/>
  <c r="W70" i="4" s="1"/>
  <c r="X70" i="4" s="1"/>
  <c r="N105" i="6"/>
  <c r="M75" i="5" s="1"/>
  <c r="O49" i="1"/>
  <c r="P49" i="1"/>
  <c r="P50" i="1" s="1"/>
  <c r="M49" i="1"/>
  <c r="Q22" i="5"/>
  <c r="Q6" i="7" s="1"/>
  <c r="Q14" i="2"/>
  <c r="Q82" i="4"/>
  <c r="Q83" i="4"/>
  <c r="Q87" i="4"/>
  <c r="Q85" i="4"/>
  <c r="Q108" i="5"/>
  <c r="Q84" i="5"/>
  <c r="Q105" i="5"/>
  <c r="Q86" i="5"/>
  <c r="Q106" i="5"/>
  <c r="P109" i="5"/>
  <c r="P119" i="5" s="1"/>
  <c r="N16" i="8" s="1"/>
  <c r="P87" i="5"/>
  <c r="P97" i="5" s="1"/>
  <c r="N12" i="8" s="1"/>
  <c r="Q83" i="5"/>
  <c r="O36" i="9"/>
  <c r="O37" i="9" s="1"/>
  <c r="O70" i="9" s="1"/>
  <c r="P32" i="9"/>
  <c r="P34" i="9" s="1"/>
  <c r="P35" i="9" s="1"/>
  <c r="P36" i="9" s="1"/>
  <c r="R86" i="4"/>
  <c r="R87" i="4"/>
  <c r="Q79" i="4"/>
  <c r="R7" i="7" s="1"/>
  <c r="Q84" i="4"/>
  <c r="O26" i="6"/>
  <c r="P24" i="6"/>
  <c r="O9" i="19" s="1"/>
  <c r="S63" i="5"/>
  <c r="R58" i="5"/>
  <c r="R64" i="5" s="1"/>
  <c r="R72" i="5" s="1"/>
  <c r="T8" i="4"/>
  <c r="P102" i="4"/>
  <c r="O18" i="8" s="1"/>
  <c r="E37" i="21" s="1"/>
  <c r="E66" i="9"/>
  <c r="F14" i="19"/>
  <c r="F15" i="19" s="1"/>
  <c r="F17" i="19" s="1"/>
  <c r="F38" i="19" s="1"/>
  <c r="Q19" i="9"/>
  <c r="Q29" i="19"/>
  <c r="E30" i="21" s="1"/>
  <c r="S29" i="5"/>
  <c r="S30" i="5" s="1"/>
  <c r="T13" i="5"/>
  <c r="S10" i="5"/>
  <c r="R27" i="5"/>
  <c r="R28" i="5" s="1"/>
  <c r="S16" i="5"/>
  <c r="R31" i="5"/>
  <c r="R32" i="5" s="1"/>
  <c r="R26" i="5"/>
  <c r="R69" i="5" s="1"/>
  <c r="E52" i="26"/>
  <c r="R53" i="5"/>
  <c r="R13" i="7" s="1"/>
  <c r="R27" i="9"/>
  <c r="S26" i="9"/>
  <c r="S54" i="9"/>
  <c r="T53" i="9"/>
  <c r="O7" i="10"/>
  <c r="O8" i="10" s="1"/>
  <c r="Q20" i="9"/>
  <c r="Q22" i="9" s="1"/>
  <c r="Q23" i="9" s="1"/>
  <c r="P24" i="9"/>
  <c r="P37" i="9" s="1"/>
  <c r="P70" i="9" s="1"/>
  <c r="P75" i="9" s="1"/>
  <c r="O19" i="8"/>
  <c r="E38" i="21" s="1"/>
  <c r="P51" i="9"/>
  <c r="P64" i="9" s="1"/>
  <c r="Q47" i="9"/>
  <c r="Q49" i="9" s="1"/>
  <c r="Q50" i="9" s="1"/>
  <c r="Q63" i="9"/>
  <c r="R59" i="9"/>
  <c r="R61" i="9" s="1"/>
  <c r="R62" i="9" s="1"/>
  <c r="T11" i="5"/>
  <c r="S49" i="5"/>
  <c r="T61" i="5"/>
  <c r="S62" i="5"/>
  <c r="T39" i="5"/>
  <c r="S40" i="5"/>
  <c r="R22" i="5"/>
  <c r="R85" i="5"/>
  <c r="R107" i="5"/>
  <c r="Q31" i="1"/>
  <c r="R96" i="5"/>
  <c r="R118" i="5"/>
  <c r="S60" i="5"/>
  <c r="T59" i="5"/>
  <c r="K84" i="9"/>
  <c r="L83" i="9"/>
  <c r="R75" i="6"/>
  <c r="P43" i="1"/>
  <c r="P44" i="1" s="1"/>
  <c r="O11" i="8" s="1"/>
  <c r="E13" i="21" s="1"/>
  <c r="P32" i="1"/>
  <c r="O33" i="1"/>
  <c r="O52" i="1" s="1"/>
  <c r="N72" i="9"/>
  <c r="O12" i="18"/>
  <c r="R9" i="9"/>
  <c r="Q69" i="9"/>
  <c r="T14" i="5"/>
  <c r="U31" i="9"/>
  <c r="R23" i="1"/>
  <c r="S18" i="1"/>
  <c r="R26" i="1"/>
  <c r="R28" i="1" s="1"/>
  <c r="R27" i="1"/>
  <c r="E61" i="21"/>
  <c r="T17" i="5"/>
  <c r="T41" i="5"/>
  <c r="S42" i="5"/>
  <c r="S72" i="6"/>
  <c r="T71" i="6"/>
  <c r="S73" i="6"/>
  <c r="R93" i="5"/>
  <c r="R115" i="5"/>
  <c r="R8" i="18"/>
  <c r="R90" i="5"/>
  <c r="R112" i="5"/>
  <c r="S38" i="5"/>
  <c r="S43" i="5"/>
  <c r="S51" i="5"/>
  <c r="T50" i="5"/>
  <c r="S52" i="5"/>
  <c r="H25" i="19"/>
  <c r="H27" i="19" s="1"/>
  <c r="H36" i="19" s="1"/>
  <c r="L17" i="7"/>
  <c r="L18" i="18"/>
  <c r="P92" i="6"/>
  <c r="O93" i="6"/>
  <c r="N6" i="19"/>
  <c r="R90" i="6"/>
  <c r="R91" i="6" s="1"/>
  <c r="Q7" i="18"/>
  <c r="I37" i="1"/>
  <c r="C11" i="34"/>
  <c r="C66" i="25"/>
  <c r="I19" i="18"/>
  <c r="I9" i="18" s="1"/>
  <c r="I27" i="7"/>
  <c r="I30" i="7" s="1"/>
  <c r="I31" i="7" s="1"/>
  <c r="L7" i="19"/>
  <c r="L8" i="19" s="1"/>
  <c r="M28" i="6"/>
  <c r="Q95" i="4"/>
  <c r="S31" i="4"/>
  <c r="R33" i="4"/>
  <c r="R78" i="4" s="1"/>
  <c r="R34" i="4"/>
  <c r="Q76" i="6"/>
  <c r="P77" i="6"/>
  <c r="T54" i="4"/>
  <c r="T64" i="4" s="1"/>
  <c r="S65" i="4"/>
  <c r="P44" i="6"/>
  <c r="O45" i="6"/>
  <c r="M5" i="7"/>
  <c r="M12" i="7" s="1"/>
  <c r="M16" i="7" s="1"/>
  <c r="D56" i="21"/>
  <c r="P60" i="6"/>
  <c r="O61" i="6"/>
  <c r="R58" i="6"/>
  <c r="R59" i="6" s="1"/>
  <c r="C31" i="27"/>
  <c r="C11" i="27"/>
  <c r="C22" i="27"/>
  <c r="C24" i="27" s="1"/>
  <c r="O90" i="4"/>
  <c r="P68" i="5" s="1"/>
  <c r="E53" i="21"/>
  <c r="T87" i="6"/>
  <c r="S89" i="6"/>
  <c r="S88" i="6"/>
  <c r="Q42" i="6"/>
  <c r="Q43" i="6" s="1"/>
  <c r="Q100" i="6" s="1"/>
  <c r="Q99" i="6"/>
  <c r="R40" i="6"/>
  <c r="R98" i="6" s="1"/>
  <c r="R41" i="6"/>
  <c r="S39" i="6"/>
  <c r="P88" i="4"/>
  <c r="Q17" i="18" s="1"/>
  <c r="G10" i="10"/>
  <c r="G12" i="10" s="1"/>
  <c r="R13" i="6"/>
  <c r="Q14" i="6"/>
  <c r="Q15" i="6"/>
  <c r="Q25" i="6" s="1"/>
  <c r="P16" i="6"/>
  <c r="P17" i="6" s="1"/>
  <c r="O18" i="6"/>
  <c r="O27" i="6" s="1"/>
  <c r="O101" i="6" s="1"/>
  <c r="O102" i="6" s="1"/>
  <c r="O103" i="6" s="1"/>
  <c r="N19" i="6"/>
  <c r="J37" i="1"/>
  <c r="R85" i="4"/>
  <c r="R98" i="4"/>
  <c r="T41" i="4"/>
  <c r="S46" i="4"/>
  <c r="S47" i="4"/>
  <c r="R101" i="4"/>
  <c r="D7" i="21"/>
  <c r="D7" i="23" s="1"/>
  <c r="T55" i="6"/>
  <c r="S57" i="6"/>
  <c r="S56" i="6"/>
  <c r="G6" i="8"/>
  <c r="G7" i="8" s="1"/>
  <c r="I22" i="18" s="1"/>
  <c r="I12" i="19"/>
  <c r="C72" i="21"/>
  <c r="T15" i="9" l="1"/>
  <c r="U14" i="9"/>
  <c r="M17" i="7"/>
  <c r="M22" i="7" s="1"/>
  <c r="M24" i="7" s="1"/>
  <c r="E56" i="23"/>
  <c r="L22" i="7"/>
  <c r="L24" i="7" s="1"/>
  <c r="K15" i="18"/>
  <c r="L15" i="18"/>
  <c r="L13" i="19" s="1"/>
  <c r="D64" i="25"/>
  <c r="D46" i="26"/>
  <c r="D23" i="32"/>
  <c r="D6" i="32"/>
  <c r="D52" i="28"/>
  <c r="D59" i="25"/>
  <c r="D51" i="25"/>
  <c r="D26" i="27"/>
  <c r="D16" i="32"/>
  <c r="D57" i="28"/>
  <c r="D26" i="28"/>
  <c r="D27" i="28" s="1"/>
  <c r="D41" i="28" s="1"/>
  <c r="D53" i="25"/>
  <c r="D5" i="28"/>
  <c r="D50" i="25"/>
  <c r="D58" i="25"/>
  <c r="D20" i="28"/>
  <c r="D22" i="28" s="1"/>
  <c r="D47" i="25"/>
  <c r="D11" i="32"/>
  <c r="D47" i="28"/>
  <c r="D52" i="25"/>
  <c r="J24" i="7"/>
  <c r="J25" i="7" s="1"/>
  <c r="J19" i="18" s="1"/>
  <c r="J9" i="18" s="1"/>
  <c r="J23" i="7"/>
  <c r="K23" i="7" s="1"/>
  <c r="M15" i="18"/>
  <c r="M13" i="19" s="1"/>
  <c r="D15" i="21" s="1"/>
  <c r="P51" i="1"/>
  <c r="Q10" i="18" s="1"/>
  <c r="R9" i="7"/>
  <c r="N10" i="7"/>
  <c r="N5" i="7" s="1"/>
  <c r="N73" i="5"/>
  <c r="R14" i="7"/>
  <c r="R71" i="5"/>
  <c r="H6" i="10"/>
  <c r="H11" i="10" s="1"/>
  <c r="R6" i="18"/>
  <c r="R6" i="7"/>
  <c r="I5" i="10"/>
  <c r="I9" i="10" s="1"/>
  <c r="H34" i="18"/>
  <c r="H35" i="18" s="1"/>
  <c r="Q8" i="7"/>
  <c r="E54" i="21" s="1"/>
  <c r="I4" i="18"/>
  <c r="M18" i="18"/>
  <c r="U76" i="4"/>
  <c r="U41" i="9"/>
  <c r="T42" i="9"/>
  <c r="T32" i="19"/>
  <c r="T58" i="9"/>
  <c r="W51" i="4"/>
  <c r="X51" i="4" s="1"/>
  <c r="T35" i="5"/>
  <c r="S36" i="5"/>
  <c r="S44" i="5" s="1"/>
  <c r="S9" i="7" s="1"/>
  <c r="O105" i="6"/>
  <c r="N17" i="7" s="1"/>
  <c r="Q11" i="18"/>
  <c r="M50" i="1"/>
  <c r="O17" i="8"/>
  <c r="E35" i="23" s="1"/>
  <c r="Q5" i="18"/>
  <c r="O50" i="1"/>
  <c r="R106" i="5"/>
  <c r="R108" i="5"/>
  <c r="Q87" i="5"/>
  <c r="Q97" i="5" s="1"/>
  <c r="O12" i="8" s="1"/>
  <c r="Q109" i="5"/>
  <c r="Q119" i="5" s="1"/>
  <c r="O16" i="8" s="1"/>
  <c r="E35" i="21" s="1"/>
  <c r="R14" i="2"/>
  <c r="S86" i="4" s="1"/>
  <c r="R82" i="4"/>
  <c r="R83" i="4"/>
  <c r="R84" i="5"/>
  <c r="R86" i="5"/>
  <c r="R83" i="5"/>
  <c r="O75" i="9"/>
  <c r="O71" i="9"/>
  <c r="O72" i="9" s="1"/>
  <c r="O73" i="9" s="1"/>
  <c r="Q32" i="9"/>
  <c r="Q34" i="9" s="1"/>
  <c r="Q35" i="9" s="1"/>
  <c r="Q36" i="9" s="1"/>
  <c r="S87" i="4"/>
  <c r="R79" i="4"/>
  <c r="S7" i="7" s="1"/>
  <c r="R84" i="4"/>
  <c r="P26" i="6"/>
  <c r="Q24" i="6"/>
  <c r="P9" i="19" s="1"/>
  <c r="R49" i="1"/>
  <c r="R11" i="18"/>
  <c r="U8" i="4"/>
  <c r="T63" i="5"/>
  <c r="S58" i="5"/>
  <c r="S64" i="5" s="1"/>
  <c r="S14" i="7" s="1"/>
  <c r="Q102" i="4"/>
  <c r="P18" i="8" s="1"/>
  <c r="E29" i="23"/>
  <c r="E30" i="26"/>
  <c r="E31" i="21"/>
  <c r="R19" i="9"/>
  <c r="R29" i="19"/>
  <c r="R105" i="5"/>
  <c r="T16" i="5"/>
  <c r="S31" i="5"/>
  <c r="S32" i="5" s="1"/>
  <c r="T10" i="5"/>
  <c r="S27" i="5"/>
  <c r="S28" i="5" s="1"/>
  <c r="T29" i="5"/>
  <c r="T30" i="5" s="1"/>
  <c r="U13" i="5"/>
  <c r="T54" i="9"/>
  <c r="U53" i="9"/>
  <c r="T26" i="9"/>
  <c r="S27" i="9"/>
  <c r="R63" i="9"/>
  <c r="S59" i="9"/>
  <c r="S61" i="9" s="1"/>
  <c r="S62" i="9" s="1"/>
  <c r="Q51" i="9"/>
  <c r="Q64" i="9" s="1"/>
  <c r="R47" i="9"/>
  <c r="R49" i="9" s="1"/>
  <c r="R50" i="9" s="1"/>
  <c r="Q24" i="9"/>
  <c r="Q37" i="9" s="1"/>
  <c r="Q70" i="9" s="1"/>
  <c r="Q75" i="9" s="1"/>
  <c r="P19" i="8"/>
  <c r="U41" i="5"/>
  <c r="T42" i="5"/>
  <c r="U17" i="5"/>
  <c r="E58" i="26"/>
  <c r="E57" i="23"/>
  <c r="R31" i="1"/>
  <c r="U14" i="5"/>
  <c r="R69" i="9"/>
  <c r="S9" i="9"/>
  <c r="P33" i="1"/>
  <c r="P52" i="1" s="1"/>
  <c r="E36" i="26"/>
  <c r="E52" i="21"/>
  <c r="S118" i="5"/>
  <c r="S96" i="5"/>
  <c r="Q43" i="1"/>
  <c r="Q44" i="1" s="1"/>
  <c r="P11" i="8" s="1"/>
  <c r="Q32" i="1"/>
  <c r="J38" i="1"/>
  <c r="I10" i="8" s="1"/>
  <c r="I13" i="8" s="1"/>
  <c r="I4" i="8" s="1"/>
  <c r="I6" i="8" s="1"/>
  <c r="S53" i="5"/>
  <c r="S71" i="5" s="1"/>
  <c r="S23" i="1"/>
  <c r="S27" i="1"/>
  <c r="S26" i="1"/>
  <c r="S28" i="1" s="1"/>
  <c r="V31" i="9"/>
  <c r="S107" i="5"/>
  <c r="S85" i="5"/>
  <c r="N73" i="9"/>
  <c r="N76" i="9" s="1"/>
  <c r="E13" i="26"/>
  <c r="E21" i="28"/>
  <c r="E13" i="23"/>
  <c r="E23" i="27"/>
  <c r="E25" i="28"/>
  <c r="M83" i="9"/>
  <c r="L84" i="9"/>
  <c r="T60" i="5"/>
  <c r="U59" i="5"/>
  <c r="U39" i="5"/>
  <c r="T40" i="5"/>
  <c r="P71" i="9"/>
  <c r="T62" i="5"/>
  <c r="U61" i="5"/>
  <c r="T49" i="5"/>
  <c r="U11" i="5"/>
  <c r="E38" i="26"/>
  <c r="E37" i="23"/>
  <c r="S115" i="5"/>
  <c r="S93" i="5"/>
  <c r="S112" i="5"/>
  <c r="S90" i="5"/>
  <c r="S8" i="18"/>
  <c r="T38" i="5"/>
  <c r="T43" i="5"/>
  <c r="U71" i="6"/>
  <c r="T73" i="6"/>
  <c r="T72" i="6"/>
  <c r="U50" i="5"/>
  <c r="T51" i="5"/>
  <c r="T52" i="5"/>
  <c r="S74" i="6"/>
  <c r="S75" i="6" s="1"/>
  <c r="I25" i="19"/>
  <c r="C26" i="21" s="1"/>
  <c r="C68" i="25"/>
  <c r="S58" i="6"/>
  <c r="S59" i="6" s="1"/>
  <c r="M7" i="19"/>
  <c r="M8" i="19" s="1"/>
  <c r="N28" i="6"/>
  <c r="D6" i="21" s="1"/>
  <c r="K25" i="7"/>
  <c r="T39" i="6"/>
  <c r="S40" i="6"/>
  <c r="S98" i="6" s="1"/>
  <c r="S41" i="6"/>
  <c r="S90" i="6"/>
  <c r="S91" i="6" s="1"/>
  <c r="L37" i="1"/>
  <c r="G14" i="19"/>
  <c r="G15" i="19" s="1"/>
  <c r="G17" i="19" s="1"/>
  <c r="G38" i="19" s="1"/>
  <c r="F66" i="9"/>
  <c r="E50" i="26"/>
  <c r="E49" i="23"/>
  <c r="D21" i="32"/>
  <c r="D53" i="26"/>
  <c r="D54" i="25"/>
  <c r="D52" i="23"/>
  <c r="D51" i="21"/>
  <c r="Q44" i="6"/>
  <c r="P45" i="6"/>
  <c r="U54" i="4"/>
  <c r="U64" i="4" s="1"/>
  <c r="T65" i="4"/>
  <c r="R95" i="4"/>
  <c r="S33" i="4"/>
  <c r="S78" i="4" s="1"/>
  <c r="T31" i="4"/>
  <c r="S34" i="4"/>
  <c r="R7" i="18"/>
  <c r="P90" i="4"/>
  <c r="Q68" i="5" s="1"/>
  <c r="U55" i="6"/>
  <c r="T57" i="6"/>
  <c r="T56" i="6"/>
  <c r="D58" i="28"/>
  <c r="D7" i="26"/>
  <c r="S98" i="4"/>
  <c r="S85" i="4"/>
  <c r="U41" i="4"/>
  <c r="T46" i="4"/>
  <c r="T47" i="4"/>
  <c r="P18" i="6"/>
  <c r="P27" i="6" s="1"/>
  <c r="P101" i="6" s="1"/>
  <c r="P102" i="6" s="1"/>
  <c r="P103" i="6" s="1"/>
  <c r="P105" i="6" s="1"/>
  <c r="O19" i="6"/>
  <c r="O6" i="19"/>
  <c r="Q16" i="6"/>
  <c r="Q17" i="6" s="1"/>
  <c r="R14" i="6"/>
  <c r="R15" i="6"/>
  <c r="R25" i="6" s="1"/>
  <c r="S13" i="6"/>
  <c r="J27" i="7"/>
  <c r="J30" i="7" s="1"/>
  <c r="J31" i="7" s="1"/>
  <c r="F36" i="23"/>
  <c r="E37" i="26"/>
  <c r="R99" i="6"/>
  <c r="R42" i="6"/>
  <c r="R43" i="6" s="1"/>
  <c r="R100" i="6" s="1"/>
  <c r="T88" i="6"/>
  <c r="U87" i="6"/>
  <c r="T89" i="6"/>
  <c r="Q60" i="6"/>
  <c r="P61" i="6"/>
  <c r="S101" i="4"/>
  <c r="Q77" i="6"/>
  <c r="R76" i="6"/>
  <c r="Q88" i="4"/>
  <c r="R17" i="18" s="1"/>
  <c r="Q92" i="6"/>
  <c r="P93" i="6"/>
  <c r="D65" i="21"/>
  <c r="D61" i="23" s="1"/>
  <c r="L75" i="5"/>
  <c r="C74" i="21"/>
  <c r="I38" i="1"/>
  <c r="H10" i="8" s="1"/>
  <c r="H13" i="8" s="1"/>
  <c r="H4" i="8" s="1"/>
  <c r="V14" i="9" l="1"/>
  <c r="U15" i="9"/>
  <c r="N18" i="18"/>
  <c r="D15" i="23"/>
  <c r="D15" i="26"/>
  <c r="O51" i="1"/>
  <c r="P10" i="18" s="1"/>
  <c r="M51" i="1"/>
  <c r="N10" i="18" s="1"/>
  <c r="N92" i="4"/>
  <c r="Q4" i="7"/>
  <c r="O10" i="7"/>
  <c r="O5" i="7" s="1"/>
  <c r="O12" i="7" s="1"/>
  <c r="O16" i="7" s="1"/>
  <c r="O73" i="5"/>
  <c r="O75" i="5" s="1"/>
  <c r="Q16" i="18"/>
  <c r="S72" i="5"/>
  <c r="S13" i="7"/>
  <c r="I6" i="10"/>
  <c r="I11" i="10" s="1"/>
  <c r="S86" i="5"/>
  <c r="O13" i="19"/>
  <c r="S70" i="5"/>
  <c r="S26" i="5"/>
  <c r="S69" i="5" s="1"/>
  <c r="J5" i="10"/>
  <c r="J9" i="10" s="1"/>
  <c r="J10" i="10" s="1"/>
  <c r="J12" i="10" s="1"/>
  <c r="I34" i="18"/>
  <c r="I35" i="18" s="1"/>
  <c r="R8" i="7"/>
  <c r="J4" i="18"/>
  <c r="R32" i="9"/>
  <c r="R34" i="9" s="1"/>
  <c r="R35" i="9" s="1"/>
  <c r="E39" i="21"/>
  <c r="E6" i="27" s="1"/>
  <c r="U32" i="19"/>
  <c r="F34" i="21" s="1"/>
  <c r="U58" i="9"/>
  <c r="V76" i="4"/>
  <c r="U35" i="5"/>
  <c r="T36" i="5"/>
  <c r="T44" i="5" s="1"/>
  <c r="T9" i="7" s="1"/>
  <c r="V41" i="9"/>
  <c r="U42" i="9"/>
  <c r="R109" i="5"/>
  <c r="R119" i="5" s="1"/>
  <c r="S22" i="5"/>
  <c r="S6" i="7" s="1"/>
  <c r="S6" i="18"/>
  <c r="L17" i="8"/>
  <c r="L20" i="8" s="1"/>
  <c r="L5" i="8" s="1"/>
  <c r="N33" i="19" s="1"/>
  <c r="N34" i="19" s="1"/>
  <c r="N5" i="18"/>
  <c r="N17" i="8"/>
  <c r="N20" i="8" s="1"/>
  <c r="N5" i="8" s="1"/>
  <c r="P33" i="19" s="1"/>
  <c r="P34" i="19" s="1"/>
  <c r="P5" i="18"/>
  <c r="S14" i="2"/>
  <c r="T87" i="4" s="1"/>
  <c r="S82" i="4"/>
  <c r="S83" i="4"/>
  <c r="R87" i="5"/>
  <c r="R97" i="5" s="1"/>
  <c r="P12" i="8" s="1"/>
  <c r="S84" i="5"/>
  <c r="S79" i="4"/>
  <c r="T7" i="7" s="1"/>
  <c r="S84" i="4"/>
  <c r="Q26" i="6"/>
  <c r="R24" i="6"/>
  <c r="Q9" i="19" s="1"/>
  <c r="E8" i="21" s="1"/>
  <c r="E8" i="26" s="1"/>
  <c r="U63" i="5"/>
  <c r="T58" i="5"/>
  <c r="T64" i="5" s="1"/>
  <c r="T14" i="7" s="1"/>
  <c r="V8" i="4"/>
  <c r="R102" i="4"/>
  <c r="Q18" i="8" s="1"/>
  <c r="Q71" i="9"/>
  <c r="Q72" i="9" s="1"/>
  <c r="Q73" i="9" s="1"/>
  <c r="S19" i="9"/>
  <c r="S20" i="9" s="1"/>
  <c r="S22" i="9" s="1"/>
  <c r="S23" i="9" s="1"/>
  <c r="S29" i="19"/>
  <c r="R20" i="9"/>
  <c r="R22" i="9" s="1"/>
  <c r="R23" i="9" s="1"/>
  <c r="Q19" i="8" s="1"/>
  <c r="E30" i="23"/>
  <c r="E31" i="26"/>
  <c r="S105" i="5"/>
  <c r="S108" i="5"/>
  <c r="S106" i="5"/>
  <c r="S83" i="5"/>
  <c r="U10" i="5"/>
  <c r="T27" i="5"/>
  <c r="T28" i="5" s="1"/>
  <c r="U16" i="5"/>
  <c r="T31" i="5"/>
  <c r="T32" i="5" s="1"/>
  <c r="U29" i="5"/>
  <c r="U30" i="5" s="1"/>
  <c r="V13" i="5"/>
  <c r="T53" i="5"/>
  <c r="T71" i="5" s="1"/>
  <c r="E14" i="26"/>
  <c r="E14" i="23"/>
  <c r="K12" i="19"/>
  <c r="P16" i="8"/>
  <c r="O20" i="8"/>
  <c r="O5" i="8" s="1"/>
  <c r="Q33" i="19" s="1"/>
  <c r="Q34" i="19" s="1"/>
  <c r="V53" i="9"/>
  <c r="U54" i="9"/>
  <c r="U26" i="9"/>
  <c r="T27" i="9"/>
  <c r="R51" i="9"/>
  <c r="R64" i="9" s="1"/>
  <c r="S47" i="9"/>
  <c r="S49" i="9" s="1"/>
  <c r="S50" i="9" s="1"/>
  <c r="S63" i="9"/>
  <c r="T59" i="9"/>
  <c r="T61" i="9" s="1"/>
  <c r="T62" i="9" s="1"/>
  <c r="P7" i="10"/>
  <c r="P8" i="10" s="1"/>
  <c r="V11" i="5"/>
  <c r="U49" i="5"/>
  <c r="U60" i="5"/>
  <c r="V59" i="5"/>
  <c r="S31" i="1"/>
  <c r="Q33" i="1"/>
  <c r="Q52" i="1" s="1"/>
  <c r="Q12" i="18"/>
  <c r="S69" i="9"/>
  <c r="T9" i="9"/>
  <c r="T85" i="5"/>
  <c r="T107" i="5"/>
  <c r="R50" i="1"/>
  <c r="R32" i="1"/>
  <c r="R43" i="1"/>
  <c r="R44" i="1" s="1"/>
  <c r="Q11" i="8" s="1"/>
  <c r="V17" i="5"/>
  <c r="V41" i="5"/>
  <c r="U42" i="5"/>
  <c r="R24" i="9"/>
  <c r="V61" i="5"/>
  <c r="U62" i="5"/>
  <c r="P72" i="9"/>
  <c r="U40" i="5"/>
  <c r="V39" i="5"/>
  <c r="T96" i="5"/>
  <c r="T118" i="5"/>
  <c r="M84" i="9"/>
  <c r="N83" i="9"/>
  <c r="W31" i="9"/>
  <c r="T27" i="1"/>
  <c r="U19" i="1"/>
  <c r="T23" i="1"/>
  <c r="T26" i="1"/>
  <c r="T28" i="1" s="1"/>
  <c r="E48" i="23"/>
  <c r="E49" i="26"/>
  <c r="V14" i="5"/>
  <c r="O76" i="9"/>
  <c r="Q7" i="10" s="1"/>
  <c r="F34" i="23"/>
  <c r="E35" i="26"/>
  <c r="E21" i="27"/>
  <c r="E31" i="28"/>
  <c r="E32" i="28" s="1"/>
  <c r="E35" i="28"/>
  <c r="T93" i="5"/>
  <c r="T115" i="5"/>
  <c r="V50" i="5"/>
  <c r="U51" i="5"/>
  <c r="U52" i="5"/>
  <c r="U72" i="6"/>
  <c r="V71" i="6"/>
  <c r="U73" i="6"/>
  <c r="T8" i="18"/>
  <c r="T90" i="5"/>
  <c r="T112" i="5"/>
  <c r="T74" i="6"/>
  <c r="T75" i="6" s="1"/>
  <c r="U38" i="5"/>
  <c r="U43" i="5"/>
  <c r="J25" i="19"/>
  <c r="J27" i="19" s="1"/>
  <c r="J36" i="19" s="1"/>
  <c r="D62" i="26"/>
  <c r="D63" i="25"/>
  <c r="S76" i="6"/>
  <c r="R77" i="6"/>
  <c r="R60" i="6"/>
  <c r="Q61" i="6"/>
  <c r="U89" i="6"/>
  <c r="U88" i="6"/>
  <c r="V87" i="6"/>
  <c r="T13" i="6"/>
  <c r="S15" i="6"/>
  <c r="S25" i="6" s="1"/>
  <c r="S14" i="6"/>
  <c r="N7" i="19"/>
  <c r="N8" i="19" s="1"/>
  <c r="O28" i="6"/>
  <c r="T98" i="4"/>
  <c r="V41" i="4"/>
  <c r="U46" i="4"/>
  <c r="U47" i="4"/>
  <c r="T58" i="6"/>
  <c r="T59" i="6" s="1"/>
  <c r="S95" i="4"/>
  <c r="R88" i="4"/>
  <c r="S17" i="18" s="1"/>
  <c r="S7" i="18"/>
  <c r="R44" i="6"/>
  <c r="Q45" i="6"/>
  <c r="K19" i="18"/>
  <c r="K9" i="18" s="1"/>
  <c r="K27" i="7"/>
  <c r="K30" i="7" s="1"/>
  <c r="K31" i="7" s="1"/>
  <c r="D6" i="26"/>
  <c r="D9" i="21"/>
  <c r="D6" i="23"/>
  <c r="I27" i="19"/>
  <c r="I36" i="19" s="1"/>
  <c r="Q90" i="4"/>
  <c r="L38" i="1"/>
  <c r="K10" i="8" s="1"/>
  <c r="J12" i="19"/>
  <c r="H6" i="8"/>
  <c r="H7" i="8" s="1"/>
  <c r="C75" i="21"/>
  <c r="C10" i="34"/>
  <c r="C12" i="34" s="1"/>
  <c r="C15" i="34" s="1"/>
  <c r="C16" i="34" s="1"/>
  <c r="C10" i="32"/>
  <c r="C12" i="32" s="1"/>
  <c r="C37" i="32"/>
  <c r="C27" i="32"/>
  <c r="C42" i="32"/>
  <c r="C70" i="25"/>
  <c r="O17" i="7"/>
  <c r="O18" i="18"/>
  <c r="E51" i="26"/>
  <c r="E50" i="23"/>
  <c r="K37" i="1"/>
  <c r="K38" i="1" s="1"/>
  <c r="J10" i="8" s="1"/>
  <c r="J13" i="8" s="1"/>
  <c r="J4" i="8" s="1"/>
  <c r="R92" i="6"/>
  <c r="Q93" i="6"/>
  <c r="T90" i="6"/>
  <c r="T91" i="6" s="1"/>
  <c r="R16" i="6"/>
  <c r="R17" i="6" s="1"/>
  <c r="P6" i="19"/>
  <c r="Q18" i="6"/>
  <c r="Q27" i="6" s="1"/>
  <c r="Q101" i="6" s="1"/>
  <c r="Q102" i="6" s="1"/>
  <c r="Q103" i="6" s="1"/>
  <c r="Q105" i="6" s="1"/>
  <c r="P19" i="6"/>
  <c r="U57" i="6"/>
  <c r="U56" i="6"/>
  <c r="V55" i="6"/>
  <c r="H14" i="19"/>
  <c r="H15" i="19" s="1"/>
  <c r="H17" i="19" s="1"/>
  <c r="H38" i="19" s="1"/>
  <c r="G66" i="9"/>
  <c r="U31" i="4"/>
  <c r="T34" i="4"/>
  <c r="T33" i="4"/>
  <c r="T78" i="4" s="1"/>
  <c r="T101" i="4"/>
  <c r="V54" i="4"/>
  <c r="V64" i="4" s="1"/>
  <c r="U65" i="4"/>
  <c r="D16" i="28"/>
  <c r="D36" i="28"/>
  <c r="D37" i="28" s="1"/>
  <c r="D42" i="28" s="1"/>
  <c r="D30" i="28"/>
  <c r="D48" i="26"/>
  <c r="D32" i="27"/>
  <c r="D10" i="28"/>
  <c r="D58" i="21"/>
  <c r="D49" i="25"/>
  <c r="D47" i="23"/>
  <c r="S42" i="6"/>
  <c r="S43" i="6" s="1"/>
  <c r="S100" i="6" s="1"/>
  <c r="S99" i="6"/>
  <c r="U39" i="6"/>
  <c r="T40" i="6"/>
  <c r="T98" i="6" s="1"/>
  <c r="T41" i="6"/>
  <c r="N75" i="5"/>
  <c r="I10" i="10"/>
  <c r="I12" i="10" s="1"/>
  <c r="L23" i="7"/>
  <c r="W14" i="9" l="1"/>
  <c r="V15" i="9"/>
  <c r="T85" i="4"/>
  <c r="S11" i="18"/>
  <c r="T86" i="4"/>
  <c r="P4" i="7"/>
  <c r="N4" i="7"/>
  <c r="R68" i="5"/>
  <c r="R51" i="1"/>
  <c r="S10" i="18" s="1"/>
  <c r="S16" i="18" s="1"/>
  <c r="P10" i="7"/>
  <c r="P5" i="7" s="1"/>
  <c r="P12" i="7" s="1"/>
  <c r="P16" i="7" s="1"/>
  <c r="P73" i="5"/>
  <c r="N16" i="18"/>
  <c r="N13" i="19" s="1"/>
  <c r="N12" i="18"/>
  <c r="P16" i="18"/>
  <c r="P12" i="18"/>
  <c r="O22" i="7"/>
  <c r="O24" i="7" s="1"/>
  <c r="T72" i="5"/>
  <c r="T13" i="7"/>
  <c r="T26" i="5"/>
  <c r="T69" i="5" s="1"/>
  <c r="T70" i="5"/>
  <c r="E39" i="26"/>
  <c r="K4" i="18"/>
  <c r="J6" i="10"/>
  <c r="J11" i="10" s="1"/>
  <c r="G15" i="10"/>
  <c r="S8" i="7"/>
  <c r="E12" i="27"/>
  <c r="E15" i="31"/>
  <c r="E37" i="27"/>
  <c r="E38" i="23"/>
  <c r="E20" i="31"/>
  <c r="E17" i="27"/>
  <c r="J22" i="18"/>
  <c r="X76" i="4"/>
  <c r="W76" i="4"/>
  <c r="V58" i="9"/>
  <c r="V32" i="19"/>
  <c r="R37" i="9"/>
  <c r="R70" i="9" s="1"/>
  <c r="R75" i="9" s="1"/>
  <c r="W41" i="9"/>
  <c r="V42" i="9"/>
  <c r="V35" i="5"/>
  <c r="V43" i="5" s="1"/>
  <c r="U36" i="5"/>
  <c r="G33" i="23"/>
  <c r="F34" i="26"/>
  <c r="R36" i="9"/>
  <c r="S32" i="9"/>
  <c r="S34" i="9" s="1"/>
  <c r="S35" i="9" s="1"/>
  <c r="Q17" i="8"/>
  <c r="S5" i="18"/>
  <c r="T22" i="5"/>
  <c r="T11" i="18" s="1"/>
  <c r="T6" i="18"/>
  <c r="R90" i="4"/>
  <c r="S68" i="5" s="1"/>
  <c r="T14" i="2"/>
  <c r="U87" i="4" s="1"/>
  <c r="T83" i="4"/>
  <c r="T82" i="4"/>
  <c r="T86" i="5"/>
  <c r="T84" i="5"/>
  <c r="S87" i="5"/>
  <c r="S97" i="5" s="1"/>
  <c r="Q12" i="8" s="1"/>
  <c r="T83" i="5"/>
  <c r="E8" i="23"/>
  <c r="U86" i="4"/>
  <c r="T79" i="4"/>
  <c r="U7" i="7" s="1"/>
  <c r="F53" i="21" s="1"/>
  <c r="T84" i="4"/>
  <c r="S109" i="5"/>
  <c r="S119" i="5" s="1"/>
  <c r="Q16" i="8" s="1"/>
  <c r="X8" i="4"/>
  <c r="W8" i="4"/>
  <c r="V63" i="5"/>
  <c r="U58" i="5"/>
  <c r="U64" i="5" s="1"/>
  <c r="U14" i="7" s="1"/>
  <c r="R26" i="6"/>
  <c r="S24" i="6"/>
  <c r="R9" i="19" s="1"/>
  <c r="S102" i="4"/>
  <c r="R18" i="8" s="1"/>
  <c r="T19" i="9"/>
  <c r="T29" i="19"/>
  <c r="Q76" i="9"/>
  <c r="S7" i="10" s="1"/>
  <c r="T108" i="5"/>
  <c r="T105" i="5"/>
  <c r="T106" i="5"/>
  <c r="V29" i="5"/>
  <c r="V30" i="5" s="1"/>
  <c r="W13" i="5"/>
  <c r="V16" i="5"/>
  <c r="U31" i="5"/>
  <c r="U32" i="5" s="1"/>
  <c r="V10" i="5"/>
  <c r="U27" i="5"/>
  <c r="U28" i="5" s="1"/>
  <c r="U44" i="5"/>
  <c r="U70" i="5" s="1"/>
  <c r="U53" i="5"/>
  <c r="U13" i="7" s="1"/>
  <c r="I7" i="8"/>
  <c r="U27" i="9"/>
  <c r="V26" i="9"/>
  <c r="W53" i="9"/>
  <c r="V54" i="9"/>
  <c r="T20" i="9"/>
  <c r="T22" i="9" s="1"/>
  <c r="T23" i="9" s="1"/>
  <c r="S24" i="9"/>
  <c r="R19" i="8"/>
  <c r="T63" i="9"/>
  <c r="U59" i="9"/>
  <c r="U61" i="9" s="1"/>
  <c r="U62" i="9" s="1"/>
  <c r="S51" i="9"/>
  <c r="S64" i="9" s="1"/>
  <c r="T47" i="9"/>
  <c r="T49" i="9" s="1"/>
  <c r="T50" i="9" s="1"/>
  <c r="U85" i="5"/>
  <c r="U107" i="5"/>
  <c r="T31" i="1"/>
  <c r="V18" i="1"/>
  <c r="U26" i="1"/>
  <c r="U28" i="1" s="1"/>
  <c r="U27" i="1"/>
  <c r="U23" i="1"/>
  <c r="W61" i="5"/>
  <c r="V62" i="5"/>
  <c r="V42" i="5"/>
  <c r="W41" i="5"/>
  <c r="R33" i="1"/>
  <c r="R52" i="1" s="1"/>
  <c r="U96" i="5"/>
  <c r="U118" i="5"/>
  <c r="Q8" i="10"/>
  <c r="W14" i="5"/>
  <c r="X31" i="9"/>
  <c r="N84" i="9"/>
  <c r="O83" i="9"/>
  <c r="W39" i="5"/>
  <c r="V40" i="5"/>
  <c r="P73" i="9"/>
  <c r="P76" i="9" s="1"/>
  <c r="W17" i="5"/>
  <c r="T69" i="9"/>
  <c r="U9" i="9"/>
  <c r="S43" i="1"/>
  <c r="S44" i="1" s="1"/>
  <c r="R11" i="8" s="1"/>
  <c r="S32" i="1"/>
  <c r="W59" i="5"/>
  <c r="V60" i="5"/>
  <c r="V49" i="5"/>
  <c r="W11" i="5"/>
  <c r="V38" i="5"/>
  <c r="W71" i="6"/>
  <c r="V73" i="6"/>
  <c r="V72" i="6"/>
  <c r="U115" i="5"/>
  <c r="U93" i="5"/>
  <c r="V51" i="5"/>
  <c r="W50" i="5"/>
  <c r="V52" i="5"/>
  <c r="U8" i="18"/>
  <c r="U90" i="5"/>
  <c r="U112" i="5"/>
  <c r="U74" i="6"/>
  <c r="U75" i="6" s="1"/>
  <c r="K25" i="19"/>
  <c r="K27" i="19" s="1"/>
  <c r="K36" i="19" s="1"/>
  <c r="L25" i="7"/>
  <c r="M23" i="7"/>
  <c r="P17" i="7"/>
  <c r="P18" i="18"/>
  <c r="D5" i="32"/>
  <c r="D7" i="32" s="1"/>
  <c r="D63" i="21"/>
  <c r="D70" i="21" s="1"/>
  <c r="D55" i="26"/>
  <c r="D56" i="25"/>
  <c r="D54" i="23"/>
  <c r="U101" i="4"/>
  <c r="V31" i="4"/>
  <c r="U34" i="4"/>
  <c r="U33" i="4"/>
  <c r="U78" i="4" s="1"/>
  <c r="W55" i="6"/>
  <c r="V57" i="6"/>
  <c r="V56" i="6"/>
  <c r="U58" i="6"/>
  <c r="U59" i="6" s="1"/>
  <c r="O7" i="19"/>
  <c r="O8" i="19" s="1"/>
  <c r="P28" i="6"/>
  <c r="J6" i="8"/>
  <c r="J7" i="8" s="1"/>
  <c r="L12" i="19"/>
  <c r="D9" i="26"/>
  <c r="D48" i="28"/>
  <c r="D49" i="28" s="1"/>
  <c r="D9" i="23"/>
  <c r="U85" i="4"/>
  <c r="U98" i="4"/>
  <c r="W41" i="4"/>
  <c r="V46" i="4"/>
  <c r="V47" i="4"/>
  <c r="S16" i="6"/>
  <c r="S17" i="6" s="1"/>
  <c r="I14" i="19"/>
  <c r="H66" i="9"/>
  <c r="M37" i="1"/>
  <c r="T99" i="6"/>
  <c r="T42" i="6"/>
  <c r="T43" i="6" s="1"/>
  <c r="T100" i="6" s="1"/>
  <c r="U41" i="6"/>
  <c r="V39" i="6"/>
  <c r="U40" i="6"/>
  <c r="U98" i="6" s="1"/>
  <c r="W54" i="4"/>
  <c r="V65" i="4"/>
  <c r="T95" i="4"/>
  <c r="R18" i="6"/>
  <c r="R27" i="6" s="1"/>
  <c r="R101" i="6" s="1"/>
  <c r="R102" i="6" s="1"/>
  <c r="Q19" i="6"/>
  <c r="Q6" i="19"/>
  <c r="S92" i="6"/>
  <c r="R93" i="6"/>
  <c r="N37" i="1"/>
  <c r="N38" i="1" s="1"/>
  <c r="M10" i="8" s="1"/>
  <c r="M13" i="8" s="1"/>
  <c r="M4" i="8" s="1"/>
  <c r="K13" i="8"/>
  <c r="K4" i="8" s="1"/>
  <c r="D12" i="21"/>
  <c r="C27" i="21"/>
  <c r="S44" i="6"/>
  <c r="R45" i="6"/>
  <c r="T7" i="18"/>
  <c r="S88" i="4"/>
  <c r="T17" i="18" s="1"/>
  <c r="T15" i="6"/>
  <c r="T25" i="6" s="1"/>
  <c r="T14" i="6"/>
  <c r="U13" i="6"/>
  <c r="V88" i="6"/>
  <c r="W87" i="6"/>
  <c r="V89" i="6"/>
  <c r="U90" i="6"/>
  <c r="U91" i="6" s="1"/>
  <c r="S60" i="6"/>
  <c r="R61" i="6"/>
  <c r="T76" i="6"/>
  <c r="S77" i="6"/>
  <c r="X14" i="9" l="1"/>
  <c r="X15" i="9" s="1"/>
  <c r="W15" i="9"/>
  <c r="R71" i="9"/>
  <c r="R72" i="9" s="1"/>
  <c r="R73" i="9" s="1"/>
  <c r="Q13" i="18"/>
  <c r="Q14" i="18" s="1"/>
  <c r="N12" i="7"/>
  <c r="N16" i="7" s="1"/>
  <c r="N22" i="7" s="1"/>
  <c r="N24" i="7" s="1"/>
  <c r="E49" i="21"/>
  <c r="Q20" i="8"/>
  <c r="Q5" i="8" s="1"/>
  <c r="S33" i="19" s="1"/>
  <c r="S34" i="19" s="1"/>
  <c r="N13" i="18"/>
  <c r="N14" i="18" s="1"/>
  <c r="N15" i="18" s="1"/>
  <c r="O13" i="18"/>
  <c r="O14" i="18" s="1"/>
  <c r="P13" i="18"/>
  <c r="P14" i="18" s="1"/>
  <c r="U9" i="7"/>
  <c r="F55" i="21" s="1"/>
  <c r="F52" i="26" s="1"/>
  <c r="P22" i="7"/>
  <c r="P24" i="7" s="1"/>
  <c r="S4" i="7"/>
  <c r="Q10" i="7"/>
  <c r="E56" i="21" s="1"/>
  <c r="E21" i="32" s="1"/>
  <c r="Q73" i="5"/>
  <c r="U72" i="5"/>
  <c r="U71" i="5"/>
  <c r="V6" i="18"/>
  <c r="T6" i="7"/>
  <c r="F60" i="21"/>
  <c r="F57" i="26" s="1"/>
  <c r="U26" i="5"/>
  <c r="U69" i="5" s="1"/>
  <c r="T8" i="7"/>
  <c r="J34" i="18"/>
  <c r="J35" i="18" s="1"/>
  <c r="J14" i="19" s="1"/>
  <c r="J15" i="19" s="1"/>
  <c r="J17" i="19" s="1"/>
  <c r="J38" i="19" s="1"/>
  <c r="K5" i="10"/>
  <c r="K6" i="10" s="1"/>
  <c r="K11" i="10" s="1"/>
  <c r="L22" i="18"/>
  <c r="W35" i="5"/>
  <c r="V36" i="5"/>
  <c r="V44" i="5" s="1"/>
  <c r="V70" i="5" s="1"/>
  <c r="W42" i="9"/>
  <c r="X41" i="9"/>
  <c r="X42" i="9" s="1"/>
  <c r="K22" i="18"/>
  <c r="T32" i="9"/>
  <c r="T34" i="9" s="1"/>
  <c r="T35" i="9" s="1"/>
  <c r="S19" i="8" s="1"/>
  <c r="F38" i="21" s="1"/>
  <c r="S36" i="9"/>
  <c r="S37" i="9" s="1"/>
  <c r="S70" i="9" s="1"/>
  <c r="W32" i="19"/>
  <c r="W58" i="9"/>
  <c r="U106" i="5"/>
  <c r="U6" i="18"/>
  <c r="T49" i="1"/>
  <c r="T50" i="1" s="1"/>
  <c r="Q49" i="1"/>
  <c r="S49" i="1"/>
  <c r="U22" i="5"/>
  <c r="U14" i="2"/>
  <c r="V86" i="4" s="1"/>
  <c r="U82" i="4"/>
  <c r="U83" i="4"/>
  <c r="T87" i="5"/>
  <c r="T97" i="5" s="1"/>
  <c r="R12" i="8" s="1"/>
  <c r="U108" i="5"/>
  <c r="U79" i="4"/>
  <c r="V7" i="7" s="1"/>
  <c r="U84" i="4"/>
  <c r="U83" i="5"/>
  <c r="S26" i="6"/>
  <c r="Q5" i="7"/>
  <c r="Q12" i="7" s="1"/>
  <c r="Q16" i="7" s="1"/>
  <c r="T24" i="6"/>
  <c r="S9" i="19" s="1"/>
  <c r="W63" i="5"/>
  <c r="V58" i="5"/>
  <c r="V64" i="5" s="1"/>
  <c r="V72" i="5" s="1"/>
  <c r="F61" i="21"/>
  <c r="F58" i="26" s="1"/>
  <c r="K9" i="10"/>
  <c r="K10" i="10" s="1"/>
  <c r="K12" i="10" s="1"/>
  <c r="T102" i="4"/>
  <c r="S18" i="8" s="1"/>
  <c r="F37" i="21" s="1"/>
  <c r="U19" i="9"/>
  <c r="U29" i="19"/>
  <c r="F30" i="21" s="1"/>
  <c r="T109" i="5"/>
  <c r="T119" i="5" s="1"/>
  <c r="R16" i="8" s="1"/>
  <c r="U84" i="5"/>
  <c r="U105" i="5"/>
  <c r="U86" i="5"/>
  <c r="W29" i="5"/>
  <c r="W30" i="5" s="1"/>
  <c r="X13" i="5"/>
  <c r="W10" i="5"/>
  <c r="V27" i="5"/>
  <c r="V28" i="5" s="1"/>
  <c r="W16" i="5"/>
  <c r="V31" i="5"/>
  <c r="V32" i="5" s="1"/>
  <c r="V26" i="5"/>
  <c r="V69" i="5" s="1"/>
  <c r="V22" i="5"/>
  <c r="V6" i="7" s="1"/>
  <c r="F56" i="23"/>
  <c r="W26" i="9"/>
  <c r="V27" i="9"/>
  <c r="V53" i="5"/>
  <c r="V13" i="7" s="1"/>
  <c r="R76" i="9"/>
  <c r="T7" i="10" s="1"/>
  <c r="X53" i="9"/>
  <c r="X54" i="9" s="1"/>
  <c r="W54" i="9"/>
  <c r="R7" i="10"/>
  <c r="R8" i="10" s="1"/>
  <c r="S8" i="10" s="1"/>
  <c r="G79" i="9"/>
  <c r="G80" i="9" s="1"/>
  <c r="I17" i="10" s="1"/>
  <c r="T51" i="9"/>
  <c r="T64" i="9" s="1"/>
  <c r="U47" i="9"/>
  <c r="U49" i="9" s="1"/>
  <c r="U50" i="9" s="1"/>
  <c r="U63" i="9"/>
  <c r="V59" i="9"/>
  <c r="V61" i="9" s="1"/>
  <c r="V62" i="9" s="1"/>
  <c r="U20" i="9"/>
  <c r="U22" i="9" s="1"/>
  <c r="U23" i="9" s="1"/>
  <c r="T24" i="9"/>
  <c r="X11" i="5"/>
  <c r="S33" i="1"/>
  <c r="S52" i="1" s="1"/>
  <c r="X17" i="5"/>
  <c r="X14" i="5"/>
  <c r="S12" i="18"/>
  <c r="W62" i="5"/>
  <c r="X61" i="5"/>
  <c r="U31" i="1"/>
  <c r="W49" i="5"/>
  <c r="V96" i="5"/>
  <c r="V118" i="5"/>
  <c r="X59" i="5"/>
  <c r="W60" i="5"/>
  <c r="V9" i="9"/>
  <c r="U69" i="9"/>
  <c r="X39" i="5"/>
  <c r="W40" i="5"/>
  <c r="O84" i="9"/>
  <c r="P83" i="9"/>
  <c r="V85" i="5"/>
  <c r="V107" i="5"/>
  <c r="W42" i="5"/>
  <c r="X41" i="5"/>
  <c r="V27" i="1"/>
  <c r="V26" i="1"/>
  <c r="V28" i="1" s="1"/>
  <c r="V23" i="1"/>
  <c r="W18" i="1"/>
  <c r="T43" i="1"/>
  <c r="T44" i="1" s="1"/>
  <c r="S11" i="8" s="1"/>
  <c r="F13" i="21" s="1"/>
  <c r="T32" i="1"/>
  <c r="X50" i="5"/>
  <c r="W51" i="5"/>
  <c r="W52" i="5"/>
  <c r="X71" i="6"/>
  <c r="W73" i="6"/>
  <c r="W72" i="6"/>
  <c r="V112" i="5"/>
  <c r="V8" i="18"/>
  <c r="V90" i="5"/>
  <c r="V93" i="5"/>
  <c r="V115" i="5"/>
  <c r="V74" i="6"/>
  <c r="V75" i="6" s="1"/>
  <c r="W38" i="5"/>
  <c r="W43" i="5"/>
  <c r="F50" i="26"/>
  <c r="F49" i="23"/>
  <c r="U76" i="6"/>
  <c r="T77" i="6"/>
  <c r="T60" i="6"/>
  <c r="S61" i="6"/>
  <c r="V90" i="6"/>
  <c r="V91" i="6" s="1"/>
  <c r="E7" i="21"/>
  <c r="E7" i="23" s="1"/>
  <c r="C50" i="32"/>
  <c r="C11" i="31"/>
  <c r="C41" i="21"/>
  <c r="C19" i="21" s="1"/>
  <c r="C17" i="21" s="1"/>
  <c r="C16" i="21" s="1"/>
  <c r="C5" i="31"/>
  <c r="C16" i="31"/>
  <c r="C17" i="31" s="1"/>
  <c r="D31" i="27"/>
  <c r="D22" i="27"/>
  <c r="D24" i="27" s="1"/>
  <c r="D25" i="27" s="1"/>
  <c r="D27" i="27" s="1"/>
  <c r="D11" i="27"/>
  <c r="D12" i="26"/>
  <c r="D15" i="28"/>
  <c r="D17" i="28" s="1"/>
  <c r="D40" i="28" s="1"/>
  <c r="D43" i="28" s="1"/>
  <c r="D44" i="28" s="1"/>
  <c r="D6" i="28"/>
  <c r="D7" i="28" s="1"/>
  <c r="D12" i="23"/>
  <c r="D11" i="28"/>
  <c r="D12" i="28" s="1"/>
  <c r="M6" i="8"/>
  <c r="O12" i="19"/>
  <c r="S18" i="6"/>
  <c r="S27" i="6" s="1"/>
  <c r="S101" i="6" s="1"/>
  <c r="S102" i="6" s="1"/>
  <c r="R19" i="6"/>
  <c r="T88" i="4"/>
  <c r="U17" i="18" s="1"/>
  <c r="X54" i="4"/>
  <c r="W64" i="4"/>
  <c r="W65" i="4"/>
  <c r="U99" i="6"/>
  <c r="U42" i="6"/>
  <c r="U43" i="6" s="1"/>
  <c r="U100" i="6" s="1"/>
  <c r="I15" i="19"/>
  <c r="I17" i="19" s="1"/>
  <c r="I38" i="19" s="1"/>
  <c r="R6" i="19"/>
  <c r="V85" i="4"/>
  <c r="V98" i="4"/>
  <c r="X41" i="4"/>
  <c r="W46" i="4"/>
  <c r="W47" i="4"/>
  <c r="W56" i="6"/>
  <c r="X55" i="6"/>
  <c r="W57" i="6"/>
  <c r="V33" i="4"/>
  <c r="V78" i="4" s="1"/>
  <c r="W31" i="4"/>
  <c r="V34" i="4"/>
  <c r="P75" i="5"/>
  <c r="L19" i="18"/>
  <c r="L9" i="18" s="1"/>
  <c r="L27" i="7"/>
  <c r="L30" i="7" s="1"/>
  <c r="L31" i="7" s="1"/>
  <c r="M38" i="1"/>
  <c r="L10" i="8" s="1"/>
  <c r="L13" i="8" s="1"/>
  <c r="L4" i="8" s="1"/>
  <c r="R103" i="6"/>
  <c r="X87" i="6"/>
  <c r="W89" i="6"/>
  <c r="W88" i="6"/>
  <c r="U15" i="6"/>
  <c r="U25" i="6" s="1"/>
  <c r="V13" i="6"/>
  <c r="U14" i="6"/>
  <c r="T16" i="6"/>
  <c r="T17" i="6" s="1"/>
  <c r="T44" i="6"/>
  <c r="S45" i="6"/>
  <c r="M12" i="19"/>
  <c r="K6" i="8"/>
  <c r="K7" i="8" s="1"/>
  <c r="T92" i="6"/>
  <c r="S93" i="6"/>
  <c r="P7" i="19"/>
  <c r="P8" i="19" s="1"/>
  <c r="Q28" i="6"/>
  <c r="U7" i="18"/>
  <c r="V101" i="4"/>
  <c r="V40" i="6"/>
  <c r="V98" i="6" s="1"/>
  <c r="V41" i="6"/>
  <c r="W39" i="6"/>
  <c r="V58" i="6"/>
  <c r="V59" i="6" s="1"/>
  <c r="U95" i="4"/>
  <c r="D6" i="34"/>
  <c r="D7" i="34" s="1"/>
  <c r="D32" i="32"/>
  <c r="D15" i="32"/>
  <c r="D17" i="32" s="1"/>
  <c r="D60" i="26"/>
  <c r="D20" i="32"/>
  <c r="D22" i="32" s="1"/>
  <c r="D24" i="32" s="1"/>
  <c r="D25" i="31"/>
  <c r="D27" i="31" s="1"/>
  <c r="D49" i="32"/>
  <c r="D61" i="25"/>
  <c r="D59" i="23"/>
  <c r="M25" i="7"/>
  <c r="D72" i="21" s="1"/>
  <c r="S90" i="4"/>
  <c r="T68" i="5" s="1"/>
  <c r="V87" i="4" l="1"/>
  <c r="O15" i="18"/>
  <c r="N23" i="7"/>
  <c r="O23" i="7" s="1"/>
  <c r="P15" i="18"/>
  <c r="P13" i="19" s="1"/>
  <c r="E52" i="25"/>
  <c r="E26" i="27"/>
  <c r="E11" i="32"/>
  <c r="E23" i="32"/>
  <c r="E47" i="25"/>
  <c r="E53" i="25"/>
  <c r="E26" i="28"/>
  <c r="E27" i="28" s="1"/>
  <c r="E41" i="28" s="1"/>
  <c r="E64" i="25"/>
  <c r="E52" i="28"/>
  <c r="E59" i="25"/>
  <c r="E16" i="32"/>
  <c r="E50" i="25"/>
  <c r="E45" i="23"/>
  <c r="E75" i="23" s="1"/>
  <c r="E57" i="28"/>
  <c r="E46" i="26"/>
  <c r="E20" i="28"/>
  <c r="E22" i="28" s="1"/>
  <c r="E5" i="28"/>
  <c r="E47" i="28"/>
  <c r="E58" i="25"/>
  <c r="E6" i="32"/>
  <c r="E51" i="25"/>
  <c r="Q15" i="18"/>
  <c r="Q13" i="19" s="1"/>
  <c r="E15" i="21" s="1"/>
  <c r="T51" i="1"/>
  <c r="U10" i="18" s="1"/>
  <c r="R10" i="7"/>
  <c r="R5" i="7" s="1"/>
  <c r="R73" i="5"/>
  <c r="V9" i="7"/>
  <c r="V14" i="7"/>
  <c r="V71" i="5"/>
  <c r="I66" i="9"/>
  <c r="U6" i="7"/>
  <c r="L4" i="18"/>
  <c r="U8" i="7"/>
  <c r="F54" i="21" s="1"/>
  <c r="F50" i="23" s="1"/>
  <c r="K34" i="18"/>
  <c r="K35" i="18" s="1"/>
  <c r="L5" i="10"/>
  <c r="L6" i="10" s="1"/>
  <c r="L11" i="10" s="1"/>
  <c r="S75" i="9"/>
  <c r="S71" i="9"/>
  <c r="S72" i="9" s="1"/>
  <c r="S73" i="9" s="1"/>
  <c r="T37" i="9"/>
  <c r="T70" i="9" s="1"/>
  <c r="T36" i="9"/>
  <c r="U32" i="9"/>
  <c r="U34" i="9" s="1"/>
  <c r="U35" i="9" s="1"/>
  <c r="M22" i="18"/>
  <c r="X32" i="19"/>
  <c r="X58" i="9"/>
  <c r="Y32" i="19" s="1"/>
  <c r="G34" i="21" s="1"/>
  <c r="G34" i="26" s="1"/>
  <c r="X35" i="5"/>
  <c r="W36" i="5"/>
  <c r="V84" i="5"/>
  <c r="R105" i="6"/>
  <c r="U11" i="18"/>
  <c r="S17" i="8"/>
  <c r="F35" i="23" s="1"/>
  <c r="U5" i="18"/>
  <c r="Q50" i="1"/>
  <c r="S50" i="1"/>
  <c r="U109" i="5"/>
  <c r="U119" i="5" s="1"/>
  <c r="S16" i="8" s="1"/>
  <c r="F35" i="21" s="1"/>
  <c r="F39" i="21" s="1"/>
  <c r="E53" i="26"/>
  <c r="V14" i="2"/>
  <c r="W86" i="4" s="1"/>
  <c r="V82" i="4"/>
  <c r="V83" i="4"/>
  <c r="W22" i="5"/>
  <c r="V86" i="5"/>
  <c r="E52" i="23"/>
  <c r="V79" i="4"/>
  <c r="W7" i="7" s="1"/>
  <c r="V84" i="4"/>
  <c r="E51" i="21"/>
  <c r="E36" i="28" s="1"/>
  <c r="E37" i="28" s="1"/>
  <c r="E42" i="28" s="1"/>
  <c r="E54" i="25"/>
  <c r="V108" i="5"/>
  <c r="V106" i="5"/>
  <c r="U24" i="6"/>
  <c r="T9" i="19" s="1"/>
  <c r="V11" i="18"/>
  <c r="X63" i="5"/>
  <c r="W58" i="5"/>
  <c r="W64" i="5" s="1"/>
  <c r="W14" i="7" s="1"/>
  <c r="T26" i="6"/>
  <c r="V49" i="1"/>
  <c r="U87" i="5"/>
  <c r="U97" i="5" s="1"/>
  <c r="S12" i="8" s="1"/>
  <c r="U102" i="4"/>
  <c r="T18" i="8" s="1"/>
  <c r="F51" i="23"/>
  <c r="F29" i="23"/>
  <c r="F30" i="26"/>
  <c r="F31" i="21"/>
  <c r="V19" i="9"/>
  <c r="V29" i="19"/>
  <c r="V83" i="5"/>
  <c r="V105" i="5"/>
  <c r="X16" i="5"/>
  <c r="W31" i="5"/>
  <c r="W32" i="5" s="1"/>
  <c r="W27" i="5"/>
  <c r="W28" i="5" s="1"/>
  <c r="X10" i="5"/>
  <c r="X29" i="5"/>
  <c r="X30" i="5" s="1"/>
  <c r="Y13" i="5"/>
  <c r="W53" i="5"/>
  <c r="W71" i="5" s="1"/>
  <c r="T90" i="4"/>
  <c r="U68" i="5" s="1"/>
  <c r="F57" i="23"/>
  <c r="T8" i="10"/>
  <c r="W27" i="9"/>
  <c r="X26" i="9"/>
  <c r="X27" i="9" s="1"/>
  <c r="W44" i="5"/>
  <c r="W9" i="7" s="1"/>
  <c r="S76" i="9"/>
  <c r="U7" i="10" s="1"/>
  <c r="V63" i="9"/>
  <c r="W59" i="9"/>
  <c r="W61" i="9" s="1"/>
  <c r="W62" i="9" s="1"/>
  <c r="U51" i="9"/>
  <c r="U64" i="9" s="1"/>
  <c r="V47" i="9"/>
  <c r="V49" i="9" s="1"/>
  <c r="V50" i="9" s="1"/>
  <c r="V20" i="9"/>
  <c r="V22" i="9" s="1"/>
  <c r="V23" i="9" s="1"/>
  <c r="T19" i="8"/>
  <c r="U24" i="9"/>
  <c r="F36" i="26"/>
  <c r="Q83" i="9"/>
  <c r="P84" i="9"/>
  <c r="W9" i="9"/>
  <c r="V69" i="9"/>
  <c r="W96" i="5"/>
  <c r="W118" i="5"/>
  <c r="X60" i="5"/>
  <c r="Y59" i="5"/>
  <c r="U32" i="1"/>
  <c r="U43" i="1"/>
  <c r="U44" i="1" s="1"/>
  <c r="T11" i="8" s="1"/>
  <c r="W85" i="5"/>
  <c r="W107" i="5"/>
  <c r="Y11" i="5"/>
  <c r="T33" i="1"/>
  <c r="F23" i="27"/>
  <c r="F25" i="28"/>
  <c r="F21" i="28"/>
  <c r="F13" i="26"/>
  <c r="F13" i="23"/>
  <c r="W23" i="1"/>
  <c r="W27" i="1"/>
  <c r="W26" i="1"/>
  <c r="W28" i="1" s="1"/>
  <c r="V31" i="1"/>
  <c r="X42" i="5"/>
  <c r="Y41" i="5"/>
  <c r="Y42" i="5" s="1"/>
  <c r="F52" i="21"/>
  <c r="X40" i="5"/>
  <c r="Y39" i="5"/>
  <c r="Y40" i="5" s="1"/>
  <c r="Y49" i="5"/>
  <c r="X49" i="5"/>
  <c r="Y61" i="5"/>
  <c r="Y62" i="5" s="1"/>
  <c r="X62" i="5"/>
  <c r="Y14" i="5"/>
  <c r="Y17" i="5"/>
  <c r="F38" i="26"/>
  <c r="F37" i="23"/>
  <c r="X38" i="5"/>
  <c r="X43" i="5"/>
  <c r="Y71" i="6"/>
  <c r="X73" i="6"/>
  <c r="X72" i="6"/>
  <c r="W8" i="18"/>
  <c r="W112" i="5"/>
  <c r="W90" i="5"/>
  <c r="W74" i="6"/>
  <c r="W75" i="6" s="1"/>
  <c r="W93" i="5"/>
  <c r="W115" i="5"/>
  <c r="X51" i="5"/>
  <c r="Y50" i="5"/>
  <c r="X52" i="5"/>
  <c r="D67" i="26"/>
  <c r="D68" i="25"/>
  <c r="D66" i="23"/>
  <c r="D65" i="26"/>
  <c r="D11" i="34"/>
  <c r="D74" i="21"/>
  <c r="D66" i="25"/>
  <c r="D64" i="23"/>
  <c r="V7" i="18"/>
  <c r="V42" i="6"/>
  <c r="V43" i="6" s="1"/>
  <c r="V100" i="6" s="1"/>
  <c r="V99" i="6"/>
  <c r="U92" i="6"/>
  <c r="T93" i="6"/>
  <c r="U16" i="6"/>
  <c r="U17" i="6" s="1"/>
  <c r="W90" i="6"/>
  <c r="W91" i="6" s="1"/>
  <c r="L6" i="8"/>
  <c r="L7" i="8" s="1"/>
  <c r="N12" i="19"/>
  <c r="V95" i="4"/>
  <c r="X56" i="6"/>
  <c r="Y55" i="6"/>
  <c r="X57" i="6"/>
  <c r="W85" i="4"/>
  <c r="W98" i="4"/>
  <c r="X46" i="4"/>
  <c r="X47" i="4"/>
  <c r="W87" i="4"/>
  <c r="W101" i="4"/>
  <c r="X64" i="4"/>
  <c r="X65" i="4"/>
  <c r="G36" i="23"/>
  <c r="F37" i="26"/>
  <c r="T18" i="6"/>
  <c r="T27" i="6" s="1"/>
  <c r="T101" i="6" s="1"/>
  <c r="T102" i="6" s="1"/>
  <c r="S19" i="6"/>
  <c r="C31" i="25"/>
  <c r="C27" i="25"/>
  <c r="C24" i="25"/>
  <c r="C38" i="25"/>
  <c r="C41" i="25"/>
  <c r="C39" i="25"/>
  <c r="C25" i="25"/>
  <c r="C37" i="25"/>
  <c r="C26" i="25"/>
  <c r="C30" i="25"/>
  <c r="C35" i="25"/>
  <c r="C36" i="25"/>
  <c r="C34" i="25"/>
  <c r="E58" i="28"/>
  <c r="E7" i="26"/>
  <c r="N25" i="7"/>
  <c r="M19" i="18"/>
  <c r="M9" i="18" s="1"/>
  <c r="M27" i="7"/>
  <c r="M30" i="7" s="1"/>
  <c r="M31" i="7" s="1"/>
  <c r="U88" i="4"/>
  <c r="V17" i="18" s="1"/>
  <c r="X39" i="6"/>
  <c r="W40" i="6"/>
  <c r="W98" i="6" s="1"/>
  <c r="W41" i="6"/>
  <c r="U44" i="6"/>
  <c r="T45" i="6"/>
  <c r="S6" i="19"/>
  <c r="W13" i="6"/>
  <c r="V14" i="6"/>
  <c r="V15" i="6"/>
  <c r="V25" i="6" s="1"/>
  <c r="X88" i="6"/>
  <c r="Y87" i="6"/>
  <c r="X89" i="6"/>
  <c r="Q17" i="7"/>
  <c r="Q22" i="7" s="1"/>
  <c r="Q24" i="7" s="1"/>
  <c r="L25" i="19"/>
  <c r="L27" i="19" s="1"/>
  <c r="L36" i="19" s="1"/>
  <c r="O37" i="1"/>
  <c r="X31" i="4"/>
  <c r="W33" i="4"/>
  <c r="W78" i="4" s="1"/>
  <c r="W34" i="4"/>
  <c r="W58" i="6"/>
  <c r="W59" i="6" s="1"/>
  <c r="C16" i="27"/>
  <c r="Q7" i="19"/>
  <c r="Q8" i="19" s="1"/>
  <c r="R28" i="6"/>
  <c r="E6" i="21" s="1"/>
  <c r="U60" i="6"/>
  <c r="T61" i="6"/>
  <c r="V76" i="6"/>
  <c r="U77" i="6"/>
  <c r="S103" i="6"/>
  <c r="U4" i="7" l="1"/>
  <c r="E15" i="23"/>
  <c r="E15" i="26"/>
  <c r="S10" i="7"/>
  <c r="S5" i="7" s="1"/>
  <c r="S12" i="7" s="1"/>
  <c r="S16" i="7" s="1"/>
  <c r="S73" i="5"/>
  <c r="S51" i="1"/>
  <c r="T10" i="18" s="1"/>
  <c r="Q51" i="1"/>
  <c r="R10" i="18" s="1"/>
  <c r="R92" i="4"/>
  <c r="U16" i="18"/>
  <c r="W72" i="5"/>
  <c r="W13" i="7"/>
  <c r="S13" i="19"/>
  <c r="W26" i="5"/>
  <c r="W69" i="5" s="1"/>
  <c r="W6" i="18"/>
  <c r="W6" i="7"/>
  <c r="W70" i="5"/>
  <c r="F51" i="26"/>
  <c r="L34" i="18"/>
  <c r="L35" i="18" s="1"/>
  <c r="M5" i="10"/>
  <c r="M9" i="10" s="1"/>
  <c r="V8" i="7"/>
  <c r="M4" i="18"/>
  <c r="Q18" i="18"/>
  <c r="L9" i="10"/>
  <c r="L10" i="10" s="1"/>
  <c r="L12" i="10" s="1"/>
  <c r="N22" i="18"/>
  <c r="V87" i="5"/>
  <c r="V97" i="5" s="1"/>
  <c r="T12" i="8" s="1"/>
  <c r="Y35" i="5"/>
  <c r="Y36" i="5" s="1"/>
  <c r="X36" i="5"/>
  <c r="X44" i="5" s="1"/>
  <c r="X9" i="7" s="1"/>
  <c r="U36" i="9"/>
  <c r="U37" i="9" s="1"/>
  <c r="U70" i="9" s="1"/>
  <c r="V32" i="9"/>
  <c r="V34" i="9" s="1"/>
  <c r="V35" i="9" s="1"/>
  <c r="V36" i="9" s="1"/>
  <c r="T75" i="9"/>
  <c r="T76" i="9" s="1"/>
  <c r="T71" i="9"/>
  <c r="T72" i="9" s="1"/>
  <c r="T73" i="9" s="1"/>
  <c r="J66" i="9"/>
  <c r="K14" i="19"/>
  <c r="K15" i="19" s="1"/>
  <c r="K17" i="19" s="1"/>
  <c r="K38" i="19" s="1"/>
  <c r="S105" i="6"/>
  <c r="R18" i="18" s="1"/>
  <c r="W106" i="5"/>
  <c r="R17" i="8"/>
  <c r="R20" i="8" s="1"/>
  <c r="R5" i="8" s="1"/>
  <c r="T33" i="19" s="1"/>
  <c r="T34" i="19" s="1"/>
  <c r="T5" i="18"/>
  <c r="P17" i="8"/>
  <c r="P20" i="8" s="1"/>
  <c r="P5" i="8" s="1"/>
  <c r="R33" i="19" s="1"/>
  <c r="R34" i="19" s="1"/>
  <c r="R5" i="18"/>
  <c r="V109" i="5"/>
  <c r="V119" i="5" s="1"/>
  <c r="T16" i="8" s="1"/>
  <c r="W14" i="2"/>
  <c r="X86" i="4" s="1"/>
  <c r="W83" i="4"/>
  <c r="W82" i="4"/>
  <c r="W86" i="5"/>
  <c r="W105" i="5"/>
  <c r="W79" i="4"/>
  <c r="X7" i="7" s="1"/>
  <c r="W84" i="4"/>
  <c r="E32" i="27"/>
  <c r="E47" i="23"/>
  <c r="E10" i="28"/>
  <c r="E58" i="21"/>
  <c r="E63" i="21" s="1"/>
  <c r="E30" i="28"/>
  <c r="E49" i="25"/>
  <c r="E48" i="26"/>
  <c r="E16" i="28"/>
  <c r="W84" i="5"/>
  <c r="V24" i="6"/>
  <c r="U9" i="19" s="1"/>
  <c r="F8" i="21" s="1"/>
  <c r="F8" i="26" s="1"/>
  <c r="U26" i="6"/>
  <c r="T52" i="1"/>
  <c r="Y58" i="5"/>
  <c r="X58" i="5"/>
  <c r="X64" i="5" s="1"/>
  <c r="X72" i="5" s="1"/>
  <c r="W11" i="18"/>
  <c r="V102" i="4"/>
  <c r="U18" i="8" s="1"/>
  <c r="F30" i="23"/>
  <c r="F31" i="26"/>
  <c r="W19" i="9"/>
  <c r="W29" i="19"/>
  <c r="W108" i="5"/>
  <c r="W83" i="5"/>
  <c r="Y16" i="5"/>
  <c r="Y31" i="5" s="1"/>
  <c r="Y32" i="5" s="1"/>
  <c r="X31" i="5"/>
  <c r="X32" i="5" s="1"/>
  <c r="X26" i="5"/>
  <c r="X69" i="5" s="1"/>
  <c r="Y29" i="5"/>
  <c r="Y30" i="5" s="1"/>
  <c r="X27" i="5"/>
  <c r="X28" i="5" s="1"/>
  <c r="Y10" i="5"/>
  <c r="F14" i="26"/>
  <c r="F14" i="23"/>
  <c r="S20" i="8"/>
  <c r="S5" i="8" s="1"/>
  <c r="U33" i="19" s="1"/>
  <c r="U34" i="19" s="1"/>
  <c r="U8" i="10"/>
  <c r="X53" i="5"/>
  <c r="X13" i="7" s="1"/>
  <c r="Y107" i="5"/>
  <c r="V51" i="9"/>
  <c r="V64" i="9" s="1"/>
  <c r="W47" i="9"/>
  <c r="W49" i="9" s="1"/>
  <c r="W50" i="9" s="1"/>
  <c r="W63" i="9"/>
  <c r="X59" i="9"/>
  <c r="X61" i="9" s="1"/>
  <c r="X62" i="9" s="1"/>
  <c r="X63" i="9" s="1"/>
  <c r="V50" i="1"/>
  <c r="V32" i="1"/>
  <c r="V43" i="1"/>
  <c r="V44" i="1" s="1"/>
  <c r="U11" i="8" s="1"/>
  <c r="X23" i="1"/>
  <c r="X27" i="1"/>
  <c r="X26" i="1"/>
  <c r="X28" i="1" s="1"/>
  <c r="X118" i="5"/>
  <c r="X96" i="5"/>
  <c r="G34" i="23"/>
  <c r="F31" i="28"/>
  <c r="F32" i="28" s="1"/>
  <c r="F35" i="28"/>
  <c r="F21" i="27"/>
  <c r="F35" i="26"/>
  <c r="X107" i="5"/>
  <c r="X85" i="5"/>
  <c r="F49" i="26"/>
  <c r="F48" i="23"/>
  <c r="W31" i="1"/>
  <c r="U12" i="18"/>
  <c r="U33" i="1"/>
  <c r="Y60" i="5"/>
  <c r="W69" i="9"/>
  <c r="X9" i="9"/>
  <c r="X69" i="9" s="1"/>
  <c r="R83" i="9"/>
  <c r="Q84" i="9"/>
  <c r="W20" i="9"/>
  <c r="W22" i="9" s="1"/>
  <c r="W23" i="9" s="1"/>
  <c r="V24" i="9"/>
  <c r="V37" i="9" s="1"/>
  <c r="V70" i="9" s="1"/>
  <c r="V75" i="9" s="1"/>
  <c r="U19" i="8"/>
  <c r="X93" i="5"/>
  <c r="X115" i="5"/>
  <c r="Y73" i="6"/>
  <c r="Z71" i="6"/>
  <c r="Y72" i="6"/>
  <c r="M7" i="8"/>
  <c r="Y51" i="5"/>
  <c r="Y53" i="5" s="1"/>
  <c r="Y52" i="5"/>
  <c r="X74" i="6"/>
  <c r="X75" i="6" s="1"/>
  <c r="X112" i="5"/>
  <c r="X90" i="5"/>
  <c r="X8" i="18"/>
  <c r="Y38" i="5"/>
  <c r="Y44" i="5" s="1"/>
  <c r="Y43" i="5"/>
  <c r="W76" i="6"/>
  <c r="V77" i="6"/>
  <c r="V60" i="6"/>
  <c r="U61" i="6"/>
  <c r="M25" i="19"/>
  <c r="E65" i="21"/>
  <c r="E61" i="23" s="1"/>
  <c r="Q75" i="5"/>
  <c r="X90" i="6"/>
  <c r="X91" i="6" s="1"/>
  <c r="V44" i="6"/>
  <c r="U45" i="6"/>
  <c r="O25" i="7"/>
  <c r="P23" i="7"/>
  <c r="U18" i="6"/>
  <c r="U27" i="6" s="1"/>
  <c r="U101" i="6" s="1"/>
  <c r="U102" i="6" s="1"/>
  <c r="U103" i="6" s="1"/>
  <c r="U105" i="6" s="1"/>
  <c r="T19" i="6"/>
  <c r="X87" i="4"/>
  <c r="X101" i="4"/>
  <c r="X85" i="4"/>
  <c r="X98" i="4"/>
  <c r="Y56" i="6"/>
  <c r="Z55" i="6"/>
  <c r="Y57" i="6"/>
  <c r="W7" i="18"/>
  <c r="T6" i="19"/>
  <c r="V92" i="6"/>
  <c r="U93" i="6"/>
  <c r="D42" i="32"/>
  <c r="D10" i="34"/>
  <c r="D12" i="34" s="1"/>
  <c r="D15" i="34" s="1"/>
  <c r="D16" i="34" s="1"/>
  <c r="D75" i="21"/>
  <c r="D10" i="32"/>
  <c r="D12" i="32" s="1"/>
  <c r="D69" i="26"/>
  <c r="D27" i="32"/>
  <c r="D37" i="32"/>
  <c r="D70" i="25"/>
  <c r="D68" i="23"/>
  <c r="D74" i="23" s="1"/>
  <c r="R17" i="7"/>
  <c r="E6" i="26"/>
  <c r="E9" i="21"/>
  <c r="E6" i="23"/>
  <c r="C30" i="27"/>
  <c r="C33" i="27" s="1"/>
  <c r="C36" i="27"/>
  <c r="C38" i="27" s="1"/>
  <c r="C59" i="28" s="1"/>
  <c r="C60" i="28" s="1"/>
  <c r="C5" i="27"/>
  <c r="C10" i="27"/>
  <c r="W95" i="4"/>
  <c r="X33" i="4"/>
  <c r="X78" i="4" s="1"/>
  <c r="X34" i="4"/>
  <c r="Y88" i="6"/>
  <c r="Z87" i="6"/>
  <c r="Y89" i="6"/>
  <c r="V16" i="6"/>
  <c r="V17" i="6" s="1"/>
  <c r="X13" i="6"/>
  <c r="W15" i="6"/>
  <c r="W25" i="6" s="1"/>
  <c r="W14" i="6"/>
  <c r="W42" i="6"/>
  <c r="W43" i="6" s="1"/>
  <c r="W100" i="6" s="1"/>
  <c r="W99" i="6"/>
  <c r="X40" i="6"/>
  <c r="X98" i="6" s="1"/>
  <c r="X41" i="6"/>
  <c r="Y39" i="6"/>
  <c r="N19" i="18"/>
  <c r="N9" i="18" s="1"/>
  <c r="N27" i="7"/>
  <c r="N30" i="7" s="1"/>
  <c r="N31" i="7" s="1"/>
  <c r="R7" i="19"/>
  <c r="R8" i="19" s="1"/>
  <c r="S28" i="6"/>
  <c r="F6" i="27"/>
  <c r="F39" i="26"/>
  <c r="F17" i="27"/>
  <c r="F37" i="27"/>
  <c r="F12" i="27"/>
  <c r="F20" i="31"/>
  <c r="F15" i="31"/>
  <c r="F38" i="23"/>
  <c r="X58" i="6"/>
  <c r="X59" i="6" s="1"/>
  <c r="V88" i="4"/>
  <c r="W17" i="18" s="1"/>
  <c r="O38" i="1"/>
  <c r="N10" i="8" s="1"/>
  <c r="N13" i="8" s="1"/>
  <c r="N4" i="8" s="1"/>
  <c r="T103" i="6"/>
  <c r="T105" i="6" s="1"/>
  <c r="U90" i="4"/>
  <c r="U75" i="9" l="1"/>
  <c r="U71" i="9"/>
  <c r="U72" i="9" s="1"/>
  <c r="U73" i="9" s="1"/>
  <c r="R4" i="7"/>
  <c r="R12" i="7" s="1"/>
  <c r="R16" i="7" s="1"/>
  <c r="R22" i="7" s="1"/>
  <c r="R24" i="7" s="1"/>
  <c r="Y9" i="7"/>
  <c r="Y108" i="5"/>
  <c r="T4" i="7"/>
  <c r="V68" i="5"/>
  <c r="V51" i="1"/>
  <c r="W10" i="18" s="1"/>
  <c r="W16" i="18" s="1"/>
  <c r="E70" i="21"/>
  <c r="T10" i="7"/>
  <c r="T5" i="7" s="1"/>
  <c r="T73" i="5"/>
  <c r="R16" i="18"/>
  <c r="R13" i="19" s="1"/>
  <c r="R12" i="18"/>
  <c r="T16" i="18"/>
  <c r="T13" i="19" s="1"/>
  <c r="T12" i="18"/>
  <c r="X14" i="7"/>
  <c r="X71" i="5"/>
  <c r="Y13" i="7"/>
  <c r="Y71" i="5"/>
  <c r="M6" i="10"/>
  <c r="M11" i="10" s="1"/>
  <c r="Y70" i="5"/>
  <c r="G60" i="21"/>
  <c r="G57" i="26" s="1"/>
  <c r="X70" i="5"/>
  <c r="X6" i="18"/>
  <c r="X23" i="5"/>
  <c r="Y26" i="5"/>
  <c r="Y69" i="5" s="1"/>
  <c r="X22" i="5"/>
  <c r="X6" i="7" s="1"/>
  <c r="N5" i="10"/>
  <c r="N9" i="10" s="1"/>
  <c r="N10" i="10" s="1"/>
  <c r="N12" i="10" s="1"/>
  <c r="M34" i="18"/>
  <c r="M35" i="18" s="1"/>
  <c r="M14" i="19" s="1"/>
  <c r="W8" i="7"/>
  <c r="N4" i="18"/>
  <c r="O22" i="18"/>
  <c r="W32" i="9"/>
  <c r="W34" i="9" s="1"/>
  <c r="W35" i="9" s="1"/>
  <c r="Y63" i="5"/>
  <c r="Y64" i="5"/>
  <c r="W87" i="5"/>
  <c r="W97" i="5" s="1"/>
  <c r="U12" i="8" s="1"/>
  <c r="U17" i="8"/>
  <c r="W5" i="18"/>
  <c r="X83" i="4"/>
  <c r="X82" i="4"/>
  <c r="Y27" i="5"/>
  <c r="Y84" i="5" s="1"/>
  <c r="W109" i="5"/>
  <c r="W119" i="5" s="1"/>
  <c r="U16" i="8" s="1"/>
  <c r="E5" i="32"/>
  <c r="E7" i="32" s="1"/>
  <c r="Y86" i="5"/>
  <c r="X79" i="4"/>
  <c r="Y7" i="7" s="1"/>
  <c r="X84" i="4"/>
  <c r="F8" i="23"/>
  <c r="E54" i="23"/>
  <c r="E55" i="26"/>
  <c r="E56" i="25"/>
  <c r="X105" i="5"/>
  <c r="V26" i="6"/>
  <c r="U52" i="1"/>
  <c r="Y85" i="5"/>
  <c r="W24" i="6"/>
  <c r="V9" i="19" s="1"/>
  <c r="W102" i="4"/>
  <c r="V18" i="8" s="1"/>
  <c r="X19" i="9"/>
  <c r="Y29" i="19" s="1"/>
  <c r="G30" i="21" s="1"/>
  <c r="X29" i="19"/>
  <c r="X108" i="5"/>
  <c r="X106" i="5"/>
  <c r="X86" i="5"/>
  <c r="X84" i="5"/>
  <c r="X83" i="5"/>
  <c r="U76" i="9"/>
  <c r="W7" i="10" s="1"/>
  <c r="W51" i="9"/>
  <c r="W64" i="9" s="1"/>
  <c r="X47" i="9"/>
  <c r="X49" i="9" s="1"/>
  <c r="X50" i="9" s="1"/>
  <c r="X51" i="9" s="1"/>
  <c r="X64" i="9" s="1"/>
  <c r="R84" i="9"/>
  <c r="S83" i="9"/>
  <c r="W43" i="1"/>
  <c r="W44" i="1" s="1"/>
  <c r="V11" i="8" s="1"/>
  <c r="W32" i="1"/>
  <c r="W24" i="9"/>
  <c r="X20" i="9"/>
  <c r="X22" i="9" s="1"/>
  <c r="X23" i="9" s="1"/>
  <c r="V19" i="8"/>
  <c r="Y105" i="5"/>
  <c r="Y83" i="5"/>
  <c r="V71" i="9"/>
  <c r="X31" i="1"/>
  <c r="V33" i="1"/>
  <c r="V7" i="10"/>
  <c r="V8" i="10" s="1"/>
  <c r="H79" i="9"/>
  <c r="H80" i="9" s="1"/>
  <c r="J17" i="10" s="1"/>
  <c r="Y112" i="5"/>
  <c r="Y90" i="5"/>
  <c r="Z73" i="6"/>
  <c r="Z72" i="6"/>
  <c r="Y93" i="5"/>
  <c r="Y115" i="5"/>
  <c r="Y74" i="6"/>
  <c r="Y75" i="6" s="1"/>
  <c r="N25" i="19"/>
  <c r="N27" i="19" s="1"/>
  <c r="N36" i="19" s="1"/>
  <c r="S75" i="5"/>
  <c r="S17" i="7"/>
  <c r="S22" i="7" s="1"/>
  <c r="S24" i="7" s="1"/>
  <c r="S18" i="18"/>
  <c r="T75" i="5"/>
  <c r="T17" i="7"/>
  <c r="T18" i="18"/>
  <c r="X99" i="6"/>
  <c r="X42" i="6"/>
  <c r="X43" i="6" s="1"/>
  <c r="X100" i="6" s="1"/>
  <c r="X15" i="6"/>
  <c r="X25" i="6" s="1"/>
  <c r="X14" i="6"/>
  <c r="Y13" i="6"/>
  <c r="U6" i="19"/>
  <c r="Z89" i="6"/>
  <c r="Z88" i="6"/>
  <c r="M10" i="10"/>
  <c r="M12" i="10" s="1"/>
  <c r="X7" i="18"/>
  <c r="W88" i="4"/>
  <c r="X17" i="18" s="1"/>
  <c r="C12" i="25"/>
  <c r="C8" i="25"/>
  <c r="C15" i="25"/>
  <c r="C21" i="31"/>
  <c r="C22" i="31" s="1"/>
  <c r="C13" i="25"/>
  <c r="C17" i="25"/>
  <c r="C6" i="25"/>
  <c r="C16" i="25"/>
  <c r="C7" i="25"/>
  <c r="C6" i="31"/>
  <c r="C7" i="31" s="1"/>
  <c r="C9" i="25"/>
  <c r="C19" i="25"/>
  <c r="C10" i="31"/>
  <c r="C12" i="31" s="1"/>
  <c r="C14" i="25"/>
  <c r="Y58" i="6"/>
  <c r="Y59" i="6" s="1"/>
  <c r="S7" i="19"/>
  <c r="S8" i="19" s="1"/>
  <c r="T28" i="6"/>
  <c r="P25" i="7"/>
  <c r="Q23" i="7"/>
  <c r="E60" i="26"/>
  <c r="E6" i="34"/>
  <c r="E7" i="34" s="1"/>
  <c r="E32" i="32"/>
  <c r="E15" i="32"/>
  <c r="E17" i="32" s="1"/>
  <c r="E20" i="32"/>
  <c r="E22" i="32" s="1"/>
  <c r="E24" i="32" s="1"/>
  <c r="E49" i="32"/>
  <c r="E25" i="31"/>
  <c r="E61" i="25"/>
  <c r="E59" i="23"/>
  <c r="V90" i="4"/>
  <c r="W68" i="5" s="1"/>
  <c r="P12" i="19"/>
  <c r="N6" i="8"/>
  <c r="N7" i="8" s="1"/>
  <c r="Y41" i="6"/>
  <c r="Z39" i="6"/>
  <c r="Y40" i="6"/>
  <c r="Y98" i="6" s="1"/>
  <c r="W16" i="6"/>
  <c r="W17" i="6" s="1"/>
  <c r="Y90" i="6"/>
  <c r="Y91" i="6" s="1"/>
  <c r="X95" i="4"/>
  <c r="E9" i="26"/>
  <c r="E9" i="23"/>
  <c r="E48" i="28"/>
  <c r="E49" i="28" s="1"/>
  <c r="R75" i="5"/>
  <c r="W92" i="6"/>
  <c r="V93" i="6"/>
  <c r="Z57" i="6"/>
  <c r="Z56" i="6"/>
  <c r="V18" i="6"/>
  <c r="V27" i="6" s="1"/>
  <c r="V101" i="6" s="1"/>
  <c r="V102" i="6" s="1"/>
  <c r="V103" i="6" s="1"/>
  <c r="U19" i="6"/>
  <c r="O19" i="18"/>
  <c r="O9" i="18" s="1"/>
  <c r="O27" i="7"/>
  <c r="O30" i="7" s="1"/>
  <c r="O31" i="7" s="1"/>
  <c r="W44" i="6"/>
  <c r="V45" i="6"/>
  <c r="P37" i="1"/>
  <c r="E62" i="26"/>
  <c r="E63" i="25"/>
  <c r="M27" i="19"/>
  <c r="M36" i="19" s="1"/>
  <c r="D26" i="21"/>
  <c r="L14" i="19"/>
  <c r="L15" i="19" s="1"/>
  <c r="L17" i="19" s="1"/>
  <c r="L38" i="19" s="1"/>
  <c r="K66" i="9"/>
  <c r="W60" i="6"/>
  <c r="V61" i="6"/>
  <c r="X76" i="6"/>
  <c r="W77" i="6"/>
  <c r="F49" i="21" l="1"/>
  <c r="X11" i="18"/>
  <c r="U13" i="18"/>
  <c r="U14" i="18" s="1"/>
  <c r="F47" i="28"/>
  <c r="F11" i="32"/>
  <c r="T12" i="7"/>
  <c r="T16" i="7" s="1"/>
  <c r="T22" i="7" s="1"/>
  <c r="T24" i="7" s="1"/>
  <c r="F46" i="26"/>
  <c r="F45" i="23"/>
  <c r="F75" i="23" s="1"/>
  <c r="F52" i="25"/>
  <c r="F6" i="32"/>
  <c r="F57" i="28"/>
  <c r="U10" i="7"/>
  <c r="U73" i="5"/>
  <c r="R13" i="18"/>
  <c r="R14" i="18" s="1"/>
  <c r="R15" i="18" s="1"/>
  <c r="S13" i="18"/>
  <c r="S14" i="18" s="1"/>
  <c r="T13" i="18"/>
  <c r="T14" i="18" s="1"/>
  <c r="U20" i="8"/>
  <c r="U5" i="8" s="1"/>
  <c r="W33" i="19" s="1"/>
  <c r="W34" i="19" s="1"/>
  <c r="W4" i="7"/>
  <c r="Y96" i="5"/>
  <c r="Y72" i="5"/>
  <c r="Y14" i="7"/>
  <c r="G61" i="21" s="1"/>
  <c r="G58" i="26" s="1"/>
  <c r="Y118" i="5"/>
  <c r="L66" i="9"/>
  <c r="Y8" i="18"/>
  <c r="G55" i="21"/>
  <c r="G51" i="23" s="1"/>
  <c r="Y6" i="18"/>
  <c r="U13" i="19"/>
  <c r="F15" i="21" s="1"/>
  <c r="N6" i="10"/>
  <c r="N11" i="10" s="1"/>
  <c r="H15" i="10"/>
  <c r="H16" i="10" s="1"/>
  <c r="O5" i="10"/>
  <c r="O9" i="10" s="1"/>
  <c r="N34" i="18"/>
  <c r="N35" i="18" s="1"/>
  <c r="M66" i="9" s="1"/>
  <c r="O4" i="18"/>
  <c r="X8" i="7"/>
  <c r="P22" i="18"/>
  <c r="X32" i="9"/>
  <c r="X34" i="9" s="1"/>
  <c r="X35" i="9" s="1"/>
  <c r="X36" i="9" s="1"/>
  <c r="W36" i="9"/>
  <c r="W37" i="9" s="1"/>
  <c r="W70" i="9" s="1"/>
  <c r="V105" i="6"/>
  <c r="U18" i="18" s="1"/>
  <c r="U49" i="1"/>
  <c r="W49" i="1"/>
  <c r="X49" i="1"/>
  <c r="Y28" i="5"/>
  <c r="Y106" i="5"/>
  <c r="Y109" i="5" s="1"/>
  <c r="Y22" i="5"/>
  <c r="Y11" i="18" s="1"/>
  <c r="Y87" i="5"/>
  <c r="X87" i="5"/>
  <c r="X97" i="5" s="1"/>
  <c r="V12" i="8" s="1"/>
  <c r="X109" i="5"/>
  <c r="X119" i="5" s="1"/>
  <c r="V16" i="8" s="1"/>
  <c r="F56" i="21"/>
  <c r="F53" i="26" s="1"/>
  <c r="U5" i="7"/>
  <c r="U12" i="7" s="1"/>
  <c r="U16" i="7" s="1"/>
  <c r="X24" i="6"/>
  <c r="W9" i="19" s="1"/>
  <c r="V52" i="1"/>
  <c r="W26" i="6"/>
  <c r="X102" i="4"/>
  <c r="W18" i="8" s="1"/>
  <c r="G37" i="21" s="1"/>
  <c r="G31" i="21"/>
  <c r="G29" i="23"/>
  <c r="G30" i="26"/>
  <c r="G56" i="23"/>
  <c r="P38" i="1"/>
  <c r="O10" i="8" s="1"/>
  <c r="O13" i="8" s="1"/>
  <c r="O4" i="8" s="1"/>
  <c r="W8" i="10"/>
  <c r="X43" i="1"/>
  <c r="X44" i="1" s="1"/>
  <c r="W11" i="8" s="1"/>
  <c r="G13" i="21" s="1"/>
  <c r="X32" i="1"/>
  <c r="V72" i="9"/>
  <c r="V73" i="9" s="1"/>
  <c r="X24" i="9"/>
  <c r="X37" i="9" s="1"/>
  <c r="X70" i="9" s="1"/>
  <c r="W12" i="18"/>
  <c r="W33" i="1"/>
  <c r="T83" i="9"/>
  <c r="S84" i="9"/>
  <c r="Z74" i="6"/>
  <c r="Z75" i="6" s="1"/>
  <c r="AA75" i="6" s="1"/>
  <c r="W90" i="4"/>
  <c r="X68" i="5" s="1"/>
  <c r="U17" i="7"/>
  <c r="F65" i="21" s="1"/>
  <c r="O25" i="19"/>
  <c r="O27" i="19" s="1"/>
  <c r="O36" i="19" s="1"/>
  <c r="X60" i="6"/>
  <c r="W61" i="6"/>
  <c r="X44" i="6"/>
  <c r="W45" i="6"/>
  <c r="T7" i="19"/>
  <c r="T8" i="19" s="1"/>
  <c r="U28" i="6"/>
  <c r="Q37" i="1"/>
  <c r="Y7" i="18"/>
  <c r="Y99" i="6"/>
  <c r="Y42" i="6"/>
  <c r="Y43" i="6" s="1"/>
  <c r="Y100" i="6" s="1"/>
  <c r="M15" i="19"/>
  <c r="M17" i="19" s="1"/>
  <c r="M38" i="19" s="1"/>
  <c r="R23" i="7"/>
  <c r="Q25" i="7"/>
  <c r="E72" i="21" s="1"/>
  <c r="Z90" i="6"/>
  <c r="Z91" i="6" s="1"/>
  <c r="AA91" i="6" s="1"/>
  <c r="R37" i="1"/>
  <c r="Y76" i="6"/>
  <c r="X77" i="6"/>
  <c r="D26" i="26"/>
  <c r="D27" i="21"/>
  <c r="D25" i="23"/>
  <c r="F7" i="21"/>
  <c r="W18" i="6"/>
  <c r="W27" i="6" s="1"/>
  <c r="W101" i="6" s="1"/>
  <c r="W102" i="6" s="1"/>
  <c r="W103" i="6" s="1"/>
  <c r="V19" i="6"/>
  <c r="Z58" i="6"/>
  <c r="Z59" i="6" s="1"/>
  <c r="AA59" i="6" s="1"/>
  <c r="X92" i="6"/>
  <c r="W93" i="6"/>
  <c r="G53" i="21"/>
  <c r="X88" i="4"/>
  <c r="Y17" i="18" s="1"/>
  <c r="V6" i="19"/>
  <c r="Z40" i="6"/>
  <c r="Z98" i="6" s="1"/>
  <c r="Z41" i="6"/>
  <c r="E11" i="34"/>
  <c r="E65" i="26"/>
  <c r="E66" i="25"/>
  <c r="E64" i="23"/>
  <c r="P19" i="18"/>
  <c r="P9" i="18" s="1"/>
  <c r="P27" i="7"/>
  <c r="P30" i="7" s="1"/>
  <c r="P31" i="7" s="1"/>
  <c r="Y14" i="6"/>
  <c r="Z13" i="6"/>
  <c r="Y15" i="6"/>
  <c r="Y25" i="6" s="1"/>
  <c r="X16" i="6"/>
  <c r="X17" i="6" s="1"/>
  <c r="S37" i="1"/>
  <c r="F16" i="32" l="1"/>
  <c r="F20" i="28"/>
  <c r="F22" i="28" s="1"/>
  <c r="F26" i="28"/>
  <c r="F27" i="28" s="1"/>
  <c r="F41" i="28" s="1"/>
  <c r="F53" i="25"/>
  <c r="F64" i="25"/>
  <c r="F5" i="28"/>
  <c r="W19" i="8"/>
  <c r="G38" i="21" s="1"/>
  <c r="F59" i="25"/>
  <c r="F50" i="25"/>
  <c r="F52" i="28"/>
  <c r="F23" i="32"/>
  <c r="F51" i="25"/>
  <c r="F47" i="25"/>
  <c r="F26" i="27"/>
  <c r="F58" i="25"/>
  <c r="Y97" i="5"/>
  <c r="W12" i="8" s="1"/>
  <c r="T15" i="18"/>
  <c r="U22" i="7"/>
  <c r="U24" i="7" s="1"/>
  <c r="V10" i="7"/>
  <c r="V5" i="7" s="1"/>
  <c r="V73" i="5"/>
  <c r="U15" i="18"/>
  <c r="S15" i="18"/>
  <c r="Y119" i="5"/>
  <c r="W16" i="8" s="1"/>
  <c r="G35" i="21" s="1"/>
  <c r="G35" i="26" s="1"/>
  <c r="N14" i="19"/>
  <c r="N15" i="19" s="1"/>
  <c r="N17" i="19" s="1"/>
  <c r="N38" i="19" s="1"/>
  <c r="Y6" i="7"/>
  <c r="G52" i="26"/>
  <c r="F15" i="23"/>
  <c r="F15" i="26"/>
  <c r="O34" i="18"/>
  <c r="O35" i="18" s="1"/>
  <c r="O14" i="19" s="1"/>
  <c r="O15" i="19" s="1"/>
  <c r="O17" i="19" s="1"/>
  <c r="O38" i="19" s="1"/>
  <c r="P5" i="10"/>
  <c r="P9" i="10" s="1"/>
  <c r="P10" i="10" s="1"/>
  <c r="P12" i="10" s="1"/>
  <c r="P4" i="18"/>
  <c r="Y8" i="7"/>
  <c r="G54" i="21" s="1"/>
  <c r="G50" i="23" s="1"/>
  <c r="O6" i="10"/>
  <c r="O11" i="10" s="1"/>
  <c r="W75" i="9"/>
  <c r="W71" i="9"/>
  <c r="W72" i="9" s="1"/>
  <c r="W73" i="9" s="1"/>
  <c r="W105" i="6"/>
  <c r="V17" i="7" s="1"/>
  <c r="U50" i="1"/>
  <c r="X50" i="1"/>
  <c r="W50" i="1"/>
  <c r="F51" i="21"/>
  <c r="F30" i="28" s="1"/>
  <c r="F54" i="25"/>
  <c r="F52" i="23"/>
  <c r="F21" i="32"/>
  <c r="X26" i="6"/>
  <c r="Y24" i="6"/>
  <c r="X9" i="19" s="1"/>
  <c r="W52" i="1"/>
  <c r="G31" i="26"/>
  <c r="G30" i="23"/>
  <c r="V76" i="9"/>
  <c r="G57" i="23"/>
  <c r="E12" i="21"/>
  <c r="E31" i="27" s="1"/>
  <c r="S38" i="1"/>
  <c r="R10" i="8" s="1"/>
  <c r="R13" i="8" s="1"/>
  <c r="R4" i="8" s="1"/>
  <c r="T12" i="19" s="1"/>
  <c r="G52" i="21"/>
  <c r="G48" i="23" s="1"/>
  <c r="X75" i="9"/>
  <c r="X71" i="9"/>
  <c r="X7" i="10"/>
  <c r="X8" i="10" s="1"/>
  <c r="X33" i="1"/>
  <c r="U83" i="9"/>
  <c r="T84" i="9"/>
  <c r="G38" i="26"/>
  <c r="G37" i="23"/>
  <c r="G13" i="26"/>
  <c r="G13" i="23"/>
  <c r="G23" i="27"/>
  <c r="G21" i="28"/>
  <c r="G25" i="28"/>
  <c r="G14" i="23"/>
  <c r="G14" i="26"/>
  <c r="G35" i="28"/>
  <c r="G31" i="28"/>
  <c r="G32" i="28" s="1"/>
  <c r="P25" i="19"/>
  <c r="P27" i="19" s="1"/>
  <c r="P36" i="19" s="1"/>
  <c r="Y16" i="6"/>
  <c r="Y17" i="6" s="1"/>
  <c r="Z42" i="6"/>
  <c r="Z43" i="6" s="1"/>
  <c r="Z100" i="6" s="1"/>
  <c r="Z99" i="6"/>
  <c r="G50" i="26"/>
  <c r="G49" i="23"/>
  <c r="U7" i="19"/>
  <c r="U8" i="19" s="1"/>
  <c r="V28" i="6"/>
  <c r="F6" i="21" s="1"/>
  <c r="V18" i="18"/>
  <c r="D16" i="31"/>
  <c r="D17" i="31" s="1"/>
  <c r="D5" i="31"/>
  <c r="D50" i="32"/>
  <c r="D41" i="21"/>
  <c r="D19" i="21" s="1"/>
  <c r="D17" i="21" s="1"/>
  <c r="D16" i="21" s="1"/>
  <c r="D16" i="26" s="1"/>
  <c r="D11" i="31"/>
  <c r="D27" i="26"/>
  <c r="D26" i="23"/>
  <c r="D77" i="23" s="1"/>
  <c r="D43" i="32"/>
  <c r="D44" i="32" s="1"/>
  <c r="R25" i="7"/>
  <c r="S23" i="7"/>
  <c r="G37" i="26"/>
  <c r="F62" i="26"/>
  <c r="F63" i="25"/>
  <c r="F61" i="23"/>
  <c r="R38" i="1"/>
  <c r="Q10" i="8" s="1"/>
  <c r="Q13" i="8" s="1"/>
  <c r="Q4" i="8" s="1"/>
  <c r="W6" i="19"/>
  <c r="Z14" i="6"/>
  <c r="Z15" i="6"/>
  <c r="Z25" i="6" s="1"/>
  <c r="E67" i="26"/>
  <c r="E68" i="25"/>
  <c r="E66" i="23"/>
  <c r="O10" i="10"/>
  <c r="O12" i="10" s="1"/>
  <c r="Y92" i="6"/>
  <c r="X93" i="6"/>
  <c r="X18" i="6"/>
  <c r="X27" i="6" s="1"/>
  <c r="X101" i="6" s="1"/>
  <c r="X102" i="6" s="1"/>
  <c r="W19" i="6"/>
  <c r="F58" i="28"/>
  <c r="F7" i="26"/>
  <c r="F7" i="23"/>
  <c r="Z76" i="6"/>
  <c r="Z77" i="6" s="1"/>
  <c r="Y77" i="6"/>
  <c r="Q19" i="18"/>
  <c r="Q9" i="18" s="1"/>
  <c r="Q27" i="7"/>
  <c r="Q30" i="7" s="1"/>
  <c r="Q31" i="7" s="1"/>
  <c r="Y44" i="6"/>
  <c r="X45" i="6"/>
  <c r="O6" i="8"/>
  <c r="O7" i="8" s="1"/>
  <c r="Q12" i="19"/>
  <c r="Y60" i="6"/>
  <c r="X61" i="6"/>
  <c r="U75" i="5"/>
  <c r="E74" i="21"/>
  <c r="E10" i="32" s="1"/>
  <c r="X90" i="4"/>
  <c r="Y68" i="5" s="1"/>
  <c r="Q38" i="1"/>
  <c r="P10" i="8" s="1"/>
  <c r="P13" i="8" s="1"/>
  <c r="P4" i="8" s="1"/>
  <c r="G21" i="27" l="1"/>
  <c r="W10" i="7"/>
  <c r="W5" i="7" s="1"/>
  <c r="W12" i="7" s="1"/>
  <c r="W16" i="7" s="1"/>
  <c r="W73" i="5"/>
  <c r="W51" i="1"/>
  <c r="X10" i="18" s="1"/>
  <c r="U51" i="1"/>
  <c r="V10" i="18" s="1"/>
  <c r="X51" i="1"/>
  <c r="Y10" i="18" s="1"/>
  <c r="Y16" i="18" s="1"/>
  <c r="V92" i="4"/>
  <c r="N66" i="9"/>
  <c r="W13" i="19"/>
  <c r="G51" i="26"/>
  <c r="P34" i="18"/>
  <c r="P35" i="18" s="1"/>
  <c r="P14" i="19" s="1"/>
  <c r="P15" i="19" s="1"/>
  <c r="P17" i="19" s="1"/>
  <c r="P38" i="19" s="1"/>
  <c r="Q5" i="10"/>
  <c r="Q9" i="10" s="1"/>
  <c r="Q10" i="10" s="1"/>
  <c r="Q12" i="10" s="1"/>
  <c r="P6" i="10"/>
  <c r="P11" i="10" s="1"/>
  <c r="D16" i="27"/>
  <c r="D18" i="27" s="1"/>
  <c r="Q4" i="18"/>
  <c r="D16" i="23"/>
  <c r="Q22" i="18"/>
  <c r="T17" i="8"/>
  <c r="T20" i="8" s="1"/>
  <c r="T5" i="8" s="1"/>
  <c r="V33" i="19" s="1"/>
  <c r="V34" i="19" s="1"/>
  <c r="V5" i="18"/>
  <c r="W17" i="8"/>
  <c r="Y5" i="18"/>
  <c r="V17" i="8"/>
  <c r="V20" i="8" s="1"/>
  <c r="V5" i="8" s="1"/>
  <c r="X33" i="19" s="1"/>
  <c r="X34" i="19" s="1"/>
  <c r="X5" i="18"/>
  <c r="F48" i="26"/>
  <c r="F47" i="23"/>
  <c r="F16" i="28"/>
  <c r="F49" i="25"/>
  <c r="F36" i="28"/>
  <c r="F37" i="28" s="1"/>
  <c r="F42" i="28" s="1"/>
  <c r="F58" i="21"/>
  <c r="F5" i="32" s="1"/>
  <c r="F7" i="32" s="1"/>
  <c r="F32" i="27"/>
  <c r="F10" i="28"/>
  <c r="X52" i="1"/>
  <c r="Z24" i="6"/>
  <c r="Y9" i="19" s="1"/>
  <c r="G8" i="21" s="1"/>
  <c r="Y26" i="6"/>
  <c r="W76" i="9"/>
  <c r="Y7" i="10" s="1"/>
  <c r="Y8" i="10" s="1"/>
  <c r="R6" i="8"/>
  <c r="E12" i="26"/>
  <c r="E12" i="23"/>
  <c r="E6" i="28"/>
  <c r="E7" i="28" s="1"/>
  <c r="E11" i="27"/>
  <c r="G49" i="26"/>
  <c r="E11" i="28"/>
  <c r="E12" i="28" s="1"/>
  <c r="E15" i="28"/>
  <c r="E17" i="28" s="1"/>
  <c r="E40" i="28" s="1"/>
  <c r="E43" i="28" s="1"/>
  <c r="E44" i="28" s="1"/>
  <c r="E22" i="27"/>
  <c r="E24" i="27" s="1"/>
  <c r="E25" i="27" s="1"/>
  <c r="E27" i="27" s="1"/>
  <c r="U84" i="9"/>
  <c r="V83" i="9"/>
  <c r="X72" i="9"/>
  <c r="X73" i="9" s="1"/>
  <c r="Q25" i="19"/>
  <c r="E27" i="32"/>
  <c r="E10" i="34"/>
  <c r="E12" i="34" s="1"/>
  <c r="E15" i="34" s="1"/>
  <c r="E16" i="34" s="1"/>
  <c r="E12" i="32"/>
  <c r="E42" i="32"/>
  <c r="E37" i="32"/>
  <c r="E75" i="21"/>
  <c r="E69" i="26"/>
  <c r="E70" i="25"/>
  <c r="E68" i="23"/>
  <c r="E74" i="23" s="1"/>
  <c r="T37" i="1"/>
  <c r="T38" i="1" s="1"/>
  <c r="S10" i="8" s="1"/>
  <c r="Z60" i="6"/>
  <c r="Z61" i="6" s="1"/>
  <c r="Y61" i="6"/>
  <c r="Y18" i="6"/>
  <c r="Y27" i="6" s="1"/>
  <c r="Y101" i="6" s="1"/>
  <c r="Y102" i="6" s="1"/>
  <c r="X19" i="6"/>
  <c r="Z16" i="6"/>
  <c r="Z17" i="6" s="1"/>
  <c r="Z26" i="6" s="1"/>
  <c r="Y73" i="5" s="1"/>
  <c r="D5" i="27"/>
  <c r="D7" i="27" s="1"/>
  <c r="D10" i="27"/>
  <c r="D13" i="27" s="1"/>
  <c r="D30" i="27"/>
  <c r="D33" i="27" s="1"/>
  <c r="D36" i="27"/>
  <c r="D38" i="27" s="1"/>
  <c r="D59" i="28" s="1"/>
  <c r="D60" i="28" s="1"/>
  <c r="D17" i="26"/>
  <c r="D17" i="23"/>
  <c r="S25" i="7"/>
  <c r="T23" i="7"/>
  <c r="D24" i="25"/>
  <c r="D36" i="25"/>
  <c r="D31" i="25"/>
  <c r="D35" i="25"/>
  <c r="D39" i="25"/>
  <c r="D37" i="25"/>
  <c r="D27" i="25"/>
  <c r="D26" i="25"/>
  <c r="D30" i="25"/>
  <c r="D41" i="25"/>
  <c r="D34" i="25"/>
  <c r="D25" i="25"/>
  <c r="D41" i="26"/>
  <c r="D38" i="25"/>
  <c r="D40" i="23"/>
  <c r="F6" i="26"/>
  <c r="F9" i="21"/>
  <c r="F6" i="23"/>
  <c r="AA99" i="6"/>
  <c r="AA43" i="6"/>
  <c r="X6" i="19"/>
  <c r="X103" i="6"/>
  <c r="X105" i="6" s="1"/>
  <c r="P6" i="8"/>
  <c r="P7" i="8" s="1"/>
  <c r="R12" i="19"/>
  <c r="Z44" i="6"/>
  <c r="Y45" i="6"/>
  <c r="V7" i="19"/>
  <c r="V8" i="19" s="1"/>
  <c r="W28" i="6"/>
  <c r="Z92" i="6"/>
  <c r="Z93" i="6" s="1"/>
  <c r="Y93" i="6"/>
  <c r="Q6" i="8"/>
  <c r="S12" i="19"/>
  <c r="R19" i="18"/>
  <c r="R9" i="18" s="1"/>
  <c r="R27" i="7"/>
  <c r="R30" i="7" s="1"/>
  <c r="R31" i="7" s="1"/>
  <c r="D51" i="32"/>
  <c r="D52" i="32" s="1"/>
  <c r="V75" i="5"/>
  <c r="Y12" i="18" l="1"/>
  <c r="V4" i="7"/>
  <c r="Y4" i="7"/>
  <c r="X4" i="7"/>
  <c r="X10" i="7"/>
  <c r="X5" i="7" s="1"/>
  <c r="X73" i="5"/>
  <c r="V16" i="18"/>
  <c r="V13" i="19" s="1"/>
  <c r="V12" i="18"/>
  <c r="X16" i="18"/>
  <c r="X13" i="19" s="1"/>
  <c r="X12" i="18"/>
  <c r="O66" i="9"/>
  <c r="Q6" i="10"/>
  <c r="Q11" i="10" s="1"/>
  <c r="R4" i="18"/>
  <c r="Q34" i="18"/>
  <c r="Q35" i="18" s="1"/>
  <c r="Q14" i="19" s="1"/>
  <c r="R5" i="10"/>
  <c r="I15" i="10" s="1"/>
  <c r="I16" i="10" s="1"/>
  <c r="R22" i="18"/>
  <c r="W20" i="8"/>
  <c r="W5" i="8" s="1"/>
  <c r="Y33" i="19" s="1"/>
  <c r="Y34" i="19" s="1"/>
  <c r="F63" i="21"/>
  <c r="F54" i="23"/>
  <c r="F55" i="26"/>
  <c r="F56" i="25"/>
  <c r="G8" i="26"/>
  <c r="G8" i="23"/>
  <c r="X76" i="9"/>
  <c r="Z7" i="10" s="1"/>
  <c r="Z8" i="10" s="1"/>
  <c r="Q7" i="8"/>
  <c r="V84" i="9"/>
  <c r="W83" i="9"/>
  <c r="R25" i="19"/>
  <c r="R27" i="19" s="1"/>
  <c r="R36" i="19" s="1"/>
  <c r="U37" i="1"/>
  <c r="Z45" i="6"/>
  <c r="F9" i="26"/>
  <c r="F9" i="23"/>
  <c r="F48" i="28"/>
  <c r="F49" i="28" s="1"/>
  <c r="S19" i="18"/>
  <c r="S9" i="18" s="1"/>
  <c r="S27" i="7"/>
  <c r="S30" i="7" s="1"/>
  <c r="S31" i="7" s="1"/>
  <c r="D61" i="28"/>
  <c r="D9" i="25"/>
  <c r="D7" i="25"/>
  <c r="D10" i="31"/>
  <c r="D12" i="31" s="1"/>
  <c r="D19" i="26"/>
  <c r="D16" i="25"/>
  <c r="D19" i="25"/>
  <c r="D12" i="25"/>
  <c r="D15" i="25"/>
  <c r="D6" i="25"/>
  <c r="D8" i="25"/>
  <c r="D13" i="25"/>
  <c r="D6" i="31"/>
  <c r="D7" i="31" s="1"/>
  <c r="D14" i="25"/>
  <c r="D21" i="31"/>
  <c r="D22" i="31" s="1"/>
  <c r="D17" i="25"/>
  <c r="D28" i="32"/>
  <c r="D29" i="32" s="1"/>
  <c r="D19" i="23"/>
  <c r="D76" i="23" s="1"/>
  <c r="D33" i="32"/>
  <c r="D34" i="32" s="1"/>
  <c r="D53" i="28"/>
  <c r="D54" i="28" s="1"/>
  <c r="Y6" i="19"/>
  <c r="W7" i="19"/>
  <c r="W8" i="19" s="1"/>
  <c r="X28" i="6"/>
  <c r="Q27" i="19"/>
  <c r="Q36" i="19" s="1"/>
  <c r="E26" i="21"/>
  <c r="R7" i="8"/>
  <c r="W18" i="18"/>
  <c r="W17" i="7"/>
  <c r="W22" i="7" s="1"/>
  <c r="W24" i="7" s="1"/>
  <c r="AA100" i="6"/>
  <c r="AB100" i="6" s="1"/>
  <c r="T25" i="7"/>
  <c r="U23" i="7"/>
  <c r="Y10" i="7"/>
  <c r="AA17" i="6"/>
  <c r="Z18" i="6"/>
  <c r="Z27" i="6" s="1"/>
  <c r="Z101" i="6" s="1"/>
  <c r="Z102" i="6" s="1"/>
  <c r="Z103" i="6" s="1"/>
  <c r="Y19" i="6"/>
  <c r="S13" i="8"/>
  <c r="S4" i="8" s="1"/>
  <c r="F12" i="21"/>
  <c r="Y103" i="6"/>
  <c r="Y105" i="6" s="1"/>
  <c r="Y13" i="18" l="1"/>
  <c r="Y14" i="18" s="1"/>
  <c r="X12" i="7"/>
  <c r="X16" i="7" s="1"/>
  <c r="V12" i="7"/>
  <c r="V16" i="7" s="1"/>
  <c r="V22" i="7" s="1"/>
  <c r="V24" i="7" s="1"/>
  <c r="G49" i="21"/>
  <c r="V13" i="18"/>
  <c r="V14" i="18" s="1"/>
  <c r="V15" i="18" s="1"/>
  <c r="W13" i="18"/>
  <c r="W14" i="18" s="1"/>
  <c r="X13" i="18"/>
  <c r="X14" i="18" s="1"/>
  <c r="Y13" i="19"/>
  <c r="G15" i="21" s="1"/>
  <c r="S4" i="18"/>
  <c r="R9" i="10"/>
  <c r="R10" i="10" s="1"/>
  <c r="R12" i="10" s="1"/>
  <c r="F15" i="32"/>
  <c r="F17" i="32" s="1"/>
  <c r="F70" i="21"/>
  <c r="F65" i="26" s="1"/>
  <c r="F32" i="32"/>
  <c r="P66" i="9"/>
  <c r="R6" i="10"/>
  <c r="R11" i="10" s="1"/>
  <c r="R34" i="18"/>
  <c r="R35" i="18" s="1"/>
  <c r="R14" i="19" s="1"/>
  <c r="R15" i="19" s="1"/>
  <c r="R17" i="19" s="1"/>
  <c r="R38" i="19" s="1"/>
  <c r="S5" i="10"/>
  <c r="S9" i="10" s="1"/>
  <c r="T22" i="18"/>
  <c r="S22" i="18"/>
  <c r="Z105" i="6"/>
  <c r="Y18" i="18" s="1"/>
  <c r="G36" i="26"/>
  <c r="G35" i="23"/>
  <c r="G39" i="21"/>
  <c r="F25" i="31"/>
  <c r="F27" i="31" s="1"/>
  <c r="F61" i="25"/>
  <c r="F49" i="32"/>
  <c r="F20" i="32"/>
  <c r="F22" i="32" s="1"/>
  <c r="F24" i="32" s="1"/>
  <c r="F6" i="34"/>
  <c r="F7" i="34" s="1"/>
  <c r="F59" i="23"/>
  <c r="F60" i="26"/>
  <c r="I79" i="9"/>
  <c r="I80" i="9" s="1"/>
  <c r="K17" i="10" s="1"/>
  <c r="G15" i="26"/>
  <c r="G15" i="23"/>
  <c r="X83" i="9"/>
  <c r="X84" i="9" s="1"/>
  <c r="W84" i="9"/>
  <c r="Y5" i="7"/>
  <c r="Y12" i="7" s="1"/>
  <c r="Y16" i="7" s="1"/>
  <c r="G56" i="21"/>
  <c r="S25" i="19"/>
  <c r="S27" i="19" s="1"/>
  <c r="S36" i="19" s="1"/>
  <c r="U12" i="19"/>
  <c r="S6" i="8"/>
  <c r="S7" i="8" s="1"/>
  <c r="X7" i="19"/>
  <c r="X8" i="19" s="1"/>
  <c r="Y28" i="6"/>
  <c r="U25" i="7"/>
  <c r="F72" i="21" s="1"/>
  <c r="W75" i="5"/>
  <c r="Q15" i="19"/>
  <c r="Q17" i="19" s="1"/>
  <c r="Q38" i="19" s="1"/>
  <c r="D38" i="32"/>
  <c r="D39" i="32" s="1"/>
  <c r="D62" i="28"/>
  <c r="G7" i="21"/>
  <c r="AA102" i="6"/>
  <c r="X75" i="5"/>
  <c r="X17" i="7"/>
  <c r="X18" i="18"/>
  <c r="F11" i="27"/>
  <c r="F22" i="27"/>
  <c r="F24" i="27" s="1"/>
  <c r="F25" i="27" s="1"/>
  <c r="F27" i="27" s="1"/>
  <c r="F31" i="27"/>
  <c r="F12" i="26"/>
  <c r="F6" i="28"/>
  <c r="F7" i="28" s="1"/>
  <c r="F11" i="28"/>
  <c r="F12" i="28" s="1"/>
  <c r="F15" i="28"/>
  <c r="F17" i="28" s="1"/>
  <c r="F40" i="28" s="1"/>
  <c r="F43" i="28" s="1"/>
  <c r="F44" i="28" s="1"/>
  <c r="F12" i="23"/>
  <c r="Z19" i="6"/>
  <c r="T19" i="18"/>
  <c r="T9" i="18" s="1"/>
  <c r="T27" i="7"/>
  <c r="T30" i="7" s="1"/>
  <c r="T31" i="7" s="1"/>
  <c r="E27" i="21"/>
  <c r="E26" i="26"/>
  <c r="E25" i="23"/>
  <c r="U38" i="1"/>
  <c r="T10" i="8" s="1"/>
  <c r="T13" i="8" s="1"/>
  <c r="T4" i="8" s="1"/>
  <c r="V23" i="7" l="1"/>
  <c r="W23" i="7" s="1"/>
  <c r="X22" i="7"/>
  <c r="X24" i="7" s="1"/>
  <c r="X15" i="18"/>
  <c r="W15" i="18"/>
  <c r="G51" i="25"/>
  <c r="G52" i="25"/>
  <c r="G52" i="28"/>
  <c r="G53" i="25"/>
  <c r="G26" i="28"/>
  <c r="G27" i="28" s="1"/>
  <c r="G41" i="28" s="1"/>
  <c r="G11" i="32"/>
  <c r="G26" i="27"/>
  <c r="G47" i="28"/>
  <c r="G50" i="25"/>
  <c r="G20" i="28"/>
  <c r="G22" i="28" s="1"/>
  <c r="G57" i="28"/>
  <c r="G59" i="25"/>
  <c r="G23" i="32"/>
  <c r="G58" i="25"/>
  <c r="G16" i="32"/>
  <c r="G47" i="25"/>
  <c r="G45" i="23"/>
  <c r="G75" i="23" s="1"/>
  <c r="G64" i="25"/>
  <c r="G6" i="32"/>
  <c r="G5" i="28"/>
  <c r="G46" i="26"/>
  <c r="Y15" i="18"/>
  <c r="T4" i="18"/>
  <c r="S10" i="10"/>
  <c r="S12" i="10" s="1"/>
  <c r="Q66" i="9"/>
  <c r="F11" i="34"/>
  <c r="S34" i="18"/>
  <c r="S35" i="18" s="1"/>
  <c r="S14" i="19" s="1"/>
  <c r="S15" i="19" s="1"/>
  <c r="S17" i="19" s="1"/>
  <c r="S38" i="19" s="1"/>
  <c r="T5" i="10"/>
  <c r="T9" i="10" s="1"/>
  <c r="T10" i="10" s="1"/>
  <c r="T12" i="10" s="1"/>
  <c r="S6" i="10"/>
  <c r="S11" i="10" s="1"/>
  <c r="U22" i="18"/>
  <c r="Y17" i="7"/>
  <c r="G65" i="21" s="1"/>
  <c r="G62" i="26" s="1"/>
  <c r="Y75" i="5"/>
  <c r="G6" i="27"/>
  <c r="G15" i="31"/>
  <c r="G20" i="31"/>
  <c r="G12" i="27"/>
  <c r="G17" i="27"/>
  <c r="G38" i="23"/>
  <c r="G39" i="26"/>
  <c r="G37" i="27"/>
  <c r="F66" i="25"/>
  <c r="F64" i="23"/>
  <c r="F74" i="21"/>
  <c r="F69" i="26" s="1"/>
  <c r="Y84" i="9"/>
  <c r="T25" i="19"/>
  <c r="T27" i="19" s="1"/>
  <c r="T36" i="19" s="1"/>
  <c r="V12" i="19"/>
  <c r="T6" i="8"/>
  <c r="T7" i="8" s="1"/>
  <c r="F67" i="26"/>
  <c r="F68" i="25"/>
  <c r="F66" i="23"/>
  <c r="Y7" i="19"/>
  <c r="Y8" i="19" s="1"/>
  <c r="Z28" i="6"/>
  <c r="G6" i="21" s="1"/>
  <c r="G58" i="28"/>
  <c r="G7" i="26"/>
  <c r="G7" i="23"/>
  <c r="V37" i="1"/>
  <c r="U19" i="18"/>
  <c r="U9" i="18" s="1"/>
  <c r="U27" i="7"/>
  <c r="U30" i="7" s="1"/>
  <c r="U31" i="7" s="1"/>
  <c r="E27" i="26"/>
  <c r="E50" i="32"/>
  <c r="E16" i="31"/>
  <c r="E17" i="31" s="1"/>
  <c r="E41" i="21"/>
  <c r="E19" i="21" s="1"/>
  <c r="E17" i="21" s="1"/>
  <c r="E16" i="21" s="1"/>
  <c r="E16" i="27" s="1"/>
  <c r="E18" i="27" s="1"/>
  <c r="E11" i="31"/>
  <c r="E5" i="31"/>
  <c r="E26" i="23"/>
  <c r="E77" i="23" s="1"/>
  <c r="E43" i="32"/>
  <c r="E44" i="32" s="1"/>
  <c r="W37" i="1"/>
  <c r="V25" i="7"/>
  <c r="G21" i="32"/>
  <c r="G53" i="26"/>
  <c r="G54" i="25"/>
  <c r="G52" i="23"/>
  <c r="G51" i="21"/>
  <c r="Y22" i="7" l="1"/>
  <c r="Y24" i="7" s="1"/>
  <c r="T34" i="18"/>
  <c r="T35" i="18" s="1"/>
  <c r="S66" i="9" s="1"/>
  <c r="U5" i="10"/>
  <c r="U9" i="10" s="1"/>
  <c r="U10" i="10" s="1"/>
  <c r="U12" i="10" s="1"/>
  <c r="E16" i="23"/>
  <c r="E16" i="26"/>
  <c r="U4" i="18"/>
  <c r="V5" i="10" s="1"/>
  <c r="V9" i="10" s="1"/>
  <c r="X37" i="1"/>
  <c r="X38" i="1" s="1"/>
  <c r="W10" i="8" s="1"/>
  <c r="R66" i="9"/>
  <c r="T6" i="10"/>
  <c r="T11" i="10" s="1"/>
  <c r="V22" i="18"/>
  <c r="F68" i="23"/>
  <c r="F74" i="23" s="1"/>
  <c r="F37" i="32"/>
  <c r="F27" i="32"/>
  <c r="F70" i="25"/>
  <c r="F42" i="32"/>
  <c r="F10" i="32"/>
  <c r="F12" i="32" s="1"/>
  <c r="F10" i="34"/>
  <c r="F12" i="34" s="1"/>
  <c r="F15" i="34" s="1"/>
  <c r="F16" i="34" s="1"/>
  <c r="G63" i="25"/>
  <c r="W38" i="1"/>
  <c r="V10" i="8" s="1"/>
  <c r="V13" i="8" s="1"/>
  <c r="V4" i="8" s="1"/>
  <c r="X12" i="19" s="1"/>
  <c r="G61" i="23"/>
  <c r="U25" i="19"/>
  <c r="G10" i="28"/>
  <c r="G30" i="28"/>
  <c r="G36" i="28"/>
  <c r="G37" i="28" s="1"/>
  <c r="G42" i="28" s="1"/>
  <c r="G16" i="28"/>
  <c r="G48" i="26"/>
  <c r="G32" i="27"/>
  <c r="G58" i="21"/>
  <c r="G49" i="25"/>
  <c r="G47" i="23"/>
  <c r="X23" i="7"/>
  <c r="W25" i="7"/>
  <c r="G6" i="26"/>
  <c r="G9" i="21"/>
  <c r="G6" i="23"/>
  <c r="V38" i="1"/>
  <c r="U10" i="8" s="1"/>
  <c r="U13" i="8" s="1"/>
  <c r="U4" i="8" s="1"/>
  <c r="V19" i="18"/>
  <c r="V9" i="18" s="1"/>
  <c r="V27" i="7"/>
  <c r="V30" i="7" s="1"/>
  <c r="V31" i="7" s="1"/>
  <c r="E45" i="32"/>
  <c r="E27" i="25"/>
  <c r="E39" i="25"/>
  <c r="E37" i="25"/>
  <c r="E25" i="25"/>
  <c r="E31" i="25"/>
  <c r="E26" i="25"/>
  <c r="E24" i="25"/>
  <c r="E41" i="26"/>
  <c r="E35" i="25"/>
  <c r="E36" i="25"/>
  <c r="E38" i="25"/>
  <c r="E30" i="25"/>
  <c r="E41" i="25"/>
  <c r="E34" i="25"/>
  <c r="E40" i="23"/>
  <c r="E51" i="32"/>
  <c r="E52" i="32" s="1"/>
  <c r="E17" i="26"/>
  <c r="E5" i="27"/>
  <c r="E7" i="27" s="1"/>
  <c r="E10" i="27"/>
  <c r="E13" i="27" s="1"/>
  <c r="E30" i="27"/>
  <c r="E33" i="27" s="1"/>
  <c r="E36" i="27"/>
  <c r="E38" i="27" s="1"/>
  <c r="E59" i="28" s="1"/>
  <c r="E60" i="28" s="1"/>
  <c r="E17" i="23"/>
  <c r="F75" i="21"/>
  <c r="U6" i="10" l="1"/>
  <c r="U11" i="10" s="1"/>
  <c r="U34" i="18"/>
  <c r="U35" i="18" s="1"/>
  <c r="U14" i="19" s="1"/>
  <c r="V4" i="18"/>
  <c r="T14" i="19"/>
  <c r="T15" i="19" s="1"/>
  <c r="T17" i="19" s="1"/>
  <c r="T38" i="19" s="1"/>
  <c r="V6" i="8"/>
  <c r="V25" i="19"/>
  <c r="V27" i="19" s="1"/>
  <c r="V36" i="19" s="1"/>
  <c r="W13" i="8"/>
  <c r="W4" i="8" s="1"/>
  <c r="G12" i="21"/>
  <c r="E19" i="26"/>
  <c r="E14" i="25"/>
  <c r="E9" i="25"/>
  <c r="E13" i="25"/>
  <c r="E17" i="25"/>
  <c r="E6" i="25"/>
  <c r="E7" i="25"/>
  <c r="E8" i="25"/>
  <c r="E19" i="25"/>
  <c r="E12" i="25"/>
  <c r="E21" i="31"/>
  <c r="E22" i="31" s="1"/>
  <c r="E10" i="31"/>
  <c r="E12" i="31" s="1"/>
  <c r="E15" i="25"/>
  <c r="E6" i="31"/>
  <c r="E7" i="31" s="1"/>
  <c r="E16" i="25"/>
  <c r="E33" i="32"/>
  <c r="E34" i="32" s="1"/>
  <c r="E28" i="32"/>
  <c r="E29" i="32" s="1"/>
  <c r="E19" i="23"/>
  <c r="E76" i="23" s="1"/>
  <c r="E53" i="28"/>
  <c r="E54" i="28" s="1"/>
  <c r="G9" i="26"/>
  <c r="G48" i="28"/>
  <c r="G49" i="28" s="1"/>
  <c r="G9" i="23"/>
  <c r="W19" i="18"/>
  <c r="W9" i="18" s="1"/>
  <c r="W27" i="7"/>
  <c r="W30" i="7" s="1"/>
  <c r="W31" i="7" s="1"/>
  <c r="G55" i="26"/>
  <c r="G5" i="32"/>
  <c r="G7" i="32" s="1"/>
  <c r="G63" i="21"/>
  <c r="G70" i="21" s="1"/>
  <c r="G56" i="25"/>
  <c r="G54" i="23"/>
  <c r="U27" i="19"/>
  <c r="U36" i="19" s="1"/>
  <c r="F26" i="21"/>
  <c r="E61" i="28"/>
  <c r="V10" i="10"/>
  <c r="V12" i="10" s="1"/>
  <c r="V6" i="10"/>
  <c r="V11" i="10" s="1"/>
  <c r="J15" i="10"/>
  <c r="J16" i="10" s="1"/>
  <c r="U6" i="8"/>
  <c r="U7" i="8" s="1"/>
  <c r="W12" i="19"/>
  <c r="X25" i="7"/>
  <c r="Y23" i="7"/>
  <c r="Y25" i="7" s="1"/>
  <c r="T66" i="9" l="1"/>
  <c r="W5" i="10"/>
  <c r="W9" i="10" s="1"/>
  <c r="W10" i="10" s="1"/>
  <c r="W12" i="10" s="1"/>
  <c r="V34" i="18"/>
  <c r="V35" i="18" s="1"/>
  <c r="V14" i="19" s="1"/>
  <c r="V15" i="19" s="1"/>
  <c r="V17" i="19" s="1"/>
  <c r="V38" i="19" s="1"/>
  <c r="W4" i="18"/>
  <c r="W22" i="18"/>
  <c r="V7" i="8"/>
  <c r="W25" i="19"/>
  <c r="W27" i="19" s="1"/>
  <c r="W36" i="19" s="1"/>
  <c r="Y19" i="18"/>
  <c r="Y9" i="18" s="1"/>
  <c r="Y27" i="7"/>
  <c r="Y30" i="7" s="1"/>
  <c r="F27" i="21"/>
  <c r="F26" i="26"/>
  <c r="F25" i="23"/>
  <c r="G25" i="31"/>
  <c r="G6" i="34"/>
  <c r="G7" i="34" s="1"/>
  <c r="G32" i="32"/>
  <c r="G60" i="26"/>
  <c r="G15" i="32"/>
  <c r="G17" i="32" s="1"/>
  <c r="G49" i="32"/>
  <c r="G20" i="32"/>
  <c r="G22" i="32" s="1"/>
  <c r="G24" i="32" s="1"/>
  <c r="G61" i="25"/>
  <c r="G59" i="23"/>
  <c r="W6" i="8"/>
  <c r="W7" i="8" s="1"/>
  <c r="Y12" i="19"/>
  <c r="X19" i="18"/>
  <c r="X9" i="18" s="1"/>
  <c r="X27" i="7"/>
  <c r="X30" i="7" s="1"/>
  <c r="X31" i="7" s="1"/>
  <c r="G72" i="21"/>
  <c r="E38" i="32"/>
  <c r="E39" i="32" s="1"/>
  <c r="E62" i="28"/>
  <c r="U15" i="19"/>
  <c r="U17" i="19" s="1"/>
  <c r="U38" i="19" s="1"/>
  <c r="G31" i="27"/>
  <c r="G22" i="27"/>
  <c r="G24" i="27" s="1"/>
  <c r="G25" i="27" s="1"/>
  <c r="G27" i="27" s="1"/>
  <c r="G12" i="26"/>
  <c r="G11" i="27"/>
  <c r="G11" i="28"/>
  <c r="G12" i="28" s="1"/>
  <c r="G12" i="23"/>
  <c r="G15" i="28"/>
  <c r="G17" i="28" s="1"/>
  <c r="G40" i="28" s="1"/>
  <c r="G43" i="28" s="1"/>
  <c r="G44" i="28" s="1"/>
  <c r="G6" i="28"/>
  <c r="G7" i="28" s="1"/>
  <c r="U66" i="9" l="1"/>
  <c r="W6" i="10"/>
  <c r="W11" i="10" s="1"/>
  <c r="X4" i="18"/>
  <c r="Y4" i="18"/>
  <c r="X5" i="10"/>
  <c r="X9" i="10" s="1"/>
  <c r="X10" i="10" s="1"/>
  <c r="X12" i="10" s="1"/>
  <c r="W34" i="18"/>
  <c r="W35" i="18" s="1"/>
  <c r="W14" i="19" s="1"/>
  <c r="W15" i="19" s="1"/>
  <c r="W17" i="19" s="1"/>
  <c r="W38" i="19" s="1"/>
  <c r="Y22" i="18"/>
  <c r="X22" i="18"/>
  <c r="Y31" i="7"/>
  <c r="Y25" i="19" s="1"/>
  <c r="X25" i="19"/>
  <c r="X27" i="19" s="1"/>
  <c r="X36" i="19" s="1"/>
  <c r="G67" i="26"/>
  <c r="G68" i="25"/>
  <c r="G66" i="23"/>
  <c r="F50" i="32"/>
  <c r="F27" i="26"/>
  <c r="F41" i="21"/>
  <c r="F19" i="21" s="1"/>
  <c r="F17" i="21" s="1"/>
  <c r="F16" i="21" s="1"/>
  <c r="F16" i="27" s="1"/>
  <c r="F18" i="27" s="1"/>
  <c r="F16" i="31"/>
  <c r="F17" i="31" s="1"/>
  <c r="F11" i="31"/>
  <c r="F5" i="31"/>
  <c r="F43" i="32"/>
  <c r="F44" i="32" s="1"/>
  <c r="F26" i="23"/>
  <c r="F77" i="23" s="1"/>
  <c r="G11" i="34"/>
  <c r="G65" i="26"/>
  <c r="G74" i="21"/>
  <c r="G66" i="25"/>
  <c r="G64" i="23"/>
  <c r="F16" i="26" l="1"/>
  <c r="V66" i="9"/>
  <c r="F16" i="23"/>
  <c r="X6" i="10"/>
  <c r="X11" i="10" s="1"/>
  <c r="X34" i="18"/>
  <c r="X35" i="18" s="1"/>
  <c r="W66" i="9" s="1"/>
  <c r="Y5" i="10"/>
  <c r="Y9" i="10" s="1"/>
  <c r="Z5" i="10"/>
  <c r="Z9" i="10" s="1"/>
  <c r="Y34" i="18"/>
  <c r="G27" i="32"/>
  <c r="G42" i="32"/>
  <c r="G75" i="21"/>
  <c r="G10" i="32"/>
  <c r="G12" i="32" s="1"/>
  <c r="G10" i="34"/>
  <c r="G12" i="34" s="1"/>
  <c r="G15" i="34" s="1"/>
  <c r="G16" i="34" s="1"/>
  <c r="G37" i="32"/>
  <c r="G69" i="26"/>
  <c r="G70" i="25"/>
  <c r="G68" i="23"/>
  <c r="G74" i="23" s="1"/>
  <c r="Y27" i="19"/>
  <c r="Y36" i="19" s="1"/>
  <c r="G26" i="21"/>
  <c r="F10" i="27"/>
  <c r="F13" i="27" s="1"/>
  <c r="F17" i="26"/>
  <c r="F5" i="27"/>
  <c r="F7" i="27" s="1"/>
  <c r="F30" i="27"/>
  <c r="F33" i="27" s="1"/>
  <c r="F36" i="27"/>
  <c r="F38" i="27" s="1"/>
  <c r="F59" i="28" s="1"/>
  <c r="F60" i="28" s="1"/>
  <c r="F17" i="23"/>
  <c r="F45" i="32"/>
  <c r="F34" i="25"/>
  <c r="F39" i="25"/>
  <c r="F31" i="25"/>
  <c r="F37" i="25"/>
  <c r="F24" i="25"/>
  <c r="F35" i="25"/>
  <c r="F26" i="25"/>
  <c r="F38" i="25"/>
  <c r="F41" i="25"/>
  <c r="F36" i="25"/>
  <c r="F41" i="26"/>
  <c r="F27" i="25"/>
  <c r="F25" i="25"/>
  <c r="F30" i="25"/>
  <c r="F40" i="23"/>
  <c r="F51" i="32"/>
  <c r="F52" i="32" s="1"/>
  <c r="X14" i="19" l="1"/>
  <c r="X15" i="19" s="1"/>
  <c r="X17" i="19" s="1"/>
  <c r="X38" i="19" s="1"/>
  <c r="Z6" i="10"/>
  <c r="Z11" i="10" s="1"/>
  <c r="K15" i="10"/>
  <c r="K16" i="10" s="1"/>
  <c r="Y35" i="18"/>
  <c r="X66" i="9" s="1"/>
  <c r="D24" i="10"/>
  <c r="Y10" i="10"/>
  <c r="Y12" i="10" s="1"/>
  <c r="AA5" i="10"/>
  <c r="Y6" i="10"/>
  <c r="Y11" i="10" s="1"/>
  <c r="AA9" i="10"/>
  <c r="Z10" i="10"/>
  <c r="F61" i="28"/>
  <c r="F13" i="25"/>
  <c r="F14" i="25"/>
  <c r="F16" i="25"/>
  <c r="F8" i="25"/>
  <c r="F19" i="25"/>
  <c r="F19" i="26"/>
  <c r="F7" i="25"/>
  <c r="F17" i="25"/>
  <c r="F15" i="25"/>
  <c r="F6" i="31"/>
  <c r="F7" i="31" s="1"/>
  <c r="F9" i="25"/>
  <c r="F21" i="31"/>
  <c r="F22" i="31" s="1"/>
  <c r="F12" i="25"/>
  <c r="F6" i="25"/>
  <c r="F10" i="31"/>
  <c r="F12" i="31" s="1"/>
  <c r="F53" i="28"/>
  <c r="F54" i="28" s="1"/>
  <c r="F28" i="32"/>
  <c r="F29" i="32" s="1"/>
  <c r="F19" i="23"/>
  <c r="F76" i="23" s="1"/>
  <c r="F33" i="32"/>
  <c r="F34" i="32" s="1"/>
  <c r="G26" i="26"/>
  <c r="G27" i="21"/>
  <c r="G25" i="23"/>
  <c r="D25" i="10" l="1"/>
  <c r="Y14" i="19"/>
  <c r="Y15" i="19" s="1"/>
  <c r="Y17" i="19" s="1"/>
  <c r="Y38" i="19" s="1"/>
  <c r="AB5" i="10"/>
  <c r="F38" i="32"/>
  <c r="F39" i="32" s="1"/>
  <c r="F62" i="28"/>
  <c r="G5" i="31"/>
  <c r="G50" i="32"/>
  <c r="G51" i="32" s="1"/>
  <c r="G52" i="32" s="1"/>
  <c r="G27" i="26"/>
  <c r="G11" i="31"/>
  <c r="G16" i="31"/>
  <c r="G17" i="31" s="1"/>
  <c r="G41" i="21"/>
  <c r="G19" i="21" s="1"/>
  <c r="G17" i="21" s="1"/>
  <c r="G16" i="21" s="1"/>
  <c r="G16" i="27" s="1"/>
  <c r="G18" i="27" s="1"/>
  <c r="G43" i="32"/>
  <c r="G44" i="32" s="1"/>
  <c r="G26" i="23"/>
  <c r="G77" i="23" s="1"/>
  <c r="Z12" i="10"/>
  <c r="D26" i="10" s="1"/>
  <c r="D23" i="10"/>
  <c r="D27" i="10" s="1"/>
  <c r="AB9" i="10"/>
  <c r="G16" i="23" l="1"/>
  <c r="G16" i="26"/>
  <c r="G30" i="27"/>
  <c r="G33" i="27" s="1"/>
  <c r="G45" i="32"/>
  <c r="G46" i="32"/>
  <c r="G25" i="25"/>
  <c r="G37" i="25"/>
  <c r="G26" i="25"/>
  <c r="G41" i="26"/>
  <c r="G35" i="25"/>
  <c r="G34" i="25"/>
  <c r="G36" i="25"/>
  <c r="G31" i="25"/>
  <c r="G24" i="25"/>
  <c r="G41" i="25"/>
  <c r="G27" i="25"/>
  <c r="G30" i="25"/>
  <c r="G39" i="25"/>
  <c r="G38" i="25"/>
  <c r="G40" i="23"/>
  <c r="G12" i="25" l="1"/>
  <c r="G5" i="27"/>
  <c r="G7" i="27" s="1"/>
  <c r="G36" i="27"/>
  <c r="G38" i="27" s="1"/>
  <c r="G59" i="28" s="1"/>
  <c r="G60" i="28" s="1"/>
  <c r="G61" i="28" s="1"/>
  <c r="G38" i="32" s="1"/>
  <c r="G39" i="32" s="1"/>
  <c r="G17" i="23"/>
  <c r="G10" i="27"/>
  <c r="G13" i="27" s="1"/>
  <c r="G17" i="26"/>
  <c r="G6" i="25" l="1"/>
  <c r="G28" i="32"/>
  <c r="G29" i="32" s="1"/>
  <c r="G21" i="31"/>
  <c r="G22" i="31" s="1"/>
  <c r="G14" i="25"/>
  <c r="G62" i="28"/>
  <c r="G33" i="32"/>
  <c r="G34" i="32" s="1"/>
  <c r="G13" i="25"/>
  <c r="G17" i="25"/>
  <c r="G8" i="25"/>
  <c r="G19" i="26"/>
  <c r="G19" i="23"/>
  <c r="G76" i="23" s="1"/>
  <c r="G53" i="28"/>
  <c r="G54" i="28" s="1"/>
  <c r="G10" i="31"/>
  <c r="G12" i="31" s="1"/>
  <c r="G15" i="25"/>
  <c r="G9" i="25"/>
  <c r="G16" i="25"/>
  <c r="G7" i="25"/>
  <c r="G6" i="31"/>
  <c r="G7" i="31" s="1"/>
  <c r="G19" i="25"/>
</calcChain>
</file>

<file path=xl/sharedStrings.xml><?xml version="1.0" encoding="utf-8"?>
<sst xmlns="http://schemas.openxmlformats.org/spreadsheetml/2006/main" count="1941" uniqueCount="559">
  <si>
    <t>Изменение конъюктуры рынка</t>
  </si>
  <si>
    <t>Проблемы с патентом</t>
  </si>
  <si>
    <t>Рост ставки процента</t>
  </si>
  <si>
    <t>Обрушение крыши цеха</t>
  </si>
  <si>
    <t>Ущерб оценивается в объеме месячных продаж, т.е. 15 млн.рублей</t>
  </si>
  <si>
    <t>Ущерб оценивается в объеме месячных продаж и покупки нового станка, т.е. 16,5 млн.рублей</t>
  </si>
  <si>
    <t>Штраф за нарушение экологии</t>
  </si>
  <si>
    <t>Необходимость смены кадров - затраты на поиск новых работников + временная неэффективность работы</t>
  </si>
  <si>
    <t>Зависит от конректной ошибки</t>
  </si>
  <si>
    <t>Необходимость переоформления патента - 10 тыс. рублей</t>
  </si>
  <si>
    <t>Ущерб оценен ниже в количественной оценке риска</t>
  </si>
  <si>
    <t>Запрет использования используемого гормона в России</t>
  </si>
  <si>
    <t>Остановка производства</t>
  </si>
  <si>
    <t>Необходимость новой аренды - 150 тыс.рублей + затраты на поиск нового помещения</t>
  </si>
  <si>
    <t>Неэффективность рекламной компании; неверное определение ценовых сегментов и ценообразования</t>
  </si>
  <si>
    <t>Грамотный подбор персонала; четкий регламент и разграничение функций каждого работника; меры по улучшению рабочего климата, мотивация</t>
  </si>
  <si>
    <t>Перевод производства в другую страну</t>
  </si>
  <si>
    <t>Формирование инвестиционных и капитальных вложений, гарантирующих создание стабильной ситуации; использование финансовых инструментов для создания имунного пакета</t>
  </si>
  <si>
    <t>Регулярный контроль, ремонт по необходимости</t>
  </si>
  <si>
    <t>Отчет о прибылях и убытках (тыс. руб.)</t>
  </si>
  <si>
    <t>Валовая прибыль</t>
  </si>
  <si>
    <t>- коммерческие расходы</t>
  </si>
  <si>
    <t>Прибыль (убыток) от продаж</t>
  </si>
  <si>
    <t>- налоги, относимые на финансовые результаты</t>
  </si>
  <si>
    <t>- проценты к уплате</t>
  </si>
  <si>
    <t>Средняя стоимость имущества за период</t>
  </si>
  <si>
    <t>Месячный оклад 1 сотрудника</t>
  </si>
  <si>
    <t>Прибыль до налогообложения</t>
  </si>
  <si>
    <t>- налог на прибыль</t>
  </si>
  <si>
    <t>Чистая прибыль (убыток)</t>
  </si>
  <si>
    <t>- дивиденды</t>
  </si>
  <si>
    <t>Электричество (с НДС)</t>
  </si>
  <si>
    <t>Аренда (с НДС)</t>
  </si>
  <si>
    <t>Продвижение товара на рынок (реклама, СМИ и т.д.) (с НДС)</t>
  </si>
  <si>
    <t>Сбой в работе оборудования</t>
  </si>
  <si>
    <t>Инструктаж по работе для персонала, регулярные проверки и ремонт</t>
  </si>
  <si>
    <t>Срыв поставок компонентов</t>
  </si>
  <si>
    <t>Долгосрочные договоры, формирование достаточных запасов необходимых материалов</t>
  </si>
  <si>
    <t>Утечка компонентов</t>
  </si>
  <si>
    <t>Соблюдение техники безопасности</t>
  </si>
  <si>
    <t>Конфликты в коллективе</t>
  </si>
  <si>
    <t>Ошибки руководства</t>
  </si>
  <si>
    <t>Подбор квалицифированного персонала, разработка долгосрочной и краткосрочной стратегии развития</t>
  </si>
  <si>
    <t>Предварительная проработка патентных вопросов и осуществление всех необходимых мер для предотвращения проблем</t>
  </si>
  <si>
    <t>Ставка процента</t>
  </si>
  <si>
    <t>Средняя цена пасты</t>
  </si>
  <si>
    <t>Учредительный капитал (изменение)</t>
  </si>
  <si>
    <t>Акционерный капитал (изменение)</t>
  </si>
  <si>
    <t>Целевое финансирование (изменение)</t>
  </si>
  <si>
    <t xml:space="preserve"> </t>
  </si>
  <si>
    <t>Уставный капитал, в том числе</t>
  </si>
  <si>
    <t>- учредительный капитал</t>
  </si>
  <si>
    <t>Нераспределенная прибыль (+) / убыток (-)</t>
  </si>
  <si>
    <t>- акционерный капитал</t>
  </si>
  <si>
    <t>Поступления учредительного капитала</t>
  </si>
  <si>
    <t xml:space="preserve"> - текущие обязательства</t>
  </si>
  <si>
    <t>Сальдо баланса</t>
  </si>
  <si>
    <t>Основные показатели эффективности</t>
  </si>
  <si>
    <t>1 кв.</t>
  </si>
  <si>
    <t>2 кв.</t>
  </si>
  <si>
    <t>3 кв.</t>
  </si>
  <si>
    <t>4 кв.</t>
  </si>
  <si>
    <t>5 кв.</t>
  </si>
  <si>
    <t>6 кв.</t>
  </si>
  <si>
    <t>7 кв.</t>
  </si>
  <si>
    <t>8 кв.</t>
  </si>
  <si>
    <t>9 кв.</t>
  </si>
  <si>
    <t>10 кв.</t>
  </si>
  <si>
    <t>11 кв.</t>
  </si>
  <si>
    <t>12 кв.</t>
  </si>
  <si>
    <t>13 кв.</t>
  </si>
  <si>
    <t>14 кв.</t>
  </si>
  <si>
    <t>15 кв.</t>
  </si>
  <si>
    <t>16 кв.</t>
  </si>
  <si>
    <t>17 кв.</t>
  </si>
  <si>
    <t>18 кв.</t>
  </si>
  <si>
    <t>19 кв.</t>
  </si>
  <si>
    <t>20 кв.</t>
  </si>
  <si>
    <t>Итого</t>
  </si>
  <si>
    <t>Ед.</t>
  </si>
  <si>
    <t>Объем продаж</t>
  </si>
  <si>
    <t>Всего</t>
  </si>
  <si>
    <t>шт.</t>
  </si>
  <si>
    <t>Цена продаж (с НДС)</t>
  </si>
  <si>
    <t>руб.</t>
  </si>
  <si>
    <t>тыс. руб.</t>
  </si>
  <si>
    <t>Предполагаемый годовой темп инфляции</t>
  </si>
  <si>
    <t>То же в пересчете на квартал</t>
  </si>
  <si>
    <t>Инфляция нарастающим итогом</t>
  </si>
  <si>
    <t>Квартальный индекс инфляции</t>
  </si>
  <si>
    <t>Макроэкономическое окружение</t>
  </si>
  <si>
    <t>%</t>
  </si>
  <si>
    <t xml:space="preserve">ИНФЛЯЦИЯ  </t>
  </si>
  <si>
    <t>НАЛОГОВОЕ ОКРУЖЕНИЕ</t>
  </si>
  <si>
    <t>НДС</t>
  </si>
  <si>
    <t>Налог на имущество</t>
  </si>
  <si>
    <t>Налог на прибыль</t>
  </si>
  <si>
    <t>Количество сотрудников</t>
  </si>
  <si>
    <t>Всего сотрудников</t>
  </si>
  <si>
    <t>чел.</t>
  </si>
  <si>
    <t>Расходы на заработную плату (квартал)</t>
  </si>
  <si>
    <t>Текущие затраты</t>
  </si>
  <si>
    <t>Выручка от продаж (с НДС)</t>
  </si>
  <si>
    <t>в том числе НДС</t>
  </si>
  <si>
    <t>Прямые материальные расходы</t>
  </si>
  <si>
    <t>Мат. расходы на ед. продукции</t>
  </si>
  <si>
    <t>Цена единицы (с НДС)</t>
  </si>
  <si>
    <t>Всего прямые материальные расходы</t>
  </si>
  <si>
    <t>Коммерческие расходы</t>
  </si>
  <si>
    <t>Всего административные расходы</t>
  </si>
  <si>
    <t>Всего коммерческие расходы</t>
  </si>
  <si>
    <t>Планируемые к приобретению ОС</t>
  </si>
  <si>
    <t>Значение</t>
  </si>
  <si>
    <t>Стоимость ОС (с НДС)</t>
  </si>
  <si>
    <t>График оплаты ОС</t>
  </si>
  <si>
    <t>Амортизация (линейный метод)</t>
  </si>
  <si>
    <t xml:space="preserve">Вложения в ОС </t>
  </si>
  <si>
    <t>Амортизация</t>
  </si>
  <si>
    <t>Остаточная стоимость</t>
  </si>
  <si>
    <t>Накопленная амортизация</t>
  </si>
  <si>
    <t>Выручка</t>
  </si>
  <si>
    <t>- себестоимость проданной продукции</t>
  </si>
  <si>
    <t>материалы</t>
  </si>
  <si>
    <t>амортизация</t>
  </si>
  <si>
    <t>Административные расходы 2 (с НДС)</t>
  </si>
  <si>
    <t>Коммерческие расходы в квартал</t>
  </si>
  <si>
    <t>Коммерческие расходы 2 (с НДС)</t>
  </si>
  <si>
    <t>Коммерческие расходы 3 (с НДС)</t>
  </si>
  <si>
    <t>Себестоимость единицы продукта</t>
  </si>
  <si>
    <t>Материальные расходы (без НДС)</t>
  </si>
  <si>
    <t>Общепроизводственные расходы (без НДС)</t>
  </si>
  <si>
    <t>Административные расходы (без НДС)</t>
  </si>
  <si>
    <t>Коммерческие расходы (без НДС)</t>
  </si>
  <si>
    <t>= нераспределенная прибыль</t>
  </si>
  <si>
    <t>= то же нарастающим итогом</t>
  </si>
  <si>
    <t>Отчет о движении денежных средств (тыс. руб.)</t>
  </si>
  <si>
    <t>Денежные потоки от операционной деятельности</t>
  </si>
  <si>
    <t>Поступления от продаж</t>
  </si>
  <si>
    <t>Затраты на материалы</t>
  </si>
  <si>
    <t>Затраты на оплату труда</t>
  </si>
  <si>
    <t>Общие затраты</t>
  </si>
  <si>
    <t>Налоги</t>
  </si>
  <si>
    <t>Выплата процентов по кредитам</t>
  </si>
  <si>
    <t>Денежные потоки от инвестиционной деятельности</t>
  </si>
  <si>
    <t>Инвестиции в оборотный капитал</t>
  </si>
  <si>
    <t>Денежные потоки от финансовой деятельности</t>
  </si>
  <si>
    <t>Поступления акционерного капитала</t>
  </si>
  <si>
    <t>Целевое финансирование</t>
  </si>
  <si>
    <t>Поступление кредитов</t>
  </si>
  <si>
    <t>Возврат кредитов</t>
  </si>
  <si>
    <t>Суммарный денежный поток за период</t>
  </si>
  <si>
    <t>Денежные средства на конец периода</t>
  </si>
  <si>
    <t>Оборотный капитал</t>
  </si>
  <si>
    <t>НДС полученный</t>
  </si>
  <si>
    <t>НДС уплаченный</t>
  </si>
  <si>
    <t>Источники финансирования</t>
  </si>
  <si>
    <t>Собственный капитал</t>
  </si>
  <si>
    <t>Годовая процентная ставка</t>
  </si>
  <si>
    <t>Поступления от кредита</t>
  </si>
  <si>
    <t>Справочно: свободные денежные средства</t>
  </si>
  <si>
    <t>Анализ проекта</t>
  </si>
  <si>
    <t>Денежный поток</t>
  </si>
  <si>
    <t>Дисконтированный денежный поток</t>
  </si>
  <si>
    <t>Дисконтированный денежный поток нарастающим итогом</t>
  </si>
  <si>
    <t>NPV</t>
  </si>
  <si>
    <t>IRR</t>
  </si>
  <si>
    <t>PP</t>
  </si>
  <si>
    <t>DPP</t>
  </si>
  <si>
    <t>лет</t>
  </si>
  <si>
    <t>Денежный поток нарастающим итогом</t>
  </si>
  <si>
    <t>1. АКТИВЫ</t>
  </si>
  <si>
    <t>Постоянные активы</t>
  </si>
  <si>
    <t xml:space="preserve"> - балансовая стоимость</t>
  </si>
  <si>
    <t xml:space="preserve"> - начисленный износ</t>
  </si>
  <si>
    <t xml:space="preserve"> - остаточная стоимость</t>
  </si>
  <si>
    <t>Незавершенные капитальные вложения</t>
  </si>
  <si>
    <t>Оборотные активы</t>
  </si>
  <si>
    <t xml:space="preserve"> - свободные денежные средства</t>
  </si>
  <si>
    <t>2. ПАССИВЫ</t>
  </si>
  <si>
    <t>Источники собственных средств</t>
  </si>
  <si>
    <t>Долгосрочные пассивы (кредиты)</t>
  </si>
  <si>
    <t>Краткосрочные пассивы</t>
  </si>
  <si>
    <t xml:space="preserve"> = Итого краткосрочные пассивы</t>
  </si>
  <si>
    <t xml:space="preserve"> = Итого пассивы</t>
  </si>
  <si>
    <t xml:space="preserve"> - текущие активы</t>
  </si>
  <si>
    <t>Уставной капитал</t>
  </si>
  <si>
    <t>Незавершенные кап. вложения</t>
  </si>
  <si>
    <t>Задолженность по краткосрочному кредиту (займу) 2</t>
  </si>
  <si>
    <t>Краткосрочный кредит (займ) 2</t>
  </si>
  <si>
    <t>Краткосрочный кредит (займ) 1</t>
  </si>
  <si>
    <t>Долгосрочный кредит (займ) 2</t>
  </si>
  <si>
    <t>Задолженность по долгосрочному кредиту (займу) 2</t>
  </si>
  <si>
    <t>Задолженность по долгосрочным кредитам и займам</t>
  </si>
  <si>
    <t>Итого Собственный капитал</t>
  </si>
  <si>
    <t>Расчет WACC</t>
  </si>
  <si>
    <t>Кредиторская задолженность перед поставщиками (в квартал)</t>
  </si>
  <si>
    <t>Всего КЗ перед поставщиками</t>
  </si>
  <si>
    <t>Первоначальная стоимость</t>
  </si>
  <si>
    <t>Балансовая (остаточная) стоимость</t>
  </si>
  <si>
    <t>Сумма накопленных вложений в ОС</t>
  </si>
  <si>
    <t>тыс.руб.</t>
  </si>
  <si>
    <t>Текущие активы</t>
  </si>
  <si>
    <t>Запас готовой продукции</t>
  </si>
  <si>
    <t>Текущие пассивы</t>
  </si>
  <si>
    <t>Всего текущие пассивы</t>
  </si>
  <si>
    <t xml:space="preserve">Текущие обязательства </t>
  </si>
  <si>
    <t>Оплата труда</t>
  </si>
  <si>
    <t>Собственные средства</t>
  </si>
  <si>
    <t>Заемные средства</t>
  </si>
  <si>
    <t>Доля заемных средств</t>
  </si>
  <si>
    <t>Стоимость заемных средств</t>
  </si>
  <si>
    <t>Стоимость собственных средств</t>
  </si>
  <si>
    <t>WACC</t>
  </si>
  <si>
    <t>Доля собственных средств</t>
  </si>
  <si>
    <t>Чистая прибыль</t>
  </si>
  <si>
    <t>EBITDA</t>
  </si>
  <si>
    <t xml:space="preserve"> = Итого активы</t>
  </si>
  <si>
    <t>Коэффициент абсолютной ликвидности</t>
  </si>
  <si>
    <t>Коэффициент дисконтирования</t>
  </si>
  <si>
    <t>Функция дисконтирования</t>
  </si>
  <si>
    <t>Требуемая норма доходности венчурного капиталиста</t>
  </si>
  <si>
    <t>Стадия жизненного цикла</t>
  </si>
  <si>
    <t>Типичная требуемая норма доходности</t>
  </si>
  <si>
    <t>Старт-ап</t>
  </si>
  <si>
    <t>Первый раунд финансирования</t>
  </si>
  <si>
    <t>Второй раунд финансирования</t>
  </si>
  <si>
    <t>50-70%</t>
  </si>
  <si>
    <t>40-60%</t>
  </si>
  <si>
    <t>35-50%</t>
  </si>
  <si>
    <t>25-35%</t>
  </si>
  <si>
    <t>ТРЕБУЕМАЯ ИНВЕСТОРОМ НОРМА ДОХОДНОСТИ</t>
  </si>
  <si>
    <t>Требуемая норма доходности</t>
  </si>
  <si>
    <t>Цена продаж (без НДС)</t>
  </si>
  <si>
    <t>Источник: Damodaran A. Valuing Young, Start-Up and Growth Companies: Estimation Issues and Valuation Challenges, 2009. P. 15.</t>
  </si>
  <si>
    <t>Выручка от продаж (без НДС)</t>
  </si>
  <si>
    <t>Всего расходы на заработную плату в квартал</t>
  </si>
  <si>
    <t>Запасы готовой продукции</t>
  </si>
  <si>
    <t>Объем продаж в квартал</t>
  </si>
  <si>
    <t>Коэффициент продаж в квартал</t>
  </si>
  <si>
    <t>Всего общие производственные расходы в квартал</t>
  </si>
  <si>
    <t>Общепроизводственные расходы 3 (с НДС)</t>
  </si>
  <si>
    <t>Общепроизводственные расходы 4 (с НДС)</t>
  </si>
  <si>
    <t>Административные  расходы в квартал</t>
  </si>
  <si>
    <t>% от материальных расходов 1 (с НДС)</t>
  </si>
  <si>
    <t>% от материальных расходов 2 (с НДС)</t>
  </si>
  <si>
    <t>% от материальных расходов 3 (с НДС)</t>
  </si>
  <si>
    <t>% от материальных расходов 4 (с НДС)</t>
  </si>
  <si>
    <t>% от общепроизводственных расходов (с НДС)</t>
  </si>
  <si>
    <t>% от административных расходов (с НДС)</t>
  </si>
  <si>
    <t>% от коммерческих расходов (с НДС)</t>
  </si>
  <si>
    <t>Всего текущие активы (без денежных средств)</t>
  </si>
  <si>
    <t>Текущие активы (без денежных средств)</t>
  </si>
  <si>
    <t>НДС полученный - НДС уплаченный</t>
  </si>
  <si>
    <t xml:space="preserve">Сумма НДС полученный - НДС уплаченный </t>
  </si>
  <si>
    <t>вспомогательный строкк</t>
  </si>
  <si>
    <t>НДС к уплате в бюджет (+) / возврату (-)</t>
  </si>
  <si>
    <t xml:space="preserve"> - НДС как актив</t>
  </si>
  <si>
    <t xml:space="preserve"> = Итого собственные средства</t>
  </si>
  <si>
    <t>Сумма тела кредита - вспомогательная строка</t>
  </si>
  <si>
    <t>Выплата дивидендов</t>
  </si>
  <si>
    <t>-</t>
  </si>
  <si>
    <t>Денежные средства и их эквиваленты</t>
  </si>
  <si>
    <t>НДС к получению</t>
  </si>
  <si>
    <t>Основные средства</t>
  </si>
  <si>
    <t>Нематериальные активы</t>
  </si>
  <si>
    <t>Кредиторская задолженность</t>
  </si>
  <si>
    <t>Уставный капитал</t>
  </si>
  <si>
    <t>Год начала деятельности</t>
  </si>
  <si>
    <t>Планируемые к приобретению НА</t>
  </si>
  <si>
    <t>Нематериальные активы и Основные средства</t>
  </si>
  <si>
    <t>Стоимость НА (с НДС)</t>
  </si>
  <si>
    <t>Всего авансов поставщикам</t>
  </si>
  <si>
    <t>Аванс по материальным расходам 1</t>
  </si>
  <si>
    <t>Аванс по материальным расходам 2</t>
  </si>
  <si>
    <t>Аванс по материальным расходам 3</t>
  </si>
  <si>
    <t>Аванс по материальным расходам 4</t>
  </si>
  <si>
    <t>Авансы поставщикам</t>
  </si>
  <si>
    <t>Дебиторская задолженность</t>
  </si>
  <si>
    <t>Дебиторская задолженность в квартал</t>
  </si>
  <si>
    <t>Авансы покупателей</t>
  </si>
  <si>
    <t>Краткосрочные кредиты и займы</t>
  </si>
  <si>
    <t>Задолженность перед персоналом</t>
  </si>
  <si>
    <t>Кредиторская задолженность перед поставщиками</t>
  </si>
  <si>
    <t>Чистый оборотный капитал</t>
  </si>
  <si>
    <t>Изменения чистого оборотного капитала</t>
  </si>
  <si>
    <t>Долгосрочные кредиты и займы</t>
  </si>
  <si>
    <t>Коэффициент задолженности</t>
  </si>
  <si>
    <t>Сумма задолженности на конец периода</t>
  </si>
  <si>
    <t>Всего Задолженность перед персоналом</t>
  </si>
  <si>
    <t>Задолженность перед персоналом в квартал</t>
  </si>
  <si>
    <t>Задолженность по НДС к уплате</t>
  </si>
  <si>
    <t>Возврат тела кредита</t>
  </si>
  <si>
    <t>Сумма тела кредита на конец периода</t>
  </si>
  <si>
    <t>Квартальная процентная ставка</t>
  </si>
  <si>
    <t>Начисленные проценты к уплате</t>
  </si>
  <si>
    <t>Выплаченные проценты по кредиту</t>
  </si>
  <si>
    <t>Задолженность по выплате процентов на конец периода</t>
  </si>
  <si>
    <t>Задолженность по краткосрочным кредитам и займам</t>
  </si>
  <si>
    <t>Задолженность по краткосрочному кредиту (займу) 1</t>
  </si>
  <si>
    <t>Коэффициент периода обеспеченности ликвидными активами</t>
  </si>
  <si>
    <t>Товарные запасы</t>
  </si>
  <si>
    <t>Коэффициент общей ликвидности</t>
  </si>
  <si>
    <t>Коэффициент срочной ликвидности</t>
  </si>
  <si>
    <t>Денежные средства</t>
  </si>
  <si>
    <t>Потребность в оборотном капитале</t>
  </si>
  <si>
    <t>Средняя потребность в оборотном капитале</t>
  </si>
  <si>
    <t>Коэффициент обесепеченности продаж оборотным капиталом</t>
  </si>
  <si>
    <t>Среднедневные операционные расходы</t>
  </si>
  <si>
    <t>Коэффициент обеспеченности ликвидными активами</t>
  </si>
  <si>
    <t>дни</t>
  </si>
  <si>
    <t>Оборачиваемость товарно-материальных запасов (1)</t>
  </si>
  <si>
    <t>Оборачиваемость товарно-материальных запасов</t>
  </si>
  <si>
    <t>Оборачиваемость товарно-материальных запасов (2)</t>
  </si>
  <si>
    <t>Средний период оборачиваемости запасов в днях</t>
  </si>
  <si>
    <t>Оборачиваемость дебиторской задолженности</t>
  </si>
  <si>
    <t>Коэффициент оборачиваемости дебиторской задолженности в днях</t>
  </si>
  <si>
    <t>Оборачиваемость кредиторской задолженности</t>
  </si>
  <si>
    <t>Оборачиваемость кредиторской задолженности в днях</t>
  </si>
  <si>
    <t>Операционный и финансовый циклы предприятия</t>
  </si>
  <si>
    <t>Коэффициент оборачиваемости долгосрочных активов</t>
  </si>
  <si>
    <t>Средние запасы</t>
  </si>
  <si>
    <t>Себестоимость продукции</t>
  </si>
  <si>
    <t>Амортизация для расчетов</t>
  </si>
  <si>
    <t>Персонал: численность и з/п</t>
  </si>
  <si>
    <t>Контроль</t>
  </si>
  <si>
    <t>Сумма налога на имущество организаций</t>
  </si>
  <si>
    <t>Общепроизводственные расходы</t>
  </si>
  <si>
    <t>Аванс по общепроизводственным расходам</t>
  </si>
  <si>
    <t>Административные расходы</t>
  </si>
  <si>
    <t>Аванс по административным расходам</t>
  </si>
  <si>
    <t>Авансы и предоплаты поставщикам (в квартал)</t>
  </si>
  <si>
    <t>Аванс по коммерческим расходам</t>
  </si>
  <si>
    <t>Кред. задолженность по материальным расходам 1</t>
  </si>
  <si>
    <t>Кред. задолженность по материальным расходам 2</t>
  </si>
  <si>
    <t>Кред. задолженность по материальным расходам 3</t>
  </si>
  <si>
    <t>Кред. задолженность по материальным расходам 4</t>
  </si>
  <si>
    <t>Кред. задолженность по общепроизводственным расходам</t>
  </si>
  <si>
    <t>Кред. задолженность по административным расходам</t>
  </si>
  <si>
    <t>Кред. задолженность по коммерческим расходам</t>
  </si>
  <si>
    <t xml:space="preserve"> - краткосрочные кредиты и займы</t>
  </si>
  <si>
    <t>общепроизводственные расходы</t>
  </si>
  <si>
    <t>Объем производства в квартал</t>
  </si>
  <si>
    <t>Мезонинное финансирование / IPO</t>
  </si>
  <si>
    <t>Сумма начисленных, но не выплаченных процентов</t>
  </si>
  <si>
    <t>Средневзевешенная цена</t>
  </si>
  <si>
    <t>Базовое значение NPV</t>
  </si>
  <si>
    <t>Факторы риска</t>
  </si>
  <si>
    <t>% изменение фактора риска</t>
  </si>
  <si>
    <t>% изменение NPV</t>
  </si>
  <si>
    <t>Рейтинг</t>
  </si>
  <si>
    <t>5=4/2</t>
  </si>
  <si>
    <t>Эластичность</t>
  </si>
  <si>
    <t>Технико-технологический риск</t>
  </si>
  <si>
    <t>Экологический риск</t>
  </si>
  <si>
    <t>Социальный риск</t>
  </si>
  <si>
    <t>Нормативно-правовой (юридический) риск</t>
  </si>
  <si>
    <t>Специфический риск</t>
  </si>
  <si>
    <t>Горизонтальный анализ Отчета о прибылях и убытках</t>
  </si>
  <si>
    <t>Коэффициент общей платёжеспособности (коэффициент автономии)</t>
  </si>
  <si>
    <t>Мультипликатор собственного капитала</t>
  </si>
  <si>
    <t>Коэффициент соотношения заёмных и собственных средств</t>
  </si>
  <si>
    <t>Коэффициент отношения обязательств к совокупным активам</t>
  </si>
  <si>
    <t>Коэффициент покрытия процентных выплат</t>
  </si>
  <si>
    <t>Коэффициент долговой нагрузки (IB)</t>
  </si>
  <si>
    <t>Уровень налоговой нагрузки (TB)</t>
  </si>
  <si>
    <t>Уровень налоговой нагрузки</t>
  </si>
  <si>
    <t>Эффективная ставка налогообложения (T)</t>
  </si>
  <si>
    <t>Задолженность по выплате процентов</t>
  </si>
  <si>
    <t>Коэффициент оборачиваемости активов</t>
  </si>
  <si>
    <t>Анализ показателей платёжеспособности и финансовой устойчивости</t>
  </si>
  <si>
    <t>Активы</t>
  </si>
  <si>
    <t>Обязательства</t>
  </si>
  <si>
    <t>Операционная прибыль</t>
  </si>
  <si>
    <t>Процентные выплаты</t>
  </si>
  <si>
    <t>График оплаты НА</t>
  </si>
  <si>
    <t xml:space="preserve">Вложения в НА </t>
  </si>
  <si>
    <t>Сумма накопленных вложений в НА</t>
  </si>
  <si>
    <t>Внеоборотные активы</t>
  </si>
  <si>
    <t>Итого Внеоборотные активы</t>
  </si>
  <si>
    <t>Запасы</t>
  </si>
  <si>
    <t>Итого Оборотные активы</t>
  </si>
  <si>
    <t xml:space="preserve"> = Итого Оборотные активы</t>
  </si>
  <si>
    <t>Долгосрочные обязательства</t>
  </si>
  <si>
    <t>Итого Долгосрочные обязательства</t>
  </si>
  <si>
    <t>Краткосрочные обязательства</t>
  </si>
  <si>
    <t>Итого АКТИВЫ</t>
  </si>
  <si>
    <t>Итого ПАССИВЫ</t>
  </si>
  <si>
    <t>Себестоимость</t>
  </si>
  <si>
    <t>Материалы</t>
  </si>
  <si>
    <t>Налоги, относимые на текущие результаты</t>
  </si>
  <si>
    <t>Налоги, относимые на финансовые результаты</t>
  </si>
  <si>
    <t>Проценты к уплате</t>
  </si>
  <si>
    <t>Общий анализ Отчета о прибылях и убытках</t>
  </si>
  <si>
    <t>Отчет о финансовом состоянии компании (тыс. руб.)</t>
  </si>
  <si>
    <t>Общий анализ Отчета о финансовом состоянии</t>
  </si>
  <si>
    <t>Горизонтальный анализ Отчета о финансовом состоянии</t>
  </si>
  <si>
    <t>Прогнозный Отчет о финансовом состоянии</t>
  </si>
  <si>
    <t>Прогнозный Отчет о прибылях и убытках</t>
  </si>
  <si>
    <t>Вертикальный анализ Отчета о финансовом состоянии</t>
  </si>
  <si>
    <t>Вертикальный анализ Отчета о прибылях и убытках</t>
  </si>
  <si>
    <t>Коэффициент общей ликвидности (коэффициент покрытия)</t>
  </si>
  <si>
    <t>Коэффициент обеспеченности продаж оборотным капиталом</t>
  </si>
  <si>
    <t>Всего отчисления в госуд. внебюджетные фонды (в квартал)</t>
  </si>
  <si>
    <t>Страховые взносы в государственные внебюджетные фонды</t>
  </si>
  <si>
    <t>Всего расходы на заработную плату и страховые взносы в квартал</t>
  </si>
  <si>
    <t>Расходы на заработную плату и страховые взносы</t>
  </si>
  <si>
    <t>NPVн (тыс. руб.)</t>
  </si>
  <si>
    <t>IP</t>
  </si>
  <si>
    <t>Чистый оборотный капитал (NWC)</t>
  </si>
  <si>
    <t>Текущие активы (CA)</t>
  </si>
  <si>
    <t>Текущие пассивы (CL)</t>
  </si>
  <si>
    <t>Расчет терминальной стоимости проекта</t>
  </si>
  <si>
    <t>Свободный денежный поток</t>
  </si>
  <si>
    <t>Средний темп роста свободного денежного потока</t>
  </si>
  <si>
    <t>Темп роста свободного денежного потока в постпрогнозный период</t>
  </si>
  <si>
    <t>Ставка дисконтирования в постпрогнозный период</t>
  </si>
  <si>
    <t>Терминальная стоимость проекта</t>
  </si>
  <si>
    <t>Средняя годовая ставка дисконтирования в прогнозный период</t>
  </si>
  <si>
    <t>Среднее квартальное значение WACC</t>
  </si>
  <si>
    <t>Среднее годовое значение WACC</t>
  </si>
  <si>
    <t>Средний период оборачиваемости товарно-материальных запасов (DSI)</t>
  </si>
  <si>
    <t>Средняя дебиторская задолженность</t>
  </si>
  <si>
    <t>Средний период оборачиваемости дебиторской задолженности (DSO)</t>
  </si>
  <si>
    <t>Средняя кредиторская задолженность</t>
  </si>
  <si>
    <t>Средний период оборачиваемости кредиторской задолженности (DPO)</t>
  </si>
  <si>
    <t>Средний период оборачиваемости запасов (DSI)</t>
  </si>
  <si>
    <t>Длина операционного цикла (OCP)</t>
  </si>
  <si>
    <t>Длина финансового цикла (цикла конверсии денежных средств) (CCC)</t>
  </si>
  <si>
    <t>Средние долгосрочные активы</t>
  </si>
  <si>
    <t>Средние активы</t>
  </si>
  <si>
    <t>Чистые активы</t>
  </si>
  <si>
    <t>Средние чистые активы</t>
  </si>
  <si>
    <t>Коэффициент оборачиваемости чистых активов</t>
  </si>
  <si>
    <t>Анализ показателей ликвидности</t>
  </si>
  <si>
    <t>Анализ показателей деловой активности (оборачиваемости)</t>
  </si>
  <si>
    <t>Качественный анализ рисков проекта</t>
  </si>
  <si>
    <t>Идентификация рисков</t>
  </si>
  <si>
    <t>Возможный ущерб (оценка)</t>
  </si>
  <si>
    <t>Меры по борьбе с рисками</t>
  </si>
  <si>
    <t>Название</t>
  </si>
  <si>
    <t>Причины возникновения</t>
  </si>
  <si>
    <t>Маркетинговый риск</t>
  </si>
  <si>
    <t>Риск участников проекта</t>
  </si>
  <si>
    <t>Организационно-управленческий риск</t>
  </si>
  <si>
    <t>Финансовый риск</t>
  </si>
  <si>
    <t>Форс-мажор</t>
  </si>
  <si>
    <t>Количественный анализ рисков проекта (анализ чувствительности)</t>
  </si>
  <si>
    <t>Дисконтированный инвестированный капитал</t>
  </si>
  <si>
    <t>Инвестированный капитал</t>
  </si>
  <si>
    <t>Рентабельность чистых активов (RONA)</t>
  </si>
  <si>
    <t>Рентабельность инвестированного капитала (ROIC)</t>
  </si>
  <si>
    <t>Средний Инвестированный капитал</t>
  </si>
  <si>
    <t>Налоговая база</t>
  </si>
  <si>
    <t>Сумма переносимого убытка</t>
  </si>
  <si>
    <t>Прибыль (убыток) до налогообложения</t>
  </si>
  <si>
    <t>Требуемая норма доходности в пересчете на квартал</t>
  </si>
  <si>
    <t>Общепроизводственные расходы в квартал</t>
  </si>
  <si>
    <t>Коэффициент общей платёжеспособности</t>
  </si>
  <si>
    <t>Коэффициент соотношения собственных и заёмных средств</t>
  </si>
  <si>
    <t>Анализ показателей рентабельности</t>
  </si>
  <si>
    <t>Темп прироста рентабельности собственного капитала</t>
  </si>
  <si>
    <t>Среднее значение рентабельности собственного капитала</t>
  </si>
  <si>
    <t xml:space="preserve">Операционная прибыль </t>
  </si>
  <si>
    <t>Средний собственный капитал</t>
  </si>
  <si>
    <t>Маржа валовой прибыли</t>
  </si>
  <si>
    <t>Маржа чистой прибыли</t>
  </si>
  <si>
    <t>EBIT</t>
  </si>
  <si>
    <t>Маржа EBITDA</t>
  </si>
  <si>
    <t>Рентабельность продаж (маржа EBIT)</t>
  </si>
  <si>
    <t>Рентабельность активов по чистой прибыли</t>
  </si>
  <si>
    <t>Рентабельность активов по EBIT</t>
  </si>
  <si>
    <t>Рентабельность чистых активов по EBIT</t>
  </si>
  <si>
    <t>Рентабельность собственного капитала</t>
  </si>
  <si>
    <t>Рентабельность собственного капитала по чистой прибыли (ROE)</t>
  </si>
  <si>
    <t>Рентабельность активов по EBIT (ROA)</t>
  </si>
  <si>
    <t>Анализ долговой и налоговой нагрузки</t>
  </si>
  <si>
    <t>Коэффициент долговой нагрузки</t>
  </si>
  <si>
    <t>Концепция предельной эффективности бизнеса</t>
  </si>
  <si>
    <t>Темп роста дохода (прибыли)</t>
  </si>
  <si>
    <t>Темп роста оборота (выручки)</t>
  </si>
  <si>
    <t>Темп роста активов</t>
  </si>
  <si>
    <t>Темп роста собственного капитала</t>
  </si>
  <si>
    <t>Вывод об эффективности бизнеса</t>
  </si>
  <si>
    <t>Страховые взносы в госуд. внебюджетные фонды</t>
  </si>
  <si>
    <t>http://exceltable.com/</t>
  </si>
  <si>
    <t xml:space="preserve">Продажа </t>
  </si>
  <si>
    <t>Проектный отдел</t>
  </si>
  <si>
    <t>шт</t>
  </si>
  <si>
    <t>Оборудование 2</t>
  </si>
  <si>
    <t>Оборудование 3</t>
  </si>
  <si>
    <t>Оборудование 4</t>
  </si>
  <si>
    <t>Всего авансов поставщикам по  микрофабрикам на столе</t>
  </si>
  <si>
    <t>Оборудование 1 (с НДС)</t>
  </si>
  <si>
    <t>Оборудование 2 (с НДС)</t>
  </si>
  <si>
    <t>Оборудование 1 3 (с НДС)</t>
  </si>
  <si>
    <t>Оборудование  4 (с НДС)</t>
  </si>
  <si>
    <t>ОС3</t>
  </si>
  <si>
    <t xml:space="preserve"> ОС 4</t>
  </si>
  <si>
    <t>Стоимость главного компонента микрофабрики на столе</t>
  </si>
  <si>
    <t>Валютный риск</t>
  </si>
  <si>
    <t>Отдел по сопровождению</t>
  </si>
  <si>
    <t>Страховые взносы по  персоналу отдела сопровождения</t>
  </si>
  <si>
    <t>Всего КЗ перед поставщиками по   микрофабрикам на столе</t>
  </si>
  <si>
    <t>Год</t>
  </si>
  <si>
    <t>Прогноз</t>
  </si>
  <si>
    <t>Макс</t>
  </si>
  <si>
    <t>Мин</t>
  </si>
  <si>
    <t>Дирекция</t>
  </si>
  <si>
    <t>ген. директор</t>
  </si>
  <si>
    <t>Бухгалтерия</t>
  </si>
  <si>
    <t>Главный бухгалтер</t>
  </si>
  <si>
    <t>Бухгалтер</t>
  </si>
  <si>
    <t>Инженер-проектировщик</t>
  </si>
  <si>
    <t>Руководитель</t>
  </si>
  <si>
    <t>Инженер-программист</t>
  </si>
  <si>
    <t>Инженер по качеству</t>
  </si>
  <si>
    <t>Отдел монтажа</t>
  </si>
  <si>
    <t>Инженер-монтажник</t>
  </si>
  <si>
    <t>Инженер-технолог</t>
  </si>
  <si>
    <t>Сервисный инженер</t>
  </si>
  <si>
    <t>Менеджер проекта</t>
  </si>
  <si>
    <t>Ассистент менеджера проекта</t>
  </si>
  <si>
    <t>Административно-хозяйственный отдел</t>
  </si>
  <si>
    <t>Главный инженер</t>
  </si>
  <si>
    <t>Инженер тех. Поддержки</t>
  </si>
  <si>
    <t>Страховые взносы по дирекции</t>
  </si>
  <si>
    <t>Страховые взносы по проектному отделу</t>
  </si>
  <si>
    <t>Страховые взносы по бухгалтерии</t>
  </si>
  <si>
    <t>Страховые взносы по  персоналу отдела монтажа</t>
  </si>
  <si>
    <t xml:space="preserve">Страховые взносы по  персоналу административно-хозяйственного  отдела </t>
  </si>
  <si>
    <t>Монтажный отдел</t>
  </si>
  <si>
    <t>Программное обеспечение</t>
  </si>
  <si>
    <t>Рабочее место</t>
  </si>
  <si>
    <t>Суперкомпьютер</t>
  </si>
  <si>
    <t xml:space="preserve">Задолженность по долгосрочному кредиту </t>
  </si>
  <si>
    <t xml:space="preserve">Долгосрочный кредит </t>
  </si>
  <si>
    <t xml:space="preserve">оплата труда </t>
  </si>
  <si>
    <t>отчисления с заработной платы</t>
  </si>
  <si>
    <t>Выручка (нетто)</t>
  </si>
  <si>
    <t>- административные и коммерческие расходы</t>
  </si>
  <si>
    <t>Прочие  доходы</t>
  </si>
  <si>
    <t>Прочие расходы</t>
  </si>
  <si>
    <t>- прочие доходы</t>
  </si>
  <si>
    <t>-прочие расходы</t>
  </si>
  <si>
    <t>Мат. расходы на  покупку ПО (с НДС)</t>
  </si>
  <si>
    <t>Оборудование 1 и ПО</t>
  </si>
  <si>
    <t>Административные расходы 1 (с НДС) (Повышение квалификациии коммандировочные расходы)</t>
  </si>
  <si>
    <t>Инвестиции в основные средства и НМА</t>
  </si>
  <si>
    <t>Модуль КИС</t>
  </si>
  <si>
    <t>Запасы (Модуль КИС)</t>
  </si>
  <si>
    <t>Модуль КИС (% от выручки с НДС)</t>
  </si>
  <si>
    <t>Модуль КИС 
(% от выручки с НДС)</t>
  </si>
  <si>
    <t>Себестоимость единицы Модуль КИС</t>
  </si>
  <si>
    <t xml:space="preserve"> Источник https://www.economy.gov.ru/material/directions/makroec/prognozy_socialno_ekonomicheskogo_razvitiya/prognoz_socialno_ekonomicheskogo_razvitiya_rf_na_period_do_2024_goda_.html</t>
  </si>
  <si>
    <t>Прогноз инфляции на 2019-2024 гг</t>
  </si>
  <si>
    <t>3.8%</t>
  </si>
  <si>
    <t>3.2%</t>
  </si>
  <si>
    <t>4.0%</t>
  </si>
  <si>
    <t>3.0%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</si>
</sst>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р_._-;\-* #,##0.00_р_._-;_-* &quot;-&quot;??_р_._-;_-@_-"/>
    <numFmt numFmtId="165" formatCode="0.0%"/>
    <numFmt numFmtId="166" formatCode="0.0"/>
    <numFmt numFmtId="167" formatCode="General_)"/>
    <numFmt numFmtId="168" formatCode="#,##0.0"/>
    <numFmt numFmtId="169" formatCode="#,##0.0000"/>
  </numFmts>
  <fonts count="42" x14ac:knownFonts="1">
    <font>
      <sz val="10"/>
      <name val="Arial"/>
      <charset val="204"/>
    </font>
    <font>
      <sz val="10"/>
      <name val="Arial"/>
      <charset val="204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9"/>
      <name val="Arial Narrow"/>
      <family val="2"/>
    </font>
    <font>
      <sz val="10"/>
      <color indexed="9"/>
      <name val="Arial Narrow"/>
      <family val="2"/>
    </font>
    <font>
      <b/>
      <i/>
      <sz val="10"/>
      <name val="Arial Narrow"/>
      <family val="2"/>
    </font>
    <font>
      <sz val="10"/>
      <color indexed="17"/>
      <name val="Arial Narrow"/>
      <family val="2"/>
    </font>
    <font>
      <i/>
      <sz val="10"/>
      <name val="Arial Narrow"/>
      <family val="2"/>
    </font>
    <font>
      <b/>
      <sz val="10"/>
      <color indexed="56"/>
      <name val="Arial Narrow"/>
      <family val="2"/>
    </font>
    <font>
      <b/>
      <i/>
      <sz val="10"/>
      <color indexed="56"/>
      <name val="Arial Narrow"/>
      <family val="2"/>
    </font>
    <font>
      <b/>
      <sz val="10"/>
      <color indexed="12"/>
      <name val="Arial Narrow"/>
      <family val="2"/>
    </font>
    <font>
      <b/>
      <sz val="10"/>
      <color indexed="8"/>
      <name val="Arial Narrow"/>
      <family val="2"/>
    </font>
    <font>
      <sz val="10"/>
      <color indexed="63"/>
      <name val="Arial Narrow"/>
      <family val="2"/>
    </font>
    <font>
      <i/>
      <sz val="10"/>
      <color indexed="63"/>
      <name val="Arial Narrow"/>
      <family val="2"/>
    </font>
    <font>
      <sz val="10"/>
      <name val="Arial"/>
      <charset val="204"/>
    </font>
    <font>
      <sz val="8"/>
      <name val="Calibri"/>
      <family val="2"/>
      <charset val="204"/>
    </font>
    <font>
      <b/>
      <sz val="12"/>
      <name val="Arial Narrow"/>
      <family val="2"/>
    </font>
    <font>
      <i/>
      <sz val="8"/>
      <name val="Arial Narrow"/>
      <family val="2"/>
    </font>
    <font>
      <sz val="10"/>
      <name val="MS Sans Serif"/>
      <family val="2"/>
      <charset val="204"/>
    </font>
    <font>
      <sz val="11"/>
      <color indexed="8"/>
      <name val="Calibri"/>
      <family val="2"/>
      <charset val="204"/>
    </font>
    <font>
      <sz val="10"/>
      <color indexed="55"/>
      <name val="Arial Narrow"/>
      <family val="2"/>
    </font>
    <font>
      <b/>
      <sz val="10"/>
      <color indexed="55"/>
      <name val="Arial Narrow"/>
      <family val="2"/>
    </font>
    <font>
      <i/>
      <sz val="10"/>
      <color indexed="55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i/>
      <sz val="10"/>
      <color indexed="8"/>
      <name val="Arial Narrow"/>
      <family val="2"/>
    </font>
    <font>
      <b/>
      <u/>
      <sz val="10"/>
      <color indexed="8"/>
      <name val="Arial Narrow"/>
      <family val="2"/>
    </font>
    <font>
      <b/>
      <i/>
      <sz val="10"/>
      <color indexed="8"/>
      <name val="Arial Narrow"/>
      <family val="2"/>
    </font>
    <font>
      <sz val="10"/>
      <color indexed="9"/>
      <name val="Arial Narrow"/>
      <family val="2"/>
    </font>
    <font>
      <sz val="10"/>
      <color indexed="17"/>
      <name val="Arial Narrow"/>
      <family val="2"/>
    </font>
    <font>
      <sz val="10"/>
      <color indexed="17"/>
      <name val="Arial"/>
      <family val="2"/>
      <charset val="204"/>
    </font>
    <font>
      <sz val="10"/>
      <name val="Arial Narrow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204"/>
    </font>
    <font>
      <u/>
      <sz val="14"/>
      <color theme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 Narrow"/>
      <family val="2"/>
    </font>
    <font>
      <b/>
      <sz val="10"/>
      <name val="Arial"/>
      <family val="2"/>
      <charset val="204"/>
    </font>
    <font>
      <sz val="10"/>
      <color theme="0" tint="-0.249977111117893"/>
      <name val="Arial Narrow"/>
      <family val="2"/>
    </font>
    <font>
      <b/>
      <sz val="10"/>
      <color rgb="FFFF000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4" fillId="0" borderId="0"/>
    <xf numFmtId="9" fontId="20" fillId="0" borderId="0" applyFont="0" applyFill="0" applyBorder="0" applyAlignment="0" applyProtection="0"/>
    <xf numFmtId="0" fontId="34" fillId="0" borderId="0"/>
    <xf numFmtId="0" fontId="19" fillId="0" borderId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3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left"/>
    </xf>
    <xf numFmtId="9" fontId="7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0" xfId="0" applyFont="1"/>
    <xf numFmtId="0" fontId="3" fillId="0" borderId="0" xfId="0" applyFont="1"/>
    <xf numFmtId="0" fontId="6" fillId="0" borderId="0" xfId="0" applyFont="1"/>
    <xf numFmtId="3" fontId="2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3" fontId="7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9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/>
    <xf numFmtId="3" fontId="3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49" fontId="3" fillId="0" borderId="0" xfId="0" applyNumberFormat="1" applyFont="1" applyBorder="1"/>
    <xf numFmtId="49" fontId="8" fillId="0" borderId="0" xfId="0" applyNumberFormat="1" applyFont="1" applyBorder="1"/>
    <xf numFmtId="0" fontId="8" fillId="0" borderId="0" xfId="0" applyFont="1"/>
    <xf numFmtId="3" fontId="8" fillId="0" borderId="1" xfId="0" applyNumberFormat="1" applyFont="1" applyBorder="1" applyAlignment="1">
      <alignment horizontal="center"/>
    </xf>
    <xf numFmtId="49" fontId="9" fillId="0" borderId="0" xfId="0" applyNumberFormat="1" applyFont="1" applyBorder="1"/>
    <xf numFmtId="3" fontId="2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Border="1" applyAlignment="1">
      <alignment horizontal="left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2" fillId="0" borderId="1" xfId="0" applyFont="1" applyBorder="1"/>
    <xf numFmtId="0" fontId="16" fillId="0" borderId="0" xfId="0" applyFont="1" applyBorder="1" applyAlignment="1">
      <alignment vertical="top" wrapText="1"/>
    </xf>
    <xf numFmtId="3" fontId="2" fillId="0" borderId="0" xfId="0" applyNumberFormat="1" applyFont="1" applyAlignment="1">
      <alignment horizontal="center"/>
    </xf>
    <xf numFmtId="10" fontId="2" fillId="0" borderId="0" xfId="0" applyNumberFormat="1" applyFont="1" applyBorder="1"/>
    <xf numFmtId="10" fontId="2" fillId="0" borderId="0" xfId="0" applyNumberFormat="1" applyFont="1"/>
    <xf numFmtId="3" fontId="14" fillId="0" borderId="0" xfId="0" applyNumberFormat="1" applyFont="1"/>
    <xf numFmtId="0" fontId="17" fillId="0" borderId="0" xfId="0" applyFont="1"/>
    <xf numFmtId="0" fontId="3" fillId="9" borderId="1" xfId="0" applyFont="1" applyFill="1" applyBorder="1"/>
    <xf numFmtId="2" fontId="2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center" vertical="top" wrapText="1"/>
    </xf>
    <xf numFmtId="4" fontId="7" fillId="0" borderId="0" xfId="0" applyNumberFormat="1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/>
    </xf>
    <xf numFmtId="0" fontId="18" fillId="0" borderId="0" xfId="0" applyFont="1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1" fontId="2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7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2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9" fontId="22" fillId="0" borderId="0" xfId="0" applyNumberFormat="1" applyFont="1" applyFill="1" applyBorder="1" applyAlignment="1">
      <alignment horizontal="center"/>
    </xf>
    <xf numFmtId="0" fontId="21" fillId="0" borderId="0" xfId="0" applyFont="1" applyFill="1"/>
    <xf numFmtId="1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Alignment="1">
      <alignment horizontal="center"/>
    </xf>
    <xf numFmtId="0" fontId="21" fillId="0" borderId="0" xfId="0" applyFont="1" applyBorder="1"/>
    <xf numFmtId="3" fontId="7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2" fillId="0" borderId="1" xfId="5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5" xfId="0" applyFont="1" applyBorder="1"/>
    <xf numFmtId="1" fontId="2" fillId="0" borderId="0" xfId="0" applyNumberFormat="1" applyFont="1" applyBorder="1"/>
    <xf numFmtId="4" fontId="2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3" fontId="22" fillId="0" borderId="0" xfId="0" applyNumberFormat="1" applyFont="1" applyAlignment="1">
      <alignment horizontal="center"/>
    </xf>
    <xf numFmtId="3" fontId="21" fillId="0" borderId="0" xfId="0" applyNumberFormat="1" applyFont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0" fontId="3" fillId="8" borderId="0" xfId="4" applyFont="1" applyFill="1" applyBorder="1" applyProtection="1"/>
    <xf numFmtId="0" fontId="3" fillId="0" borderId="0" xfId="4" applyFont="1" applyFill="1" applyBorder="1" applyAlignment="1" applyProtection="1">
      <alignment horizontal="left"/>
    </xf>
    <xf numFmtId="0" fontId="8" fillId="0" borderId="0" xfId="4" applyFont="1" applyFill="1" applyBorder="1" applyAlignment="1" applyProtection="1">
      <alignment horizontal="left"/>
    </xf>
    <xf numFmtId="0" fontId="2" fillId="0" borderId="0" xfId="4" applyFont="1" applyFill="1" applyBorder="1" applyAlignment="1" applyProtection="1">
      <alignment horizontal="left"/>
    </xf>
    <xf numFmtId="0" fontId="2" fillId="0" borderId="0" xfId="4" applyFont="1" applyFill="1" applyBorder="1" applyProtection="1"/>
    <xf numFmtId="0" fontId="6" fillId="0" borderId="0" xfId="4" applyFont="1" applyFill="1" applyBorder="1" applyAlignment="1" applyProtection="1">
      <alignment horizontal="left"/>
    </xf>
    <xf numFmtId="49" fontId="8" fillId="0" borderId="0" xfId="4" applyNumberFormat="1" applyFont="1" applyFill="1" applyBorder="1" applyAlignment="1" applyProtection="1">
      <alignment horizontal="left"/>
    </xf>
    <xf numFmtId="167" fontId="12" fillId="0" borderId="0" xfId="4" applyNumberFormat="1" applyFont="1" applyFill="1" applyBorder="1" applyAlignment="1" applyProtection="1"/>
    <xf numFmtId="4" fontId="21" fillId="0" borderId="0" xfId="0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0" fontId="2" fillId="0" borderId="0" xfId="0" quotePrefix="1" applyFont="1"/>
    <xf numFmtId="0" fontId="23" fillId="0" borderId="0" xfId="0" applyFont="1"/>
    <xf numFmtId="49" fontId="23" fillId="0" borderId="0" xfId="0" applyNumberFormat="1" applyFont="1"/>
    <xf numFmtId="168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3" fontId="23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4" fillId="0" borderId="0" xfId="3" applyFont="1"/>
    <xf numFmtId="0" fontId="24" fillId="0" borderId="0" xfId="3" applyFont="1" applyFill="1"/>
    <xf numFmtId="0" fontId="25" fillId="0" borderId="0" xfId="3" applyFont="1" applyAlignment="1">
      <alignment vertical="center" wrapText="1"/>
    </xf>
    <xf numFmtId="0" fontId="25" fillId="0" borderId="0" xfId="3" applyFont="1"/>
    <xf numFmtId="0" fontId="24" fillId="0" borderId="0" xfId="3" applyFont="1" applyAlignment="1">
      <alignment vertical="center" wrapText="1"/>
    </xf>
    <xf numFmtId="0" fontId="7" fillId="0" borderId="1" xfId="0" applyNumberFormat="1" applyFont="1" applyBorder="1" applyAlignment="1">
      <alignment horizontal="center"/>
    </xf>
    <xf numFmtId="3" fontId="21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24" fillId="0" borderId="0" xfId="3" applyFont="1" applyBorder="1" applyAlignment="1">
      <alignment vertical="center" wrapText="1"/>
    </xf>
    <xf numFmtId="0" fontId="25" fillId="0" borderId="0" xfId="3" applyFont="1" applyBorder="1" applyAlignment="1">
      <alignment vertical="center" wrapText="1"/>
    </xf>
    <xf numFmtId="0" fontId="26" fillId="0" borderId="0" xfId="3" applyFont="1" applyBorder="1" applyAlignment="1">
      <alignment horizontal="right" vertical="center" wrapText="1"/>
    </xf>
    <xf numFmtId="0" fontId="26" fillId="0" borderId="0" xfId="3" applyFont="1" applyBorder="1" applyAlignment="1">
      <alignment vertical="center" wrapText="1"/>
    </xf>
    <xf numFmtId="0" fontId="24" fillId="0" borderId="0" xfId="3" applyFont="1" applyBorder="1"/>
    <xf numFmtId="0" fontId="25" fillId="0" borderId="0" xfId="3" applyFont="1" applyBorder="1" applyAlignment="1">
      <alignment horizontal="left" vertical="center" wrapText="1"/>
    </xf>
    <xf numFmtId="3" fontId="24" fillId="0" borderId="1" xfId="3" applyNumberFormat="1" applyFont="1" applyBorder="1" applyAlignment="1">
      <alignment horizontal="center"/>
    </xf>
    <xf numFmtId="3" fontId="25" fillId="0" borderId="1" xfId="3" applyNumberFormat="1" applyFont="1" applyBorder="1" applyAlignment="1">
      <alignment horizontal="center"/>
    </xf>
    <xf numFmtId="0" fontId="24" fillId="0" borderId="0" xfId="3" applyFont="1" applyBorder="1" applyAlignment="1">
      <alignment horizontal="center" vertical="center" wrapText="1"/>
    </xf>
    <xf numFmtId="3" fontId="26" fillId="0" borderId="1" xfId="3" applyNumberFormat="1" applyFont="1" applyBorder="1" applyAlignment="1">
      <alignment horizontal="center"/>
    </xf>
    <xf numFmtId="0" fontId="24" fillId="0" borderId="0" xfId="3" applyFont="1" applyBorder="1" applyAlignment="1">
      <alignment horizontal="right"/>
    </xf>
    <xf numFmtId="0" fontId="24" fillId="0" borderId="0" xfId="6" applyNumberFormat="1" applyFont="1" applyBorder="1"/>
    <xf numFmtId="0" fontId="24" fillId="0" borderId="0" xfId="3" applyFont="1" applyFill="1" applyBorder="1" applyAlignment="1">
      <alignment vertical="center" wrapText="1"/>
    </xf>
    <xf numFmtId="1" fontId="24" fillId="0" borderId="1" xfId="3" applyNumberFormat="1" applyFont="1" applyBorder="1" applyAlignment="1">
      <alignment horizontal="center"/>
    </xf>
    <xf numFmtId="3" fontId="24" fillId="0" borderId="1" xfId="8" applyNumberFormat="1" applyFont="1" applyBorder="1" applyAlignment="1">
      <alignment horizontal="center" vertical="center"/>
    </xf>
    <xf numFmtId="3" fontId="26" fillId="0" borderId="1" xfId="8" applyNumberFormat="1" applyFont="1" applyBorder="1" applyAlignment="1">
      <alignment horizontal="center" vertical="center"/>
    </xf>
    <xf numFmtId="3" fontId="25" fillId="0" borderId="1" xfId="8" applyNumberFormat="1" applyFont="1" applyBorder="1" applyAlignment="1">
      <alignment horizontal="center" vertical="center"/>
    </xf>
    <xf numFmtId="3" fontId="24" fillId="0" borderId="0" xfId="8" applyNumberFormat="1" applyFont="1" applyAlignment="1">
      <alignment horizontal="center" vertical="center"/>
    </xf>
    <xf numFmtId="3" fontId="24" fillId="0" borderId="0" xfId="8" applyNumberFormat="1" applyFont="1" applyBorder="1" applyAlignment="1">
      <alignment horizontal="center" vertical="center"/>
    </xf>
    <xf numFmtId="0" fontId="3" fillId="8" borderId="0" xfId="0" applyFont="1" applyFill="1"/>
    <xf numFmtId="0" fontId="26" fillId="0" borderId="0" xfId="3" applyFont="1" applyAlignment="1">
      <alignment horizontal="right"/>
    </xf>
    <xf numFmtId="3" fontId="26" fillId="0" borderId="0" xfId="8" applyNumberFormat="1" applyFont="1" applyBorder="1" applyAlignment="1">
      <alignment horizontal="center" vertical="center"/>
    </xf>
    <xf numFmtId="0" fontId="25" fillId="0" borderId="0" xfId="3" applyFont="1" applyAlignment="1">
      <alignment horizontal="left"/>
    </xf>
    <xf numFmtId="3" fontId="23" fillId="0" borderId="0" xfId="0" applyNumberFormat="1" applyFont="1" applyBorder="1" applyAlignment="1">
      <alignment horizontal="left"/>
    </xf>
    <xf numFmtId="0" fontId="27" fillId="0" borderId="0" xfId="3" applyFont="1" applyBorder="1" applyAlignment="1">
      <alignment vertical="center" wrapText="1"/>
    </xf>
    <xf numFmtId="0" fontId="24" fillId="0" borderId="0" xfId="3" applyFont="1" applyBorder="1" applyAlignment="1">
      <alignment wrapText="1"/>
    </xf>
    <xf numFmtId="0" fontId="26" fillId="0" borderId="0" xfId="3" applyFont="1" applyBorder="1" applyAlignment="1">
      <alignment horizontal="right" wrapText="1"/>
    </xf>
    <xf numFmtId="0" fontId="25" fillId="0" borderId="0" xfId="3" applyFont="1" applyBorder="1" applyAlignment="1">
      <alignment wrapText="1"/>
    </xf>
    <xf numFmtId="3" fontId="24" fillId="0" borderId="0" xfId="3" applyNumberFormat="1" applyFont="1" applyBorder="1" applyAlignment="1">
      <alignment horizontal="center"/>
    </xf>
    <xf numFmtId="0" fontId="24" fillId="0" borderId="0" xfId="3" applyFont="1" applyBorder="1" applyAlignment="1">
      <alignment horizontal="center"/>
    </xf>
    <xf numFmtId="0" fontId="24" fillId="0" borderId="0" xfId="3" applyFont="1" applyBorder="1" applyAlignment="1">
      <alignment horizontal="left" wrapText="1"/>
    </xf>
    <xf numFmtId="0" fontId="24" fillId="0" borderId="0" xfId="3" applyFont="1" applyAlignment="1">
      <alignment horizontal="left"/>
    </xf>
    <xf numFmtId="0" fontId="25" fillId="0" borderId="0" xfId="3" applyFont="1" applyBorder="1" applyAlignment="1">
      <alignment horizontal="left" wrapText="1"/>
    </xf>
    <xf numFmtId="3" fontId="26" fillId="0" borderId="0" xfId="3" applyNumberFormat="1" applyFont="1" applyBorder="1" applyAlignment="1">
      <alignment horizontal="center"/>
    </xf>
    <xf numFmtId="3" fontId="26" fillId="0" borderId="0" xfId="6" applyNumberFormat="1" applyFont="1" applyBorder="1" applyAlignment="1">
      <alignment horizontal="center"/>
    </xf>
    <xf numFmtId="3" fontId="24" fillId="0" borderId="0" xfId="6" applyNumberFormat="1" applyFont="1" applyBorder="1" applyAlignment="1">
      <alignment horizontal="center"/>
    </xf>
    <xf numFmtId="3" fontId="24" fillId="0" borderId="0" xfId="3" applyNumberFormat="1" applyFont="1" applyBorder="1" applyAlignment="1">
      <alignment horizontal="left"/>
    </xf>
    <xf numFmtId="3" fontId="24" fillId="0" borderId="0" xfId="6" applyNumberFormat="1" applyFont="1" applyBorder="1" applyAlignment="1">
      <alignment horizontal="left"/>
    </xf>
    <xf numFmtId="9" fontId="24" fillId="0" borderId="1" xfId="5" applyFont="1" applyBorder="1" applyAlignment="1">
      <alignment horizontal="center" vertical="center"/>
    </xf>
    <xf numFmtId="9" fontId="25" fillId="0" borderId="1" xfId="5" applyFont="1" applyBorder="1" applyAlignment="1">
      <alignment horizontal="center" vertical="center"/>
    </xf>
    <xf numFmtId="3" fontId="26" fillId="0" borderId="3" xfId="8" applyNumberFormat="1" applyFont="1" applyBorder="1" applyAlignment="1">
      <alignment horizontal="center" vertical="center"/>
    </xf>
    <xf numFmtId="0" fontId="24" fillId="0" borderId="0" xfId="3" applyFont="1" applyBorder="1" applyAlignment="1">
      <alignment horizontal="left" vertical="center" wrapText="1" indent="1"/>
    </xf>
    <xf numFmtId="0" fontId="24" fillId="0" borderId="0" xfId="3" applyFont="1" applyFill="1" applyBorder="1" applyAlignment="1">
      <alignment horizontal="left" vertical="center" wrapText="1" indent="1"/>
    </xf>
    <xf numFmtId="0" fontId="24" fillId="0" borderId="0" xfId="3" applyFont="1" applyAlignment="1">
      <alignment horizontal="left" indent="1"/>
    </xf>
    <xf numFmtId="0" fontId="24" fillId="0" borderId="0" xfId="3" applyFont="1" applyBorder="1" applyAlignment="1">
      <alignment horizontal="left" wrapText="1" indent="1"/>
    </xf>
    <xf numFmtId="0" fontId="26" fillId="0" borderId="0" xfId="3" applyFont="1" applyBorder="1" applyAlignment="1">
      <alignment horizontal="left" vertical="center" wrapText="1" indent="1"/>
    </xf>
    <xf numFmtId="3" fontId="28" fillId="0" borderId="1" xfId="8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3" fontId="24" fillId="0" borderId="0" xfId="3" applyNumberFormat="1" applyFont="1" applyBorder="1"/>
    <xf numFmtId="0" fontId="26" fillId="0" borderId="0" xfId="3" applyFont="1" applyBorder="1" applyAlignment="1">
      <alignment horizontal="left" wrapText="1" indent="1"/>
    </xf>
    <xf numFmtId="9" fontId="26" fillId="0" borderId="1" xfId="5" applyFont="1" applyBorder="1" applyAlignment="1">
      <alignment horizontal="center" vertical="center"/>
    </xf>
    <xf numFmtId="9" fontId="24" fillId="0" borderId="0" xfId="5" applyFont="1" applyBorder="1" applyAlignment="1">
      <alignment horizontal="center" vertical="center"/>
    </xf>
    <xf numFmtId="9" fontId="24" fillId="0" borderId="0" xfId="5" applyFont="1" applyBorder="1" applyAlignment="1">
      <alignment horizontal="center"/>
    </xf>
    <xf numFmtId="9" fontId="24" fillId="0" borderId="1" xfId="5" applyFont="1" applyBorder="1" applyAlignment="1">
      <alignment horizontal="center"/>
    </xf>
    <xf numFmtId="9" fontId="25" fillId="0" borderId="1" xfId="5" applyFont="1" applyBorder="1" applyAlignment="1">
      <alignment horizontal="center"/>
    </xf>
    <xf numFmtId="9" fontId="26" fillId="0" borderId="1" xfId="5" applyFont="1" applyBorder="1" applyAlignment="1">
      <alignment horizontal="center"/>
    </xf>
    <xf numFmtId="9" fontId="24" fillId="0" borderId="0" xfId="5" applyFont="1" applyBorder="1"/>
    <xf numFmtId="0" fontId="27" fillId="0" borderId="0" xfId="3" applyFont="1" applyBorder="1" applyAlignment="1">
      <alignment vertical="center"/>
    </xf>
    <xf numFmtId="0" fontId="24" fillId="0" borderId="0" xfId="3" applyFont="1" applyBorder="1" applyAlignment="1">
      <alignment vertical="center"/>
    </xf>
    <xf numFmtId="2" fontId="24" fillId="0" borderId="0" xfId="3" applyNumberFormat="1" applyFont="1" applyBorder="1" applyAlignment="1">
      <alignment horizontal="center" vertical="center" wrapText="1"/>
    </xf>
    <xf numFmtId="0" fontId="26" fillId="0" borderId="0" xfId="3" applyFont="1" applyBorder="1"/>
    <xf numFmtId="3" fontId="24" fillId="0" borderId="1" xfId="3" applyNumberFormat="1" applyFont="1" applyBorder="1" applyAlignment="1">
      <alignment horizontal="center" vertical="center" wrapText="1"/>
    </xf>
    <xf numFmtId="2" fontId="25" fillId="0" borderId="1" xfId="3" applyNumberFormat="1" applyFont="1" applyBorder="1" applyAlignment="1">
      <alignment horizontal="center" vertical="center" wrapText="1"/>
    </xf>
    <xf numFmtId="0" fontId="27" fillId="0" borderId="0" xfId="3" applyFont="1" applyBorder="1" applyAlignment="1">
      <alignment horizontal="center" vertical="center"/>
    </xf>
    <xf numFmtId="0" fontId="24" fillId="0" borderId="0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 wrapText="1"/>
    </xf>
    <xf numFmtId="1" fontId="24" fillId="0" borderId="1" xfId="3" applyNumberFormat="1" applyFont="1" applyBorder="1" applyAlignment="1">
      <alignment horizontal="center" vertical="center" wrapText="1"/>
    </xf>
    <xf numFmtId="166" fontId="24" fillId="0" borderId="1" xfId="3" applyNumberFormat="1" applyFont="1" applyBorder="1" applyAlignment="1">
      <alignment horizontal="center" vertical="center" wrapText="1"/>
    </xf>
    <xf numFmtId="0" fontId="24" fillId="0" borderId="0" xfId="3" applyFont="1" applyBorder="1" applyAlignment="1">
      <alignment horizontal="left" indent="1"/>
    </xf>
    <xf numFmtId="0" fontId="25" fillId="0" borderId="0" xfId="3" applyFont="1" applyBorder="1"/>
    <xf numFmtId="1" fontId="25" fillId="0" borderId="1" xfId="3" applyNumberFormat="1" applyFont="1" applyBorder="1" applyAlignment="1">
      <alignment horizontal="center"/>
    </xf>
    <xf numFmtId="0" fontId="24" fillId="0" borderId="1" xfId="3" applyFont="1" applyBorder="1" applyAlignment="1">
      <alignment vertical="center" wrapText="1"/>
    </xf>
    <xf numFmtId="0" fontId="25" fillId="0" borderId="1" xfId="3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9" fontId="24" fillId="0" borderId="1" xfId="6" applyFont="1" applyBorder="1" applyAlignment="1">
      <alignment horizontal="right" vertical="center" wrapText="1"/>
    </xf>
    <xf numFmtId="2" fontId="24" fillId="0" borderId="1" xfId="3" applyNumberFormat="1" applyFont="1" applyBorder="1" applyAlignment="1">
      <alignment horizontal="right" vertical="center" wrapText="1"/>
    </xf>
    <xf numFmtId="0" fontId="24" fillId="0" borderId="1" xfId="3" applyFont="1" applyBorder="1" applyAlignment="1">
      <alignment horizontal="left" vertical="center" wrapText="1"/>
    </xf>
    <xf numFmtId="2" fontId="24" fillId="0" borderId="1" xfId="3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5" fillId="0" borderId="1" xfId="3" applyNumberFormat="1" applyFont="1" applyBorder="1" applyAlignment="1">
      <alignment horizontal="center" vertical="center"/>
    </xf>
    <xf numFmtId="0" fontId="26" fillId="0" borderId="0" xfId="3" applyFont="1" applyBorder="1" applyAlignment="1">
      <alignment horizontal="right"/>
    </xf>
    <xf numFmtId="9" fontId="25" fillId="0" borderId="1" xfId="5" applyFont="1" applyBorder="1" applyAlignment="1">
      <alignment horizontal="center" vertical="center" wrapText="1"/>
    </xf>
    <xf numFmtId="0" fontId="24" fillId="0" borderId="0" xfId="3" applyFont="1" applyBorder="1" applyAlignment="1">
      <alignment horizontal="left" vertical="center" wrapText="1" indent="2"/>
    </xf>
    <xf numFmtId="9" fontId="24" fillId="0" borderId="1" xfId="6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4" fillId="7" borderId="0" xfId="0" applyFont="1" applyFill="1" applyBorder="1" applyAlignment="1">
      <alignment horizontal="left"/>
    </xf>
    <xf numFmtId="2" fontId="25" fillId="0" borderId="1" xfId="5" applyNumberFormat="1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0" fontId="25" fillId="0" borderId="1" xfId="3" applyFont="1" applyBorder="1"/>
    <xf numFmtId="9" fontId="7" fillId="0" borderId="1" xfId="5" applyFont="1" applyBorder="1" applyAlignment="1">
      <alignment horizontal="right"/>
    </xf>
    <xf numFmtId="4" fontId="29" fillId="0" borderId="0" xfId="0" applyNumberFormat="1" applyFont="1" applyFill="1" applyAlignment="1">
      <alignment horizontal="center"/>
    </xf>
    <xf numFmtId="3" fontId="11" fillId="0" borderId="0" xfId="0" applyNumberFormat="1" applyFont="1" applyAlignment="1">
      <alignment horizontal="right"/>
    </xf>
    <xf numFmtId="9" fontId="2" fillId="0" borderId="0" xfId="5" applyFont="1" applyAlignment="1">
      <alignment horizontal="center"/>
    </xf>
    <xf numFmtId="9" fontId="7" fillId="0" borderId="0" xfId="5" applyFont="1" applyAlignment="1">
      <alignment horizontal="center"/>
    </xf>
    <xf numFmtId="10" fontId="21" fillId="0" borderId="0" xfId="0" applyNumberFormat="1" applyFont="1"/>
    <xf numFmtId="9" fontId="2" fillId="0" borderId="0" xfId="5" applyFont="1"/>
    <xf numFmtId="10" fontId="2" fillId="0" borderId="0" xfId="5" applyNumberFormat="1" applyFont="1"/>
    <xf numFmtId="10" fontId="21" fillId="0" borderId="0" xfId="5" applyNumberFormat="1" applyFont="1"/>
    <xf numFmtId="0" fontId="21" fillId="2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3" fontId="21" fillId="0" borderId="0" xfId="0" applyNumberFormat="1" applyFont="1"/>
    <xf numFmtId="9" fontId="21" fillId="0" borderId="0" xfId="5" applyFont="1"/>
    <xf numFmtId="0" fontId="22" fillId="0" borderId="0" xfId="0" applyFont="1"/>
    <xf numFmtId="3" fontId="7" fillId="0" borderId="6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65" fontId="30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/>
    </xf>
    <xf numFmtId="3" fontId="30" fillId="0" borderId="1" xfId="0" applyNumberFormat="1" applyFont="1" applyBorder="1" applyAlignment="1">
      <alignment horizontal="center"/>
    </xf>
    <xf numFmtId="3" fontId="30" fillId="0" borderId="1" xfId="0" applyNumberFormat="1" applyFont="1" applyBorder="1" applyAlignment="1">
      <alignment horizontal="center" vertical="center"/>
    </xf>
    <xf numFmtId="0" fontId="32" fillId="0" borderId="0" xfId="0" applyFont="1"/>
    <xf numFmtId="0" fontId="31" fillId="0" borderId="0" xfId="0" applyFont="1"/>
    <xf numFmtId="0" fontId="32" fillId="0" borderId="0" xfId="0" applyFont="1" applyBorder="1"/>
    <xf numFmtId="0" fontId="31" fillId="0" borderId="0" xfId="0" applyFont="1" applyBorder="1"/>
    <xf numFmtId="0" fontId="30" fillId="0" borderId="0" xfId="0" applyFont="1" applyBorder="1"/>
    <xf numFmtId="2" fontId="2" fillId="0" borderId="7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/>
    <xf numFmtId="2" fontId="7" fillId="0" borderId="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30" fillId="0" borderId="1" xfId="0" applyNumberFormat="1" applyFont="1" applyFill="1" applyBorder="1" applyAlignment="1">
      <alignment horizontal="center" vertical="center"/>
    </xf>
    <xf numFmtId="0" fontId="33" fillId="0" borderId="1" xfId="3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 vertical="center"/>
    </xf>
    <xf numFmtId="0" fontId="36" fillId="0" borderId="0" xfId="10" applyFont="1"/>
    <xf numFmtId="165" fontId="30" fillId="0" borderId="1" xfId="0" applyNumberFormat="1" applyFont="1" applyFill="1" applyBorder="1" applyAlignment="1">
      <alignment horizontal="center"/>
    </xf>
    <xf numFmtId="0" fontId="37" fillId="0" borderId="0" xfId="0" applyFont="1" applyAlignment="1">
      <alignment horizontal="left"/>
    </xf>
    <xf numFmtId="1" fontId="7" fillId="10" borderId="1" xfId="0" applyNumberFormat="1" applyFont="1" applyFill="1" applyBorder="1" applyAlignment="1">
      <alignment horizontal="right"/>
    </xf>
    <xf numFmtId="1" fontId="7" fillId="10" borderId="0" xfId="0" applyNumberFormat="1" applyFont="1" applyFill="1" applyAlignment="1">
      <alignment horizontal="right"/>
    </xf>
    <xf numFmtId="0" fontId="33" fillId="10" borderId="1" xfId="3" applyFont="1" applyFill="1" applyBorder="1" applyAlignment="1">
      <alignment horizontal="left" vertical="center" wrapText="1"/>
    </xf>
    <xf numFmtId="49" fontId="2" fillId="10" borderId="0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/>
    <xf numFmtId="9" fontId="2" fillId="0" borderId="0" xfId="0" applyNumberFormat="1" applyFont="1"/>
    <xf numFmtId="0" fontId="37" fillId="11" borderId="1" xfId="0" applyFont="1" applyFill="1" applyBorder="1" applyAlignment="1">
      <alignment horizontal="center" vertical="center" wrapText="1"/>
    </xf>
    <xf numFmtId="0" fontId="39" fillId="12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4" fontId="31" fillId="0" borderId="0" xfId="0" applyNumberFormat="1" applyFont="1" applyFill="1" applyBorder="1" applyAlignment="1">
      <alignment horizontal="center" vertical="center"/>
    </xf>
    <xf numFmtId="4" fontId="30" fillId="0" borderId="0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/>
    <xf numFmtId="2" fontId="30" fillId="0" borderId="0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3" fontId="8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3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4" fillId="0" borderId="0" xfId="0" applyFont="1" applyFill="1"/>
    <xf numFmtId="0" fontId="6" fillId="0" borderId="0" xfId="0" applyFont="1" applyFill="1"/>
    <xf numFmtId="3" fontId="40" fillId="0" borderId="0" xfId="0" applyNumberFormat="1" applyFont="1"/>
    <xf numFmtId="0" fontId="40" fillId="0" borderId="0" xfId="0" applyFont="1"/>
    <xf numFmtId="49" fontId="8" fillId="0" borderId="0" xfId="0" applyNumberFormat="1" applyFont="1" applyFill="1" applyBorder="1"/>
    <xf numFmtId="2" fontId="11" fillId="0" borderId="0" xfId="5" applyNumberFormat="1" applyFont="1"/>
    <xf numFmtId="0" fontId="0" fillId="10" borderId="0" xfId="0" applyFill="1"/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165" fontId="30" fillId="10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2" fontId="2" fillId="10" borderId="7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/>
    </xf>
    <xf numFmtId="0" fontId="2" fillId="10" borderId="0" xfId="0" applyFont="1" applyFill="1" applyBorder="1"/>
    <xf numFmtId="0" fontId="6" fillId="10" borderId="0" xfId="0" applyFont="1" applyFill="1" applyBorder="1"/>
    <xf numFmtId="4" fontId="7" fillId="10" borderId="0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0" fontId="38" fillId="0" borderId="0" xfId="0" applyFont="1"/>
    <xf numFmtId="0" fontId="38" fillId="0" borderId="0" xfId="0" applyFont="1" applyBorder="1"/>
    <xf numFmtId="0" fontId="41" fillId="0" borderId="0" xfId="0" applyFont="1"/>
    <xf numFmtId="0" fontId="38" fillId="0" borderId="0" xfId="0" applyFont="1" applyFill="1"/>
    <xf numFmtId="0" fontId="38" fillId="0" borderId="0" xfId="0" applyFont="1" applyAlignment="1">
      <alignment horizontal="center"/>
    </xf>
    <xf numFmtId="3" fontId="7" fillId="13" borderId="1" xfId="0" applyNumberFormat="1" applyFont="1" applyFill="1" applyBorder="1" applyAlignment="1">
      <alignment horizontal="center" vertical="center"/>
    </xf>
    <xf numFmtId="0" fontId="37" fillId="0" borderId="0" xfId="0" applyFont="1"/>
    <xf numFmtId="0" fontId="37" fillId="0" borderId="0" xfId="0" applyFont="1" applyFill="1"/>
    <xf numFmtId="3" fontId="2" fillId="0" borderId="0" xfId="0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32" fillId="0" borderId="0" xfId="0" applyFont="1" applyFill="1"/>
    <xf numFmtId="164" fontId="2" fillId="0" borderId="1" xfId="8" applyFont="1" applyBorder="1" applyAlignment="1">
      <alignment horizontal="center"/>
    </xf>
    <xf numFmtId="164" fontId="3" fillId="0" borderId="1" xfId="8" applyFont="1" applyBorder="1" applyAlignment="1">
      <alignment horizontal="center"/>
    </xf>
    <xf numFmtId="9" fontId="7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4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4" fillId="7" borderId="0" xfId="0" applyFont="1" applyFill="1" applyAlignment="1">
      <alignment horizontal="left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</cellXfs>
  <cellStyles count="11">
    <cellStyle name="Normal 2" xfId="1"/>
    <cellStyle name="Percent 2" xfId="2"/>
    <cellStyle name="Гиперссылка" xfId="10" builtinId="8"/>
    <cellStyle name="Обычный" xfId="0" builtinId="0"/>
    <cellStyle name="Обычный 2" xfId="3"/>
    <cellStyle name="Обычный_MAIN 2" xfId="4"/>
    <cellStyle name="Процентный" xfId="5" builtinId="5"/>
    <cellStyle name="Процентный 2" xfId="6"/>
    <cellStyle name="Процентный 3" xfId="7"/>
    <cellStyle name="Финансовый" xfId="8" builtinId="3"/>
    <cellStyle name="Финансовый 2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Средневзвешенная стоимость привлекаемого финансирования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5320259775023"/>
          <c:y val="0.3180717872383324"/>
          <c:w val="0.67664829619264488"/>
          <c:h val="0.45652656521266582"/>
        </c:manualLayout>
      </c:layout>
      <c:lineChart>
        <c:grouping val="standard"/>
        <c:varyColors val="0"/>
        <c:ser>
          <c:idx val="0"/>
          <c:order val="0"/>
          <c:tx>
            <c:v>WACC, %</c:v>
          </c:tx>
          <c:marker>
            <c:symbol val="none"/>
          </c:marker>
          <c:cat>
            <c:strRef>
              <c:f>'Финан-е'!$E$2:$X$2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'Финан-е'!$E$76:$X$76</c:f>
              <c:numCache>
                <c:formatCode>0.00%</c:formatCode>
                <c:ptCount val="20"/>
                <c:pt idx="0">
                  <c:v>4.6635139392105618E-2</c:v>
                </c:pt>
                <c:pt idx="1">
                  <c:v>4.6635139392105618E-2</c:v>
                </c:pt>
                <c:pt idx="2">
                  <c:v>4.6635139392105618E-2</c:v>
                </c:pt>
                <c:pt idx="3">
                  <c:v>4.6635139392105618E-2</c:v>
                </c:pt>
                <c:pt idx="4">
                  <c:v>5.7371263440564091E-2</c:v>
                </c:pt>
                <c:pt idx="5">
                  <c:v>5.7371263440564091E-2</c:v>
                </c:pt>
                <c:pt idx="6">
                  <c:v>5.7371263440564091E-2</c:v>
                </c:pt>
                <c:pt idx="7">
                  <c:v>5.7371263440564091E-2</c:v>
                </c:pt>
                <c:pt idx="8">
                  <c:v>6.3659179388997789E-2</c:v>
                </c:pt>
                <c:pt idx="9">
                  <c:v>6.3659179388997789E-2</c:v>
                </c:pt>
                <c:pt idx="10">
                  <c:v>6.3659179388997789E-2</c:v>
                </c:pt>
                <c:pt idx="11">
                  <c:v>6.3659179388997789E-2</c:v>
                </c:pt>
                <c:pt idx="12">
                  <c:v>6.3659179388997789E-2</c:v>
                </c:pt>
                <c:pt idx="13">
                  <c:v>6.3659179388997789E-2</c:v>
                </c:pt>
                <c:pt idx="14">
                  <c:v>6.3659179388997789E-2</c:v>
                </c:pt>
                <c:pt idx="15">
                  <c:v>6.3659179388997789E-2</c:v>
                </c:pt>
                <c:pt idx="16">
                  <c:v>6.3659179388997789E-2</c:v>
                </c:pt>
                <c:pt idx="17">
                  <c:v>6.3659179388997789E-2</c:v>
                </c:pt>
                <c:pt idx="18">
                  <c:v>6.3659179388997789E-2</c:v>
                </c:pt>
                <c:pt idx="19">
                  <c:v>6.3659179388997789E-2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48744"/>
        <c:axId val="185035872"/>
      </c:lineChart>
      <c:catAx>
        <c:axId val="18454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5035872"/>
        <c:crosses val="autoZero"/>
        <c:auto val="1"/>
        <c:lblAlgn val="ctr"/>
        <c:lblOffset val="100"/>
        <c:noMultiLvlLbl val="0"/>
      </c:catAx>
      <c:valAx>
        <c:axId val="1850358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4548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136482939632"/>
          <c:y val="0.59498148097341497"/>
          <c:w val="0.14654680664916916"/>
          <c:h val="7.8582494261388178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43095578605914E-2"/>
          <c:y val="9.9031800979319545E-2"/>
          <c:w val="0.83956580948220849"/>
          <c:h val="0.59581857119791737"/>
        </c:manualLayout>
      </c:layout>
      <c:lineChart>
        <c:grouping val="standard"/>
        <c:varyColors val="0"/>
        <c:ser>
          <c:idx val="0"/>
          <c:order val="0"/>
          <c:tx>
            <c:strRef>
              <c:f>Окружение!$B$19</c:f>
              <c:strCache>
                <c:ptCount val="1"/>
                <c:pt idx="0">
                  <c:v>Требуемая норма доходности</c:v>
                </c:pt>
              </c:strCache>
            </c:strRef>
          </c:tx>
          <c:marker>
            <c:symbol val="none"/>
          </c:marker>
          <c:cat>
            <c:strRef>
              <c:f>'Финан-е'!$E$2:$X$2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Окружение!$D$20:$W$20</c:f>
              <c:numCache>
                <c:formatCode>0.00%</c:formatCode>
                <c:ptCount val="20"/>
                <c:pt idx="0">
                  <c:v>4.6635139392105618E-2</c:v>
                </c:pt>
                <c:pt idx="1">
                  <c:v>4.6635139392105618E-2</c:v>
                </c:pt>
                <c:pt idx="2">
                  <c:v>4.6635139392105618E-2</c:v>
                </c:pt>
                <c:pt idx="3">
                  <c:v>4.6635139392105618E-2</c:v>
                </c:pt>
                <c:pt idx="4">
                  <c:v>5.7371263440564091E-2</c:v>
                </c:pt>
                <c:pt idx="5">
                  <c:v>5.7371263440564091E-2</c:v>
                </c:pt>
                <c:pt idx="6">
                  <c:v>5.7371263440564091E-2</c:v>
                </c:pt>
                <c:pt idx="7">
                  <c:v>5.7371263440564091E-2</c:v>
                </c:pt>
                <c:pt idx="8">
                  <c:v>6.3659179388997789E-2</c:v>
                </c:pt>
                <c:pt idx="9">
                  <c:v>6.3659179388997789E-2</c:v>
                </c:pt>
                <c:pt idx="10">
                  <c:v>6.3659179388997789E-2</c:v>
                </c:pt>
                <c:pt idx="11">
                  <c:v>6.3659179388997789E-2</c:v>
                </c:pt>
                <c:pt idx="12">
                  <c:v>6.3659179388997789E-2</c:v>
                </c:pt>
                <c:pt idx="13">
                  <c:v>6.3659179388997789E-2</c:v>
                </c:pt>
                <c:pt idx="14">
                  <c:v>6.3659179388997789E-2</c:v>
                </c:pt>
                <c:pt idx="15">
                  <c:v>6.3659179388997789E-2</c:v>
                </c:pt>
                <c:pt idx="16">
                  <c:v>6.3659179388997789E-2</c:v>
                </c:pt>
                <c:pt idx="17">
                  <c:v>6.3659179388997789E-2</c:v>
                </c:pt>
                <c:pt idx="18">
                  <c:v>6.3659179388997789E-2</c:v>
                </c:pt>
                <c:pt idx="19">
                  <c:v>6.3659179388997789E-2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'Финан-е'!$B$76</c:f>
              <c:strCache>
                <c:ptCount val="1"/>
                <c:pt idx="0">
                  <c:v>WACC</c:v>
                </c:pt>
              </c:strCache>
            </c:strRef>
          </c:tx>
          <c:marker>
            <c:symbol val="none"/>
          </c:marker>
          <c:cat>
            <c:strRef>
              <c:f>'Финан-е'!$E$2:$X$2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'Финан-е'!$E$76:$X$76</c:f>
              <c:numCache>
                <c:formatCode>0.00%</c:formatCode>
                <c:ptCount val="20"/>
                <c:pt idx="0">
                  <c:v>4.6635139392105618E-2</c:v>
                </c:pt>
                <c:pt idx="1">
                  <c:v>4.6635139392105618E-2</c:v>
                </c:pt>
                <c:pt idx="2">
                  <c:v>4.6635139392105618E-2</c:v>
                </c:pt>
                <c:pt idx="3">
                  <c:v>4.6635139392105618E-2</c:v>
                </c:pt>
                <c:pt idx="4">
                  <c:v>5.7371263440564091E-2</c:v>
                </c:pt>
                <c:pt idx="5">
                  <c:v>5.7371263440564091E-2</c:v>
                </c:pt>
                <c:pt idx="6">
                  <c:v>5.7371263440564091E-2</c:v>
                </c:pt>
                <c:pt idx="7">
                  <c:v>5.7371263440564091E-2</c:v>
                </c:pt>
                <c:pt idx="8">
                  <c:v>6.3659179388997789E-2</c:v>
                </c:pt>
                <c:pt idx="9">
                  <c:v>6.3659179388997789E-2</c:v>
                </c:pt>
                <c:pt idx="10">
                  <c:v>6.3659179388997789E-2</c:v>
                </c:pt>
                <c:pt idx="11">
                  <c:v>6.3659179388997789E-2</c:v>
                </c:pt>
                <c:pt idx="12">
                  <c:v>6.3659179388997789E-2</c:v>
                </c:pt>
                <c:pt idx="13">
                  <c:v>6.3659179388997789E-2</c:v>
                </c:pt>
                <c:pt idx="14">
                  <c:v>6.3659179388997789E-2</c:v>
                </c:pt>
                <c:pt idx="15">
                  <c:v>6.3659179388997789E-2</c:v>
                </c:pt>
                <c:pt idx="16">
                  <c:v>6.3659179388997789E-2</c:v>
                </c:pt>
                <c:pt idx="17">
                  <c:v>6.3659179388997789E-2</c:v>
                </c:pt>
                <c:pt idx="18">
                  <c:v>6.3659179388997789E-2</c:v>
                </c:pt>
                <c:pt idx="19">
                  <c:v>6.3659179388997789E-2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771704"/>
        <c:axId val="231966224"/>
      </c:lineChart>
      <c:catAx>
        <c:axId val="23177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1966224"/>
        <c:crosses val="autoZero"/>
        <c:auto val="1"/>
        <c:lblAlgn val="ctr"/>
        <c:lblOffset val="100"/>
        <c:noMultiLvlLbl val="0"/>
      </c:catAx>
      <c:valAx>
        <c:axId val="23196622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1771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584263923531299"/>
          <c:y val="0.88280983609037533"/>
          <c:w val="0.6440258011226867"/>
          <c:h val="9.0464498854069722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3550508330762"/>
          <c:y val="0.17133650230302638"/>
          <c:w val="0.81833199809952861"/>
          <c:h val="0.5752011148744459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'Вертикальный анализ'!$A$6</c:f>
              <c:strCache>
                <c:ptCount val="1"/>
                <c:pt idx="0">
                  <c:v>Нематериальные активы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анализ'!$C$6:$G$6</c:f>
              <c:numCache>
                <c:formatCode>0%</c:formatCode>
                <c:ptCount val="5"/>
                <c:pt idx="0">
                  <c:v>5.3294808180741962E-2</c:v>
                </c:pt>
                <c:pt idx="1">
                  <c:v>3.1944684307936072E-3</c:v>
                </c:pt>
                <c:pt idx="2">
                  <c:v>2.8718334733754632E-3</c:v>
                </c:pt>
                <c:pt idx="3">
                  <c:v>1.4060510270263783E-3</c:v>
                </c:pt>
                <c:pt idx="4">
                  <c:v>8.5494334255671654E-4</c:v>
                </c:pt>
              </c:numCache>
            </c:numRef>
          </c:val>
        </c:ser>
        <c:ser>
          <c:idx val="1"/>
          <c:order val="1"/>
          <c:tx>
            <c:strRef>
              <c:f>'Вертикальный анализ'!$A$7</c:f>
              <c:strCache>
                <c:ptCount val="1"/>
                <c:pt idx="0">
                  <c:v>Основные средства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анализ'!$C$7:$G$7</c:f>
              <c:numCache>
                <c:formatCode>0%</c:formatCode>
                <c:ptCount val="5"/>
                <c:pt idx="0">
                  <c:v>9.2310390135034948E-2</c:v>
                </c:pt>
                <c:pt idx="1">
                  <c:v>5.3462350162195808E-3</c:v>
                </c:pt>
                <c:pt idx="2">
                  <c:v>4.6185743795278452E-3</c:v>
                </c:pt>
                <c:pt idx="3">
                  <c:v>2.1578700960100295E-3</c:v>
                </c:pt>
                <c:pt idx="4">
                  <c:v>1.2408384490176329E-3</c:v>
                </c:pt>
              </c:numCache>
            </c:numRef>
          </c:val>
        </c:ser>
        <c:ser>
          <c:idx val="2"/>
          <c:order val="2"/>
          <c:tx>
            <c:strRef>
              <c:f>'Вертикальный анализ'!$A$8</c:f>
              <c:strCache>
                <c:ptCount val="1"/>
                <c:pt idx="0">
                  <c:v>Незавершенные капитальные вложения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анализ'!$C$8:$G$8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'Вертикальный анализ'!$A$12</c:f>
              <c:strCache>
                <c:ptCount val="1"/>
                <c:pt idx="0">
                  <c:v>Запасы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анализ'!$C$12:$G$12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'Вертикальный анализ'!$A$13</c:f>
              <c:strCache>
                <c:ptCount val="1"/>
                <c:pt idx="0">
                  <c:v>Дебиторская задолженность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анализ'!$C$13:$G$13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'Вертикальный анализ'!$A$14</c:f>
              <c:strCache>
                <c:ptCount val="1"/>
                <c:pt idx="0">
                  <c:v>Авансы поставщикам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анализ'!$C$14:$G$14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'Вертикальный анализ'!$A$15</c:f>
              <c:strCache>
                <c:ptCount val="1"/>
                <c:pt idx="0">
                  <c:v>НДС к получению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анализ'!$C$15:$G$15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'Вертикальный анализ'!$A$16</c:f>
              <c:strCache>
                <c:ptCount val="1"/>
                <c:pt idx="0">
                  <c:v>Денежные средства и их эквиваленты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анализ'!$C$16:$G$16</c:f>
              <c:numCache>
                <c:formatCode>0%</c:formatCode>
                <c:ptCount val="5"/>
                <c:pt idx="0">
                  <c:v>0.8543948016842231</c:v>
                </c:pt>
                <c:pt idx="1">
                  <c:v>0.99145929655298681</c:v>
                </c:pt>
                <c:pt idx="2">
                  <c:v>0.99250959214709666</c:v>
                </c:pt>
                <c:pt idx="3">
                  <c:v>0.99643607887696362</c:v>
                </c:pt>
                <c:pt idx="4">
                  <c:v>0.99790421820842568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30312"/>
        <c:axId val="233330696"/>
      </c:barChart>
      <c:catAx>
        <c:axId val="23333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330696"/>
        <c:crosses val="autoZero"/>
        <c:auto val="1"/>
        <c:lblAlgn val="ctr"/>
        <c:lblOffset val="100"/>
        <c:noMultiLvlLbl val="0"/>
      </c:catAx>
      <c:valAx>
        <c:axId val="2333306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3303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0731851289673288E-2"/>
          <c:y val="0.76489501312336183"/>
          <c:w val="0.83578049731735315"/>
          <c:h val="0.2080514793605344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0097204642366"/>
          <c:y val="0.16532546769675172"/>
          <c:w val="0.81484230940827262"/>
          <c:h val="0.5565957412457308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'Вертикальный анализ'!$A$24</c:f>
              <c:strCache>
                <c:ptCount val="1"/>
                <c:pt idx="0">
                  <c:v>Уставный капитал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анализ'!$C$24:$G$24</c:f>
              <c:numCache>
                <c:formatCode>0%</c:formatCode>
                <c:ptCount val="5"/>
                <c:pt idx="0">
                  <c:v>1.1251744205148444</c:v>
                </c:pt>
                <c:pt idx="1">
                  <c:v>7.1189287031849985E-2</c:v>
                </c:pt>
                <c:pt idx="2">
                  <c:v>6.7763975975664997E-2</c:v>
                </c:pt>
                <c:pt idx="3">
                  <c:v>3.525085436029305E-2</c:v>
                </c:pt>
                <c:pt idx="4">
                  <c:v>2.2863074089901996E-2</c:v>
                </c:pt>
              </c:numCache>
            </c:numRef>
          </c:val>
        </c:ser>
        <c:ser>
          <c:idx val="1"/>
          <c:order val="1"/>
          <c:tx>
            <c:strRef>
              <c:f>'Вертикальный анализ'!$A$25</c:f>
              <c:strCache>
                <c:ptCount val="1"/>
                <c:pt idx="0">
                  <c:v>Целевое финансирование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анализ'!$C$25:$G$25</c:f>
              <c:numCache>
                <c:formatCode>0%</c:formatCode>
                <c:ptCount val="5"/>
                <c:pt idx="0">
                  <c:v>1.3127034906006518</c:v>
                </c:pt>
                <c:pt idx="1">
                  <c:v>0.22543274226752494</c:v>
                </c:pt>
                <c:pt idx="2">
                  <c:v>0.21458592392293915</c:v>
                </c:pt>
                <c:pt idx="3">
                  <c:v>0.11162770547426132</c:v>
                </c:pt>
                <c:pt idx="4">
                  <c:v>7.2399734618022987E-2</c:v>
                </c:pt>
              </c:numCache>
            </c:numRef>
          </c:val>
        </c:ser>
        <c:ser>
          <c:idx val="2"/>
          <c:order val="2"/>
          <c:tx>
            <c:strRef>
              <c:f>'Вертикальный анализ'!$A$26</c:f>
              <c:strCache>
                <c:ptCount val="1"/>
                <c:pt idx="0">
                  <c:v>Нераспределенная прибыль (+) / убыток (-)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анализ'!$C$26:$G$26</c:f>
              <c:numCache>
                <c:formatCode>0%</c:formatCode>
                <c:ptCount val="5"/>
                <c:pt idx="0">
                  <c:v>-1.4378779111154965</c:v>
                </c:pt>
                <c:pt idx="1">
                  <c:v>0.70337797070062513</c:v>
                </c:pt>
                <c:pt idx="2">
                  <c:v>0.71765010010139585</c:v>
                </c:pt>
                <c:pt idx="3">
                  <c:v>0.85312144016544567</c:v>
                </c:pt>
                <c:pt idx="4">
                  <c:v>0.90473719129207497</c:v>
                </c:pt>
              </c:numCache>
            </c:numRef>
          </c:val>
        </c:ser>
        <c:ser>
          <c:idx val="3"/>
          <c:order val="3"/>
          <c:tx>
            <c:strRef>
              <c:f>'Вертикальный анализ'!$A$30</c:f>
              <c:strCache>
                <c:ptCount val="1"/>
                <c:pt idx="0">
                  <c:v>Долгосрочные кредиты и займы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анализ'!$C$30:$G$30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'Вертикальный анализ'!$A$34</c:f>
              <c:strCache>
                <c:ptCount val="1"/>
                <c:pt idx="0">
                  <c:v>Краткосрочные кредиты и займы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анализ'!$C$34:$G$34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'Вертикальный анализ'!$A$35</c:f>
              <c:strCache>
                <c:ptCount val="1"/>
                <c:pt idx="0">
                  <c:v>Кредиторская задолженность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анализ'!$C$35:$G$35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'Вертикальный анализ'!$A$36</c:f>
              <c:strCache>
                <c:ptCount val="1"/>
                <c:pt idx="0">
                  <c:v>Авансы покупателей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анализ'!$C$36:$G$36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'Вертикальный анализ'!$A$37</c:f>
              <c:strCache>
                <c:ptCount val="1"/>
                <c:pt idx="0">
                  <c:v>Задолженность перед персоналом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анализ'!$C$37:$G$37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'Вертикальный анализ'!$A$38</c:f>
              <c:strCache>
                <c:ptCount val="1"/>
                <c:pt idx="0">
                  <c:v>Задолженность по выплате процентов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'Вертикальный анализ'!$C$38:$G$38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77648"/>
        <c:axId val="184290320"/>
      </c:barChart>
      <c:catAx>
        <c:axId val="23337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84290320"/>
        <c:crosses val="autoZero"/>
        <c:auto val="1"/>
        <c:lblAlgn val="ctr"/>
        <c:lblOffset val="100"/>
        <c:noMultiLvlLbl val="0"/>
      </c:catAx>
      <c:valAx>
        <c:axId val="1842903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3776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1538522473423211E-2"/>
          <c:y val="0.73294284642991159"/>
          <c:w val="0.8462495709163117"/>
          <c:h val="0.2590098559108684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0636242808468"/>
          <c:y val="0.16744420298031093"/>
          <c:w val="0.66196534978404931"/>
          <c:h val="0.58605471043108703"/>
        </c:manualLayout>
      </c:layout>
      <c:lineChart>
        <c:grouping val="standard"/>
        <c:varyColors val="0"/>
        <c:ser>
          <c:idx val="0"/>
          <c:order val="0"/>
          <c:tx>
            <c:strRef>
              <c:f>'Анализ рентабельности'!$A$12</c:f>
              <c:strCache>
                <c:ptCount val="1"/>
                <c:pt idx="0">
                  <c:v>Маржа чистой прибыли</c:v>
                </c:pt>
              </c:strCache>
            </c:strRef>
          </c:tx>
          <c:cat>
            <c:numRef>
              <c:f>'Анализ рентабельности'!$C$2:$G$2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'Анализ рентабельности'!$C$12:$G$12</c:f>
              <c:numCache>
                <c:formatCode>0%</c:formatCode>
                <c:ptCount val="5"/>
                <c:pt idx="0">
                  <c:v>0</c:v>
                </c:pt>
                <c:pt idx="1">
                  <c:v>0.37051465186710686</c:v>
                </c:pt>
                <c:pt idx="2">
                  <c:v>0.37185522223940876</c:v>
                </c:pt>
                <c:pt idx="3">
                  <c:v>0.40007988056685589</c:v>
                </c:pt>
                <c:pt idx="4">
                  <c:v>0.40949863215383053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'Анализ рентабельности'!$A$17</c:f>
              <c:strCache>
                <c:ptCount val="1"/>
                <c:pt idx="0">
                  <c:v>Рентабельность продаж (маржа EBIT)</c:v>
                </c:pt>
              </c:strCache>
            </c:strRef>
          </c:tx>
          <c:cat>
            <c:numRef>
              <c:f>'Анализ рентабельности'!$C$2:$G$2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'Анализ рентабельности'!$C$17:$G$17</c:f>
              <c:numCache>
                <c:formatCode>0%</c:formatCode>
                <c:ptCount val="5"/>
                <c:pt idx="0">
                  <c:v>0</c:v>
                </c:pt>
                <c:pt idx="1">
                  <c:v>0.46730537308393433</c:v>
                </c:pt>
                <c:pt idx="2">
                  <c:v>0.46888251469840719</c:v>
                </c:pt>
                <c:pt idx="3">
                  <c:v>0.50208799508363899</c:v>
                </c:pt>
                <c:pt idx="4">
                  <c:v>0.51317010078399061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'Анализ рентабельности'!$A$24</c:f>
              <c:strCache>
                <c:ptCount val="1"/>
                <c:pt idx="0">
                  <c:v>Маржа EBITDA</c:v>
                </c:pt>
              </c:strCache>
            </c:strRef>
          </c:tx>
          <c:cat>
            <c:numRef>
              <c:f>'Анализ рентабельности'!$C$2:$G$2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'Анализ рентабельности'!$C$24:$G$24</c:f>
              <c:numCache>
                <c:formatCode>0%</c:formatCode>
                <c:ptCount val="5"/>
                <c:pt idx="0">
                  <c:v>0</c:v>
                </c:pt>
                <c:pt idx="1">
                  <c:v>0.46756570147376486</c:v>
                </c:pt>
                <c:pt idx="2">
                  <c:v>0.46912626787240586</c:v>
                </c:pt>
                <c:pt idx="3">
                  <c:v>0.50220275646499435</c:v>
                </c:pt>
                <c:pt idx="4">
                  <c:v>0.51324193889438507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1496"/>
        <c:axId val="233093344"/>
      </c:lineChart>
      <c:catAx>
        <c:axId val="1842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3344"/>
        <c:crosses val="autoZero"/>
        <c:auto val="1"/>
        <c:lblAlgn val="ctr"/>
        <c:lblOffset val="100"/>
        <c:noMultiLvlLbl val="0"/>
      </c:catAx>
      <c:valAx>
        <c:axId val="2330933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84291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943066899246291"/>
          <c:y val="0.76354550108481123"/>
          <c:w val="0.74628062796498273"/>
          <c:h val="0.2042820344051422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215624244617"/>
          <c:y val="0.23301258425194149"/>
          <c:w val="0.6772184114072497"/>
          <c:h val="0.47342239340077064"/>
        </c:manualLayout>
      </c:layout>
      <c:lineChart>
        <c:grouping val="standard"/>
        <c:varyColors val="0"/>
        <c:ser>
          <c:idx val="0"/>
          <c:order val="0"/>
          <c:tx>
            <c:v>ROA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рентабельности'!$D$34:$G$34</c:f>
              <c:numCache>
                <c:formatCode>0%</c:formatCode>
                <c:ptCount val="4"/>
                <c:pt idx="0">
                  <c:v>1.6686711847655009</c:v>
                </c:pt>
                <c:pt idx="1">
                  <c:v>0.92721146232932616</c:v>
                </c:pt>
                <c:pt idx="2">
                  <c:v>1.4085527181871471</c:v>
                </c:pt>
                <c:pt idx="3">
                  <c:v>1.375468792583006</c:v>
                </c:pt>
              </c:numCache>
            </c:numRef>
          </c:val>
          <c:smooth val="0"/>
        </c:ser>
        <c:ser>
          <c:idx val="1"/>
          <c:order val="1"/>
          <c:tx>
            <c:v>ROE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рентабельности'!$D$44:$G$44</c:f>
              <c:numCache>
                <c:formatCode>0%</c:formatCode>
                <c:ptCount val="4"/>
                <c:pt idx="0">
                  <c:v>1.3230473234747362</c:v>
                </c:pt>
                <c:pt idx="1">
                  <c:v>0.73534075931403042</c:v>
                </c:pt>
                <c:pt idx="2">
                  <c:v>1.1223801580250077</c:v>
                </c:pt>
                <c:pt idx="3">
                  <c:v>1.0975943225696865</c:v>
                </c:pt>
              </c:numCache>
            </c:numRef>
          </c:val>
          <c:smooth val="0"/>
        </c:ser>
        <c:ser>
          <c:idx val="2"/>
          <c:order val="2"/>
          <c:tx>
            <c:v>RONA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рентабельности'!$D$39:$G$39</c:f>
              <c:numCache>
                <c:formatCode>0%</c:formatCode>
                <c:ptCount val="4"/>
                <c:pt idx="0">
                  <c:v>1.3312688071016296</c:v>
                </c:pt>
                <c:pt idx="1">
                  <c:v>0.73757500258931663</c:v>
                </c:pt>
                <c:pt idx="2">
                  <c:v>1.1245253364097332</c:v>
                </c:pt>
                <c:pt idx="3">
                  <c:v>1.098771941404399</c:v>
                </c:pt>
              </c:numCache>
            </c:numRef>
          </c:val>
          <c:smooth val="0"/>
        </c:ser>
        <c:ser>
          <c:idx val="3"/>
          <c:order val="3"/>
          <c:tx>
            <c:v>ROIC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рентабельности'!$D$52:$G$52</c:f>
              <c:numCache>
                <c:formatCode>0%</c:formatCode>
                <c:ptCount val="4"/>
                <c:pt idx="0">
                  <c:v>2.0024054217186009</c:v>
                </c:pt>
                <c:pt idx="1">
                  <c:v>0.74176916986346098</c:v>
                </c:pt>
                <c:pt idx="2">
                  <c:v>1.1268421745497177</c:v>
                </c:pt>
                <c:pt idx="3">
                  <c:v>1.1003750340664049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94128"/>
        <c:axId val="233094520"/>
      </c:lineChart>
      <c:catAx>
        <c:axId val="23309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4520"/>
        <c:crosses val="autoZero"/>
        <c:auto val="1"/>
        <c:lblAlgn val="ctr"/>
        <c:lblOffset val="100"/>
        <c:noMultiLvlLbl val="0"/>
      </c:catAx>
      <c:valAx>
        <c:axId val="2330945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79372416504628"/>
          <c:y val="0.8210920063563486"/>
          <c:w val="0.68949961214362521"/>
          <c:h val="0.1627389433463674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81765664356068E-2"/>
          <c:y val="0.21097969575519168"/>
          <c:w val="0.64923147681831572"/>
          <c:h val="0.50568149300053888"/>
        </c:manualLayout>
      </c:layout>
      <c:lineChart>
        <c:grouping val="standard"/>
        <c:varyColors val="0"/>
        <c:ser>
          <c:idx val="0"/>
          <c:order val="0"/>
          <c:tx>
            <c:strRef>
              <c:f>'Анализ ликвидности'!$A$7</c:f>
              <c:strCache>
                <c:ptCount val="1"/>
                <c:pt idx="0">
                  <c:v>Коэффициент общей ликвидности</c:v>
                </c:pt>
              </c:strCache>
            </c:strRef>
          </c:tx>
          <c:marker>
            <c:symbol val="none"/>
          </c:marker>
          <c:cat>
            <c:numRef>
              <c:f>'Анализ ликвидности'!$D$2:$G$2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ликвидности'!$D$7:$G$7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'Анализ ликвидности'!$A$13</c:f>
              <c:strCache>
                <c:ptCount val="1"/>
                <c:pt idx="0">
                  <c:v>Коэффициент срочной ликвидности</c:v>
                </c:pt>
              </c:strCache>
            </c:strRef>
          </c:tx>
          <c:marker>
            <c:symbol val="none"/>
          </c:marker>
          <c:cat>
            <c:numRef>
              <c:f>'Анализ ликвидности'!$D$2:$G$2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ликвидности'!$D$13:$G$13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'Анализ ликвидности'!$A$18</c:f>
              <c:strCache>
                <c:ptCount val="1"/>
                <c:pt idx="0">
                  <c:v>Коэффициент абсолютной ликвидности</c:v>
                </c:pt>
              </c:strCache>
            </c:strRef>
          </c:tx>
          <c:marker>
            <c:symbol val="none"/>
          </c:marker>
          <c:cat>
            <c:numRef>
              <c:f>'Анализ ликвидности'!$D$2:$G$2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ликвидности'!$D$18:$G$18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91104"/>
        <c:axId val="233095304"/>
      </c:lineChart>
      <c:catAx>
        <c:axId val="1842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5304"/>
        <c:crosses val="autoZero"/>
        <c:auto val="1"/>
        <c:lblAlgn val="ctr"/>
        <c:lblOffset val="100"/>
        <c:noMultiLvlLbl val="0"/>
      </c:catAx>
      <c:valAx>
        <c:axId val="2330953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8429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25658213586636"/>
          <c:y val="0.79368551067339665"/>
          <c:w val="0.72622368247134572"/>
          <c:h val="0.1640954632992855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0161863868575"/>
          <c:y val="0.22225590189485581"/>
          <c:w val="0.6976754342928857"/>
          <c:h val="0.5671357496627355"/>
        </c:manualLayout>
      </c:layout>
      <c:lineChart>
        <c:grouping val="standard"/>
        <c:varyColors val="0"/>
        <c:ser>
          <c:idx val="0"/>
          <c:order val="0"/>
          <c:tx>
            <c:strRef>
              <c:f>'Анализ платежеспособности'!$A$7</c:f>
              <c:strCache>
                <c:ptCount val="1"/>
                <c:pt idx="0">
                  <c:v>Коэффициент общей платёжеспособности</c:v>
                </c:pt>
              </c:strCache>
            </c:strRef>
          </c:tx>
          <c:cat>
            <c:numRef>
              <c:f>'Анализ платежеспособности'!$C$2:$G$2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'Анализ платежеспособности'!$C$7:$G$7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'Анализ платежеспособности'!$A$17</c:f>
              <c:strCache>
                <c:ptCount val="1"/>
                <c:pt idx="0">
                  <c:v>Коэффициент соотношения собственных и заёмных средств</c:v>
                </c:pt>
              </c:strCache>
            </c:strRef>
          </c:tx>
          <c:cat>
            <c:numRef>
              <c:f>'Анализ платежеспособности'!$C$2:$G$2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'Анализ платежеспособности'!$C$17:$G$17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89928"/>
        <c:axId val="184289536"/>
      </c:lineChart>
      <c:catAx>
        <c:axId val="18428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84289536"/>
        <c:crosses val="autoZero"/>
        <c:auto val="1"/>
        <c:lblAlgn val="ctr"/>
        <c:lblOffset val="100"/>
        <c:noMultiLvlLbl val="0"/>
      </c:catAx>
      <c:valAx>
        <c:axId val="18428953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84289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16459512808835"/>
          <c:y val="0.83154371660989379"/>
          <c:w val="0.72450901281967961"/>
          <c:h val="0.1571121163046107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9004610995723"/>
          <c:y val="0.16290776657147837"/>
          <c:w val="0.78924819192496176"/>
          <c:h val="0.52130485302872975"/>
        </c:manualLayout>
      </c:layout>
      <c:barChart>
        <c:barDir val="col"/>
        <c:grouping val="stacked"/>
        <c:varyColors val="0"/>
        <c:ser>
          <c:idx val="0"/>
          <c:order val="0"/>
          <c:tx>
            <c:v>Оборачиваемость запасов</c:v>
          </c:tx>
          <c:invertIfNegative val="0"/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оборачиваемости'!$D$40:$G$40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Оборачиваемость дебиторской задолженности</c:v>
          </c:tx>
          <c:invertIfNegative val="0"/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оборачиваемости'!$D$41:$G$41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Оборачиваемость кредиторской задолженности</c:v>
          </c:tx>
          <c:invertIfNegative val="0"/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оборачиваемости'!$D$42:$G$42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96480"/>
        <c:axId val="233096872"/>
      </c:barChart>
      <c:lineChart>
        <c:grouping val="standard"/>
        <c:varyColors val="0"/>
        <c:ser>
          <c:idx val="3"/>
          <c:order val="3"/>
          <c:tx>
            <c:v>Операционный цикл</c:v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4.7222187557466724E-2"/>
                  <c:y val="-3.06397649909395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444481071355998E-2"/>
                  <c:y val="-3.989152965199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1666666666666664E-2"/>
                  <c:y val="-4.1632655737274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4444481071355894E-2"/>
                  <c:y val="-3.815036900022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оборачиваемости'!$D$43:$G$43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Финансовый цикл</c:v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4.1667010043962498E-2"/>
                  <c:y val="3.4667797025688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444481071355998E-2"/>
                  <c:y val="2.8599804526767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4444481071355998E-2"/>
                  <c:y val="3.00419146951603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722218755746653E-2"/>
                  <c:y val="3.5265647321467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'Анализ оборачиваемости'!$D$44:$G$44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96480"/>
        <c:axId val="233096872"/>
      </c:lineChart>
      <c:catAx>
        <c:axId val="2330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6872"/>
        <c:crosses val="autoZero"/>
        <c:auto val="1"/>
        <c:lblAlgn val="ctr"/>
        <c:lblOffset val="100"/>
        <c:noMultiLvlLbl val="0"/>
      </c:catAx>
      <c:valAx>
        <c:axId val="23309687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0581812017391"/>
          <c:y val="0.72932560513269173"/>
          <c:w val="0.59241849779913358"/>
          <c:h val="0.2230582288325071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84</xdr:row>
      <xdr:rowOff>155575</xdr:rowOff>
    </xdr:from>
    <xdr:to>
      <xdr:col>14</xdr:col>
      <xdr:colOff>171450</xdr:colOff>
      <xdr:row>101</xdr:row>
      <xdr:rowOff>136525</xdr:rowOff>
    </xdr:to>
    <xdr:graphicFrame macro="">
      <xdr:nvGraphicFramePr>
        <xdr:cNvPr id="968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244475</xdr:colOff>
      <xdr:row>85</xdr:row>
      <xdr:rowOff>12700</xdr:rowOff>
    </xdr:from>
    <xdr:to>
      <xdr:col>4</xdr:col>
      <xdr:colOff>44450</xdr:colOff>
      <xdr:row>102</xdr:row>
      <xdr:rowOff>47625</xdr:rowOff>
    </xdr:to>
    <xdr:graphicFrame macro="">
      <xdr:nvGraphicFramePr>
        <xdr:cNvPr id="968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0.00079</cdr:x>
      <cdr:y>0.04568</cdr:y>
    </cdr:from>
    <cdr:to>
      <cdr:x>0.91041</cdr:x>
      <cdr:y>0.14329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8479" y="131296"/>
          <a:ext cx="3560376" cy="2718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коэффициентов ликвидности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57150</xdr:rowOff>
    </xdr:from>
    <xdr:to>
      <xdr:col>14</xdr:col>
      <xdr:colOff>542925</xdr:colOff>
      <xdr:row>19</xdr:row>
      <xdr:rowOff>152400</xdr:rowOff>
    </xdr:to>
    <xdr:graphicFrame macro="">
      <xdr:nvGraphicFramePr>
        <xdr:cNvPr id="319088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0.03332</cdr:x>
      <cdr:y>0.02521</cdr:y>
    </cdr:from>
    <cdr:to>
      <cdr:x>0.9335</cdr:x>
      <cdr:y>0.14265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34471" y="67235"/>
          <a:ext cx="4127922" cy="2953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коэффициентов платёжеспособности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25</xdr:row>
      <xdr:rowOff>85725</xdr:rowOff>
    </xdr:from>
    <xdr:to>
      <xdr:col>14</xdr:col>
      <xdr:colOff>323850</xdr:colOff>
      <xdr:row>50</xdr:row>
      <xdr:rowOff>152400</xdr:rowOff>
    </xdr:to>
    <xdr:graphicFrame macro="">
      <xdr:nvGraphicFramePr>
        <xdr:cNvPr id="29727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0.05125</cdr:x>
      <cdr:y>0.08449</cdr:y>
    </cdr:from>
    <cdr:to>
      <cdr:x>0.16972</cdr:x>
      <cdr:y>0.1519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296" y="313764"/>
          <a:ext cx="448234" cy="246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>
              <a:latin typeface="Arial Narrow" pitchFamily="34" charset="0"/>
            </a:rPr>
            <a:t>дни</a:t>
          </a:r>
        </a:p>
      </cdr:txBody>
    </cdr:sp>
  </cdr:relSizeAnchor>
  <cdr:relSizeAnchor xmlns:cdr="http://schemas.openxmlformats.org/drawingml/2006/chartDrawing">
    <cdr:from>
      <cdr:x>0.02042</cdr:x>
      <cdr:y>0.01792</cdr:y>
    </cdr:from>
    <cdr:to>
      <cdr:x>0.99033</cdr:x>
      <cdr:y>0.0989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78442" y="70524"/>
          <a:ext cx="4129550" cy="2958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оборачиваемости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0.02054</cdr:x>
      <cdr:y>0.74557</cdr:y>
    </cdr:from>
    <cdr:to>
      <cdr:x>0.90926</cdr:x>
      <cdr:y>0.87184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93707" y="2466590"/>
          <a:ext cx="4054762" cy="4177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стоимости финансирования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57150</xdr:rowOff>
    </xdr:from>
    <xdr:to>
      <xdr:col>15</xdr:col>
      <xdr:colOff>514350</xdr:colOff>
      <xdr:row>22</xdr:row>
      <xdr:rowOff>9525</xdr:rowOff>
    </xdr:to>
    <xdr:graphicFrame macro="">
      <xdr:nvGraphicFramePr>
        <xdr:cNvPr id="281521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23</xdr:row>
      <xdr:rowOff>57150</xdr:rowOff>
    </xdr:from>
    <xdr:to>
      <xdr:col>15</xdr:col>
      <xdr:colOff>514350</xdr:colOff>
      <xdr:row>46</xdr:row>
      <xdr:rowOff>57150</xdr:rowOff>
    </xdr:to>
    <xdr:graphicFrame macro="">
      <xdr:nvGraphicFramePr>
        <xdr:cNvPr id="2815211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0.04799</cdr:x>
      <cdr:y>0.01742</cdr:y>
    </cdr:from>
    <cdr:to>
      <cdr:x>0.91886</cdr:x>
      <cdr:y>0.1295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201706" y="56030"/>
          <a:ext cx="4132085" cy="3480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Структура активов компании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0.06388</cdr:x>
      <cdr:y>0.0199</cdr:y>
    </cdr:from>
    <cdr:to>
      <cdr:x>0.93512</cdr:x>
      <cdr:y>0.13015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268942" y="67236"/>
          <a:ext cx="4132085" cy="3480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Структура пассивов компании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333375</xdr:colOff>
      <xdr:row>23</xdr:row>
      <xdr:rowOff>0</xdr:rowOff>
    </xdr:to>
    <xdr:graphicFrame macro="">
      <xdr:nvGraphicFramePr>
        <xdr:cNvPr id="32770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26</xdr:row>
      <xdr:rowOff>38100</xdr:rowOff>
    </xdr:from>
    <xdr:to>
      <xdr:col>15</xdr:col>
      <xdr:colOff>419100</xdr:colOff>
      <xdr:row>43</xdr:row>
      <xdr:rowOff>85725</xdr:rowOff>
    </xdr:to>
    <xdr:graphicFrame macro="">
      <xdr:nvGraphicFramePr>
        <xdr:cNvPr id="32770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0.02475</cdr:x>
      <cdr:y>0.01904</cdr:y>
    </cdr:from>
    <cdr:to>
      <cdr:x>0.92469</cdr:x>
      <cdr:y>0.12004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00853" y="56030"/>
          <a:ext cx="4127922" cy="28092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показателей рентабельности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0.03303</cdr:x>
      <cdr:y>0.01047</cdr:y>
    </cdr:from>
    <cdr:to>
      <cdr:x>0.96659</cdr:x>
      <cdr:y>0.11134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34471" y="33617"/>
          <a:ext cx="4403910" cy="26894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рентабельности активов, собственного и инвестированного капитала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5</xdr:row>
      <xdr:rowOff>85725</xdr:rowOff>
    </xdr:from>
    <xdr:to>
      <xdr:col>14</xdr:col>
      <xdr:colOff>104775</xdr:colOff>
      <xdr:row>24</xdr:row>
      <xdr:rowOff>85725</xdr:rowOff>
    </xdr:to>
    <xdr:graphicFrame macro="">
      <xdr:nvGraphicFramePr>
        <xdr:cNvPr id="293183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0"/>
  <sheetViews>
    <sheetView zoomScale="110" zoomScaleNormal="110" workbookViewId="0">
      <selection activeCell="G32" sqref="G32"/>
    </sheetView>
  </sheetViews>
  <sheetFormatPr defaultColWidth="8.85546875" defaultRowHeight="12.75" x14ac:dyDescent="0.2"/>
  <cols>
    <col min="1" max="1" width="3.85546875" customWidth="1"/>
    <col min="2" max="2" width="39.85546875" customWidth="1"/>
    <col min="3" max="3" width="3.5703125" bestFit="1" customWidth="1"/>
    <col min="4" max="6" width="10.7109375" customWidth="1"/>
  </cols>
  <sheetData>
    <row r="1" spans="1:24" ht="18" x14ac:dyDescent="0.25">
      <c r="B1" s="282"/>
    </row>
    <row r="2" spans="1:24" s="2" customFormat="1" x14ac:dyDescent="0.2">
      <c r="A2" s="11" t="s">
        <v>90</v>
      </c>
      <c r="B2" s="12"/>
      <c r="C2" s="2" t="s">
        <v>79</v>
      </c>
      <c r="D2" s="3" t="s">
        <v>58</v>
      </c>
      <c r="E2" s="3" t="s">
        <v>59</v>
      </c>
      <c r="F2" s="3" t="s">
        <v>60</v>
      </c>
      <c r="G2" s="3" t="s">
        <v>61</v>
      </c>
      <c r="H2" s="4" t="s">
        <v>62</v>
      </c>
      <c r="I2" s="4" t="s">
        <v>63</v>
      </c>
      <c r="J2" s="4" t="s">
        <v>64</v>
      </c>
      <c r="K2" s="4" t="s">
        <v>65</v>
      </c>
      <c r="L2" s="5" t="s">
        <v>66</v>
      </c>
      <c r="M2" s="5" t="s">
        <v>67</v>
      </c>
      <c r="N2" s="5" t="s">
        <v>68</v>
      </c>
      <c r="O2" s="5" t="s">
        <v>69</v>
      </c>
      <c r="P2" s="6" t="s">
        <v>70</v>
      </c>
      <c r="Q2" s="6" t="s">
        <v>71</v>
      </c>
      <c r="R2" s="6" t="s">
        <v>72</v>
      </c>
      <c r="S2" s="6" t="s">
        <v>73</v>
      </c>
      <c r="T2" s="7" t="s">
        <v>74</v>
      </c>
      <c r="U2" s="7" t="s">
        <v>75</v>
      </c>
      <c r="V2" s="7" t="s">
        <v>76</v>
      </c>
      <c r="W2" s="7" t="s">
        <v>77</v>
      </c>
      <c r="X2" s="8"/>
    </row>
    <row r="3" spans="1:24" s="22" customFormat="1" x14ac:dyDescent="0.2">
      <c r="A3" s="20"/>
      <c r="B3" s="21"/>
      <c r="X3" s="23"/>
    </row>
    <row r="4" spans="1:24" s="22" customFormat="1" x14ac:dyDescent="0.2">
      <c r="A4" s="24" t="s">
        <v>267</v>
      </c>
      <c r="B4" s="21"/>
      <c r="D4" s="145">
        <v>2019</v>
      </c>
      <c r="H4" s="231"/>
      <c r="I4" s="232"/>
      <c r="J4" s="232"/>
      <c r="K4" s="232"/>
      <c r="L4" s="231"/>
      <c r="M4" s="232"/>
      <c r="N4" s="232"/>
      <c r="O4" s="232"/>
      <c r="P4" s="231"/>
      <c r="Q4" s="232"/>
      <c r="R4" s="232"/>
      <c r="S4" s="232"/>
      <c r="T4" s="231"/>
      <c r="U4" s="232"/>
      <c r="V4" s="232"/>
      <c r="W4" s="232"/>
      <c r="X4" s="23"/>
    </row>
    <row r="5" spans="1:24" s="22" customFormat="1" x14ac:dyDescent="0.2">
      <c r="A5" s="20"/>
      <c r="B5" s="21"/>
      <c r="X5" s="23"/>
    </row>
    <row r="6" spans="1:24" x14ac:dyDescent="0.2">
      <c r="A6" s="24" t="s">
        <v>92</v>
      </c>
    </row>
    <row r="7" spans="1:24" s="2" customFormat="1" x14ac:dyDescent="0.2">
      <c r="B7" s="9" t="s">
        <v>86</v>
      </c>
      <c r="C7" s="2" t="s">
        <v>91</v>
      </c>
      <c r="D7" s="262">
        <v>0.104</v>
      </c>
      <c r="E7" s="78">
        <f>D7</f>
        <v>0.104</v>
      </c>
      <c r="F7" s="78">
        <f>E7</f>
        <v>0.104</v>
      </c>
      <c r="G7" s="78">
        <f>F7</f>
        <v>0.104</v>
      </c>
      <c r="H7" s="74">
        <v>8.5999999999999993E-2</v>
      </c>
      <c r="I7" s="78">
        <f>H7</f>
        <v>8.5999999999999993E-2</v>
      </c>
      <c r="J7" s="78">
        <f>I7</f>
        <v>8.5999999999999993E-2</v>
      </c>
      <c r="K7" s="78">
        <f>J7</f>
        <v>8.5999999999999993E-2</v>
      </c>
      <c r="L7" s="74">
        <v>6.8000000000000005E-2</v>
      </c>
      <c r="M7" s="78">
        <f>L7</f>
        <v>6.8000000000000005E-2</v>
      </c>
      <c r="N7" s="78">
        <f>M7</f>
        <v>6.8000000000000005E-2</v>
      </c>
      <c r="O7" s="78">
        <f>N7</f>
        <v>6.8000000000000005E-2</v>
      </c>
      <c r="P7" s="74">
        <v>6.2E-2</v>
      </c>
      <c r="Q7" s="78">
        <f>P7</f>
        <v>6.2E-2</v>
      </c>
      <c r="R7" s="78">
        <f>Q7</f>
        <v>6.2E-2</v>
      </c>
      <c r="S7" s="78">
        <f>R7</f>
        <v>6.2E-2</v>
      </c>
      <c r="T7" s="74">
        <v>6.5000000000000002E-2</v>
      </c>
      <c r="U7" s="78">
        <f>T7</f>
        <v>6.5000000000000002E-2</v>
      </c>
      <c r="V7" s="78">
        <f>U7</f>
        <v>6.5000000000000002E-2</v>
      </c>
      <c r="W7" s="78">
        <f>V7</f>
        <v>6.5000000000000002E-2</v>
      </c>
    </row>
    <row r="8" spans="1:24" s="2" customFormat="1" x14ac:dyDescent="0.2">
      <c r="B8" s="9" t="s">
        <v>87</v>
      </c>
      <c r="C8" s="2" t="s">
        <v>91</v>
      </c>
      <c r="D8" s="78">
        <f>POWER(1+D7,90/360)-1</f>
        <v>2.5043434652939789E-2</v>
      </c>
      <c r="E8" s="78">
        <f t="shared" ref="E8:W8" si="0">POWER(1+E7,90/360)-1</f>
        <v>2.5043434652939789E-2</v>
      </c>
      <c r="F8" s="78">
        <f t="shared" si="0"/>
        <v>2.5043434652939789E-2</v>
      </c>
      <c r="G8" s="78">
        <f t="shared" si="0"/>
        <v>2.5043434652939789E-2</v>
      </c>
      <c r="H8" s="78">
        <f t="shared" si="0"/>
        <v>2.0839476905670118E-2</v>
      </c>
      <c r="I8" s="78">
        <f t="shared" si="0"/>
        <v>2.0839476905670118E-2</v>
      </c>
      <c r="J8" s="78">
        <f t="shared" si="0"/>
        <v>2.0839476905670118E-2</v>
      </c>
      <c r="K8" s="78">
        <f t="shared" si="0"/>
        <v>2.0839476905670118E-2</v>
      </c>
      <c r="L8" s="78">
        <f t="shared" si="0"/>
        <v>1.6582930518265648E-2</v>
      </c>
      <c r="M8" s="78">
        <f t="shared" si="0"/>
        <v>1.6582930518265648E-2</v>
      </c>
      <c r="N8" s="78">
        <f t="shared" si="0"/>
        <v>1.6582930518265648E-2</v>
      </c>
      <c r="O8" s="78">
        <f t="shared" si="0"/>
        <v>1.6582930518265648E-2</v>
      </c>
      <c r="P8" s="78">
        <f t="shared" si="0"/>
        <v>1.5152127633617285E-2</v>
      </c>
      <c r="Q8" s="78">
        <f t="shared" si="0"/>
        <v>1.5152127633617285E-2</v>
      </c>
      <c r="R8" s="78">
        <f t="shared" si="0"/>
        <v>1.5152127633617285E-2</v>
      </c>
      <c r="S8" s="78">
        <f t="shared" si="0"/>
        <v>1.5152127633617285E-2</v>
      </c>
      <c r="T8" s="78">
        <f t="shared" si="0"/>
        <v>1.586828478278357E-2</v>
      </c>
      <c r="U8" s="78">
        <f t="shared" si="0"/>
        <v>1.586828478278357E-2</v>
      </c>
      <c r="V8" s="78">
        <f t="shared" si="0"/>
        <v>1.586828478278357E-2</v>
      </c>
      <c r="W8" s="78">
        <f t="shared" si="0"/>
        <v>1.586828478278357E-2</v>
      </c>
    </row>
    <row r="9" spans="1:24" s="2" customFormat="1" x14ac:dyDescent="0.2">
      <c r="B9" s="9" t="s">
        <v>88</v>
      </c>
      <c r="D9" s="73">
        <v>1</v>
      </c>
      <c r="E9" s="73">
        <f>D9*(1+E8)</f>
        <v>1.0250434346529398</v>
      </c>
      <c r="F9" s="73">
        <f t="shared" ref="F9:V9" si="1">E9*(1+F8)</f>
        <v>1.0507140429250956</v>
      </c>
      <c r="G9" s="73">
        <f t="shared" si="1"/>
        <v>1.0770275313980164</v>
      </c>
      <c r="H9" s="73">
        <f>G9*(1+H8)</f>
        <v>1.0994722217653563</v>
      </c>
      <c r="I9" s="73">
        <f t="shared" si="1"/>
        <v>1.1223846477392612</v>
      </c>
      <c r="J9" s="73">
        <f t="shared" si="1"/>
        <v>1.1457745566851021</v>
      </c>
      <c r="K9" s="73">
        <f t="shared" si="1"/>
        <v>1.1696518990982456</v>
      </c>
      <c r="L9" s="73">
        <f t="shared" si="1"/>
        <v>1.1890481552715493</v>
      </c>
      <c r="M9" s="73">
        <f t="shared" si="1"/>
        <v>1.2087660582132893</v>
      </c>
      <c r="N9" s="73">
        <f t="shared" si="1"/>
        <v>1.2288109417694781</v>
      </c>
      <c r="O9" s="73">
        <f t="shared" si="1"/>
        <v>1.249188228236926</v>
      </c>
      <c r="P9" s="73">
        <f t="shared" si="1"/>
        <v>1.2681160877095841</v>
      </c>
      <c r="Q9" s="73">
        <f t="shared" si="1"/>
        <v>1.287330744524803</v>
      </c>
      <c r="R9" s="73">
        <f t="shared" si="1"/>
        <v>1.3068365442725225</v>
      </c>
      <c r="S9" s="73">
        <f t="shared" si="1"/>
        <v>1.326637898387615</v>
      </c>
      <c r="T9" s="73">
        <f t="shared" si="1"/>
        <v>1.3476893663628633</v>
      </c>
      <c r="U9" s="73">
        <f>T9*(1+U8)</f>
        <v>1.3690748850270384</v>
      </c>
      <c r="V9" s="73">
        <f t="shared" si="1"/>
        <v>1.3907997551916043</v>
      </c>
      <c r="W9" s="73">
        <f>V9*(1+W8)</f>
        <v>1.4128693617828103</v>
      </c>
    </row>
    <row r="10" spans="1:24" s="2" customFormat="1" x14ac:dyDescent="0.2">
      <c r="B10" s="9" t="s">
        <v>89</v>
      </c>
      <c r="D10" s="73">
        <v>1</v>
      </c>
      <c r="E10" s="73">
        <f>1+D8</f>
        <v>1.0250434346529398</v>
      </c>
      <c r="F10" s="73">
        <f>1+E8</f>
        <v>1.0250434346529398</v>
      </c>
      <c r="G10" s="73">
        <f t="shared" ref="G10:W10" si="2">1+F8</f>
        <v>1.0250434346529398</v>
      </c>
      <c r="H10" s="73">
        <f t="shared" si="2"/>
        <v>1.0250434346529398</v>
      </c>
      <c r="I10" s="73">
        <f t="shared" si="2"/>
        <v>1.0208394769056701</v>
      </c>
      <c r="J10" s="73">
        <f t="shared" si="2"/>
        <v>1.0208394769056701</v>
      </c>
      <c r="K10" s="73">
        <f t="shared" si="2"/>
        <v>1.0208394769056701</v>
      </c>
      <c r="L10" s="73">
        <f t="shared" si="2"/>
        <v>1.0208394769056701</v>
      </c>
      <c r="M10" s="73">
        <f t="shared" si="2"/>
        <v>1.0165829305182656</v>
      </c>
      <c r="N10" s="73">
        <f t="shared" si="2"/>
        <v>1.0165829305182656</v>
      </c>
      <c r="O10" s="73">
        <f t="shared" si="2"/>
        <v>1.0165829305182656</v>
      </c>
      <c r="P10" s="73">
        <f t="shared" si="2"/>
        <v>1.0165829305182656</v>
      </c>
      <c r="Q10" s="73">
        <f t="shared" si="2"/>
        <v>1.0151521276336173</v>
      </c>
      <c r="R10" s="73">
        <f t="shared" si="2"/>
        <v>1.0151521276336173</v>
      </c>
      <c r="S10" s="73">
        <f t="shared" si="2"/>
        <v>1.0151521276336173</v>
      </c>
      <c r="T10" s="73">
        <f t="shared" si="2"/>
        <v>1.0151521276336173</v>
      </c>
      <c r="U10" s="73">
        <f t="shared" si="2"/>
        <v>1.0158682847827836</v>
      </c>
      <c r="V10" s="73">
        <f t="shared" si="2"/>
        <v>1.0158682847827836</v>
      </c>
      <c r="W10" s="73">
        <f t="shared" si="2"/>
        <v>1.0158682847827836</v>
      </c>
    </row>
    <row r="12" spans="1:24" x14ac:dyDescent="0.2">
      <c r="A12" s="25" t="s">
        <v>93</v>
      </c>
    </row>
    <row r="13" spans="1:24" x14ac:dyDescent="0.2">
      <c r="B13" s="9" t="s">
        <v>94</v>
      </c>
      <c r="C13" s="2" t="s">
        <v>91</v>
      </c>
      <c r="D13" s="283">
        <v>0.18</v>
      </c>
      <c r="E13" s="78">
        <f>D13</f>
        <v>0.18</v>
      </c>
      <c r="F13" s="78">
        <f t="shared" ref="F13:W16" si="3">E13</f>
        <v>0.18</v>
      </c>
      <c r="G13" s="78">
        <f t="shared" si="3"/>
        <v>0.18</v>
      </c>
      <c r="H13" s="78">
        <f t="shared" si="3"/>
        <v>0.18</v>
      </c>
      <c r="I13" s="78">
        <f t="shared" si="3"/>
        <v>0.18</v>
      </c>
      <c r="J13" s="78">
        <f t="shared" si="3"/>
        <v>0.18</v>
      </c>
      <c r="K13" s="78">
        <f t="shared" si="3"/>
        <v>0.18</v>
      </c>
      <c r="L13" s="78">
        <f t="shared" si="3"/>
        <v>0.18</v>
      </c>
      <c r="M13" s="78">
        <f t="shared" si="3"/>
        <v>0.18</v>
      </c>
      <c r="N13" s="78">
        <f t="shared" si="3"/>
        <v>0.18</v>
      </c>
      <c r="O13" s="78">
        <f t="shared" si="3"/>
        <v>0.18</v>
      </c>
      <c r="P13" s="78">
        <f t="shared" si="3"/>
        <v>0.18</v>
      </c>
      <c r="Q13" s="78">
        <f t="shared" si="3"/>
        <v>0.18</v>
      </c>
      <c r="R13" s="78">
        <f t="shared" si="3"/>
        <v>0.18</v>
      </c>
      <c r="S13" s="78">
        <f t="shared" si="3"/>
        <v>0.18</v>
      </c>
      <c r="T13" s="78">
        <f t="shared" si="3"/>
        <v>0.18</v>
      </c>
      <c r="U13" s="78">
        <f t="shared" si="3"/>
        <v>0.18</v>
      </c>
      <c r="V13" s="78">
        <f t="shared" si="3"/>
        <v>0.18</v>
      </c>
      <c r="W13" s="78">
        <f t="shared" si="3"/>
        <v>0.18</v>
      </c>
    </row>
    <row r="14" spans="1:24" s="319" customFormat="1" x14ac:dyDescent="0.2">
      <c r="B14" s="320" t="s">
        <v>483</v>
      </c>
      <c r="C14" s="321" t="s">
        <v>91</v>
      </c>
      <c r="D14" s="322">
        <v>0.3</v>
      </c>
      <c r="E14" s="323">
        <f>D14</f>
        <v>0.3</v>
      </c>
      <c r="F14" s="323">
        <f t="shared" si="3"/>
        <v>0.3</v>
      </c>
      <c r="G14" s="323">
        <f t="shared" si="3"/>
        <v>0.3</v>
      </c>
      <c r="H14" s="323">
        <f t="shared" si="3"/>
        <v>0.3</v>
      </c>
      <c r="I14" s="323">
        <f t="shared" si="3"/>
        <v>0.3</v>
      </c>
      <c r="J14" s="323">
        <f t="shared" si="3"/>
        <v>0.3</v>
      </c>
      <c r="K14" s="323">
        <f t="shared" si="3"/>
        <v>0.3</v>
      </c>
      <c r="L14" s="323">
        <f t="shared" si="3"/>
        <v>0.3</v>
      </c>
      <c r="M14" s="323">
        <f t="shared" si="3"/>
        <v>0.3</v>
      </c>
      <c r="N14" s="323">
        <f t="shared" si="3"/>
        <v>0.3</v>
      </c>
      <c r="O14" s="323">
        <f t="shared" si="3"/>
        <v>0.3</v>
      </c>
      <c r="P14" s="323">
        <f t="shared" si="3"/>
        <v>0.3</v>
      </c>
      <c r="Q14" s="323">
        <f t="shared" si="3"/>
        <v>0.3</v>
      </c>
      <c r="R14" s="323">
        <f t="shared" si="3"/>
        <v>0.3</v>
      </c>
      <c r="S14" s="323">
        <f t="shared" si="3"/>
        <v>0.3</v>
      </c>
      <c r="T14" s="323">
        <f t="shared" si="3"/>
        <v>0.3</v>
      </c>
      <c r="U14" s="323">
        <f t="shared" si="3"/>
        <v>0.3</v>
      </c>
      <c r="V14" s="323">
        <f t="shared" si="3"/>
        <v>0.3</v>
      </c>
      <c r="W14" s="323">
        <f t="shared" si="3"/>
        <v>0.3</v>
      </c>
    </row>
    <row r="15" spans="1:24" x14ac:dyDescent="0.2">
      <c r="B15" s="9" t="s">
        <v>95</v>
      </c>
      <c r="C15" s="2" t="s">
        <v>91</v>
      </c>
      <c r="D15" s="283">
        <v>2.1999999999999999E-2</v>
      </c>
      <c r="E15" s="78">
        <f>D15</f>
        <v>2.1999999999999999E-2</v>
      </c>
      <c r="F15" s="78">
        <f t="shared" si="3"/>
        <v>2.1999999999999999E-2</v>
      </c>
      <c r="G15" s="78">
        <f t="shared" si="3"/>
        <v>2.1999999999999999E-2</v>
      </c>
      <c r="H15" s="78">
        <f t="shared" si="3"/>
        <v>2.1999999999999999E-2</v>
      </c>
      <c r="I15" s="78">
        <f t="shared" si="3"/>
        <v>2.1999999999999999E-2</v>
      </c>
      <c r="J15" s="78">
        <f t="shared" si="3"/>
        <v>2.1999999999999999E-2</v>
      </c>
      <c r="K15" s="78">
        <f t="shared" si="3"/>
        <v>2.1999999999999999E-2</v>
      </c>
      <c r="L15" s="78">
        <f t="shared" si="3"/>
        <v>2.1999999999999999E-2</v>
      </c>
      <c r="M15" s="78">
        <f t="shared" si="3"/>
        <v>2.1999999999999999E-2</v>
      </c>
      <c r="N15" s="78">
        <f t="shared" si="3"/>
        <v>2.1999999999999999E-2</v>
      </c>
      <c r="O15" s="78">
        <f t="shared" si="3"/>
        <v>2.1999999999999999E-2</v>
      </c>
      <c r="P15" s="78">
        <f t="shared" si="3"/>
        <v>2.1999999999999999E-2</v>
      </c>
      <c r="Q15" s="78">
        <f t="shared" si="3"/>
        <v>2.1999999999999999E-2</v>
      </c>
      <c r="R15" s="78">
        <f t="shared" si="3"/>
        <v>2.1999999999999999E-2</v>
      </c>
      <c r="S15" s="78">
        <f t="shared" si="3"/>
        <v>2.1999999999999999E-2</v>
      </c>
      <c r="T15" s="78">
        <f t="shared" si="3"/>
        <v>2.1999999999999999E-2</v>
      </c>
      <c r="U15" s="78">
        <f t="shared" si="3"/>
        <v>2.1999999999999999E-2</v>
      </c>
      <c r="V15" s="78">
        <f t="shared" si="3"/>
        <v>2.1999999999999999E-2</v>
      </c>
      <c r="W15" s="78">
        <f t="shared" si="3"/>
        <v>2.1999999999999999E-2</v>
      </c>
    </row>
    <row r="16" spans="1:24" x14ac:dyDescent="0.2">
      <c r="B16" s="9" t="s">
        <v>96</v>
      </c>
      <c r="C16" s="2" t="s">
        <v>91</v>
      </c>
      <c r="D16" s="262">
        <v>0.2</v>
      </c>
      <c r="E16" s="78">
        <f>D16</f>
        <v>0.2</v>
      </c>
      <c r="F16" s="78">
        <f t="shared" si="3"/>
        <v>0.2</v>
      </c>
      <c r="G16" s="78">
        <f t="shared" si="3"/>
        <v>0.2</v>
      </c>
      <c r="H16" s="78">
        <f t="shared" si="3"/>
        <v>0.2</v>
      </c>
      <c r="I16" s="78">
        <f t="shared" si="3"/>
        <v>0.2</v>
      </c>
      <c r="J16" s="78">
        <f t="shared" si="3"/>
        <v>0.2</v>
      </c>
      <c r="K16" s="78">
        <f t="shared" si="3"/>
        <v>0.2</v>
      </c>
      <c r="L16" s="78">
        <f t="shared" si="3"/>
        <v>0.2</v>
      </c>
      <c r="M16" s="78">
        <f t="shared" si="3"/>
        <v>0.2</v>
      </c>
      <c r="N16" s="78">
        <f t="shared" si="3"/>
        <v>0.2</v>
      </c>
      <c r="O16" s="78">
        <f t="shared" si="3"/>
        <v>0.2</v>
      </c>
      <c r="P16" s="78">
        <f t="shared" si="3"/>
        <v>0.2</v>
      </c>
      <c r="Q16" s="78">
        <f t="shared" si="3"/>
        <v>0.2</v>
      </c>
      <c r="R16" s="78">
        <f t="shared" si="3"/>
        <v>0.2</v>
      </c>
      <c r="S16" s="78">
        <f t="shared" si="3"/>
        <v>0.2</v>
      </c>
      <c r="T16" s="78">
        <f t="shared" si="3"/>
        <v>0.2</v>
      </c>
      <c r="U16" s="78">
        <f t="shared" si="3"/>
        <v>0.2</v>
      </c>
      <c r="V16" s="78">
        <f t="shared" si="3"/>
        <v>0.2</v>
      </c>
      <c r="W16" s="78">
        <f t="shared" si="3"/>
        <v>0.2</v>
      </c>
    </row>
    <row r="18" spans="1:23" x14ac:dyDescent="0.2">
      <c r="A18" s="25" t="s">
        <v>230</v>
      </c>
    </row>
    <row r="19" spans="1:23" x14ac:dyDescent="0.2">
      <c r="A19" s="25"/>
      <c r="B19" s="9" t="s">
        <v>231</v>
      </c>
      <c r="C19" s="2" t="s">
        <v>91</v>
      </c>
      <c r="D19" s="262">
        <v>0.2</v>
      </c>
      <c r="E19" s="262">
        <v>0.2</v>
      </c>
      <c r="F19" s="262">
        <v>0.2</v>
      </c>
      <c r="G19" s="262">
        <v>0.2</v>
      </c>
      <c r="H19" s="262">
        <v>0.25</v>
      </c>
      <c r="I19" s="262">
        <v>0.25</v>
      </c>
      <c r="J19" s="262">
        <v>0.25</v>
      </c>
      <c r="K19" s="262">
        <v>0.25</v>
      </c>
      <c r="L19" s="262">
        <v>0.28000000000000003</v>
      </c>
      <c r="M19" s="262">
        <v>0.28000000000000003</v>
      </c>
      <c r="N19" s="262">
        <v>0.28000000000000003</v>
      </c>
      <c r="O19" s="262">
        <v>0.28000000000000003</v>
      </c>
      <c r="P19" s="262">
        <v>0.28000000000000003</v>
      </c>
      <c r="Q19" s="262">
        <v>0.28000000000000003</v>
      </c>
      <c r="R19" s="262">
        <v>0.28000000000000003</v>
      </c>
      <c r="S19" s="262">
        <v>0.28000000000000003</v>
      </c>
      <c r="T19" s="262">
        <v>0.28000000000000003</v>
      </c>
      <c r="U19" s="262">
        <v>0.28000000000000003</v>
      </c>
      <c r="V19" s="262">
        <v>0.28000000000000003</v>
      </c>
      <c r="W19" s="262">
        <v>0.28000000000000003</v>
      </c>
    </row>
    <row r="20" spans="1:23" x14ac:dyDescent="0.2">
      <c r="B20" s="9" t="s">
        <v>455</v>
      </c>
      <c r="C20" s="2" t="s">
        <v>91</v>
      </c>
      <c r="D20" s="342">
        <f>POWER(1+D19,90/360)-1</f>
        <v>4.6635139392105618E-2</v>
      </c>
      <c r="E20" s="342">
        <f t="shared" ref="E20:W20" si="4">POWER(1+E19,90/360)-1</f>
        <v>4.6635139392105618E-2</v>
      </c>
      <c r="F20" s="342">
        <f>POWER(1+F19,90/360)-1</f>
        <v>4.6635139392105618E-2</v>
      </c>
      <c r="G20" s="342">
        <f t="shared" si="4"/>
        <v>4.6635139392105618E-2</v>
      </c>
      <c r="H20" s="342">
        <f t="shared" si="4"/>
        <v>5.7371263440564091E-2</v>
      </c>
      <c r="I20" s="342">
        <f>POWER(1+I19,90/360)-1</f>
        <v>5.7371263440564091E-2</v>
      </c>
      <c r="J20" s="342">
        <f t="shared" si="4"/>
        <v>5.7371263440564091E-2</v>
      </c>
      <c r="K20" s="342">
        <f t="shared" si="4"/>
        <v>5.7371263440564091E-2</v>
      </c>
      <c r="L20" s="342">
        <f t="shared" si="4"/>
        <v>6.3659179388997789E-2</v>
      </c>
      <c r="M20" s="342">
        <f t="shared" si="4"/>
        <v>6.3659179388997789E-2</v>
      </c>
      <c r="N20" s="342">
        <f t="shared" si="4"/>
        <v>6.3659179388997789E-2</v>
      </c>
      <c r="O20" s="342">
        <f t="shared" si="4"/>
        <v>6.3659179388997789E-2</v>
      </c>
      <c r="P20" s="342">
        <f t="shared" si="4"/>
        <v>6.3659179388997789E-2</v>
      </c>
      <c r="Q20" s="342">
        <f t="shared" si="4"/>
        <v>6.3659179388997789E-2</v>
      </c>
      <c r="R20" s="342">
        <f t="shared" si="4"/>
        <v>6.3659179388997789E-2</v>
      </c>
      <c r="S20" s="342">
        <f t="shared" si="4"/>
        <v>6.3659179388997789E-2</v>
      </c>
      <c r="T20" s="342">
        <f t="shared" si="4"/>
        <v>6.3659179388997789E-2</v>
      </c>
      <c r="U20" s="342">
        <f t="shared" si="4"/>
        <v>6.3659179388997789E-2</v>
      </c>
      <c r="V20" s="342">
        <f t="shared" si="4"/>
        <v>6.3659179388997789E-2</v>
      </c>
      <c r="W20" s="342">
        <f t="shared" si="4"/>
        <v>6.3659179388997789E-2</v>
      </c>
    </row>
    <row r="23" spans="1:23" ht="15.75" x14ac:dyDescent="0.25">
      <c r="B23" s="71" t="s">
        <v>220</v>
      </c>
      <c r="C23" s="1"/>
      <c r="D23" s="1"/>
      <c r="E23" s="1"/>
      <c r="F23" s="1"/>
      <c r="I23" s="71" t="s">
        <v>554</v>
      </c>
    </row>
    <row r="24" spans="1:23" x14ac:dyDescent="0.2">
      <c r="B24" s="72" t="s">
        <v>221</v>
      </c>
      <c r="C24" s="351" t="s">
        <v>222</v>
      </c>
      <c r="D24" s="351"/>
      <c r="E24" s="351"/>
      <c r="F24" s="351"/>
      <c r="I24" s="299" t="s">
        <v>503</v>
      </c>
      <c r="J24" s="299" t="s">
        <v>504</v>
      </c>
      <c r="K24" s="299" t="s">
        <v>505</v>
      </c>
      <c r="L24" s="299" t="s">
        <v>506</v>
      </c>
    </row>
    <row r="25" spans="1:23" x14ac:dyDescent="0.2">
      <c r="B25" s="65" t="s">
        <v>223</v>
      </c>
      <c r="C25" s="350" t="s">
        <v>226</v>
      </c>
      <c r="D25" s="350"/>
      <c r="E25" s="350"/>
      <c r="F25" s="350"/>
      <c r="I25" s="298">
        <v>2019</v>
      </c>
      <c r="J25" s="298" t="s">
        <v>555</v>
      </c>
      <c r="K25" s="298" t="s">
        <v>555</v>
      </c>
      <c r="L25" s="298" t="s">
        <v>555</v>
      </c>
    </row>
    <row r="26" spans="1:23" x14ac:dyDescent="0.2">
      <c r="B26" s="65" t="s">
        <v>224</v>
      </c>
      <c r="C26" s="350" t="s">
        <v>227</v>
      </c>
      <c r="D26" s="350"/>
      <c r="E26" s="350"/>
      <c r="F26" s="350"/>
      <c r="I26" s="298">
        <v>2020</v>
      </c>
      <c r="J26" s="298" t="s">
        <v>556</v>
      </c>
      <c r="K26" s="298" t="s">
        <v>557</v>
      </c>
      <c r="L26" s="298" t="s">
        <v>558</v>
      </c>
    </row>
    <row r="27" spans="1:23" x14ac:dyDescent="0.2">
      <c r="B27" s="65" t="s">
        <v>225</v>
      </c>
      <c r="C27" s="350" t="s">
        <v>228</v>
      </c>
      <c r="D27" s="350"/>
      <c r="E27" s="350"/>
      <c r="F27" s="350"/>
      <c r="I27" s="298">
        <v>2021</v>
      </c>
      <c r="J27" s="298" t="s">
        <v>557</v>
      </c>
      <c r="K27" s="298" t="s">
        <v>557</v>
      </c>
      <c r="L27" s="298" t="s">
        <v>557</v>
      </c>
    </row>
    <row r="28" spans="1:23" x14ac:dyDescent="0.2">
      <c r="B28" s="65" t="s">
        <v>342</v>
      </c>
      <c r="C28" s="350" t="s">
        <v>229</v>
      </c>
      <c r="D28" s="350"/>
      <c r="E28" s="350"/>
      <c r="F28" s="350"/>
      <c r="I28" s="298">
        <v>2022</v>
      </c>
      <c r="J28" s="298" t="s">
        <v>557</v>
      </c>
      <c r="K28" s="298" t="s">
        <v>557</v>
      </c>
      <c r="L28" s="298" t="s">
        <v>557</v>
      </c>
    </row>
    <row r="29" spans="1:23" ht="13.5" x14ac:dyDescent="0.25">
      <c r="B29" s="89" t="s">
        <v>233</v>
      </c>
      <c r="I29" s="298">
        <v>2023</v>
      </c>
      <c r="J29" s="298" t="s">
        <v>557</v>
      </c>
      <c r="K29" s="298" t="s">
        <v>557</v>
      </c>
      <c r="L29" s="298" t="s">
        <v>557</v>
      </c>
    </row>
    <row r="30" spans="1:23" ht="13.5" x14ac:dyDescent="0.25">
      <c r="I30" s="89" t="s">
        <v>553</v>
      </c>
    </row>
  </sheetData>
  <mergeCells count="5">
    <mergeCell ref="C28:F28"/>
    <mergeCell ref="C24:F24"/>
    <mergeCell ref="C25:F25"/>
    <mergeCell ref="C26:F26"/>
    <mergeCell ref="C27:F27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6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35"/>
  <sheetViews>
    <sheetView zoomScale="85" zoomScaleNormal="85" workbookViewId="0">
      <selection activeCell="V43" sqref="V43"/>
    </sheetView>
  </sheetViews>
  <sheetFormatPr defaultRowHeight="12.75" x14ac:dyDescent="0.2"/>
  <cols>
    <col min="1" max="3" width="3.7109375" style="1" customWidth="1"/>
    <col min="4" max="4" width="30.85546875" style="1" customWidth="1"/>
    <col min="5" max="5" width="9.140625" style="1" customWidth="1"/>
    <col min="6" max="6" width="10.28515625" style="1" bestFit="1" customWidth="1"/>
    <col min="7" max="7" width="9.42578125" style="1" customWidth="1"/>
    <col min="8" max="22" width="9.140625" style="1"/>
    <col min="23" max="23" width="10.140625" style="1" bestFit="1" customWidth="1"/>
    <col min="24" max="24" width="9.140625" style="1"/>
    <col min="25" max="25" width="10.140625" style="1" bestFit="1" customWidth="1"/>
    <col min="26" max="16384" width="9.140625" style="1"/>
  </cols>
  <sheetData>
    <row r="1" spans="1:25" x14ac:dyDescent="0.2">
      <c r="D1"/>
    </row>
    <row r="2" spans="1:25" s="2" customFormat="1" x14ac:dyDescent="0.2">
      <c r="A2" s="11" t="s">
        <v>135</v>
      </c>
      <c r="B2" s="11"/>
      <c r="C2" s="12"/>
      <c r="D2" s="12"/>
      <c r="E2" s="2" t="s">
        <v>79</v>
      </c>
      <c r="F2" s="3" t="s">
        <v>58</v>
      </c>
      <c r="G2" s="3" t="s">
        <v>59</v>
      </c>
      <c r="H2" s="3" t="s">
        <v>60</v>
      </c>
      <c r="I2" s="3" t="s">
        <v>61</v>
      </c>
      <c r="J2" s="4" t="s">
        <v>62</v>
      </c>
      <c r="K2" s="4" t="s">
        <v>63</v>
      </c>
      <c r="L2" s="4" t="s">
        <v>64</v>
      </c>
      <c r="M2" s="4" t="s">
        <v>65</v>
      </c>
      <c r="N2" s="5" t="s">
        <v>66</v>
      </c>
      <c r="O2" s="5" t="s">
        <v>67</v>
      </c>
      <c r="P2" s="5" t="s">
        <v>68</v>
      </c>
      <c r="Q2" s="5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7" t="s">
        <v>74</v>
      </c>
      <c r="W2" s="7" t="s">
        <v>75</v>
      </c>
      <c r="X2" s="7" t="s">
        <v>76</v>
      </c>
      <c r="Y2" s="7" t="s">
        <v>77</v>
      </c>
    </row>
    <row r="4" spans="1:25" x14ac:dyDescent="0.2">
      <c r="A4" s="49"/>
      <c r="B4" s="50" t="s">
        <v>136</v>
      </c>
      <c r="C4" s="49"/>
      <c r="D4" s="49"/>
      <c r="E4" s="77" t="s">
        <v>85</v>
      </c>
      <c r="F4" s="17">
        <f>SUM(F5:F9)+F20</f>
        <v>-21585.03389830509</v>
      </c>
      <c r="G4" s="17">
        <f t="shared" ref="G4:Y4" si="0">SUM(G5:G9)+G20</f>
        <v>-3781.7573964603403</v>
      </c>
      <c r="H4" s="17">
        <f t="shared" si="0"/>
        <v>-6006.3336676467807</v>
      </c>
      <c r="I4" s="17">
        <f t="shared" si="0"/>
        <v>-6006.3336676467807</v>
      </c>
      <c r="J4" s="17">
        <f t="shared" si="0"/>
        <v>32244.65418495491</v>
      </c>
      <c r="K4" s="17">
        <f t="shared" si="0"/>
        <v>-13266.520722196183</v>
      </c>
      <c r="L4" s="17">
        <f t="shared" si="0"/>
        <v>160244.65418495491</v>
      </c>
      <c r="M4" s="17">
        <f t="shared" si="0"/>
        <v>117397.19655783627</v>
      </c>
      <c r="N4" s="17">
        <f t="shared" si="0"/>
        <v>34703.252162511286</v>
      </c>
      <c r="O4" s="17">
        <f t="shared" si="0"/>
        <v>-13835.307148555799</v>
      </c>
      <c r="P4" s="17">
        <f t="shared" si="0"/>
        <v>171407.25216251129</v>
      </c>
      <c r="Q4" s="17">
        <f t="shared" si="0"/>
        <v>125646.16741674862</v>
      </c>
      <c r="R4" s="17">
        <f t="shared" si="0"/>
        <v>85703.085656137264</v>
      </c>
      <c r="S4" s="17">
        <f t="shared" si="0"/>
        <v>-14379.83934932002</v>
      </c>
      <c r="T4" s="17">
        <f t="shared" si="0"/>
        <v>376062.38165613724</v>
      </c>
      <c r="U4" s="17">
        <f t="shared" si="0"/>
        <v>278865.83765613724</v>
      </c>
      <c r="V4" s="17">
        <f t="shared" si="0"/>
        <v>143293.05943402284</v>
      </c>
      <c r="W4" s="17">
        <f t="shared" si="0"/>
        <v>-14986.040926962869</v>
      </c>
      <c r="X4" s="17">
        <f t="shared" si="0"/>
        <v>607166.114547014</v>
      </c>
      <c r="Y4" s="17">
        <f t="shared" si="0"/>
        <v>451894.63550701417</v>
      </c>
    </row>
    <row r="5" spans="1:25" x14ac:dyDescent="0.2">
      <c r="A5" s="49"/>
      <c r="B5" s="49"/>
      <c r="C5" s="49" t="s">
        <v>137</v>
      </c>
      <c r="D5" s="49"/>
      <c r="E5" s="77" t="s">
        <v>85</v>
      </c>
      <c r="F5" s="15">
        <f>'Пр-во и Продажи'!E50</f>
        <v>0</v>
      </c>
      <c r="G5" s="15">
        <f>'Пр-во и Продажи'!F50</f>
        <v>0</v>
      </c>
      <c r="H5" s="15">
        <f>'Пр-во и Продажи'!G50</f>
        <v>0</v>
      </c>
      <c r="I5" s="15">
        <f>'Пр-во и Продажи'!H50</f>
        <v>0</v>
      </c>
      <c r="J5" s="15">
        <f>'Пр-во и Продажи'!I50</f>
        <v>283200</v>
      </c>
      <c r="K5" s="15">
        <f>'Пр-во и Продажи'!J50</f>
        <v>0</v>
      </c>
      <c r="L5" s="15">
        <f>'Пр-во и Продажи'!K50</f>
        <v>472000</v>
      </c>
      <c r="M5" s="15">
        <f>'Пр-во и Продажи'!L50</f>
        <v>188800</v>
      </c>
      <c r="N5" s="15">
        <f>'Пр-во и Продажи'!M50</f>
        <v>302457.59999999998</v>
      </c>
      <c r="O5" s="15">
        <f>'Пр-во и Продажи'!N50</f>
        <v>0</v>
      </c>
      <c r="P5" s="15">
        <f>'Пр-во и Продажи'!O50</f>
        <v>504096</v>
      </c>
      <c r="Q5" s="15">
        <f>'Пр-во и Продажи'!P50</f>
        <v>201638.40000000002</v>
      </c>
      <c r="R5" s="15">
        <f>'Пр-во и Продажи'!Q50</f>
        <v>642419.94240000006</v>
      </c>
      <c r="S5" s="15">
        <f>'Пр-во и Продажи'!R50</f>
        <v>0</v>
      </c>
      <c r="T5" s="15">
        <f>'Пр-во и Продажи'!S50</f>
        <v>1070699.9040000001</v>
      </c>
      <c r="U5" s="15">
        <f>'Пр-во и Продажи'!T50</f>
        <v>428279.96160000004</v>
      </c>
      <c r="V5" s="15">
        <f>'Пр-во и Продажи'!U50</f>
        <v>1026265.8579839999</v>
      </c>
      <c r="W5" s="15">
        <f>'Пр-во и Продажи'!V50</f>
        <v>0</v>
      </c>
      <c r="X5" s="15">
        <f>'Пр-во и Продажи'!W50</f>
        <v>1710443.0966399999</v>
      </c>
      <c r="Y5" s="15">
        <f>'Пр-во и Продажи'!X50</f>
        <v>684177.238656</v>
      </c>
    </row>
    <row r="6" spans="1:25" x14ac:dyDescent="0.2">
      <c r="C6" s="1" t="s">
        <v>138</v>
      </c>
      <c r="E6" s="77" t="s">
        <v>85</v>
      </c>
      <c r="F6" s="15">
        <f>-Затраты!F21</f>
        <v>-22000</v>
      </c>
      <c r="G6" s="15">
        <f>-Затраты!G21</f>
        <v>0</v>
      </c>
      <c r="H6" s="15">
        <f>-Затраты!H21</f>
        <v>0</v>
      </c>
      <c r="I6" s="15">
        <f>-Затраты!I21</f>
        <v>0</v>
      </c>
      <c r="J6" s="15">
        <f>-Затраты!J21</f>
        <v>-220000</v>
      </c>
      <c r="K6" s="15">
        <f>-Затраты!K21</f>
        <v>0</v>
      </c>
      <c r="L6" s="15">
        <f>-Затраты!L21</f>
        <v>-220000</v>
      </c>
      <c r="M6" s="15">
        <f>-Затраты!M21</f>
        <v>0</v>
      </c>
      <c r="N6" s="15">
        <f>-Затраты!N21</f>
        <v>-234960</v>
      </c>
      <c r="O6" s="15">
        <f>-Затраты!O21</f>
        <v>0</v>
      </c>
      <c r="P6" s="15">
        <f>-Затраты!P21</f>
        <v>-234960</v>
      </c>
      <c r="Q6" s="15">
        <f>-Затраты!Q21</f>
        <v>0</v>
      </c>
      <c r="R6" s="15">
        <f>-Затраты!R21</f>
        <v>-499055.04</v>
      </c>
      <c r="S6" s="15">
        <f>-Затраты!S21</f>
        <v>0</v>
      </c>
      <c r="T6" s="15">
        <f>-Затраты!T21</f>
        <v>-499055.04</v>
      </c>
      <c r="U6" s="15">
        <f>-Затраты!U21</f>
        <v>0</v>
      </c>
      <c r="V6" s="15">
        <f>-Затраты!V21</f>
        <v>-797240.4264</v>
      </c>
      <c r="W6" s="15">
        <f>-Затраты!W21</f>
        <v>0</v>
      </c>
      <c r="X6" s="15">
        <f>-Затраты!X21</f>
        <v>-797240.4264</v>
      </c>
      <c r="Y6" s="15">
        <f>-Затраты!Y21</f>
        <v>0</v>
      </c>
    </row>
    <row r="7" spans="1:25" x14ac:dyDescent="0.2">
      <c r="C7" s="1" t="s">
        <v>139</v>
      </c>
      <c r="E7" s="77" t="s">
        <v>85</v>
      </c>
      <c r="F7" s="15">
        <f>-Персонал!E79</f>
        <v>-2190</v>
      </c>
      <c r="G7" s="15">
        <f>-Персонал!F79</f>
        <v>-2204.6504092719697</v>
      </c>
      <c r="H7" s="15">
        <f>-Персонал!G79</f>
        <v>-2204.6504092719697</v>
      </c>
      <c r="I7" s="15">
        <f>-Персонал!H79</f>
        <v>-2204.6504092719697</v>
      </c>
      <c r="J7" s="15">
        <f>-Персонал!I79</f>
        <v>-7289.8918189267206</v>
      </c>
      <c r="K7" s="15">
        <f>-Персонал!J79</f>
        <v>-7289.8918189267206</v>
      </c>
      <c r="L7" s="15">
        <f>-Персонал!K79</f>
        <v>-7289.8918189267206</v>
      </c>
      <c r="M7" s="15">
        <f>-Персонал!L79</f>
        <v>-7289.8918189267206</v>
      </c>
      <c r="N7" s="15">
        <f>-Персонал!M79</f>
        <v>-7547.2862697536229</v>
      </c>
      <c r="O7" s="15">
        <f>-Персонал!N79</f>
        <v>-7547.2862697536229</v>
      </c>
      <c r="P7" s="15">
        <f>-Персонал!O79</f>
        <v>-7547.2862697536229</v>
      </c>
      <c r="Q7" s="15">
        <f>-Персонал!P79</f>
        <v>-7547.2862697536229</v>
      </c>
      <c r="R7" s="15">
        <f>-Персонал!Q79</f>
        <v>-7791.0114804366131</v>
      </c>
      <c r="S7" s="15">
        <f>-Персонал!R79</f>
        <v>-7791.0114804366131</v>
      </c>
      <c r="T7" s="15">
        <f>-Персонал!S79</f>
        <v>-7791.0114804366131</v>
      </c>
      <c r="U7" s="15">
        <f>-Персонал!T79</f>
        <v>-7791.0114804366131</v>
      </c>
      <c r="V7" s="15">
        <f>-Персонал!U79</f>
        <v>-8062.5878289730654</v>
      </c>
      <c r="W7" s="15">
        <f>-Персонал!V79</f>
        <v>-8062.5878289730654</v>
      </c>
      <c r="X7" s="15">
        <f>-Персонал!W79</f>
        <v>-8555.3180525042862</v>
      </c>
      <c r="Y7" s="15">
        <f>-Персонал!X79</f>
        <v>-8555.3180525042862</v>
      </c>
    </row>
    <row r="8" spans="1:25" x14ac:dyDescent="0.2">
      <c r="C8" s="1" t="s">
        <v>140</v>
      </c>
      <c r="E8" s="77" t="s">
        <v>85</v>
      </c>
      <c r="F8" s="15">
        <f>-(Затраты!F43+Затраты!F52+Затраты!F63)</f>
        <v>-900</v>
      </c>
      <c r="G8" s="15">
        <f>-(Затраты!G43+Затраты!G52+Затраты!G63)</f>
        <v>-900</v>
      </c>
      <c r="H8" s="15">
        <f>-(Затраты!H43+Затраты!H52+Затраты!H63)</f>
        <v>-3525</v>
      </c>
      <c r="I8" s="15">
        <f>-(Затраты!I43+Затраты!I52+Затраты!I63)</f>
        <v>-3525</v>
      </c>
      <c r="J8" s="15">
        <f>-(Затраты!J43+Затраты!J52+Затраты!J63)</f>
        <v>-3828.15</v>
      </c>
      <c r="K8" s="15">
        <f>-(Затраты!K43+Затраты!K52+Затраты!K63)</f>
        <v>-3828.15</v>
      </c>
      <c r="L8" s="15">
        <f>-(Затраты!L43+Затраты!L52+Затраты!L63)</f>
        <v>-3828.15</v>
      </c>
      <c r="M8" s="15">
        <f>-(Затраты!M43+Затраты!M52+Затраты!M63)</f>
        <v>-3828.15</v>
      </c>
      <c r="N8" s="15">
        <f>-(Затраты!N43+Затраты!N52+Затраты!N63)</f>
        <v>-4088.4642000000003</v>
      </c>
      <c r="O8" s="15">
        <f>-(Затраты!O43+Затраты!O52+Затраты!O63)</f>
        <v>-4088.4642000000003</v>
      </c>
      <c r="P8" s="15">
        <f>-(Затраты!P43+Затраты!P52+Затраты!P63)</f>
        <v>-4088.4642000000003</v>
      </c>
      <c r="Q8" s="15">
        <f>-(Затраты!Q43+Затраты!Q52+Затраты!Q63)</f>
        <v>-4088.4642000000003</v>
      </c>
      <c r="R8" s="15">
        <f>-(Затраты!R43+Затраты!R52+Затраты!R63)</f>
        <v>-4341.9489804000004</v>
      </c>
      <c r="S8" s="15">
        <f>-(Затраты!S43+Затраты!S52+Затраты!S63)</f>
        <v>-4341.9489804000004</v>
      </c>
      <c r="T8" s="15">
        <f>-(Затраты!T43+Затраты!T52+Затраты!T63)</f>
        <v>-4341.9489804000004</v>
      </c>
      <c r="U8" s="15">
        <f>-(Затраты!U43+Затраты!U52+Затраты!U63)</f>
        <v>-4341.9489804000004</v>
      </c>
      <c r="V8" s="15">
        <f>-(Затраты!V43+Затраты!V52+Затраты!V63)</f>
        <v>-4624.1756641259999</v>
      </c>
      <c r="W8" s="15">
        <f>-(Затраты!W43+Затраты!W52+Затраты!W63)</f>
        <v>-4624.1756641259999</v>
      </c>
      <c r="X8" s="15">
        <f>-(Затраты!X43+Затраты!X52+Затраты!X63)</f>
        <v>-4624.1756641259999</v>
      </c>
      <c r="Y8" s="15">
        <f>-(Затраты!Y43+Затраты!Y52+Затраты!Y63)</f>
        <v>-4624.1756641259999</v>
      </c>
    </row>
    <row r="9" spans="1:25" x14ac:dyDescent="0.2">
      <c r="C9" s="1" t="s">
        <v>141</v>
      </c>
      <c r="E9" s="77" t="s">
        <v>85</v>
      </c>
      <c r="F9" s="15">
        <f>-(F17+F18+F19+F16)</f>
        <v>3504.9661016949121</v>
      </c>
      <c r="G9" s="15">
        <f t="shared" ref="G9:Y9" si="1">-(G17+G18+G19+G16)</f>
        <v>-677.10698718837057</v>
      </c>
      <c r="H9" s="15">
        <f t="shared" si="1"/>
        <v>-276.68325837481143</v>
      </c>
      <c r="I9" s="15">
        <f t="shared" si="1"/>
        <v>-276.68325837481143</v>
      </c>
      <c r="J9" s="15">
        <f t="shared" si="1"/>
        <v>-19837.303996118368</v>
      </c>
      <c r="K9" s="15">
        <f t="shared" si="1"/>
        <v>-2148.4789032694616</v>
      </c>
      <c r="L9" s="15">
        <f t="shared" si="1"/>
        <v>-80637.303996118368</v>
      </c>
      <c r="M9" s="15">
        <f t="shared" si="1"/>
        <v>-60284.761623237006</v>
      </c>
      <c r="N9" s="15">
        <f t="shared" si="1"/>
        <v>-21158.597367735063</v>
      </c>
      <c r="O9" s="15">
        <f t="shared" si="1"/>
        <v>-2199.5566788021742</v>
      </c>
      <c r="P9" s="15">
        <f t="shared" si="1"/>
        <v>-86092.997367735094</v>
      </c>
      <c r="Q9" s="15">
        <f t="shared" si="1"/>
        <v>-64356.482113497797</v>
      </c>
      <c r="R9" s="15">
        <f t="shared" si="1"/>
        <v>-45528.856283026224</v>
      </c>
      <c r="S9" s="15">
        <f t="shared" si="1"/>
        <v>-2246.8788884834066</v>
      </c>
      <c r="T9" s="15">
        <f t="shared" si="1"/>
        <v>-183449.52188302617</v>
      </c>
      <c r="U9" s="15">
        <f t="shared" si="1"/>
        <v>-137281.1634830262</v>
      </c>
      <c r="V9" s="15">
        <f t="shared" si="1"/>
        <v>-73045.608656877972</v>
      </c>
      <c r="W9" s="15">
        <f t="shared" si="1"/>
        <v>-2299.2774338638042</v>
      </c>
      <c r="X9" s="15">
        <f t="shared" si="1"/>
        <v>-292857.06197635544</v>
      </c>
      <c r="Y9" s="15">
        <f t="shared" si="1"/>
        <v>-219103.10943235544</v>
      </c>
    </row>
    <row r="10" spans="1:25" s="52" customFormat="1" x14ac:dyDescent="0.2">
      <c r="D10" s="52" t="s">
        <v>153</v>
      </c>
      <c r="E10" s="77"/>
      <c r="F10" s="53">
        <f>'Пр-во и Продажи'!E51</f>
        <v>0</v>
      </c>
      <c r="G10" s="53">
        <f>'Пр-во и Продажи'!F51</f>
        <v>0</v>
      </c>
      <c r="H10" s="53">
        <f>'Пр-во и Продажи'!G51</f>
        <v>0</v>
      </c>
      <c r="I10" s="53">
        <f>'Пр-во и Продажи'!H51</f>
        <v>0</v>
      </c>
      <c r="J10" s="53">
        <f>'Пр-во и Продажи'!I51</f>
        <v>43200</v>
      </c>
      <c r="K10" s="53">
        <f>'Пр-во и Продажи'!J51</f>
        <v>0</v>
      </c>
      <c r="L10" s="53">
        <f>'Пр-во и Продажи'!K51</f>
        <v>72000</v>
      </c>
      <c r="M10" s="53">
        <f>'Пр-во и Продажи'!L51</f>
        <v>28800</v>
      </c>
      <c r="N10" s="53">
        <f>'Пр-во и Продажи'!M51</f>
        <v>46137.599999999977</v>
      </c>
      <c r="O10" s="53">
        <f>'Пр-во и Продажи'!N51</f>
        <v>0</v>
      </c>
      <c r="P10" s="53">
        <f>'Пр-во и Продажи'!O51</f>
        <v>76896</v>
      </c>
      <c r="Q10" s="53">
        <f>'Пр-во и Продажи'!P51</f>
        <v>30758.399999999994</v>
      </c>
      <c r="R10" s="53">
        <f>'Пр-во и Продажи'!Q51</f>
        <v>97996.262400000007</v>
      </c>
      <c r="S10" s="53">
        <f>'Пр-во и Продажи'!R51</f>
        <v>0</v>
      </c>
      <c r="T10" s="53">
        <f>'Пр-во и Продажи'!S51</f>
        <v>163327.10399999993</v>
      </c>
      <c r="U10" s="53">
        <f>'Пр-во и Продажи'!T51</f>
        <v>65330.841599999985</v>
      </c>
      <c r="V10" s="53">
        <f>'Пр-во и Продажи'!U51</f>
        <v>156549.02918399998</v>
      </c>
      <c r="W10" s="53">
        <f>'Пр-во и Продажи'!V51</f>
        <v>0</v>
      </c>
      <c r="X10" s="53">
        <f>'Пр-во и Продажи'!W51</f>
        <v>260915.04863999994</v>
      </c>
      <c r="Y10" s="53">
        <f>'Пр-во и Продажи'!X51</f>
        <v>104366.01945599995</v>
      </c>
    </row>
    <row r="11" spans="1:25" s="52" customFormat="1" x14ac:dyDescent="0.2">
      <c r="D11" s="52" t="s">
        <v>154</v>
      </c>
      <c r="E11" s="77"/>
      <c r="F11" s="53">
        <f>Затраты!F22+Затраты!F44+Затраты!F53+Затраты!F64+'НА и ОС'!G97+'НА и ОС'!G23</f>
        <v>4242.9661016949121</v>
      </c>
      <c r="G11" s="53">
        <f>Затраты!G22+Затраты!G44+Затраты!G53+Затраты!G64+'НА и ОС'!H97+'НА и ОС'!H23</f>
        <v>137.28813559322032</v>
      </c>
      <c r="H11" s="53">
        <f>Затраты!H22+Затраты!H44+Затраты!H53+Затраты!H64+'НА и ОС'!I97+'НА и ОС'!I23</f>
        <v>537.71186440677945</v>
      </c>
      <c r="I11" s="53">
        <f>Затраты!I22+Затраты!I44+Затраты!I53+Затраты!I64+'НА и ОС'!J97+'НА и ОС'!J23</f>
        <v>537.71186440677945</v>
      </c>
      <c r="J11" s="53">
        <f>Затраты!J22+Затраты!J44+Затраты!J53+Затраты!J64+'НА и ОС'!K97+'НА и ОС'!K23</f>
        <v>34143.277118644059</v>
      </c>
      <c r="K11" s="53">
        <f>Затраты!K22+Затраты!K44+Затраты!K53+Затраты!K64+'НА и ОС'!L97+'НА и ОС'!L23</f>
        <v>583.95508474576241</v>
      </c>
      <c r="L11" s="53">
        <f>Затраты!L22+Затраты!L44+Затраты!L53+Затраты!L64+'НА и ОС'!M97+'НА и ОС'!M23</f>
        <v>34143.277118644059</v>
      </c>
      <c r="M11" s="53">
        <f>Затраты!M22+Затраты!M44+Затраты!M53+Затраты!M64+'НА и ОС'!N97+'НА и ОС'!N23</f>
        <v>583.95508474576241</v>
      </c>
      <c r="N11" s="53">
        <f>Затраты!N22+Затраты!N44+Затраты!N53+Затраты!N64+'НА и ОС'!O97+'НА и ОС'!O23</f>
        <v>36465.019962711864</v>
      </c>
      <c r="O11" s="53">
        <f>Затраты!O22+Затраты!O44+Затраты!O53+Затраты!O64+'НА и ОС'!P97+'НА и ОС'!P23</f>
        <v>623.66403050847441</v>
      </c>
      <c r="P11" s="53">
        <f>Затраты!P22+Затраты!P44+Затраты!P53+Затраты!P64+'НА и ОС'!Q97+'НА и ОС'!Q23</f>
        <v>36465.019962711864</v>
      </c>
      <c r="Q11" s="53">
        <f>Затраты!Q22+Затраты!Q44+Затраты!Q53+Затраты!Q64+'НА и ОС'!R97+'НА и ОС'!R23</f>
        <v>623.66403050847441</v>
      </c>
      <c r="R11" s="53">
        <f>Затраты!R22+Затраты!R44+Затраты!R53+Затраты!R64+'НА и ОС'!S97+'НА и ОС'!S23</f>
        <v>76789.371200399983</v>
      </c>
      <c r="S11" s="53">
        <f>Затраты!S22+Затраты!S44+Затраты!S53+Затраты!S64+'НА и ОС'!T97+'НА и ОС'!T23</f>
        <v>662.33120039999983</v>
      </c>
      <c r="T11" s="53">
        <f>Затраты!T22+Затраты!T44+Затраты!T53+Затраты!T64+'НА и ОС'!U97+'НА и ОС'!U23</f>
        <v>76789.371200399983</v>
      </c>
      <c r="U11" s="53">
        <f>Затраты!U22+Затраты!U44+Затраты!U53+Затраты!U64+'НА и ОС'!V97+'НА и ОС'!V23</f>
        <v>662.33120039999983</v>
      </c>
      <c r="V11" s="53">
        <f>Затраты!V22+Затраты!V44+Затраты!V53+Затраты!V64+'НА и ОС'!W97+'НА и ОС'!W23</f>
        <v>122318.329128426</v>
      </c>
      <c r="W11" s="53">
        <f>Затраты!W22+Затраты!W44+Затраты!W53+Затраты!W64+'НА и ОС'!X97+'НА и ОС'!X23</f>
        <v>705.38272842599963</v>
      </c>
      <c r="X11" s="53">
        <f>Затраты!X22+Затраты!X44+Затраты!X53+Затраты!X64+'НА и ОС'!Y97+'НА и ОС'!Y23</f>
        <v>122318.329128426</v>
      </c>
      <c r="Y11" s="53">
        <f>Затраты!Y22+Затраты!Y44+Затраты!Y53+Затраты!Y64+'НА и ОС'!Z97+'НА и ОС'!Z23</f>
        <v>705.38272842599963</v>
      </c>
    </row>
    <row r="12" spans="1:25" s="132" customFormat="1" ht="17.25" customHeight="1" x14ac:dyDescent="0.2">
      <c r="D12" s="133" t="s">
        <v>252</v>
      </c>
      <c r="E12" s="77"/>
      <c r="F12" s="137">
        <f>F10-F11</f>
        <v>-4242.9661016949121</v>
      </c>
      <c r="G12" s="137">
        <f t="shared" ref="G12:Y12" si="2">G10-G11</f>
        <v>-137.28813559322032</v>
      </c>
      <c r="H12" s="137">
        <f t="shared" si="2"/>
        <v>-537.71186440677945</v>
      </c>
      <c r="I12" s="137">
        <f t="shared" si="2"/>
        <v>-537.71186440677945</v>
      </c>
      <c r="J12" s="137">
        <f t="shared" si="2"/>
        <v>9056.7228813559414</v>
      </c>
      <c r="K12" s="137">
        <f t="shared" si="2"/>
        <v>-583.95508474576241</v>
      </c>
      <c r="L12" s="137">
        <f t="shared" si="2"/>
        <v>37856.722881355941</v>
      </c>
      <c r="M12" s="137">
        <f>M10-M11</f>
        <v>28216.044915254239</v>
      </c>
      <c r="N12" s="137">
        <f t="shared" si="2"/>
        <v>9672.5800372881131</v>
      </c>
      <c r="O12" s="137">
        <f t="shared" si="2"/>
        <v>-623.66403050847441</v>
      </c>
      <c r="P12" s="137">
        <f t="shared" si="2"/>
        <v>40430.980037288136</v>
      </c>
      <c r="Q12" s="137">
        <f t="shared" si="2"/>
        <v>30134.735969491521</v>
      </c>
      <c r="R12" s="137">
        <f t="shared" si="2"/>
        <v>21206.891199600024</v>
      </c>
      <c r="S12" s="137">
        <f t="shared" si="2"/>
        <v>-662.33120039999983</v>
      </c>
      <c r="T12" s="137">
        <f t="shared" si="2"/>
        <v>86537.732799599951</v>
      </c>
      <c r="U12" s="137">
        <f t="shared" si="2"/>
        <v>64668.510399599989</v>
      </c>
      <c r="V12" s="137">
        <f t="shared" si="2"/>
        <v>34230.70005557398</v>
      </c>
      <c r="W12" s="137">
        <f t="shared" si="2"/>
        <v>-705.38272842599963</v>
      </c>
      <c r="X12" s="137">
        <f t="shared" si="2"/>
        <v>138596.71951157393</v>
      </c>
      <c r="Y12" s="137">
        <f t="shared" si="2"/>
        <v>103660.63672757395</v>
      </c>
    </row>
    <row r="13" spans="1:25" s="132" customFormat="1" hidden="1" x14ac:dyDescent="0.2">
      <c r="D13" s="133" t="s">
        <v>253</v>
      </c>
      <c r="E13" s="77"/>
      <c r="F13" s="137">
        <f>SUM($F12:F12)</f>
        <v>-4242.9661016949121</v>
      </c>
      <c r="G13" s="137">
        <f>SUM($F12:G12)</f>
        <v>-4380.2542372881326</v>
      </c>
      <c r="H13" s="137">
        <f>SUM($F12:H12)</f>
        <v>-4917.9661016949121</v>
      </c>
      <c r="I13" s="137">
        <f>SUM($F12:I12)</f>
        <v>-5455.6779661016917</v>
      </c>
      <c r="J13" s="137">
        <f>SUM($F12:J12)</f>
        <v>3601.0449152542496</v>
      </c>
      <c r="K13" s="137">
        <f>SUM($F12:K12)</f>
        <v>3017.0898305084875</v>
      </c>
      <c r="L13" s="137">
        <f>SUM($F12:L12)</f>
        <v>40873.812711864426</v>
      </c>
      <c r="M13" s="137">
        <f>SUM($F12:M12)</f>
        <v>69089.857627118661</v>
      </c>
      <c r="N13" s="137">
        <f>SUM($F12:N12)</f>
        <v>78762.437664406782</v>
      </c>
      <c r="O13" s="137">
        <f>SUM($F12:O12)</f>
        <v>78138.773633898309</v>
      </c>
      <c r="P13" s="137">
        <f>SUM($F12:P12)</f>
        <v>118569.75367118645</v>
      </c>
      <c r="Q13" s="137">
        <f>SUM($F12:Q12)</f>
        <v>148704.48964067799</v>
      </c>
      <c r="R13" s="137">
        <f>SUM($F12:R12)</f>
        <v>169911.380840278</v>
      </c>
      <c r="S13" s="137">
        <f>SUM($F12:S12)</f>
        <v>169249.04963987801</v>
      </c>
      <c r="T13" s="137">
        <f>SUM($F12:T12)</f>
        <v>255786.78243947797</v>
      </c>
      <c r="U13" s="137">
        <f>SUM($F12:U12)</f>
        <v>320455.29283907794</v>
      </c>
      <c r="V13" s="137">
        <f>SUM($F12:V12)</f>
        <v>354685.99289465195</v>
      </c>
      <c r="W13" s="137">
        <f>SUM($F12:W12)</f>
        <v>353980.61016622593</v>
      </c>
      <c r="X13" s="137">
        <f>SUM($F12:X12)</f>
        <v>492577.32967779983</v>
      </c>
      <c r="Y13" s="137">
        <f>SUM($F12:Y12)</f>
        <v>596237.96640537377</v>
      </c>
    </row>
    <row r="14" spans="1:25" s="132" customFormat="1" ht="0.75" customHeight="1" x14ac:dyDescent="0.2">
      <c r="D14" s="132" t="s">
        <v>254</v>
      </c>
      <c r="E14" s="77"/>
      <c r="F14" s="137">
        <f t="shared" ref="F14:X14" si="3">IF(F13&lt;0, 0, F13)</f>
        <v>0</v>
      </c>
      <c r="G14" s="137">
        <f t="shared" si="3"/>
        <v>0</v>
      </c>
      <c r="H14" s="137">
        <f t="shared" si="3"/>
        <v>0</v>
      </c>
      <c r="I14" s="137">
        <f t="shared" si="3"/>
        <v>0</v>
      </c>
      <c r="J14" s="137">
        <f t="shared" si="3"/>
        <v>3601.0449152542496</v>
      </c>
      <c r="K14" s="137">
        <f t="shared" si="3"/>
        <v>3017.0898305084875</v>
      </c>
      <c r="L14" s="137">
        <f t="shared" si="3"/>
        <v>40873.812711864426</v>
      </c>
      <c r="M14" s="137">
        <f t="shared" si="3"/>
        <v>69089.857627118661</v>
      </c>
      <c r="N14" s="137">
        <f t="shared" si="3"/>
        <v>78762.437664406782</v>
      </c>
      <c r="O14" s="137">
        <f t="shared" si="3"/>
        <v>78138.773633898309</v>
      </c>
      <c r="P14" s="137">
        <f t="shared" si="3"/>
        <v>118569.75367118645</v>
      </c>
      <c r="Q14" s="137">
        <f t="shared" si="3"/>
        <v>148704.48964067799</v>
      </c>
      <c r="R14" s="137">
        <f t="shared" si="3"/>
        <v>169911.380840278</v>
      </c>
      <c r="S14" s="137">
        <f t="shared" si="3"/>
        <v>169249.04963987801</v>
      </c>
      <c r="T14" s="137">
        <f t="shared" si="3"/>
        <v>255786.78243947797</v>
      </c>
      <c r="U14" s="137">
        <f t="shared" si="3"/>
        <v>320455.29283907794</v>
      </c>
      <c r="V14" s="137">
        <f t="shared" si="3"/>
        <v>354685.99289465195</v>
      </c>
      <c r="W14" s="137">
        <f t="shared" si="3"/>
        <v>353980.61016622593</v>
      </c>
      <c r="X14" s="137">
        <f t="shared" si="3"/>
        <v>492577.32967779983</v>
      </c>
      <c r="Y14" s="137">
        <f>IF(Y13&lt;0, 0, Y13)</f>
        <v>596237.96640537377</v>
      </c>
    </row>
    <row r="15" spans="1:25" s="132" customFormat="1" ht="15.75" customHeight="1" x14ac:dyDescent="0.2">
      <c r="D15" s="132" t="s">
        <v>254</v>
      </c>
      <c r="E15" s="77"/>
      <c r="F15" s="137">
        <f>F14-0</f>
        <v>0</v>
      </c>
      <c r="G15" s="137">
        <f t="shared" ref="G15:X15" si="4">G14-F14</f>
        <v>0</v>
      </c>
      <c r="H15" s="137">
        <f t="shared" si="4"/>
        <v>0</v>
      </c>
      <c r="I15" s="137">
        <f t="shared" si="4"/>
        <v>0</v>
      </c>
      <c r="J15" s="137">
        <f t="shared" si="4"/>
        <v>3601.0449152542496</v>
      </c>
      <c r="K15" s="137">
        <f t="shared" si="4"/>
        <v>-583.95508474576218</v>
      </c>
      <c r="L15" s="137">
        <f t="shared" si="4"/>
        <v>37856.722881355941</v>
      </c>
      <c r="M15" s="137">
        <f t="shared" si="4"/>
        <v>28216.044915254235</v>
      </c>
      <c r="N15" s="137">
        <f t="shared" si="4"/>
        <v>9672.5800372881204</v>
      </c>
      <c r="O15" s="137">
        <f t="shared" si="4"/>
        <v>-623.66403050847293</v>
      </c>
      <c r="P15" s="137">
        <f t="shared" si="4"/>
        <v>40430.980037288144</v>
      </c>
      <c r="Q15" s="137">
        <f t="shared" si="4"/>
        <v>30134.735969491536</v>
      </c>
      <c r="R15" s="137">
        <f t="shared" si="4"/>
        <v>21206.89119960001</v>
      </c>
      <c r="S15" s="137">
        <f t="shared" si="4"/>
        <v>-662.33120039998903</v>
      </c>
      <c r="T15" s="137">
        <f t="shared" si="4"/>
        <v>86537.732799599966</v>
      </c>
      <c r="U15" s="137">
        <f t="shared" si="4"/>
        <v>64668.510399599967</v>
      </c>
      <c r="V15" s="137">
        <f t="shared" si="4"/>
        <v>34230.700055574009</v>
      </c>
      <c r="W15" s="137">
        <f t="shared" si="4"/>
        <v>-705.38272842601873</v>
      </c>
      <c r="X15" s="137">
        <f t="shared" si="4"/>
        <v>138596.7195115739</v>
      </c>
      <c r="Y15" s="137">
        <f>Y14-X14</f>
        <v>103660.63672757393</v>
      </c>
    </row>
    <row r="16" spans="1:25" s="52" customFormat="1" x14ac:dyDescent="0.2">
      <c r="D16" s="52" t="s">
        <v>255</v>
      </c>
      <c r="E16" s="77"/>
      <c r="F16" s="53">
        <f>F10-F11</f>
        <v>-4242.9661016949121</v>
      </c>
      <c r="G16" s="53">
        <f t="shared" ref="G16:Y16" si="5">G10-G11</f>
        <v>-137.28813559322032</v>
      </c>
      <c r="H16" s="53">
        <f t="shared" si="5"/>
        <v>-537.71186440677945</v>
      </c>
      <c r="I16" s="53">
        <f t="shared" si="5"/>
        <v>-537.71186440677945</v>
      </c>
      <c r="J16" s="53">
        <f t="shared" si="5"/>
        <v>9056.7228813559414</v>
      </c>
      <c r="K16" s="53">
        <f t="shared" si="5"/>
        <v>-583.95508474576241</v>
      </c>
      <c r="L16" s="53">
        <f t="shared" si="5"/>
        <v>37856.722881355941</v>
      </c>
      <c r="M16" s="53">
        <f t="shared" si="5"/>
        <v>28216.044915254239</v>
      </c>
      <c r="N16" s="53">
        <f t="shared" si="5"/>
        <v>9672.5800372881131</v>
      </c>
      <c r="O16" s="53">
        <f t="shared" si="5"/>
        <v>-623.66403050847441</v>
      </c>
      <c r="P16" s="53">
        <f t="shared" si="5"/>
        <v>40430.980037288136</v>
      </c>
      <c r="Q16" s="53">
        <f t="shared" si="5"/>
        <v>30134.735969491521</v>
      </c>
      <c r="R16" s="53">
        <f t="shared" si="5"/>
        <v>21206.891199600024</v>
      </c>
      <c r="S16" s="53">
        <f t="shared" si="5"/>
        <v>-662.33120039999983</v>
      </c>
      <c r="T16" s="53">
        <f t="shared" si="5"/>
        <v>86537.732799599951</v>
      </c>
      <c r="U16" s="53">
        <f t="shared" si="5"/>
        <v>64668.510399599989</v>
      </c>
      <c r="V16" s="53">
        <f t="shared" si="5"/>
        <v>34230.70005557398</v>
      </c>
      <c r="W16" s="53">
        <f t="shared" si="5"/>
        <v>-705.38272842599963</v>
      </c>
      <c r="X16" s="53">
        <f t="shared" si="5"/>
        <v>138596.71951157393</v>
      </c>
      <c r="Y16" s="53">
        <f t="shared" si="5"/>
        <v>103660.63672757395</v>
      </c>
    </row>
    <row r="17" spans="2:25" s="52" customFormat="1" x14ac:dyDescent="0.2">
      <c r="D17" s="52" t="s">
        <v>483</v>
      </c>
      <c r="E17" s="77"/>
      <c r="F17" s="53">
        <f>Персонал!E88</f>
        <v>738</v>
      </c>
      <c r="G17" s="53">
        <f>Персонал!F88</f>
        <v>814.39512278159089</v>
      </c>
      <c r="H17" s="53">
        <f>Персонал!G88</f>
        <v>814.39512278159089</v>
      </c>
      <c r="I17" s="53">
        <f>Персонал!H88</f>
        <v>814.39512278159089</v>
      </c>
      <c r="J17" s="53">
        <f>Персонал!I88</f>
        <v>2732.4339880152243</v>
      </c>
      <c r="K17" s="53">
        <f>Персонал!J88</f>
        <v>2732.4339880152243</v>
      </c>
      <c r="L17" s="53">
        <f>Персонал!K88</f>
        <v>2732.4339880152243</v>
      </c>
      <c r="M17" s="53">
        <f>Персонал!L88</f>
        <v>2732.4339880152243</v>
      </c>
      <c r="N17" s="53">
        <f>Персонал!M88</f>
        <v>2823.2207093106485</v>
      </c>
      <c r="O17" s="53">
        <f>Персонал!N88</f>
        <v>2823.2207093106485</v>
      </c>
      <c r="P17" s="53">
        <f>Персонал!O88</f>
        <v>2823.2207093106485</v>
      </c>
      <c r="Q17" s="53">
        <f>Персонал!P88</f>
        <v>2823.2207093106485</v>
      </c>
      <c r="R17" s="53">
        <f>Персонал!Q88</f>
        <v>2909.2100888834066</v>
      </c>
      <c r="S17" s="53">
        <f>Персонал!R88</f>
        <v>2909.2100888834066</v>
      </c>
      <c r="T17" s="53">
        <f>Персонал!S88</f>
        <v>2909.2100888834066</v>
      </c>
      <c r="U17" s="53">
        <f>Персонал!T88</f>
        <v>2909.2100888834066</v>
      </c>
      <c r="V17" s="53">
        <f>Персонал!U88</f>
        <v>3004.6601622898038</v>
      </c>
      <c r="W17" s="53">
        <f>Персонал!V88</f>
        <v>3004.6601622898038</v>
      </c>
      <c r="X17" s="53">
        <f>Персонал!W88</f>
        <v>2481.8302475194782</v>
      </c>
      <c r="Y17" s="53">
        <f>Персонал!X88</f>
        <v>2481.8302475194782</v>
      </c>
    </row>
    <row r="18" spans="2:25" s="52" customFormat="1" x14ac:dyDescent="0.2">
      <c r="D18" s="52" t="s">
        <v>95</v>
      </c>
      <c r="E18" s="77"/>
      <c r="F18" s="53">
        <f>'НА и ОС'!G105</f>
        <v>0</v>
      </c>
      <c r="G18" s="53">
        <f>'НА и ОС'!H105</f>
        <v>0</v>
      </c>
      <c r="H18" s="53">
        <f>'НА и ОС'!I105</f>
        <v>0</v>
      </c>
      <c r="I18" s="53">
        <f>'НА и ОС'!J105</f>
        <v>0</v>
      </c>
      <c r="J18" s="53">
        <f>'НА и ОС'!K105</f>
        <v>0</v>
      </c>
      <c r="K18" s="53">
        <f>'НА и ОС'!L105</f>
        <v>0</v>
      </c>
      <c r="L18" s="53">
        <f>'НА и ОС'!M105</f>
        <v>0</v>
      </c>
      <c r="M18" s="53">
        <f>'НА и ОС'!N105</f>
        <v>0</v>
      </c>
      <c r="N18" s="53">
        <f>'НА и ОС'!O105</f>
        <v>0</v>
      </c>
      <c r="O18" s="53">
        <f>'НА и ОС'!P105</f>
        <v>0</v>
      </c>
      <c r="P18" s="53">
        <f>'НА и ОС'!Q105</f>
        <v>0</v>
      </c>
      <c r="Q18" s="53">
        <f>'НА и ОС'!R105</f>
        <v>0</v>
      </c>
      <c r="R18" s="53">
        <f>'НА и ОС'!S105</f>
        <v>0</v>
      </c>
      <c r="S18" s="53">
        <f>'НА и ОС'!T105</f>
        <v>0</v>
      </c>
      <c r="T18" s="53">
        <f>'НА и ОС'!U105</f>
        <v>0</v>
      </c>
      <c r="U18" s="53">
        <f>'НА и ОС'!V105</f>
        <v>0</v>
      </c>
      <c r="V18" s="53">
        <f>'НА и ОС'!W105</f>
        <v>0</v>
      </c>
      <c r="W18" s="53">
        <f>'НА и ОС'!X105</f>
        <v>0</v>
      </c>
      <c r="X18" s="53">
        <f>'НА и ОС'!Y105</f>
        <v>0</v>
      </c>
      <c r="Y18" s="53">
        <f>'НА и ОС'!Z105</f>
        <v>0</v>
      </c>
    </row>
    <row r="19" spans="2:25" s="52" customFormat="1" x14ac:dyDescent="0.2">
      <c r="D19" s="52" t="s">
        <v>96</v>
      </c>
      <c r="E19" s="77"/>
      <c r="F19" s="53">
        <f>'Форма 2'!F25</f>
        <v>0</v>
      </c>
      <c r="G19" s="53">
        <f>'Форма 2'!G25</f>
        <v>0</v>
      </c>
      <c r="H19" s="53">
        <f>'Форма 2'!H25</f>
        <v>0</v>
      </c>
      <c r="I19" s="53">
        <f>'Форма 2'!I25</f>
        <v>0</v>
      </c>
      <c r="J19" s="53">
        <f>'Форма 2'!J25</f>
        <v>8048.1471267472025</v>
      </c>
      <c r="K19" s="53">
        <f>'Форма 2'!K25</f>
        <v>0</v>
      </c>
      <c r="L19" s="53">
        <f>'Форма 2'!L25</f>
        <v>40048.147126747208</v>
      </c>
      <c r="M19" s="53">
        <f>'Форма 2'!M25</f>
        <v>29336.282719967545</v>
      </c>
      <c r="N19" s="53">
        <f>'Форма 2'!N25</f>
        <v>8662.7966211363</v>
      </c>
      <c r="O19" s="53">
        <f>'Форма 2'!O25</f>
        <v>0</v>
      </c>
      <c r="P19" s="53">
        <f>'Форма 2'!P25</f>
        <v>42838.796621136309</v>
      </c>
      <c r="Q19" s="53">
        <f>'Форма 2'!Q25</f>
        <v>31398.525434695628</v>
      </c>
      <c r="R19" s="53">
        <f>'Форма 2'!R25</f>
        <v>21412.754994542793</v>
      </c>
      <c r="S19" s="53">
        <f>'Форма 2'!S25</f>
        <v>0</v>
      </c>
      <c r="T19" s="53">
        <f>'Форма 2'!T25</f>
        <v>94002.578994542826</v>
      </c>
      <c r="U19" s="53">
        <f>'Форма 2'!U25</f>
        <v>69703.442994542798</v>
      </c>
      <c r="V19" s="53">
        <f>'Форма 2'!V25</f>
        <v>35810.248439014191</v>
      </c>
      <c r="W19" s="53">
        <f>'Форма 2'!W25</f>
        <v>0</v>
      </c>
      <c r="X19" s="53">
        <f>'Форма 2'!X25</f>
        <v>151778.51221726203</v>
      </c>
      <c r="Y19" s="53">
        <f>'Форма 2'!Y25</f>
        <v>112960.64245726203</v>
      </c>
    </row>
    <row r="20" spans="2:25" x14ac:dyDescent="0.2">
      <c r="C20" s="1" t="s">
        <v>142</v>
      </c>
      <c r="E20" s="77" t="s">
        <v>85</v>
      </c>
      <c r="F20" s="15">
        <f>('Финан-е'!E21+'Финан-е'!E33+'Финан-е'!E48+'Финан-е'!E60)</f>
        <v>0</v>
      </c>
      <c r="G20" s="15">
        <f>('Финан-е'!F21+'Финан-е'!F33+'Финан-е'!F48+'Финан-е'!F60)</f>
        <v>0</v>
      </c>
      <c r="H20" s="15">
        <f>('Финан-е'!G21+'Финан-е'!G33+'Финан-е'!G48+'Финан-е'!G60)</f>
        <v>0</v>
      </c>
      <c r="I20" s="15">
        <f>('Финан-е'!H21+'Финан-е'!H33+'Финан-е'!H48+'Финан-е'!H60)</f>
        <v>0</v>
      </c>
      <c r="J20" s="15">
        <f>('Финан-е'!I21+'Финан-е'!I33+'Финан-е'!I48+'Финан-е'!I60)</f>
        <v>0</v>
      </c>
      <c r="K20" s="15">
        <f>('Финан-е'!J21+'Финан-е'!J33+'Финан-е'!J48+'Финан-е'!J60)</f>
        <v>0</v>
      </c>
      <c r="L20" s="15">
        <f>('Финан-е'!K21+'Финан-е'!K33+'Финан-е'!K48+'Финан-е'!K60)</f>
        <v>0</v>
      </c>
      <c r="M20" s="15">
        <f>('Финан-е'!L21+'Финан-е'!L33+'Финан-е'!L48+'Финан-е'!L60)</f>
        <v>0</v>
      </c>
      <c r="N20" s="15">
        <f>('Финан-е'!M21+'Финан-е'!M33+'Финан-е'!M48+'Финан-е'!M60)</f>
        <v>0</v>
      </c>
      <c r="O20" s="15">
        <f>('Финан-е'!N21+'Финан-е'!N33+'Финан-е'!N48+'Финан-е'!N60)</f>
        <v>0</v>
      </c>
      <c r="P20" s="15">
        <f>('Финан-е'!O21+'Финан-е'!O33+'Финан-е'!O48+'Финан-е'!O60)</f>
        <v>0</v>
      </c>
      <c r="Q20" s="15">
        <f>('Финан-е'!P21+'Финан-е'!P33+'Финан-е'!P48+'Финан-е'!P60)</f>
        <v>0</v>
      </c>
      <c r="R20" s="15">
        <f>('Финан-е'!Q21+'Финан-е'!Q33+'Финан-е'!Q48+'Финан-е'!Q60)</f>
        <v>0</v>
      </c>
      <c r="S20" s="15">
        <f>('Финан-е'!R21+'Финан-е'!R33+'Финан-е'!R48+'Финан-е'!R60)</f>
        <v>0</v>
      </c>
      <c r="T20" s="15">
        <f>('Финан-е'!S21+'Финан-е'!S33+'Финан-е'!S48+'Финан-е'!S60)</f>
        <v>0</v>
      </c>
      <c r="U20" s="15">
        <f>('Финан-е'!T21+'Финан-е'!T33+'Финан-е'!T48+'Финан-е'!T60)</f>
        <v>0</v>
      </c>
      <c r="V20" s="15">
        <f>('Финан-е'!U21+'Финан-е'!U33+'Финан-е'!U48+'Финан-е'!U60)</f>
        <v>0</v>
      </c>
      <c r="W20" s="15">
        <f>('Финан-е'!V21+'Финан-е'!V33+'Финан-е'!V48+'Финан-е'!V60)</f>
        <v>0</v>
      </c>
      <c r="X20" s="15">
        <f>('Финан-е'!W21+'Финан-е'!W33+'Финан-е'!W48+'Финан-е'!W60)</f>
        <v>0</v>
      </c>
      <c r="Y20" s="15">
        <f>('Финан-е'!X21+'Финан-е'!X33+'Финан-е'!X48+'Финан-е'!X60)</f>
        <v>0</v>
      </c>
    </row>
    <row r="21" spans="2:25" x14ac:dyDescent="0.2">
      <c r="E21" s="7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">
      <c r="B22" s="50" t="s">
        <v>143</v>
      </c>
      <c r="E22" s="77" t="s">
        <v>85</v>
      </c>
      <c r="F22" s="17">
        <f t="shared" ref="F22:Y22" si="6">F23+F24</f>
        <v>-4915</v>
      </c>
      <c r="G22" s="17">
        <f t="shared" si="6"/>
        <v>0</v>
      </c>
      <c r="H22" s="17">
        <f t="shared" si="6"/>
        <v>0</v>
      </c>
      <c r="I22" s="17">
        <f t="shared" si="6"/>
        <v>0</v>
      </c>
      <c r="J22" s="17">
        <f t="shared" si="6"/>
        <v>0</v>
      </c>
      <c r="K22" s="17">
        <f t="shared" si="6"/>
        <v>0</v>
      </c>
      <c r="L22" s="17">
        <f t="shared" si="6"/>
        <v>0</v>
      </c>
      <c r="M22" s="17">
        <f t="shared" si="6"/>
        <v>0</v>
      </c>
      <c r="N22" s="17">
        <f t="shared" si="6"/>
        <v>0</v>
      </c>
      <c r="O22" s="17">
        <f t="shared" si="6"/>
        <v>0</v>
      </c>
      <c r="P22" s="17">
        <f t="shared" si="6"/>
        <v>0</v>
      </c>
      <c r="Q22" s="17">
        <f t="shared" si="6"/>
        <v>0</v>
      </c>
      <c r="R22" s="17">
        <f t="shared" si="6"/>
        <v>0</v>
      </c>
      <c r="S22" s="17">
        <f t="shared" si="6"/>
        <v>0</v>
      </c>
      <c r="T22" s="17">
        <f t="shared" si="6"/>
        <v>0</v>
      </c>
      <c r="U22" s="17">
        <f t="shared" si="6"/>
        <v>0</v>
      </c>
      <c r="V22" s="17">
        <f t="shared" si="6"/>
        <v>0</v>
      </c>
      <c r="W22" s="17">
        <f t="shared" si="6"/>
        <v>0</v>
      </c>
      <c r="X22" s="17">
        <f t="shared" si="6"/>
        <v>0</v>
      </c>
      <c r="Y22" s="17">
        <f t="shared" si="6"/>
        <v>0</v>
      </c>
    </row>
    <row r="23" spans="2:25" x14ac:dyDescent="0.2">
      <c r="C23" s="1" t="s">
        <v>547</v>
      </c>
      <c r="E23" s="349" t="s">
        <v>85</v>
      </c>
      <c r="F23" s="15">
        <f>-('НА и ОС'!G22+'НА и ОС'!G96)</f>
        <v>-4915</v>
      </c>
      <c r="G23" s="15">
        <f>-('НА и ОС'!H22+'НА и ОС'!H96)</f>
        <v>0</v>
      </c>
      <c r="H23" s="15">
        <f>-('НА и ОС'!I22+'НА и ОС'!I96)</f>
        <v>0</v>
      </c>
      <c r="I23" s="15">
        <f>-('НА и ОС'!J22+'НА и ОС'!J96)</f>
        <v>0</v>
      </c>
      <c r="J23" s="15">
        <f>-('НА и ОС'!K22+'НА и ОС'!K96)</f>
        <v>0</v>
      </c>
      <c r="K23" s="15">
        <f>-('НА и ОС'!L22+'НА и ОС'!L96)</f>
        <v>0</v>
      </c>
      <c r="L23" s="15">
        <f>-('НА и ОС'!M22+'НА и ОС'!M96)</f>
        <v>0</v>
      </c>
      <c r="M23" s="15">
        <f>-('НА и ОС'!N22+'НА и ОС'!N96)</f>
        <v>0</v>
      </c>
      <c r="N23" s="15">
        <f>-('НА и ОС'!O22+'НА и ОС'!O96)</f>
        <v>0</v>
      </c>
      <c r="O23" s="15">
        <f>-('НА и ОС'!P22+'НА и ОС'!P96)</f>
        <v>0</v>
      </c>
      <c r="P23" s="15">
        <f>-('НА и ОС'!Q22+'НА и ОС'!Q96)</f>
        <v>0</v>
      </c>
      <c r="Q23" s="15">
        <f>-('НА и ОС'!R22+'НА и ОС'!R96)</f>
        <v>0</v>
      </c>
      <c r="R23" s="15">
        <f>-('НА и ОС'!S22+'НА и ОС'!S96)</f>
        <v>0</v>
      </c>
      <c r="S23" s="15">
        <f>-('НА и ОС'!T22+'НА и ОС'!T96)</f>
        <v>0</v>
      </c>
      <c r="T23" s="15">
        <f>-('НА и ОС'!U22+'НА и ОС'!U96)</f>
        <v>0</v>
      </c>
      <c r="U23" s="15">
        <f>-('НА и ОС'!V22+'НА и ОС'!V96)</f>
        <v>0</v>
      </c>
      <c r="V23" s="15">
        <f>-('НА и ОС'!W22+'НА и ОС'!W96)</f>
        <v>0</v>
      </c>
      <c r="W23" s="15">
        <f>-('НА и ОС'!X22+'НА и ОС'!X96)</f>
        <v>0</v>
      </c>
      <c r="X23" s="15">
        <f>-('НА и ОС'!Y22+'НА и ОС'!Y96)</f>
        <v>0</v>
      </c>
      <c r="Y23" s="15">
        <f>-('НА и ОС'!Z22+'НА и ОС'!Z96)</f>
        <v>0</v>
      </c>
    </row>
    <row r="24" spans="2:25" x14ac:dyDescent="0.2">
      <c r="C24" s="1" t="s">
        <v>144</v>
      </c>
      <c r="E24" s="349" t="s">
        <v>85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</row>
    <row r="25" spans="2:25" x14ac:dyDescent="0.2">
      <c r="E25" s="7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">
      <c r="B26" s="50" t="s">
        <v>145</v>
      </c>
      <c r="E26" s="77" t="s">
        <v>85</v>
      </c>
      <c r="F26" s="17">
        <f>SUM(F27:F32)</f>
        <v>65000</v>
      </c>
      <c r="G26" s="17">
        <f t="shared" ref="G26:Y26" si="7">SUM(G27:G32)</f>
        <v>0</v>
      </c>
      <c r="H26" s="17">
        <f t="shared" si="7"/>
        <v>0</v>
      </c>
      <c r="I26" s="17">
        <f t="shared" si="7"/>
        <v>0</v>
      </c>
      <c r="J26" s="17">
        <f t="shared" si="7"/>
        <v>60000</v>
      </c>
      <c r="K26" s="17">
        <f t="shared" si="7"/>
        <v>0</v>
      </c>
      <c r="L26" s="17">
        <f t="shared" si="7"/>
        <v>0</v>
      </c>
      <c r="M26" s="17">
        <f t="shared" si="7"/>
        <v>0</v>
      </c>
      <c r="N26" s="17">
        <f t="shared" si="7"/>
        <v>0</v>
      </c>
      <c r="O26" s="17">
        <f t="shared" si="7"/>
        <v>0</v>
      </c>
      <c r="P26" s="17">
        <f t="shared" si="7"/>
        <v>0</v>
      </c>
      <c r="Q26" s="17">
        <f t="shared" si="7"/>
        <v>0</v>
      </c>
      <c r="R26" s="17">
        <f t="shared" si="7"/>
        <v>0</v>
      </c>
      <c r="S26" s="17">
        <f t="shared" si="7"/>
        <v>0</v>
      </c>
      <c r="T26" s="17">
        <f t="shared" si="7"/>
        <v>0</v>
      </c>
      <c r="U26" s="17">
        <f t="shared" si="7"/>
        <v>0</v>
      </c>
      <c r="V26" s="17">
        <f t="shared" si="7"/>
        <v>0</v>
      </c>
      <c r="W26" s="17">
        <f t="shared" si="7"/>
        <v>0</v>
      </c>
      <c r="X26" s="17">
        <f t="shared" si="7"/>
        <v>0</v>
      </c>
      <c r="Y26" s="17">
        <f t="shared" si="7"/>
        <v>0</v>
      </c>
    </row>
    <row r="27" spans="2:25" x14ac:dyDescent="0.2">
      <c r="B27" s="50"/>
      <c r="C27" s="1" t="s">
        <v>54</v>
      </c>
      <c r="E27" s="77" t="s">
        <v>85</v>
      </c>
      <c r="F27" s="15">
        <v>30000</v>
      </c>
      <c r="G27" s="15">
        <f>'Финан-е'!F6</f>
        <v>0</v>
      </c>
      <c r="H27" s="15">
        <f>'Финан-е'!G6</f>
        <v>0</v>
      </c>
      <c r="I27" s="15">
        <f>'Финан-е'!H6</f>
        <v>0</v>
      </c>
      <c r="J27" s="15">
        <f>'Финан-е'!I6</f>
        <v>0</v>
      </c>
      <c r="K27" s="15">
        <f>'Финан-е'!J6</f>
        <v>0</v>
      </c>
      <c r="L27" s="15">
        <f>'Финан-е'!K6</f>
        <v>0</v>
      </c>
      <c r="M27" s="15">
        <f>'Финан-е'!L6</f>
        <v>0</v>
      </c>
      <c r="N27" s="15">
        <f>'Финан-е'!M6</f>
        <v>0</v>
      </c>
      <c r="O27" s="15">
        <f>'Финан-е'!N6</f>
        <v>0</v>
      </c>
      <c r="P27" s="15">
        <f>'Финан-е'!O6</f>
        <v>0</v>
      </c>
      <c r="Q27" s="15">
        <f>'Финан-е'!P6</f>
        <v>0</v>
      </c>
      <c r="R27" s="15">
        <f>'Финан-е'!Q6</f>
        <v>0</v>
      </c>
      <c r="S27" s="15">
        <f>'Финан-е'!R6</f>
        <v>0</v>
      </c>
      <c r="T27" s="15">
        <f>'Финан-е'!S6</f>
        <v>0</v>
      </c>
      <c r="U27" s="15">
        <f>'Финан-е'!T6</f>
        <v>0</v>
      </c>
      <c r="V27" s="15">
        <f>'Финан-е'!U6</f>
        <v>0</v>
      </c>
      <c r="W27" s="15">
        <f>'Финан-е'!V6</f>
        <v>0</v>
      </c>
      <c r="X27" s="15">
        <f>'Финан-е'!W6</f>
        <v>0</v>
      </c>
      <c r="Y27" s="15">
        <f>'Финан-е'!X6</f>
        <v>0</v>
      </c>
    </row>
    <row r="28" spans="2:25" x14ac:dyDescent="0.2">
      <c r="C28" s="1" t="s">
        <v>146</v>
      </c>
      <c r="E28" s="77" t="s">
        <v>85</v>
      </c>
      <c r="F28" s="15">
        <f>'Финан-е'!E7</f>
        <v>0</v>
      </c>
      <c r="G28" s="15">
        <f>'Финан-е'!F7</f>
        <v>0</v>
      </c>
      <c r="H28" s="15">
        <f>'Финан-е'!G7</f>
        <v>0</v>
      </c>
      <c r="I28" s="15">
        <f>'Финан-е'!H7</f>
        <v>0</v>
      </c>
      <c r="J28" s="15">
        <f>'Финан-е'!I7</f>
        <v>0</v>
      </c>
      <c r="K28" s="15">
        <f>'Финан-е'!J7</f>
        <v>0</v>
      </c>
      <c r="L28" s="15">
        <f>'Финан-е'!K7</f>
        <v>0</v>
      </c>
      <c r="M28" s="15">
        <f>'Финан-е'!L7</f>
        <v>0</v>
      </c>
      <c r="N28" s="15">
        <f>'Финан-е'!M7</f>
        <v>0</v>
      </c>
      <c r="O28" s="15">
        <f>'Финан-е'!N7</f>
        <v>0</v>
      </c>
      <c r="P28" s="15">
        <f>'Финан-е'!O7</f>
        <v>0</v>
      </c>
      <c r="Q28" s="15">
        <f>'Финан-е'!P7</f>
        <v>0</v>
      </c>
      <c r="R28" s="15">
        <f>'Финан-е'!Q7</f>
        <v>0</v>
      </c>
      <c r="S28" s="15">
        <f>'Финан-е'!R7</f>
        <v>0</v>
      </c>
      <c r="T28" s="15">
        <f>'Финан-е'!S7</f>
        <v>0</v>
      </c>
      <c r="U28" s="15">
        <f>'Финан-е'!T7</f>
        <v>0</v>
      </c>
      <c r="V28" s="15">
        <f>'Финан-е'!U7</f>
        <v>0</v>
      </c>
      <c r="W28" s="15">
        <f>'Финан-е'!V7</f>
        <v>0</v>
      </c>
      <c r="X28" s="15">
        <f>'Финан-е'!W7</f>
        <v>0</v>
      </c>
      <c r="Y28" s="15">
        <f>'Финан-е'!X7</f>
        <v>0</v>
      </c>
    </row>
    <row r="29" spans="2:25" x14ac:dyDescent="0.2">
      <c r="C29" s="1" t="s">
        <v>147</v>
      </c>
      <c r="E29" s="77" t="s">
        <v>85</v>
      </c>
      <c r="F29" s="15">
        <f>'Финан-е'!E8</f>
        <v>35000</v>
      </c>
      <c r="G29" s="15">
        <f>'Финан-е'!F8</f>
        <v>0</v>
      </c>
      <c r="H29" s="15">
        <f>'Финан-е'!G8</f>
        <v>0</v>
      </c>
      <c r="I29" s="15">
        <f>'Финан-е'!H8</f>
        <v>0</v>
      </c>
      <c r="J29" s="15">
        <f>'Финан-е'!I8</f>
        <v>60000</v>
      </c>
      <c r="K29" s="15">
        <f>'Финан-е'!J8</f>
        <v>0</v>
      </c>
      <c r="L29" s="15">
        <f>'Финан-е'!K8</f>
        <v>0</v>
      </c>
      <c r="M29" s="15">
        <f>'Финан-е'!L8</f>
        <v>0</v>
      </c>
      <c r="N29" s="15">
        <f>'Финан-е'!M8</f>
        <v>0</v>
      </c>
      <c r="O29" s="15">
        <f>'Финан-е'!N8</f>
        <v>0</v>
      </c>
      <c r="P29" s="15">
        <f>'Финан-е'!O8</f>
        <v>0</v>
      </c>
      <c r="Q29" s="15">
        <f>'Финан-е'!P8</f>
        <v>0</v>
      </c>
      <c r="R29" s="15">
        <f>'Финан-е'!Q8</f>
        <v>0</v>
      </c>
      <c r="S29" s="15">
        <f>'Финан-е'!R8</f>
        <v>0</v>
      </c>
      <c r="T29" s="15">
        <f>'Финан-е'!S8</f>
        <v>0</v>
      </c>
      <c r="U29" s="15">
        <f>'Финан-е'!T8</f>
        <v>0</v>
      </c>
      <c r="V29" s="15">
        <f>'Финан-е'!U8</f>
        <v>0</v>
      </c>
      <c r="W29" s="15">
        <f>'Финан-е'!V8</f>
        <v>0</v>
      </c>
      <c r="X29" s="15">
        <f>'Финан-е'!W8</f>
        <v>0</v>
      </c>
      <c r="Y29" s="15">
        <f>'Финан-е'!X8</f>
        <v>0</v>
      </c>
    </row>
    <row r="30" spans="2:25" x14ac:dyDescent="0.2">
      <c r="C30" s="1" t="s">
        <v>148</v>
      </c>
      <c r="E30" s="77" t="s">
        <v>85</v>
      </c>
      <c r="F30" s="15">
        <f>'Финан-е'!E16+'Финан-е'!E28+'Финан-е'!E43+'Финан-е'!E55</f>
        <v>0</v>
      </c>
      <c r="G30" s="15">
        <f>'Финан-е'!F16+'Финан-е'!F28+'Финан-е'!F43+'Финан-е'!F55</f>
        <v>0</v>
      </c>
      <c r="H30" s="15">
        <f>'Финан-е'!G16+'Финан-е'!G28+'Финан-е'!G43+'Финан-е'!G55</f>
        <v>0</v>
      </c>
      <c r="I30" s="15">
        <f>'Финан-е'!H16+'Финан-е'!H28+'Финан-е'!H43+'Финан-е'!H55</f>
        <v>0</v>
      </c>
      <c r="J30" s="15">
        <f>'Финан-е'!I16+'Финан-е'!I28+'Финан-е'!I43+'Финан-е'!I55</f>
        <v>0</v>
      </c>
      <c r="K30" s="15">
        <f>'Финан-е'!J16+'Финан-е'!J28+'Финан-е'!J43+'Финан-е'!J55</f>
        <v>0</v>
      </c>
      <c r="L30" s="15">
        <f>'Финан-е'!K16+'Финан-е'!K28+'Финан-е'!K43+'Финан-е'!K55</f>
        <v>0</v>
      </c>
      <c r="M30" s="15">
        <f>'Финан-е'!L16+'Финан-е'!L28+'Финан-е'!L43+'Финан-е'!L55</f>
        <v>0</v>
      </c>
      <c r="N30" s="15">
        <f>'Финан-е'!M16+'Финан-е'!M28+'Финан-е'!M43+'Финан-е'!M55</f>
        <v>0</v>
      </c>
      <c r="O30" s="15">
        <f>'Финан-е'!N16+'Финан-е'!N28+'Финан-е'!N43+'Финан-е'!N55</f>
        <v>0</v>
      </c>
      <c r="P30" s="15">
        <f>'Финан-е'!O16+'Финан-е'!O28+'Финан-е'!O43+'Финан-е'!O55</f>
        <v>0</v>
      </c>
      <c r="Q30" s="15">
        <f>'Финан-е'!P16+'Финан-е'!P28+'Финан-е'!P43+'Финан-е'!P55</f>
        <v>0</v>
      </c>
      <c r="R30" s="15">
        <f>'Финан-е'!Q16+'Финан-е'!Q28+'Финан-е'!Q43+'Финан-е'!Q55</f>
        <v>0</v>
      </c>
      <c r="S30" s="15">
        <f>'Финан-е'!R16+'Финан-е'!R28+'Финан-е'!R43+'Финан-е'!R55</f>
        <v>0</v>
      </c>
      <c r="T30" s="15">
        <f>'Финан-е'!S16+'Финан-е'!S28+'Финан-е'!S43+'Финан-е'!S55</f>
        <v>0</v>
      </c>
      <c r="U30" s="15">
        <f>'Финан-е'!T16+'Финан-е'!T28+'Финан-е'!T43+'Финан-е'!T55</f>
        <v>0</v>
      </c>
      <c r="V30" s="15">
        <f>'Финан-е'!U16+'Финан-е'!U28+'Финан-е'!U43+'Финан-е'!U55</f>
        <v>0</v>
      </c>
      <c r="W30" s="15">
        <f>'Финан-е'!V16+'Финан-е'!V28+'Финан-е'!V43+'Финан-е'!V55</f>
        <v>0</v>
      </c>
      <c r="X30" s="15">
        <f>'Финан-е'!W16+'Финан-е'!W28+'Финан-е'!W43+'Финан-е'!W55</f>
        <v>0</v>
      </c>
      <c r="Y30" s="15">
        <f>'Финан-е'!X16+'Финан-е'!X28+'Финан-е'!X43+'Финан-е'!X55</f>
        <v>0</v>
      </c>
    </row>
    <row r="31" spans="2:25" x14ac:dyDescent="0.2">
      <c r="C31" s="1" t="s">
        <v>149</v>
      </c>
      <c r="E31" s="77" t="s">
        <v>85</v>
      </c>
      <c r="F31" s="15">
        <f>'Финан-е'!E17+'Финан-е'!E29+'Финан-е'!E44+'Финан-е'!E56</f>
        <v>0</v>
      </c>
      <c r="G31" s="15">
        <f>'Финан-е'!F17+'Финан-е'!F29+'Финан-е'!F44+'Финан-е'!F56</f>
        <v>0</v>
      </c>
      <c r="H31" s="15">
        <f>'Финан-е'!G17+'Финан-е'!G29+'Финан-е'!G44+'Финан-е'!G56</f>
        <v>0</v>
      </c>
      <c r="I31" s="15">
        <f>'Финан-е'!H17+'Финан-е'!H29+'Финан-е'!H44+'Финан-е'!H56</f>
        <v>0</v>
      </c>
      <c r="J31" s="15">
        <f>'Финан-е'!I17+'Финан-е'!I29+'Финан-е'!I44+'Финан-е'!I56</f>
        <v>0</v>
      </c>
      <c r="K31" s="15">
        <f>'Финан-е'!J17+'Финан-е'!J29+'Финан-е'!J44+'Финан-е'!J56</f>
        <v>0</v>
      </c>
      <c r="L31" s="15">
        <f>'Финан-е'!K17+'Финан-е'!K29+'Финан-е'!K44+'Финан-е'!K56</f>
        <v>0</v>
      </c>
      <c r="M31" s="15">
        <f>'Финан-е'!L17+'Финан-е'!L29+'Финан-е'!L44+'Финан-е'!L56</f>
        <v>0</v>
      </c>
      <c r="N31" s="15">
        <f>'Финан-е'!M17+'Финан-е'!M29+'Финан-е'!M44+'Финан-е'!M56</f>
        <v>0</v>
      </c>
      <c r="O31" s="15">
        <f>'Финан-е'!N17+'Финан-е'!N29+'Финан-е'!N44+'Финан-е'!N56</f>
        <v>0</v>
      </c>
      <c r="P31" s="15">
        <f>'Финан-е'!O17+'Финан-е'!O29+'Финан-е'!O44+'Финан-е'!O56</f>
        <v>0</v>
      </c>
      <c r="Q31" s="15">
        <f>'Финан-е'!P17+'Финан-е'!P29+'Финан-е'!P44+'Финан-е'!P56</f>
        <v>0</v>
      </c>
      <c r="R31" s="15">
        <f>'Финан-е'!Q17+'Финан-е'!Q29+'Финан-е'!Q44+'Финан-е'!Q56</f>
        <v>0</v>
      </c>
      <c r="S31" s="15">
        <f>'Финан-е'!R17+'Финан-е'!R29+'Финан-е'!R44+'Финан-е'!R56</f>
        <v>0</v>
      </c>
      <c r="T31" s="15">
        <f>'Финан-е'!S17+'Финан-е'!S29+'Финан-е'!S44+'Финан-е'!S56</f>
        <v>0</v>
      </c>
      <c r="U31" s="15">
        <f>'Финан-е'!T17+'Финан-е'!T29+'Финан-е'!T44+'Финан-е'!T56</f>
        <v>0</v>
      </c>
      <c r="V31" s="15">
        <f>'Финан-е'!U17+'Финан-е'!U29+'Финан-е'!U44+'Финан-е'!U56</f>
        <v>0</v>
      </c>
      <c r="W31" s="15">
        <f>'Финан-е'!V17+'Финан-е'!V29+'Финан-е'!V44+'Финан-е'!V56</f>
        <v>0</v>
      </c>
      <c r="X31" s="15">
        <f>'Финан-е'!W17+'Финан-е'!W29+'Финан-е'!W44+'Финан-е'!W56</f>
        <v>0</v>
      </c>
      <c r="Y31" s="15">
        <f>'Финан-е'!X17+'Финан-е'!X29+'Финан-е'!X44+'Финан-е'!X56</f>
        <v>0</v>
      </c>
    </row>
    <row r="32" spans="2:25" x14ac:dyDescent="0.2">
      <c r="C32" s="1" t="s">
        <v>259</v>
      </c>
      <c r="E32" s="77" t="s">
        <v>85</v>
      </c>
      <c r="F32" s="15">
        <f>'Форма 2'!F28</f>
        <v>0</v>
      </c>
      <c r="G32" s="15">
        <f>'Форма 2'!G28</f>
        <v>0</v>
      </c>
      <c r="H32" s="15">
        <f>'Форма 2'!H28</f>
        <v>0</v>
      </c>
      <c r="I32" s="15">
        <f>'Форма 2'!I28</f>
        <v>0</v>
      </c>
      <c r="J32" s="15">
        <f>'Форма 2'!J28</f>
        <v>0</v>
      </c>
      <c r="K32" s="15">
        <f>'Форма 2'!K28</f>
        <v>0</v>
      </c>
      <c r="L32" s="15">
        <f>'Форма 2'!L28</f>
        <v>0</v>
      </c>
      <c r="M32" s="15">
        <f>'Форма 2'!M28</f>
        <v>0</v>
      </c>
      <c r="N32" s="15">
        <f>'Форма 2'!N28</f>
        <v>0</v>
      </c>
      <c r="O32" s="15">
        <f>'Форма 2'!O28</f>
        <v>0</v>
      </c>
      <c r="P32" s="15">
        <f>'Форма 2'!P28</f>
        <v>0</v>
      </c>
      <c r="Q32" s="15">
        <f>'Форма 2'!Q28</f>
        <v>0</v>
      </c>
      <c r="R32" s="15">
        <f>'Форма 2'!R28</f>
        <v>0</v>
      </c>
      <c r="S32" s="15">
        <f>'Форма 2'!S28</f>
        <v>0</v>
      </c>
      <c r="T32" s="15">
        <f>'Форма 2'!T28</f>
        <v>0</v>
      </c>
      <c r="U32" s="15">
        <f>'Форма 2'!U28</f>
        <v>0</v>
      </c>
      <c r="V32" s="15">
        <f>'Форма 2'!V28</f>
        <v>0</v>
      </c>
      <c r="W32" s="15">
        <f>'Форма 2'!W28</f>
        <v>0</v>
      </c>
      <c r="X32" s="15">
        <f>'Форма 2'!X28</f>
        <v>0</v>
      </c>
      <c r="Y32" s="15">
        <f>'Форма 2'!Y28</f>
        <v>0</v>
      </c>
    </row>
    <row r="33" spans="2:25" x14ac:dyDescent="0.2">
      <c r="E33" s="7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x14ac:dyDescent="0.2">
      <c r="B34" s="57" t="s">
        <v>150</v>
      </c>
      <c r="E34" s="77" t="s">
        <v>85</v>
      </c>
      <c r="F34" s="138">
        <f>F4+F22+F26</f>
        <v>38499.96610169491</v>
      </c>
      <c r="G34" s="138">
        <f t="shared" ref="G34:Y34" si="8">G4+G22+G26</f>
        <v>-3781.7573964603403</v>
      </c>
      <c r="H34" s="138">
        <f t="shared" si="8"/>
        <v>-6006.3336676467807</v>
      </c>
      <c r="I34" s="138">
        <f t="shared" si="8"/>
        <v>-6006.3336676467807</v>
      </c>
      <c r="J34" s="138">
        <f t="shared" si="8"/>
        <v>92244.65418495491</v>
      </c>
      <c r="K34" s="138">
        <f>K4+K22+K26</f>
        <v>-13266.520722196183</v>
      </c>
      <c r="L34" s="138">
        <f t="shared" si="8"/>
        <v>160244.65418495491</v>
      </c>
      <c r="M34" s="138">
        <f t="shared" si="8"/>
        <v>117397.19655783627</v>
      </c>
      <c r="N34" s="138">
        <f t="shared" si="8"/>
        <v>34703.252162511286</v>
      </c>
      <c r="O34" s="138">
        <f t="shared" si="8"/>
        <v>-13835.307148555799</v>
      </c>
      <c r="P34" s="138">
        <f t="shared" si="8"/>
        <v>171407.25216251129</v>
      </c>
      <c r="Q34" s="138">
        <f t="shared" si="8"/>
        <v>125646.16741674862</v>
      </c>
      <c r="R34" s="138">
        <f t="shared" si="8"/>
        <v>85703.085656137264</v>
      </c>
      <c r="S34" s="138">
        <f t="shared" si="8"/>
        <v>-14379.83934932002</v>
      </c>
      <c r="T34" s="138">
        <f t="shared" si="8"/>
        <v>376062.38165613724</v>
      </c>
      <c r="U34" s="138">
        <f t="shared" si="8"/>
        <v>278865.83765613724</v>
      </c>
      <c r="V34" s="138">
        <f t="shared" si="8"/>
        <v>143293.05943402284</v>
      </c>
      <c r="W34" s="138">
        <f t="shared" si="8"/>
        <v>-14986.040926962869</v>
      </c>
      <c r="X34" s="138">
        <f t="shared" si="8"/>
        <v>607166.114547014</v>
      </c>
      <c r="Y34" s="138">
        <f t="shared" si="8"/>
        <v>451894.63550701417</v>
      </c>
    </row>
    <row r="35" spans="2:25" x14ac:dyDescent="0.2">
      <c r="B35" s="57" t="s">
        <v>151</v>
      </c>
      <c r="E35" s="77" t="s">
        <v>85</v>
      </c>
      <c r="F35" s="138">
        <f>SUM($F34:F34)</f>
        <v>38499.96610169491</v>
      </c>
      <c r="G35" s="138">
        <f>SUM($F34:G34)</f>
        <v>34718.208705234567</v>
      </c>
      <c r="H35" s="138">
        <f>SUM($F34:H34)</f>
        <v>28711.875037587786</v>
      </c>
      <c r="I35" s="138">
        <f>SUM($F34:I34)</f>
        <v>22705.541369941006</v>
      </c>
      <c r="J35" s="138">
        <f>SUM($F34:J34)</f>
        <v>114950.19555489591</v>
      </c>
      <c r="K35" s="138">
        <f>SUM($F34:K34)</f>
        <v>101683.67483269973</v>
      </c>
      <c r="L35" s="138">
        <f>SUM($F34:L34)</f>
        <v>261928.32901765464</v>
      </c>
      <c r="M35" s="138">
        <f>SUM($F34:M34)</f>
        <v>379325.5255754909</v>
      </c>
      <c r="N35" s="138">
        <f>SUM($F34:N34)</f>
        <v>414028.77773800219</v>
      </c>
      <c r="O35" s="138">
        <f>SUM($F34:O34)</f>
        <v>400193.47058944637</v>
      </c>
      <c r="P35" s="138">
        <f>SUM($F34:P34)</f>
        <v>571600.7227519576</v>
      </c>
      <c r="Q35" s="138">
        <f>SUM($F34:Q34)</f>
        <v>697246.89016870619</v>
      </c>
      <c r="R35" s="138">
        <f>SUM($F34:R34)</f>
        <v>782949.97582484339</v>
      </c>
      <c r="S35" s="138">
        <f>SUM($F34:S34)</f>
        <v>768570.13647552335</v>
      </c>
      <c r="T35" s="138">
        <f>SUM($F34:T34)</f>
        <v>1144632.5181316605</v>
      </c>
      <c r="U35" s="138">
        <f>SUM($F34:U34)</f>
        <v>1423498.3557877978</v>
      </c>
      <c r="V35" s="138">
        <f>SUM($F34:V34)</f>
        <v>1566791.4152218206</v>
      </c>
      <c r="W35" s="138">
        <f>SUM($F34:W34)</f>
        <v>1551805.3742948577</v>
      </c>
      <c r="X35" s="138">
        <f>SUM($F34:X34)</f>
        <v>2158971.4888418717</v>
      </c>
      <c r="Y35" s="138">
        <f>SUM($F34:Y34)</f>
        <v>2610866.1243488858</v>
      </c>
    </row>
  </sheetData>
  <pageMargins left="0.75" right="0.75" top="1" bottom="1" header="0.5" footer="0.5"/>
  <pageSetup paperSize="9"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86"/>
  <sheetViews>
    <sheetView tabSelected="1" zoomScale="85" zoomScaleNormal="85" workbookViewId="0">
      <selection activeCell="K35" sqref="K35"/>
    </sheetView>
  </sheetViews>
  <sheetFormatPr defaultRowHeight="12.75" x14ac:dyDescent="0.2"/>
  <cols>
    <col min="1" max="1" width="3.7109375" style="1" customWidth="1"/>
    <col min="2" max="2" width="3.42578125" style="1" customWidth="1"/>
    <col min="3" max="3" width="3.28515625" style="1" customWidth="1"/>
    <col min="4" max="4" width="10.28515625" style="1" customWidth="1"/>
    <col min="5" max="5" width="35.28515625" style="1" customWidth="1"/>
    <col min="6" max="6" width="10" style="1" bestFit="1" customWidth="1"/>
    <col min="7" max="7" width="10.5703125" style="1" bestFit="1" customWidth="1"/>
    <col min="8" max="8" width="10" style="1" bestFit="1" customWidth="1"/>
    <col min="9" max="9" width="9.140625" style="1" customWidth="1"/>
    <col min="10" max="10" width="10" style="1" bestFit="1" customWidth="1"/>
    <col min="11" max="11" width="10.5703125" style="1" bestFit="1" customWidth="1"/>
    <col min="12" max="12" width="10" style="1" bestFit="1" customWidth="1"/>
    <col min="13" max="13" width="9.7109375" style="1" bestFit="1" customWidth="1"/>
    <col min="14" max="14" width="10" style="1" bestFit="1" customWidth="1"/>
    <col min="15" max="15" width="12" style="1" bestFit="1" customWidth="1"/>
    <col min="16" max="16" width="9" style="1" bestFit="1" customWidth="1"/>
    <col min="17" max="17" width="9.140625" style="1"/>
    <col min="18" max="18" width="13" style="1" customWidth="1"/>
    <col min="19" max="19" width="12" style="1" bestFit="1" customWidth="1"/>
    <col min="20" max="20" width="9.140625" style="1"/>
    <col min="21" max="21" width="9" style="1" bestFit="1" customWidth="1"/>
    <col min="22" max="22" width="9.140625" style="1"/>
    <col min="23" max="23" width="12" style="1" bestFit="1" customWidth="1"/>
    <col min="24" max="16384" width="9.140625" style="1"/>
  </cols>
  <sheetData>
    <row r="1" spans="1:28" x14ac:dyDescent="0.2">
      <c r="E1"/>
    </row>
    <row r="2" spans="1:28" s="2" customFormat="1" x14ac:dyDescent="0.2">
      <c r="A2" s="11" t="s">
        <v>160</v>
      </c>
      <c r="B2" s="11"/>
      <c r="C2" s="11"/>
      <c r="D2" s="12"/>
      <c r="E2" s="12"/>
      <c r="F2" s="2" t="s">
        <v>79</v>
      </c>
      <c r="G2" s="3" t="s">
        <v>58</v>
      </c>
      <c r="H2" s="3" t="s">
        <v>59</v>
      </c>
      <c r="I2" s="3" t="s">
        <v>60</v>
      </c>
      <c r="J2" s="3" t="s">
        <v>61</v>
      </c>
      <c r="K2" s="4" t="s">
        <v>62</v>
      </c>
      <c r="L2" s="4" t="s">
        <v>63</v>
      </c>
      <c r="M2" s="4" t="s">
        <v>64</v>
      </c>
      <c r="N2" s="4" t="s">
        <v>65</v>
      </c>
      <c r="O2" s="5" t="s">
        <v>66</v>
      </c>
      <c r="P2" s="5" t="s">
        <v>67</v>
      </c>
      <c r="Q2" s="5" t="s">
        <v>68</v>
      </c>
      <c r="R2" s="5" t="s">
        <v>69</v>
      </c>
      <c r="S2" s="6" t="s">
        <v>70</v>
      </c>
      <c r="T2" s="6" t="s">
        <v>71</v>
      </c>
      <c r="U2" s="6" t="s">
        <v>72</v>
      </c>
      <c r="V2" s="6" t="s">
        <v>73</v>
      </c>
      <c r="W2" s="7" t="s">
        <v>74</v>
      </c>
      <c r="X2" s="7" t="s">
        <v>75</v>
      </c>
      <c r="Y2" s="7" t="s">
        <v>76</v>
      </c>
      <c r="Z2" s="7" t="s">
        <v>77</v>
      </c>
      <c r="AA2" s="117" t="s">
        <v>78</v>
      </c>
      <c r="AB2" s="117" t="s">
        <v>324</v>
      </c>
    </row>
    <row r="3" spans="1:28" s="22" customFormat="1" x14ac:dyDescent="0.2">
      <c r="A3" s="20"/>
      <c r="B3" s="20"/>
      <c r="C3" s="20"/>
      <c r="D3" s="21"/>
      <c r="E3" s="21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97"/>
      <c r="AB3" s="97"/>
    </row>
    <row r="4" spans="1:28" x14ac:dyDescent="0.2">
      <c r="A4" s="25" t="s">
        <v>57</v>
      </c>
      <c r="AA4" s="91"/>
      <c r="AB4" s="91"/>
    </row>
    <row r="5" spans="1:28" x14ac:dyDescent="0.2">
      <c r="B5" s="1" t="s">
        <v>161</v>
      </c>
      <c r="F5" s="14" t="s">
        <v>85</v>
      </c>
      <c r="G5" s="15">
        <f>CF!F4-CF!F20+CF!F22</f>
        <v>-26500.03389830509</v>
      </c>
      <c r="H5" s="15">
        <f>CF!G4-CF!G20+CF!G22</f>
        <v>-3781.7573964603403</v>
      </c>
      <c r="I5" s="15">
        <f>CF!H4-CF!H20+CF!H22</f>
        <v>-6006.3336676467807</v>
      </c>
      <c r="J5" s="15">
        <f>CF!I4-CF!I20+CF!I22</f>
        <v>-6006.3336676467807</v>
      </c>
      <c r="K5" s="15">
        <f>CF!J4-CF!J20+CF!J22</f>
        <v>32244.65418495491</v>
      </c>
      <c r="L5" s="15">
        <f>CF!K4-CF!K20+CF!K22</f>
        <v>-13266.520722196183</v>
      </c>
      <c r="M5" s="15">
        <f>CF!L4-CF!L20+CF!L22</f>
        <v>160244.65418495491</v>
      </c>
      <c r="N5" s="15">
        <f>CF!M4-CF!M20+CF!M22</f>
        <v>117397.19655783627</v>
      </c>
      <c r="O5" s="15">
        <f>CF!N4-CF!N20+CF!N22</f>
        <v>34703.252162511286</v>
      </c>
      <c r="P5" s="15">
        <f>CF!O4-CF!O20+CF!O22</f>
        <v>-13835.307148555799</v>
      </c>
      <c r="Q5" s="15">
        <f>CF!P4-CF!P20+CF!P22</f>
        <v>171407.25216251129</v>
      </c>
      <c r="R5" s="15">
        <f>CF!Q4-CF!Q20+CF!Q22</f>
        <v>125646.16741674862</v>
      </c>
      <c r="S5" s="15">
        <f>CF!R4-CF!R20+CF!R22</f>
        <v>85703.085656137264</v>
      </c>
      <c r="T5" s="15">
        <f>CF!S4-CF!S20+CF!S22</f>
        <v>-14379.83934932002</v>
      </c>
      <c r="U5" s="15">
        <f>CF!T4-CF!T20+CF!T22</f>
        <v>376062.38165613724</v>
      </c>
      <c r="V5" s="15">
        <f>CF!U4-CF!U20+CF!U22</f>
        <v>278865.83765613724</v>
      </c>
      <c r="W5" s="15">
        <f>CF!V4-CF!V20+CF!V22</f>
        <v>143293.05943402284</v>
      </c>
      <c r="X5" s="15">
        <f>CF!W4-CF!W20+CF!W22</f>
        <v>-14986.040926962869</v>
      </c>
      <c r="Y5" s="15">
        <f>CF!X4-CF!X20+CF!X22</f>
        <v>607166.114547014</v>
      </c>
      <c r="Z5" s="15">
        <f>CF!Y4-CF!Y20+CF!Y22</f>
        <v>451894.63550701417</v>
      </c>
      <c r="AA5" s="118">
        <f>SUM(G5:Z5)</f>
        <v>2485866.1243488863</v>
      </c>
      <c r="AB5" s="118" t="b">
        <f>AA5=Z6</f>
        <v>1</v>
      </c>
    </row>
    <row r="6" spans="1:28" x14ac:dyDescent="0.2">
      <c r="B6" s="1" t="s">
        <v>169</v>
      </c>
      <c r="F6" s="14" t="s">
        <v>85</v>
      </c>
      <c r="G6" s="15">
        <f>SUM($G5:G5)</f>
        <v>-26500.03389830509</v>
      </c>
      <c r="H6" s="15">
        <f>SUM($G5:H5)</f>
        <v>-30281.791294765429</v>
      </c>
      <c r="I6" s="15">
        <f>SUM($G5:I5)</f>
        <v>-36288.124962412214</v>
      </c>
      <c r="J6" s="15">
        <f>SUM($G5:J5)</f>
        <v>-42294.458630058994</v>
      </c>
      <c r="K6" s="15">
        <f>SUM($G5:K5)</f>
        <v>-10049.804445104084</v>
      </c>
      <c r="L6" s="15">
        <f>SUM($G5:L5)</f>
        <v>-23316.325167300267</v>
      </c>
      <c r="M6" s="15">
        <f>SUM($G5:M5)</f>
        <v>136928.32901765464</v>
      </c>
      <c r="N6" s="15">
        <f>SUM($G5:N5)</f>
        <v>254325.5255754909</v>
      </c>
      <c r="O6" s="15">
        <f>SUM($G5:O5)</f>
        <v>289028.77773800219</v>
      </c>
      <c r="P6" s="15">
        <f>SUM($G5:P5)</f>
        <v>275193.47058944637</v>
      </c>
      <c r="Q6" s="15">
        <f>SUM($G5:Q5)</f>
        <v>446600.72275195766</v>
      </c>
      <c r="R6" s="15">
        <f>SUM($G5:R5)</f>
        <v>572246.8901687063</v>
      </c>
      <c r="S6" s="15">
        <f>SUM($G5:S5)</f>
        <v>657949.97582484363</v>
      </c>
      <c r="T6" s="15">
        <f>SUM($G5:T5)</f>
        <v>643570.13647552358</v>
      </c>
      <c r="U6" s="15">
        <f>SUM($G5:U5)</f>
        <v>1019632.5181316608</v>
      </c>
      <c r="V6" s="15">
        <f>SUM($G5:V5)</f>
        <v>1298498.3557877981</v>
      </c>
      <c r="W6" s="15">
        <f>SUM($G5:W5)</f>
        <v>1441791.4152218208</v>
      </c>
      <c r="X6" s="15">
        <f>SUM($G5:X5)</f>
        <v>1426805.374294858</v>
      </c>
      <c r="Y6" s="15">
        <f>SUM($G5:Y5)</f>
        <v>2033971.488841872</v>
      </c>
      <c r="Z6" s="15">
        <f>SUM($G5:Z5)</f>
        <v>2485866.1243488863</v>
      </c>
      <c r="AA6" s="118"/>
      <c r="AB6" s="118"/>
    </row>
    <row r="7" spans="1:28" x14ac:dyDescent="0.2">
      <c r="B7" s="1" t="s">
        <v>218</v>
      </c>
      <c r="F7" s="14"/>
      <c r="G7" s="120">
        <f>1/(1+'Финан-е'!E76)</f>
        <v>0.95544279220436679</v>
      </c>
      <c r="H7" s="120">
        <f>1/(1+'Финан-е'!F76)</f>
        <v>0.95544279220436679</v>
      </c>
      <c r="I7" s="120">
        <f>1/(1+'Финан-е'!G76)</f>
        <v>0.95544279220436679</v>
      </c>
      <c r="J7" s="120">
        <f>1/(1+'Финан-е'!H76)</f>
        <v>0.95544279220436679</v>
      </c>
      <c r="K7" s="120">
        <f>1/(1+'Финан-е'!I76)</f>
        <v>0.94574160900317583</v>
      </c>
      <c r="L7" s="120">
        <f>1/(1+'Финан-е'!J76)</f>
        <v>0.94574160900317583</v>
      </c>
      <c r="M7" s="120">
        <f>1/(1+'Финан-е'!K76)</f>
        <v>0.94574160900317583</v>
      </c>
      <c r="N7" s="120">
        <f>1/(1+'Финан-е'!L76)</f>
        <v>0.94574160900317583</v>
      </c>
      <c r="O7" s="120">
        <f>1/(1+'Финан-е'!M76)</f>
        <v>0.94015077327159835</v>
      </c>
      <c r="P7" s="120">
        <f>1/(1+'Финан-е'!N76)</f>
        <v>0.94015077327159835</v>
      </c>
      <c r="Q7" s="120">
        <f>1/(1+'Финан-е'!O76)</f>
        <v>0.94015077327159835</v>
      </c>
      <c r="R7" s="120">
        <f>1/(1+'Финан-е'!P76)</f>
        <v>0.94015077327159835</v>
      </c>
      <c r="S7" s="120">
        <f>1/(1+'Финан-е'!Q76)</f>
        <v>0.94015077327159835</v>
      </c>
      <c r="T7" s="120">
        <f>1/(1+'Финан-е'!R76)</f>
        <v>0.94015077327159835</v>
      </c>
      <c r="U7" s="120">
        <f>1/(1+'Финан-е'!S76)</f>
        <v>0.94015077327159835</v>
      </c>
      <c r="V7" s="120">
        <f>1/(1+'Финан-е'!T76)</f>
        <v>0.94015077327159835</v>
      </c>
      <c r="W7" s="120">
        <f>1/(1+'Финан-е'!U76)</f>
        <v>0.94015077327159835</v>
      </c>
      <c r="X7" s="120">
        <f>1/(1+'Финан-е'!V76)</f>
        <v>0.94015077327159835</v>
      </c>
      <c r="Y7" s="120">
        <f>1/(1+'Финан-е'!W76)</f>
        <v>0.94015077327159835</v>
      </c>
      <c r="Z7" s="120">
        <f>1/(1+'Финан-е'!X76)</f>
        <v>0.94015077327159835</v>
      </c>
      <c r="AA7" s="118"/>
      <c r="AB7" s="118"/>
    </row>
    <row r="8" spans="1:28" x14ac:dyDescent="0.2">
      <c r="B8" s="1" t="s">
        <v>219</v>
      </c>
      <c r="F8" s="14"/>
      <c r="G8" s="120">
        <f>G7</f>
        <v>0.95544279220436679</v>
      </c>
      <c r="H8" s="120">
        <f>G8*H7</f>
        <v>0.91287092917527679</v>
      </c>
      <c r="I8" s="120">
        <f>H8*I7</f>
        <v>0.87219594949342116</v>
      </c>
      <c r="J8" s="120">
        <f>I8*J7</f>
        <v>0.83333333333333315</v>
      </c>
      <c r="K8" s="120">
        <f>J8*K7</f>
        <v>0.78811800750264638</v>
      </c>
      <c r="L8" s="120">
        <f t="shared" ref="L8:Z8" si="0">K8*L7</f>
        <v>0.74535599249992979</v>
      </c>
      <c r="M8" s="120">
        <f t="shared" si="0"/>
        <v>0.70491417562704262</v>
      </c>
      <c r="N8" s="120">
        <f t="shared" si="0"/>
        <v>0.66666666666666652</v>
      </c>
      <c r="O8" s="120">
        <f t="shared" si="0"/>
        <v>0.62676718218106542</v>
      </c>
      <c r="P8" s="120">
        <f t="shared" si="0"/>
        <v>0.5892556509887894</v>
      </c>
      <c r="Q8" s="120">
        <f t="shared" si="0"/>
        <v>0.55398915593176945</v>
      </c>
      <c r="R8" s="120">
        <f t="shared" si="0"/>
        <v>0.52083333333333315</v>
      </c>
      <c r="S8" s="120">
        <f t="shared" si="0"/>
        <v>0.48966186107895732</v>
      </c>
      <c r="T8" s="120">
        <f t="shared" si="0"/>
        <v>0.46035597733499167</v>
      </c>
      <c r="U8" s="120">
        <f t="shared" si="0"/>
        <v>0.43280402807169482</v>
      </c>
      <c r="V8" s="120">
        <f t="shared" si="0"/>
        <v>0.40690104166666646</v>
      </c>
      <c r="W8" s="120">
        <f t="shared" si="0"/>
        <v>0.38254832896793534</v>
      </c>
      <c r="X8" s="120">
        <f t="shared" si="0"/>
        <v>0.35965310729296218</v>
      </c>
      <c r="Y8" s="120">
        <f t="shared" si="0"/>
        <v>0.33812814693101151</v>
      </c>
      <c r="Z8" s="120">
        <f t="shared" si="0"/>
        <v>0.31789143880208309</v>
      </c>
      <c r="AA8" s="118"/>
      <c r="AB8" s="118"/>
    </row>
    <row r="9" spans="1:28" x14ac:dyDescent="0.2">
      <c r="B9" s="1" t="s">
        <v>162</v>
      </c>
      <c r="F9" s="14" t="s">
        <v>85</v>
      </c>
      <c r="G9" s="15">
        <f>G5*G8</f>
        <v>-25319.266381306985</v>
      </c>
      <c r="H9" s="15">
        <f>H5*H8</f>
        <v>-3452.2563884222263</v>
      </c>
      <c r="I9" s="15">
        <f t="shared" ref="I9:Y9" si="1">I5*I8</f>
        <v>-5238.6998962274865</v>
      </c>
      <c r="J9" s="15">
        <f t="shared" si="1"/>
        <v>-5005.2780563723163</v>
      </c>
      <c r="K9" s="15">
        <f t="shared" si="1"/>
        <v>25412.592608858533</v>
      </c>
      <c r="L9" s="15">
        <f t="shared" si="1"/>
        <v>-9888.2807199134204</v>
      </c>
      <c r="M9" s="15">
        <f t="shared" si="1"/>
        <v>112958.72830342801</v>
      </c>
      <c r="N9" s="15">
        <f t="shared" si="1"/>
        <v>78264.797705224162</v>
      </c>
      <c r="O9" s="15">
        <f t="shared" si="1"/>
        <v>21750.859570416163</v>
      </c>
      <c r="P9" s="15">
        <f t="shared" si="1"/>
        <v>-8152.5329204520995</v>
      </c>
      <c r="Q9" s="15">
        <f t="shared" si="1"/>
        <v>94957.758946093585</v>
      </c>
      <c r="R9" s="15">
        <f t="shared" si="1"/>
        <v>65440.71219622322</v>
      </c>
      <c r="S9" s="15">
        <f t="shared" si="1"/>
        <v>41965.532422593467</v>
      </c>
      <c r="T9" s="15">
        <f t="shared" si="1"/>
        <v>-6619.8449975763888</v>
      </c>
      <c r="U9" s="15">
        <f t="shared" si="1"/>
        <v>162761.31358701125</v>
      </c>
      <c r="V9" s="15">
        <f t="shared" si="1"/>
        <v>113470.79982752974</v>
      </c>
      <c r="W9" s="15">
        <f t="shared" si="1"/>
        <v>54816.520439188484</v>
      </c>
      <c r="X9" s="15">
        <f t="shared" si="1"/>
        <v>-5389.776185401699</v>
      </c>
      <c r="Y9" s="15">
        <f t="shared" si="1"/>
        <v>205299.95319108412</v>
      </c>
      <c r="Z9" s="15">
        <f>Z5*Z8</f>
        <v>143653.43586826764</v>
      </c>
      <c r="AA9" s="118">
        <f>SUM(G9:Z9)</f>
        <v>1051687.0691202455</v>
      </c>
      <c r="AB9" s="118" t="b">
        <f>Z10=AA9</f>
        <v>1</v>
      </c>
    </row>
    <row r="10" spans="1:28" x14ac:dyDescent="0.2">
      <c r="B10" s="1" t="s">
        <v>163</v>
      </c>
      <c r="F10" s="14" t="s">
        <v>85</v>
      </c>
      <c r="G10" s="15">
        <f>SUM($G9:G9)</f>
        <v>-25319.266381306985</v>
      </c>
      <c r="H10" s="15">
        <f>SUM($G9:H9)</f>
        <v>-28771.52276972921</v>
      </c>
      <c r="I10" s="15">
        <f>SUM($G9:I9)</f>
        <v>-34010.222665956695</v>
      </c>
      <c r="J10" s="15">
        <f>SUM($G9:J9)</f>
        <v>-39015.500722329009</v>
      </c>
      <c r="K10" s="15">
        <f>SUM($G9:K9)</f>
        <v>-13602.908113470476</v>
      </c>
      <c r="L10" s="15">
        <f>SUM($G9:L9)</f>
        <v>-23491.188833383894</v>
      </c>
      <c r="M10" s="15">
        <f>SUM($G9:M9)</f>
        <v>89467.53947004411</v>
      </c>
      <c r="N10" s="15">
        <f>SUM($G9:N9)</f>
        <v>167732.33717526827</v>
      </c>
      <c r="O10" s="15">
        <f>SUM($G9:O9)</f>
        <v>189483.19674568443</v>
      </c>
      <c r="P10" s="15">
        <f>SUM($G9:P9)</f>
        <v>181330.66382523233</v>
      </c>
      <c r="Q10" s="15">
        <f>SUM($G9:Q9)</f>
        <v>276288.42277132592</v>
      </c>
      <c r="R10" s="15">
        <f>SUM($G9:R9)</f>
        <v>341729.13496754912</v>
      </c>
      <c r="S10" s="15">
        <f>SUM($G9:S9)</f>
        <v>383694.66739014257</v>
      </c>
      <c r="T10" s="15">
        <f>SUM($G9:T9)</f>
        <v>377074.82239256619</v>
      </c>
      <c r="U10" s="15">
        <f>SUM($G9:U9)</f>
        <v>539836.13597957743</v>
      </c>
      <c r="V10" s="15">
        <f>SUM($G9:V9)</f>
        <v>653306.93580710713</v>
      </c>
      <c r="W10" s="15">
        <f>SUM($G9:W9)</f>
        <v>708123.45624629559</v>
      </c>
      <c r="X10" s="15">
        <f>SUM($G9:X9)</f>
        <v>702733.68006089388</v>
      </c>
      <c r="Y10" s="15">
        <f>SUM($G9:Y9)</f>
        <v>908033.63325197797</v>
      </c>
      <c r="Z10" s="15">
        <f>SUM($G9:Z9)</f>
        <v>1051687.0691202455</v>
      </c>
      <c r="AA10" s="119"/>
      <c r="AB10" s="119"/>
    </row>
    <row r="11" spans="1:28" s="90" customFormat="1" hidden="1" x14ac:dyDescent="0.2">
      <c r="F11" s="91"/>
      <c r="G11" s="91">
        <f>IF(G6&gt;0,0.25,0)</f>
        <v>0</v>
      </c>
      <c r="H11" s="91">
        <f t="shared" ref="H11:Z11" si="2">IF(H6&gt;0,0.25,0)</f>
        <v>0</v>
      </c>
      <c r="I11" s="91">
        <f t="shared" si="2"/>
        <v>0</v>
      </c>
      <c r="J11" s="91">
        <f t="shared" si="2"/>
        <v>0</v>
      </c>
      <c r="K11" s="91">
        <f t="shared" si="2"/>
        <v>0</v>
      </c>
      <c r="L11" s="91">
        <f t="shared" si="2"/>
        <v>0</v>
      </c>
      <c r="M11" s="91">
        <f t="shared" si="2"/>
        <v>0.25</v>
      </c>
      <c r="N11" s="91">
        <f t="shared" si="2"/>
        <v>0.25</v>
      </c>
      <c r="O11" s="91">
        <f t="shared" si="2"/>
        <v>0.25</v>
      </c>
      <c r="P11" s="91">
        <f t="shared" si="2"/>
        <v>0.25</v>
      </c>
      <c r="Q11" s="91">
        <f t="shared" si="2"/>
        <v>0.25</v>
      </c>
      <c r="R11" s="91">
        <f t="shared" si="2"/>
        <v>0.25</v>
      </c>
      <c r="S11" s="91">
        <f t="shared" si="2"/>
        <v>0.25</v>
      </c>
      <c r="T11" s="91">
        <f t="shared" si="2"/>
        <v>0.25</v>
      </c>
      <c r="U11" s="91">
        <f t="shared" si="2"/>
        <v>0.25</v>
      </c>
      <c r="V11" s="91">
        <f t="shared" si="2"/>
        <v>0.25</v>
      </c>
      <c r="W11" s="91">
        <f t="shared" si="2"/>
        <v>0.25</v>
      </c>
      <c r="X11" s="91">
        <f t="shared" si="2"/>
        <v>0.25</v>
      </c>
      <c r="Y11" s="91">
        <f t="shared" si="2"/>
        <v>0.25</v>
      </c>
      <c r="Z11" s="91">
        <f t="shared" si="2"/>
        <v>0.25</v>
      </c>
      <c r="AA11" s="119"/>
      <c r="AB11" s="119"/>
    </row>
    <row r="12" spans="1:28" s="90" customFormat="1" hidden="1" x14ac:dyDescent="0.2">
      <c r="G12" s="91">
        <f>IF(G10&gt;0,0.25,0)</f>
        <v>0</v>
      </c>
      <c r="H12" s="91">
        <f>IF(H10&gt;0,0.25,0)</f>
        <v>0</v>
      </c>
      <c r="I12" s="91">
        <f>IF(I10&gt;0,0.25,0)</f>
        <v>0</v>
      </c>
      <c r="J12" s="91">
        <f t="shared" ref="J12:Z12" si="3">IF(J10&gt;0,0.25,0)</f>
        <v>0</v>
      </c>
      <c r="K12" s="91">
        <f t="shared" si="3"/>
        <v>0</v>
      </c>
      <c r="L12" s="91">
        <f t="shared" si="3"/>
        <v>0</v>
      </c>
      <c r="M12" s="91">
        <f t="shared" si="3"/>
        <v>0.25</v>
      </c>
      <c r="N12" s="91">
        <f t="shared" si="3"/>
        <v>0.25</v>
      </c>
      <c r="O12" s="91">
        <f t="shared" si="3"/>
        <v>0.25</v>
      </c>
      <c r="P12" s="91">
        <f t="shared" si="3"/>
        <v>0.25</v>
      </c>
      <c r="Q12" s="91">
        <f t="shared" si="3"/>
        <v>0.25</v>
      </c>
      <c r="R12" s="91">
        <f t="shared" si="3"/>
        <v>0.25</v>
      </c>
      <c r="S12" s="91">
        <f t="shared" si="3"/>
        <v>0.25</v>
      </c>
      <c r="T12" s="91">
        <f t="shared" si="3"/>
        <v>0.25</v>
      </c>
      <c r="U12" s="91">
        <f t="shared" si="3"/>
        <v>0.25</v>
      </c>
      <c r="V12" s="91">
        <f t="shared" si="3"/>
        <v>0.25</v>
      </c>
      <c r="W12" s="91">
        <f t="shared" si="3"/>
        <v>0.25</v>
      </c>
      <c r="X12" s="91">
        <f t="shared" si="3"/>
        <v>0.25</v>
      </c>
      <c r="Y12" s="91">
        <f t="shared" si="3"/>
        <v>0.25</v>
      </c>
      <c r="Z12" s="91">
        <f t="shared" si="3"/>
        <v>0.25</v>
      </c>
      <c r="AA12" s="119"/>
      <c r="AB12" s="119"/>
    </row>
    <row r="13" spans="1:28" s="90" customFormat="1" x14ac:dyDescent="0.2"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119"/>
      <c r="AB13" s="119"/>
    </row>
    <row r="14" spans="1:28" s="90" customFormat="1" x14ac:dyDescent="0.2">
      <c r="A14" s="25" t="s">
        <v>411</v>
      </c>
      <c r="G14" s="3">
        <f>Окружение!D4</f>
        <v>2019</v>
      </c>
      <c r="H14" s="4">
        <f>G14+1</f>
        <v>2020</v>
      </c>
      <c r="I14" s="5">
        <f>H14+1</f>
        <v>2021</v>
      </c>
      <c r="J14" s="6">
        <f>I14+1</f>
        <v>2022</v>
      </c>
      <c r="K14" s="7">
        <f>J14+1</f>
        <v>2023</v>
      </c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119"/>
      <c r="AB14" s="119"/>
    </row>
    <row r="15" spans="1:28" s="90" customFormat="1" x14ac:dyDescent="0.2">
      <c r="A15" s="1"/>
      <c r="B15" s="1" t="s">
        <v>412</v>
      </c>
      <c r="C15" s="1"/>
      <c r="D15" s="1"/>
      <c r="E15" s="1"/>
      <c r="F15" s="1"/>
      <c r="G15" s="67">
        <f>SUM(G5:J5)</f>
        <v>-42294.458630058994</v>
      </c>
      <c r="H15" s="67">
        <f>SUM(K5:N5)</f>
        <v>296619.98420554993</v>
      </c>
      <c r="I15" s="67">
        <f>SUM(O5:R5)</f>
        <v>317921.3645932154</v>
      </c>
      <c r="J15" s="67">
        <f>SUM(S5:V5)</f>
        <v>726251.46561909164</v>
      </c>
      <c r="K15" s="67">
        <f>SUM(W5:Z5)</f>
        <v>1187367.7685610882</v>
      </c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119"/>
      <c r="AB15" s="119"/>
    </row>
    <row r="16" spans="1:28" s="90" customFormat="1" x14ac:dyDescent="0.2">
      <c r="A16" s="1"/>
      <c r="B16" s="1" t="s">
        <v>413</v>
      </c>
      <c r="C16" s="1"/>
      <c r="D16" s="1"/>
      <c r="E16" s="1"/>
      <c r="F16" s="1"/>
      <c r="G16" s="246" t="s">
        <v>260</v>
      </c>
      <c r="H16" s="246">
        <f>IF(H15=0,"-",(H15-G15)/H15)</f>
        <v>1.142588028056633</v>
      </c>
      <c r="I16" s="246">
        <f>IF(I15=0,"-",(I15-H15)/I15)</f>
        <v>6.7002041259230469E-2</v>
      </c>
      <c r="J16" s="246">
        <f>IF(J15=0,"-",(J15-I15)/J15)</f>
        <v>0.56224341065913863</v>
      </c>
      <c r="K16" s="246">
        <f>IF(K15=0,"-",(K15-J15)/K15)</f>
        <v>0.38835170968199723</v>
      </c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119"/>
      <c r="AB16" s="119"/>
    </row>
    <row r="17" spans="1:28" s="90" customFormat="1" x14ac:dyDescent="0.2">
      <c r="A17" s="1"/>
      <c r="B17" s="1" t="s">
        <v>417</v>
      </c>
      <c r="C17" s="1"/>
      <c r="D17" s="1"/>
      <c r="E17" s="1"/>
      <c r="F17" s="1"/>
      <c r="G17" s="246">
        <f>'Финан-е'!E80</f>
        <v>0.2000000000000004</v>
      </c>
      <c r="H17" s="246">
        <f>'Финан-е'!F80</f>
        <v>0.24999999999999956</v>
      </c>
      <c r="I17" s="246">
        <f>'Финан-е'!G80</f>
        <v>0.28000000000000047</v>
      </c>
      <c r="J17" s="246">
        <f>'Финан-е'!H80</f>
        <v>0.28000000000000047</v>
      </c>
      <c r="K17" s="246">
        <f>'Финан-е'!I80</f>
        <v>0.28000000000000047</v>
      </c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119"/>
      <c r="AB17" s="119"/>
    </row>
    <row r="18" spans="1:28" s="90" customFormat="1" x14ac:dyDescent="0.2">
      <c r="A18" s="1"/>
      <c r="B18" s="1" t="s">
        <v>414</v>
      </c>
      <c r="C18" s="1"/>
      <c r="D18" s="1"/>
      <c r="E18" s="1"/>
      <c r="F18" s="1"/>
      <c r="G18" s="247">
        <v>0</v>
      </c>
      <c r="H18" s="2"/>
      <c r="I18" s="2"/>
      <c r="J18" s="2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119"/>
      <c r="AB18" s="119"/>
    </row>
    <row r="19" spans="1:28" s="90" customFormat="1" x14ac:dyDescent="0.2">
      <c r="A19" s="1"/>
      <c r="B19" s="1" t="s">
        <v>415</v>
      </c>
      <c r="C19" s="1"/>
      <c r="D19" s="1"/>
      <c r="E19" s="1"/>
      <c r="F19" s="1"/>
      <c r="G19" s="247">
        <v>0</v>
      </c>
      <c r="H19" s="2"/>
      <c r="I19" s="2"/>
      <c r="J19" s="2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119"/>
      <c r="AB19" s="119"/>
    </row>
    <row r="20" spans="1:28" s="90" customFormat="1" x14ac:dyDescent="0.2">
      <c r="A20" s="1"/>
      <c r="B20" s="1" t="s">
        <v>416</v>
      </c>
      <c r="C20" s="1"/>
      <c r="D20" s="1"/>
      <c r="E20" s="1"/>
      <c r="F20" s="1"/>
      <c r="G20" s="2" t="str">
        <f>IF(G19=0,"-",(K15*(1+G18)/(G19-G18))/((1+G17)*(1+H17)*(1+I17)*(1+J17)*(1+K17)))</f>
        <v>-</v>
      </c>
      <c r="H20" s="2"/>
      <c r="I20" s="2"/>
      <c r="J20" s="2"/>
      <c r="K20" s="2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119"/>
      <c r="AB20" s="119"/>
    </row>
    <row r="21" spans="1:28" s="90" customFormat="1" x14ac:dyDescent="0.2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119"/>
      <c r="AB21" s="119"/>
    </row>
    <row r="22" spans="1:28" s="90" customFormat="1" x14ac:dyDescent="0.2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119"/>
      <c r="AB22" s="119"/>
    </row>
    <row r="23" spans="1:28" x14ac:dyDescent="0.2">
      <c r="B23" s="27" t="s">
        <v>164</v>
      </c>
      <c r="C23" s="27"/>
      <c r="D23" s="59">
        <f>IF(G20="-",Z10,Z10+G20)</f>
        <v>1051687.0691202455</v>
      </c>
      <c r="E23" s="60" t="s">
        <v>85</v>
      </c>
      <c r="AA23" s="119"/>
      <c r="AB23" s="119"/>
    </row>
    <row r="24" spans="1:28" x14ac:dyDescent="0.2">
      <c r="B24" s="27" t="s">
        <v>165</v>
      </c>
      <c r="C24" s="27"/>
      <c r="D24" s="318">
        <f>IRR(G9:Z9)*100</f>
        <v>42.780736033389786</v>
      </c>
      <c r="E24" s="58" t="s">
        <v>91</v>
      </c>
      <c r="F24" s="297"/>
      <c r="G24" s="297"/>
      <c r="H24" s="297"/>
      <c r="AA24" s="91"/>
      <c r="AB24" s="91"/>
    </row>
    <row r="25" spans="1:28" x14ac:dyDescent="0.2">
      <c r="B25" s="27" t="s">
        <v>166</v>
      </c>
      <c r="C25" s="27"/>
      <c r="D25" s="58">
        <f>5-SUM(G11:Z11)</f>
        <v>1.5</v>
      </c>
      <c r="E25" s="58" t="s">
        <v>168</v>
      </c>
      <c r="F25" s="27"/>
      <c r="H25" s="58"/>
      <c r="I25" s="58"/>
      <c r="AA25" s="91"/>
      <c r="AB25" s="91"/>
    </row>
    <row r="26" spans="1:28" x14ac:dyDescent="0.2">
      <c r="B26" s="27" t="s">
        <v>167</v>
      </c>
      <c r="C26" s="27"/>
      <c r="D26" s="58">
        <f>5-SUM(G12:Z12)</f>
        <v>1.5</v>
      </c>
      <c r="E26" s="58" t="s">
        <v>168</v>
      </c>
      <c r="AA26" s="91"/>
      <c r="AB26" s="91"/>
    </row>
    <row r="27" spans="1:28" x14ac:dyDescent="0.2">
      <c r="B27" s="27" t="s">
        <v>407</v>
      </c>
      <c r="C27" s="27"/>
      <c r="D27" s="245">
        <f>IF('Финан-е'!Y84=0,"-",D23/'Финан-е'!Y84)</f>
        <v>8.7763688386127754</v>
      </c>
      <c r="E27" s="58"/>
      <c r="AA27" s="91"/>
      <c r="AB27" s="91"/>
    </row>
    <row r="28" spans="1:28" x14ac:dyDescent="0.2">
      <c r="AA28" s="91"/>
      <c r="AB28" s="91"/>
    </row>
    <row r="29" spans="1:28" x14ac:dyDescent="0.2">
      <c r="AB29" s="91"/>
    </row>
    <row r="30" spans="1:28" x14ac:dyDescent="0.2">
      <c r="A30" s="25"/>
      <c r="AB30" s="91"/>
    </row>
    <row r="31" spans="1:28" x14ac:dyDescent="0.2">
      <c r="B31" s="27"/>
      <c r="C31" s="27"/>
      <c r="AB31" s="91"/>
    </row>
    <row r="32" spans="1:28" s="95" customFormat="1" x14ac:dyDescent="0.2">
      <c r="B32" s="96"/>
      <c r="C32" s="8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98"/>
    </row>
    <row r="33" spans="2:28" x14ac:dyDescent="0.2">
      <c r="AB33" s="91"/>
    </row>
    <row r="34" spans="2:28" x14ac:dyDescent="0.2">
      <c r="AB34" s="91"/>
    </row>
    <row r="35" spans="2:28" x14ac:dyDescent="0.2">
      <c r="AB35" s="91"/>
    </row>
    <row r="36" spans="2:28" x14ac:dyDescent="0.2">
      <c r="AB36" s="91"/>
    </row>
    <row r="37" spans="2:28" x14ac:dyDescent="0.2">
      <c r="AB37" s="91"/>
    </row>
    <row r="38" spans="2:28" x14ac:dyDescent="0.2">
      <c r="B38" s="96"/>
      <c r="C38" s="27"/>
      <c r="AB38" s="91"/>
    </row>
    <row r="39" spans="2:28" s="95" customFormat="1" x14ac:dyDescent="0.2">
      <c r="B39" s="96"/>
      <c r="C39" s="8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98"/>
    </row>
    <row r="40" spans="2:28" x14ac:dyDescent="0.2">
      <c r="AB40" s="91"/>
    </row>
    <row r="41" spans="2:28" x14ac:dyDescent="0.2">
      <c r="AB41" s="91"/>
    </row>
    <row r="42" spans="2:28" x14ac:dyDescent="0.2">
      <c r="AB42" s="91"/>
    </row>
    <row r="43" spans="2:28" x14ac:dyDescent="0.2">
      <c r="AB43" s="91"/>
    </row>
    <row r="44" spans="2:28" x14ac:dyDescent="0.2">
      <c r="AB44" s="91"/>
    </row>
    <row r="45" spans="2:28" x14ac:dyDescent="0.2">
      <c r="AB45" s="91"/>
    </row>
    <row r="46" spans="2:28" x14ac:dyDescent="0.2">
      <c r="AB46" s="91"/>
    </row>
    <row r="47" spans="2:28" x14ac:dyDescent="0.2">
      <c r="AB47" s="91"/>
    </row>
    <row r="48" spans="2:28" x14ac:dyDescent="0.2">
      <c r="AB48" s="91"/>
    </row>
    <row r="49" spans="27:28" x14ac:dyDescent="0.2">
      <c r="AB49" s="91"/>
    </row>
    <row r="50" spans="27:28" x14ac:dyDescent="0.2">
      <c r="AB50" s="91"/>
    </row>
    <row r="51" spans="27:28" x14ac:dyDescent="0.2">
      <c r="AA51" s="91"/>
      <c r="AB51" s="91"/>
    </row>
    <row r="52" spans="27:28" x14ac:dyDescent="0.2">
      <c r="AA52" s="91"/>
      <c r="AB52" s="91"/>
    </row>
    <row r="53" spans="27:28" x14ac:dyDescent="0.2">
      <c r="AA53" s="91"/>
      <c r="AB53" s="91"/>
    </row>
    <row r="54" spans="27:28" x14ac:dyDescent="0.2">
      <c r="AA54" s="91"/>
      <c r="AB54" s="91"/>
    </row>
    <row r="55" spans="27:28" x14ac:dyDescent="0.2">
      <c r="AA55" s="91"/>
      <c r="AB55" s="91"/>
    </row>
    <row r="56" spans="27:28" x14ac:dyDescent="0.2">
      <c r="AA56" s="91"/>
      <c r="AB56" s="91"/>
    </row>
    <row r="57" spans="27:28" x14ac:dyDescent="0.2">
      <c r="AA57" s="91"/>
      <c r="AB57" s="91"/>
    </row>
    <row r="58" spans="27:28" x14ac:dyDescent="0.2">
      <c r="AA58" s="91"/>
      <c r="AB58" s="91"/>
    </row>
    <row r="59" spans="27:28" x14ac:dyDescent="0.2">
      <c r="AA59" s="91"/>
      <c r="AB59" s="91"/>
    </row>
    <row r="60" spans="27:28" x14ac:dyDescent="0.2">
      <c r="AA60" s="91"/>
      <c r="AB60" s="91"/>
    </row>
    <row r="61" spans="27:28" x14ac:dyDescent="0.2">
      <c r="AA61" s="91"/>
      <c r="AB61" s="91"/>
    </row>
    <row r="62" spans="27:28" x14ac:dyDescent="0.2">
      <c r="AA62" s="91"/>
      <c r="AB62" s="91"/>
    </row>
    <row r="63" spans="27:28" x14ac:dyDescent="0.2">
      <c r="AA63" s="91"/>
      <c r="AB63" s="91"/>
    </row>
    <row r="64" spans="27:28" x14ac:dyDescent="0.2">
      <c r="AA64" s="91"/>
      <c r="AB64" s="91"/>
    </row>
    <row r="65" spans="27:28" x14ac:dyDescent="0.2">
      <c r="AA65" s="91"/>
      <c r="AB65" s="91"/>
    </row>
    <row r="66" spans="27:28" x14ac:dyDescent="0.2">
      <c r="AA66" s="91"/>
      <c r="AB66" s="91"/>
    </row>
    <row r="67" spans="27:28" x14ac:dyDescent="0.2">
      <c r="AA67" s="91"/>
      <c r="AB67" s="91"/>
    </row>
    <row r="68" spans="27:28" x14ac:dyDescent="0.2">
      <c r="AA68" s="91"/>
      <c r="AB68" s="91"/>
    </row>
    <row r="69" spans="27:28" x14ac:dyDescent="0.2">
      <c r="AA69" s="91"/>
      <c r="AB69" s="91"/>
    </row>
    <row r="70" spans="27:28" x14ac:dyDescent="0.2">
      <c r="AA70" s="91"/>
      <c r="AB70" s="91"/>
    </row>
    <row r="71" spans="27:28" x14ac:dyDescent="0.2">
      <c r="AA71" s="91"/>
      <c r="AB71" s="91"/>
    </row>
    <row r="72" spans="27:28" x14ac:dyDescent="0.2">
      <c r="AA72" s="91"/>
      <c r="AB72" s="91"/>
    </row>
    <row r="73" spans="27:28" x14ac:dyDescent="0.2">
      <c r="AA73" s="91"/>
      <c r="AB73" s="91"/>
    </row>
    <row r="74" spans="27:28" x14ac:dyDescent="0.2">
      <c r="AA74" s="91"/>
      <c r="AB74" s="91"/>
    </row>
    <row r="75" spans="27:28" x14ac:dyDescent="0.2">
      <c r="AA75" s="91"/>
      <c r="AB75" s="91"/>
    </row>
    <row r="76" spans="27:28" x14ac:dyDescent="0.2">
      <c r="AA76" s="91"/>
      <c r="AB76" s="91"/>
    </row>
    <row r="77" spans="27:28" x14ac:dyDescent="0.2">
      <c r="AA77" s="91"/>
      <c r="AB77" s="91"/>
    </row>
    <row r="78" spans="27:28" x14ac:dyDescent="0.2">
      <c r="AA78" s="91"/>
      <c r="AB78" s="91"/>
    </row>
    <row r="79" spans="27:28" x14ac:dyDescent="0.2">
      <c r="AA79" s="91"/>
      <c r="AB79" s="91"/>
    </row>
    <row r="80" spans="27:28" x14ac:dyDescent="0.2">
      <c r="AA80" s="91"/>
      <c r="AB80" s="91"/>
    </row>
    <row r="81" spans="1:28" x14ac:dyDescent="0.2">
      <c r="AA81" s="91"/>
      <c r="AB81" s="91"/>
    </row>
    <row r="82" spans="1:28" x14ac:dyDescent="0.2">
      <c r="AA82" s="91"/>
      <c r="AB82" s="91"/>
    </row>
    <row r="83" spans="1:28" x14ac:dyDescent="0.2">
      <c r="AA83" s="91"/>
      <c r="AB83" s="91"/>
    </row>
    <row r="84" spans="1:28" x14ac:dyDescent="0.2">
      <c r="AA84" s="91"/>
      <c r="AB84" s="91"/>
    </row>
    <row r="85" spans="1:28" x14ac:dyDescent="0.2">
      <c r="AA85" s="91"/>
      <c r="AB85" s="91"/>
    </row>
    <row r="86" spans="1:28" s="27" customForma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AA86" s="117"/>
      <c r="AB86" s="117"/>
    </row>
  </sheetData>
  <phoneticPr fontId="0" type="noConversion"/>
  <pageMargins left="0.75" right="0.75" top="1" bottom="1" header="0.5" footer="0.5"/>
  <pageSetup paperSize="9" scale="50" orientation="landscape" r:id="rId1"/>
  <headerFooter alignWithMargins="0"/>
  <rowBreaks count="1" manualBreakCount="1">
    <brk id="45" max="16383" man="1"/>
  </rowBreaks>
  <colBreaks count="1" manualBreakCount="1">
    <brk id="2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81"/>
  <sheetViews>
    <sheetView topLeftCell="A27" zoomScale="85" zoomScaleNormal="85" workbookViewId="0">
      <selection activeCell="C47" sqref="C47"/>
    </sheetView>
  </sheetViews>
  <sheetFormatPr defaultRowHeight="12.75" x14ac:dyDescent="0.2"/>
  <cols>
    <col min="1" max="1" width="41.140625" style="144" customWidth="1"/>
    <col min="2" max="2" width="11.85546875" style="144" customWidth="1"/>
    <col min="3" max="3" width="10.42578125" style="140" bestFit="1" customWidth="1"/>
    <col min="4" max="6" width="11.7109375" style="140" bestFit="1" customWidth="1"/>
    <col min="7" max="7" width="12.28515625" style="140" bestFit="1" customWidth="1"/>
    <col min="8" max="16384" width="9.140625" style="140"/>
  </cols>
  <sheetData>
    <row r="1" spans="1:8" x14ac:dyDescent="0.2">
      <c r="A1"/>
    </row>
    <row r="2" spans="1:8" x14ac:dyDescent="0.2">
      <c r="A2" s="11" t="s">
        <v>396</v>
      </c>
      <c r="B2" s="156" t="s">
        <v>79</v>
      </c>
      <c r="C2" s="3">
        <f>Окружение!D4</f>
        <v>2019</v>
      </c>
      <c r="D2" s="4">
        <f>C2+1</f>
        <v>2020</v>
      </c>
      <c r="E2" s="5">
        <f>D2+1</f>
        <v>2021</v>
      </c>
      <c r="F2" s="6">
        <f>E2+1</f>
        <v>2022</v>
      </c>
      <c r="G2" s="7">
        <f>F2+1</f>
        <v>2023</v>
      </c>
    </row>
    <row r="3" spans="1:8" s="141" customFormat="1" x14ac:dyDescent="0.2">
      <c r="A3" s="147"/>
      <c r="B3" s="147"/>
    </row>
    <row r="4" spans="1:8" x14ac:dyDescent="0.2">
      <c r="A4" s="167" t="s">
        <v>170</v>
      </c>
      <c r="B4" s="121"/>
      <c r="C4" s="61"/>
      <c r="D4" s="61"/>
      <c r="E4" s="61"/>
      <c r="F4" s="62"/>
      <c r="G4" s="61"/>
      <c r="H4" s="152"/>
    </row>
    <row r="5" spans="1:8" x14ac:dyDescent="0.2">
      <c r="A5" s="25" t="s">
        <v>377</v>
      </c>
      <c r="B5" s="25"/>
    </row>
    <row r="6" spans="1:8" x14ac:dyDescent="0.2">
      <c r="A6" s="189" t="s">
        <v>264</v>
      </c>
      <c r="B6" s="77" t="s">
        <v>85</v>
      </c>
      <c r="C6" s="162">
        <f>'НА и ОС'!J28</f>
        <v>1420.9745762711864</v>
      </c>
      <c r="D6" s="162">
        <f>'НА и ОС'!N28</f>
        <v>1346.1864406779662</v>
      </c>
      <c r="E6" s="162">
        <f>'НА и ОС'!R28</f>
        <v>1271.3983050847457</v>
      </c>
      <c r="F6" s="162">
        <f>'НА и ОС'!V28</f>
        <v>1196.6101694915255</v>
      </c>
      <c r="G6" s="162">
        <f>'НА и ОС'!Z28</f>
        <v>1121.8220338983051</v>
      </c>
    </row>
    <row r="7" spans="1:8" x14ac:dyDescent="0.2">
      <c r="A7" s="189" t="s">
        <v>263</v>
      </c>
      <c r="B7" s="77" t="s">
        <v>85</v>
      </c>
      <c r="C7" s="162">
        <f>'НА и ОС'!J102</f>
        <v>2461.2288135593221</v>
      </c>
      <c r="D7" s="162">
        <f>'НА и ОС'!N102</f>
        <v>2252.9661016949153</v>
      </c>
      <c r="E7" s="162">
        <f>'НА и ОС'!R102</f>
        <v>2044.7033898305087</v>
      </c>
      <c r="F7" s="162">
        <f>'НА и ОС'!V102</f>
        <v>1836.4406779661017</v>
      </c>
      <c r="G7" s="162">
        <f>'НА и ОС'!Z102</f>
        <v>1628.1779661016949</v>
      </c>
    </row>
    <row r="8" spans="1:8" x14ac:dyDescent="0.2">
      <c r="A8" s="189" t="s">
        <v>175</v>
      </c>
      <c r="B8" s="77" t="s">
        <v>85</v>
      </c>
      <c r="C8" s="162">
        <f>'Форма 1'!I9</f>
        <v>0</v>
      </c>
      <c r="D8" s="162">
        <f>'Форма 1'!M9</f>
        <v>0</v>
      </c>
      <c r="E8" s="162">
        <f>'Форма 1'!Q9</f>
        <v>0</v>
      </c>
      <c r="F8" s="162">
        <f>'Форма 1'!U9</f>
        <v>0</v>
      </c>
      <c r="G8" s="162">
        <f>'Форма 1'!Y9</f>
        <v>0</v>
      </c>
    </row>
    <row r="9" spans="1:8" x14ac:dyDescent="0.2">
      <c r="A9" s="153" t="s">
        <v>378</v>
      </c>
      <c r="B9" s="77" t="s">
        <v>85</v>
      </c>
      <c r="C9" s="164">
        <f>C6+C7+C8</f>
        <v>3882.2033898305085</v>
      </c>
      <c r="D9" s="164">
        <f>D6+D7+D8</f>
        <v>3599.1525423728817</v>
      </c>
      <c r="E9" s="164">
        <f>E6+E7+E8</f>
        <v>3316.1016949152545</v>
      </c>
      <c r="F9" s="164">
        <f>F6+F7+F8</f>
        <v>3033.0508474576272</v>
      </c>
      <c r="G9" s="164">
        <f>G6+G7+G8</f>
        <v>2750</v>
      </c>
    </row>
    <row r="10" spans="1:8" x14ac:dyDescent="0.2">
      <c r="A10" s="151"/>
      <c r="B10" s="151"/>
      <c r="C10" s="165"/>
      <c r="D10" s="165"/>
      <c r="E10" s="165"/>
      <c r="F10" s="165"/>
      <c r="G10" s="165"/>
    </row>
    <row r="11" spans="1:8" x14ac:dyDescent="0.2">
      <c r="A11" s="25" t="s">
        <v>176</v>
      </c>
      <c r="B11" s="140"/>
      <c r="C11" s="165"/>
      <c r="D11" s="165"/>
      <c r="E11" s="165"/>
      <c r="F11" s="165"/>
      <c r="G11" s="165"/>
    </row>
    <row r="12" spans="1:8" x14ac:dyDescent="0.2">
      <c r="A12" s="189" t="s">
        <v>379</v>
      </c>
      <c r="B12" s="77" t="s">
        <v>85</v>
      </c>
      <c r="C12" s="162">
        <f>'Оборот. К.'!G10</f>
        <v>0</v>
      </c>
      <c r="D12" s="162">
        <f>'Оборот. К.'!K10</f>
        <v>0</v>
      </c>
      <c r="E12" s="162">
        <f>'Оборот. К.'!O10</f>
        <v>0</v>
      </c>
      <c r="F12" s="162">
        <f>'Оборот. К.'!S10</f>
        <v>0</v>
      </c>
      <c r="G12" s="162">
        <f>'Оборот. К.'!W10</f>
        <v>0</v>
      </c>
    </row>
    <row r="13" spans="1:8" x14ac:dyDescent="0.2">
      <c r="A13" s="190" t="s">
        <v>277</v>
      </c>
      <c r="B13" s="77" t="s">
        <v>85</v>
      </c>
      <c r="C13" s="162">
        <f>'Оборот. К.'!G11</f>
        <v>0</v>
      </c>
      <c r="D13" s="162">
        <f>'Оборот. К.'!K11</f>
        <v>0</v>
      </c>
      <c r="E13" s="162">
        <f>'Оборот. К.'!O11</f>
        <v>0</v>
      </c>
      <c r="F13" s="162">
        <f>'Оборот. К.'!S11</f>
        <v>0</v>
      </c>
      <c r="G13" s="162">
        <f>'Оборот. К.'!W11</f>
        <v>0</v>
      </c>
    </row>
    <row r="14" spans="1:8" x14ac:dyDescent="0.2">
      <c r="A14" s="189" t="s">
        <v>276</v>
      </c>
      <c r="B14" s="77" t="s">
        <v>85</v>
      </c>
      <c r="C14" s="162">
        <v>0</v>
      </c>
      <c r="D14" s="162">
        <v>0</v>
      </c>
      <c r="E14" s="162">
        <v>0</v>
      </c>
      <c r="F14" s="162">
        <v>0</v>
      </c>
      <c r="G14" s="162">
        <v>0</v>
      </c>
    </row>
    <row r="15" spans="1:8" x14ac:dyDescent="0.2">
      <c r="A15" s="189" t="s">
        <v>262</v>
      </c>
      <c r="B15" s="77" t="s">
        <v>85</v>
      </c>
      <c r="C15" s="162">
        <v>0</v>
      </c>
      <c r="D15" s="162">
        <f>'Форма 1'!M13</f>
        <v>0</v>
      </c>
      <c r="E15" s="162">
        <f>'Форма 1'!Q13</f>
        <v>0</v>
      </c>
      <c r="F15" s="162">
        <f>'Форма 1'!U13</f>
        <v>0</v>
      </c>
      <c r="G15" s="162">
        <f>'Форма 1'!Y13</f>
        <v>0</v>
      </c>
    </row>
    <row r="16" spans="1:8" x14ac:dyDescent="0.2">
      <c r="A16" s="189" t="s">
        <v>261</v>
      </c>
      <c r="B16" s="77" t="s">
        <v>85</v>
      </c>
      <c r="C16" s="162">
        <f>C17</f>
        <v>22780.329505534231</v>
      </c>
      <c r="D16" s="162">
        <f t="shared" ref="D16:G16" si="0">D17</f>
        <v>417812.56895131263</v>
      </c>
      <c r="E16" s="162">
        <f t="shared" si="0"/>
        <v>439397.00018643576</v>
      </c>
      <c r="F16" s="162">
        <f t="shared" si="0"/>
        <v>848010.15205976984</v>
      </c>
      <c r="G16" s="162">
        <f t="shared" si="0"/>
        <v>1309409.505849224</v>
      </c>
    </row>
    <row r="17" spans="1:7" x14ac:dyDescent="0.2">
      <c r="A17" s="153" t="s">
        <v>380</v>
      </c>
      <c r="B17" s="77" t="s">
        <v>85</v>
      </c>
      <c r="C17" s="164">
        <f>C19-C9</f>
        <v>22780.329505534231</v>
      </c>
      <c r="D17" s="164">
        <f t="shared" ref="D17:G17" si="1">D19-D9</f>
        <v>417812.56895131263</v>
      </c>
      <c r="E17" s="164">
        <f t="shared" si="1"/>
        <v>439397.00018643576</v>
      </c>
      <c r="F17" s="164">
        <f t="shared" si="1"/>
        <v>848010.15205976984</v>
      </c>
      <c r="G17" s="164">
        <f t="shared" si="1"/>
        <v>1309409.505849224</v>
      </c>
    </row>
    <row r="18" spans="1:7" x14ac:dyDescent="0.2">
      <c r="A18" s="150"/>
      <c r="B18" s="150"/>
      <c r="C18" s="166"/>
      <c r="D18" s="166"/>
      <c r="E18" s="166"/>
      <c r="F18" s="166"/>
      <c r="G18" s="166"/>
    </row>
    <row r="19" spans="1:7" x14ac:dyDescent="0.2">
      <c r="A19" s="142" t="s">
        <v>385</v>
      </c>
      <c r="B19" s="77" t="s">
        <v>85</v>
      </c>
      <c r="C19" s="164">
        <f>C41</f>
        <v>26662.53289536474</v>
      </c>
      <c r="D19" s="164">
        <f t="shared" ref="D19:G19" si="2">D41</f>
        <v>421411.7214936855</v>
      </c>
      <c r="E19" s="164">
        <f t="shared" si="2"/>
        <v>442713.10188135103</v>
      </c>
      <c r="F19" s="164">
        <f t="shared" si="2"/>
        <v>851043.20290722745</v>
      </c>
      <c r="G19" s="164">
        <f t="shared" si="2"/>
        <v>1312159.505849224</v>
      </c>
    </row>
    <row r="20" spans="1:7" x14ac:dyDescent="0.2">
      <c r="A20" s="140"/>
      <c r="B20" s="140"/>
      <c r="C20" s="146"/>
      <c r="D20" s="146"/>
      <c r="E20" s="146"/>
      <c r="F20" s="146"/>
      <c r="G20" s="146"/>
    </row>
    <row r="21" spans="1:7" x14ac:dyDescent="0.2">
      <c r="A21" s="140"/>
      <c r="B21" s="140"/>
    </row>
    <row r="22" spans="1:7" x14ac:dyDescent="0.2">
      <c r="A22" s="167" t="s">
        <v>178</v>
      </c>
      <c r="B22" s="121"/>
      <c r="C22" s="61"/>
      <c r="D22" s="61"/>
      <c r="E22" s="61"/>
      <c r="F22" s="62"/>
      <c r="G22" s="61"/>
    </row>
    <row r="23" spans="1:7" x14ac:dyDescent="0.2">
      <c r="A23" s="25" t="s">
        <v>156</v>
      </c>
      <c r="B23" s="140"/>
    </row>
    <row r="24" spans="1:7" x14ac:dyDescent="0.2">
      <c r="A24" s="191" t="s">
        <v>266</v>
      </c>
      <c r="B24" s="77" t="s">
        <v>85</v>
      </c>
      <c r="C24" s="154">
        <f>'Форма 1'!I21</f>
        <v>30000</v>
      </c>
      <c r="D24" s="154">
        <f>'Форма 1'!M21</f>
        <v>30000</v>
      </c>
      <c r="E24" s="154">
        <f>'Форма 1'!Q21</f>
        <v>30000</v>
      </c>
      <c r="F24" s="154">
        <f>'Форма 1'!U21</f>
        <v>30000</v>
      </c>
      <c r="G24" s="154">
        <f>'Форма 1'!Y21</f>
        <v>30000</v>
      </c>
    </row>
    <row r="25" spans="1:7" x14ac:dyDescent="0.2">
      <c r="A25" s="191" t="s">
        <v>147</v>
      </c>
      <c r="B25" s="77" t="s">
        <v>85</v>
      </c>
      <c r="C25" s="154">
        <f>'Форма 1'!I24</f>
        <v>35000</v>
      </c>
      <c r="D25" s="154">
        <f>'Форма 1'!M24</f>
        <v>95000</v>
      </c>
      <c r="E25" s="154">
        <f>'Форма 1'!Q24</f>
        <v>95000</v>
      </c>
      <c r="F25" s="154">
        <f>'Форма 1'!U24</f>
        <v>95000</v>
      </c>
      <c r="G25" s="154">
        <f>'Форма 1'!Y24</f>
        <v>95000</v>
      </c>
    </row>
    <row r="26" spans="1:7" x14ac:dyDescent="0.2">
      <c r="A26" s="191" t="s">
        <v>52</v>
      </c>
      <c r="B26" s="77" t="s">
        <v>85</v>
      </c>
      <c r="C26" s="154">
        <f>'Форма 1'!I25</f>
        <v>-38337.46710463526</v>
      </c>
      <c r="D26" s="154">
        <f>'Форма 1'!M25</f>
        <v>296411.7214936855</v>
      </c>
      <c r="E26" s="154">
        <f>'Форма 1'!Q25</f>
        <v>317713.10188135103</v>
      </c>
      <c r="F26" s="154">
        <f>'Форма 1'!U25</f>
        <v>726043.20290722745</v>
      </c>
      <c r="G26" s="154">
        <f>'Форма 1'!Y25</f>
        <v>1187159.505849224</v>
      </c>
    </row>
    <row r="27" spans="1:7" s="143" customFormat="1" x14ac:dyDescent="0.2">
      <c r="A27" s="143" t="s">
        <v>193</v>
      </c>
      <c r="B27" s="77" t="s">
        <v>85</v>
      </c>
      <c r="C27" s="155">
        <f>C24+C25+C26</f>
        <v>26662.53289536474</v>
      </c>
      <c r="D27" s="155">
        <f>D24+D25+D26</f>
        <v>421411.7214936855</v>
      </c>
      <c r="E27" s="155">
        <f>E24+E25+E26</f>
        <v>442713.10188135103</v>
      </c>
      <c r="F27" s="155">
        <f>F24+F25+F26</f>
        <v>851043.20290722745</v>
      </c>
      <c r="G27" s="155">
        <f>G24+G25+G26</f>
        <v>1312159.505849224</v>
      </c>
    </row>
    <row r="28" spans="1:7" x14ac:dyDescent="0.2">
      <c r="A28" s="140"/>
      <c r="B28" s="140"/>
    </row>
    <row r="29" spans="1:7" x14ac:dyDescent="0.2">
      <c r="A29" s="25" t="s">
        <v>382</v>
      </c>
      <c r="B29" s="140"/>
    </row>
    <row r="30" spans="1:7" x14ac:dyDescent="0.2">
      <c r="A30" s="191" t="s">
        <v>285</v>
      </c>
      <c r="B30" s="77" t="s">
        <v>85</v>
      </c>
      <c r="C30" s="154">
        <f>'Форма 1'!I29</f>
        <v>0</v>
      </c>
      <c r="D30" s="154">
        <f>'Форма 1'!M29</f>
        <v>0</v>
      </c>
      <c r="E30" s="154">
        <f>'Форма 1'!Q29</f>
        <v>0</v>
      </c>
      <c r="F30" s="154">
        <f>'Форма 1'!U29</f>
        <v>0</v>
      </c>
      <c r="G30" s="154">
        <f>'Форма 1'!Y29</f>
        <v>0</v>
      </c>
    </row>
    <row r="31" spans="1:7" s="143" customFormat="1" x14ac:dyDescent="0.2">
      <c r="A31" s="143" t="s">
        <v>383</v>
      </c>
      <c r="B31" s="77" t="s">
        <v>85</v>
      </c>
      <c r="C31" s="155">
        <f>C30</f>
        <v>0</v>
      </c>
      <c r="D31" s="155">
        <f>D30</f>
        <v>0</v>
      </c>
      <c r="E31" s="155">
        <f>E30</f>
        <v>0</v>
      </c>
      <c r="F31" s="155">
        <f>F30</f>
        <v>0</v>
      </c>
      <c r="G31" s="155">
        <f>G30</f>
        <v>0</v>
      </c>
    </row>
    <row r="32" spans="1:7" x14ac:dyDescent="0.2">
      <c r="A32" s="168"/>
      <c r="B32" s="77"/>
      <c r="C32" s="169"/>
      <c r="D32" s="169"/>
      <c r="E32" s="169"/>
      <c r="F32" s="169"/>
      <c r="G32" s="169"/>
    </row>
    <row r="33" spans="1:8" x14ac:dyDescent="0.2">
      <c r="A33" s="25" t="s">
        <v>384</v>
      </c>
      <c r="B33" s="77"/>
      <c r="C33" s="169"/>
      <c r="D33" s="169"/>
      <c r="E33" s="169"/>
      <c r="F33" s="169"/>
      <c r="G33" s="169"/>
    </row>
    <row r="34" spans="1:8" x14ac:dyDescent="0.2">
      <c r="A34" s="191" t="s">
        <v>280</v>
      </c>
      <c r="B34" s="77" t="s">
        <v>85</v>
      </c>
      <c r="C34" s="154">
        <f>'Форма 1'!I32</f>
        <v>0</v>
      </c>
      <c r="D34" s="154">
        <f>'Форма 1'!M32</f>
        <v>0</v>
      </c>
      <c r="E34" s="154">
        <f>'Форма 1'!Q32</f>
        <v>0</v>
      </c>
      <c r="F34" s="154">
        <f>'Форма 1'!U32</f>
        <v>0</v>
      </c>
      <c r="G34" s="154">
        <f>'Форма 1'!Y32</f>
        <v>0</v>
      </c>
    </row>
    <row r="35" spans="1:8" x14ac:dyDescent="0.2">
      <c r="A35" s="189" t="s">
        <v>265</v>
      </c>
      <c r="B35" s="77" t="s">
        <v>85</v>
      </c>
      <c r="C35" s="154">
        <f>'Оборот. К.'!G16</f>
        <v>0</v>
      </c>
      <c r="D35" s="154">
        <f>'Оборот. К.'!K16</f>
        <v>0</v>
      </c>
      <c r="E35" s="154">
        <f>'Оборот. К.'!O16</f>
        <v>0</v>
      </c>
      <c r="F35" s="154">
        <f>'Оборот. К.'!S16</f>
        <v>0</v>
      </c>
      <c r="G35" s="154">
        <f>'Оборот. К.'!W16</f>
        <v>0</v>
      </c>
    </row>
    <row r="36" spans="1:8" hidden="1" x14ac:dyDescent="0.2">
      <c r="A36" s="189" t="s">
        <v>279</v>
      </c>
      <c r="B36" s="77" t="s">
        <v>85</v>
      </c>
      <c r="C36" s="161">
        <v>0</v>
      </c>
      <c r="D36" s="161">
        <v>0</v>
      </c>
      <c r="E36" s="161">
        <v>0</v>
      </c>
      <c r="F36" s="161">
        <v>0</v>
      </c>
      <c r="G36" s="161">
        <v>0</v>
      </c>
    </row>
    <row r="37" spans="1:8" x14ac:dyDescent="0.2">
      <c r="A37" s="189" t="s">
        <v>281</v>
      </c>
      <c r="B37" s="77" t="s">
        <v>85</v>
      </c>
      <c r="C37" s="161">
        <f>'Оборот. К.'!G18</f>
        <v>0</v>
      </c>
      <c r="D37" s="161">
        <f>'Оборот. К.'!K18</f>
        <v>0</v>
      </c>
      <c r="E37" s="161">
        <f>'Оборот. К.'!O18</f>
        <v>0</v>
      </c>
      <c r="F37" s="161">
        <f>'Оборот. К.'!S18</f>
        <v>0</v>
      </c>
      <c r="G37" s="161">
        <f>'Оборот. К.'!W18</f>
        <v>0</v>
      </c>
    </row>
    <row r="38" spans="1:8" x14ac:dyDescent="0.2">
      <c r="A38" s="189" t="s">
        <v>367</v>
      </c>
      <c r="B38" s="77" t="s">
        <v>85</v>
      </c>
      <c r="C38" s="161">
        <f>'Оборот. К.'!G19</f>
        <v>0</v>
      </c>
      <c r="D38" s="161">
        <f>'Оборот. К.'!K19</f>
        <v>0</v>
      </c>
      <c r="E38" s="161">
        <f>'Оборот. К.'!O19</f>
        <v>0</v>
      </c>
      <c r="F38" s="161">
        <f>'Оборот. К.'!S19</f>
        <v>0</v>
      </c>
      <c r="G38" s="161">
        <f>'Оборот. К.'!W19</f>
        <v>0</v>
      </c>
    </row>
    <row r="39" spans="1:8" x14ac:dyDescent="0.2">
      <c r="A39" s="149" t="s">
        <v>384</v>
      </c>
      <c r="B39" s="77" t="s">
        <v>85</v>
      </c>
      <c r="C39" s="155">
        <f>SUM(C34:C38)</f>
        <v>0</v>
      </c>
      <c r="D39" s="155">
        <f>SUM(D34:D38)</f>
        <v>0</v>
      </c>
      <c r="E39" s="155">
        <f>SUM(E34:E38)</f>
        <v>0</v>
      </c>
      <c r="F39" s="155">
        <f>SUM(F34:F38)</f>
        <v>0</v>
      </c>
      <c r="G39" s="155">
        <f>SUM(G34:G38)</f>
        <v>0</v>
      </c>
    </row>
    <row r="40" spans="1:8" x14ac:dyDescent="0.2">
      <c r="A40" s="150"/>
      <c r="B40" s="150"/>
      <c r="C40" s="158"/>
      <c r="D40" s="159"/>
      <c r="E40" s="159"/>
      <c r="F40" s="159"/>
      <c r="G40" s="159"/>
    </row>
    <row r="41" spans="1:8" s="170" customFormat="1" x14ac:dyDescent="0.2">
      <c r="A41" s="153" t="s">
        <v>386</v>
      </c>
      <c r="B41" s="77" t="s">
        <v>85</v>
      </c>
      <c r="C41" s="155">
        <f>C27+C31+C39</f>
        <v>26662.53289536474</v>
      </c>
      <c r="D41" s="155">
        <f>D27+D31+D39</f>
        <v>421411.7214936855</v>
      </c>
      <c r="E41" s="155">
        <f>E27+E31+E39</f>
        <v>442713.10188135103</v>
      </c>
      <c r="F41" s="155">
        <f>F27+F31+F39</f>
        <v>851043.20290722745</v>
      </c>
      <c r="G41" s="155">
        <f>G27+G31+G39</f>
        <v>1312159.505849224</v>
      </c>
    </row>
    <row r="42" spans="1:8" ht="13.5" customHeight="1" x14ac:dyDescent="0.2">
      <c r="A42" s="150"/>
      <c r="B42" s="150"/>
      <c r="C42" s="146"/>
      <c r="D42" s="146"/>
      <c r="E42" s="146"/>
      <c r="F42" s="146"/>
      <c r="G42" s="146"/>
    </row>
    <row r="43" spans="1:8" ht="13.5" customHeight="1" x14ac:dyDescent="0.2">
      <c r="A43" s="150"/>
      <c r="B43" s="150"/>
      <c r="C43" s="146"/>
      <c r="D43" s="146"/>
      <c r="E43" s="146"/>
      <c r="F43" s="146"/>
      <c r="G43" s="146"/>
    </row>
    <row r="44" spans="1:8" ht="13.5" customHeight="1" x14ac:dyDescent="0.2">
      <c r="A44" s="171"/>
      <c r="B44" s="150"/>
      <c r="C44" s="146"/>
      <c r="D44" s="146"/>
      <c r="E44" s="146"/>
      <c r="F44" s="146"/>
      <c r="G44" s="146"/>
    </row>
    <row r="45" spans="1:8" x14ac:dyDescent="0.2">
      <c r="A45" s="150"/>
      <c r="B45" s="150"/>
      <c r="C45" s="158"/>
      <c r="D45" s="159"/>
      <c r="E45" s="159"/>
      <c r="F45" s="159"/>
      <c r="G45" s="159"/>
    </row>
    <row r="47" spans="1:8" x14ac:dyDescent="0.2">
      <c r="A47" s="11" t="s">
        <v>397</v>
      </c>
      <c r="B47" s="156" t="s">
        <v>79</v>
      </c>
      <c r="C47" s="3">
        <f>Окружение!D4</f>
        <v>2019</v>
      </c>
      <c r="D47" s="4">
        <f>C47+1</f>
        <v>2020</v>
      </c>
      <c r="E47" s="5">
        <f>D47+1</f>
        <v>2021</v>
      </c>
      <c r="F47" s="6">
        <f>E47+1</f>
        <v>2022</v>
      </c>
      <c r="G47" s="7">
        <f>F47+1</f>
        <v>2023</v>
      </c>
      <c r="H47" s="20"/>
    </row>
    <row r="48" spans="1:8" x14ac:dyDescent="0.2">
      <c r="A48" s="172"/>
      <c r="B48" s="172"/>
      <c r="C48" s="152"/>
      <c r="D48" s="152"/>
      <c r="E48" s="152"/>
      <c r="F48" s="152"/>
      <c r="G48" s="152"/>
    </row>
    <row r="49" spans="1:7" x14ac:dyDescent="0.2">
      <c r="A49" s="173" t="s">
        <v>120</v>
      </c>
      <c r="B49" s="77" t="s">
        <v>85</v>
      </c>
      <c r="C49" s="154">
        <f>SUM('Форма 2'!F4:I4)</f>
        <v>0</v>
      </c>
      <c r="D49" s="154">
        <f>SUM('Форма 2'!J4:M4)</f>
        <v>800000</v>
      </c>
      <c r="E49" s="154">
        <f>SUM('Форма 2'!N4:Q4)</f>
        <v>854400</v>
      </c>
      <c r="F49" s="154">
        <f>SUM('Форма 2'!R4:U4)</f>
        <v>1814745.6000000003</v>
      </c>
      <c r="G49" s="154">
        <f>SUM('Форма 2'!V4:Y4)</f>
        <v>2899056.0959999999</v>
      </c>
    </row>
    <row r="50" spans="1:7" x14ac:dyDescent="0.2">
      <c r="A50" s="173"/>
      <c r="B50" s="77"/>
      <c r="C50" s="177"/>
      <c r="D50" s="177"/>
      <c r="E50" s="177"/>
      <c r="F50" s="177"/>
      <c r="G50" s="177"/>
    </row>
    <row r="51" spans="1:7" x14ac:dyDescent="0.2">
      <c r="A51" s="173" t="s">
        <v>387</v>
      </c>
      <c r="B51" s="77" t="s">
        <v>85</v>
      </c>
      <c r="C51" s="155">
        <f>C52+C53+C54+C55+C56</f>
        <v>-33888.314562262385</v>
      </c>
      <c r="D51" s="155">
        <f>D52+D53+D54+D55+D56</f>
        <v>-416492.14221081865</v>
      </c>
      <c r="E51" s="155">
        <f>E52+E53+E54+E55+E56</f>
        <v>-443466.09808574867</v>
      </c>
      <c r="F51" s="155">
        <f>F52+F53+F54+F55+F56</f>
        <v>-892623.05650914449</v>
      </c>
      <c r="G51" s="155">
        <f>G52+G53+G54+G55+G56</f>
        <v>-1399674.1868032378</v>
      </c>
    </row>
    <row r="52" spans="1:7" x14ac:dyDescent="0.2">
      <c r="A52" s="201" t="s">
        <v>388</v>
      </c>
      <c r="B52" s="77" t="s">
        <v>85</v>
      </c>
      <c r="C52" s="157">
        <f>SUM('Форма 2'!F6:I6)</f>
        <v>-18644.067796610172</v>
      </c>
      <c r="D52" s="157">
        <f>SUM('Форма 2'!J6:M6)</f>
        <v>-372881.35593220341</v>
      </c>
      <c r="E52" s="157">
        <f>SUM('Форма 2'!N6:Q6)</f>
        <v>-398237.28813559323</v>
      </c>
      <c r="F52" s="157">
        <f>SUM('Форма 2'!R6:U6)</f>
        <v>-845856</v>
      </c>
      <c r="G52" s="157">
        <f>SUM('Форма 2'!V6:Y6)</f>
        <v>-1351254.96</v>
      </c>
    </row>
    <row r="53" spans="1:7" x14ac:dyDescent="0.2">
      <c r="A53" s="201" t="s">
        <v>206</v>
      </c>
      <c r="B53" s="77" t="s">
        <v>85</v>
      </c>
      <c r="C53" s="157">
        <f>SUM('Форма 2'!F7:I7)</f>
        <v>-8803.9512278159091</v>
      </c>
      <c r="D53" s="157">
        <f>SUM('Форма 2'!J7:M7)</f>
        <v>-29159.567275706882</v>
      </c>
      <c r="E53" s="157">
        <f>SUM('Форма 2'!N7:Q7)</f>
        <v>-30189.145079014492</v>
      </c>
      <c r="F53" s="157">
        <f>SUM('Форма 2'!R7:U7)</f>
        <v>-31164.045921746452</v>
      </c>
      <c r="G53" s="157">
        <f>SUM('Форма 2'!V7:Y7)</f>
        <v>-33235.811762954705</v>
      </c>
    </row>
    <row r="54" spans="1:7" ht="12" customHeight="1" x14ac:dyDescent="0.2">
      <c r="A54" s="201" t="s">
        <v>389</v>
      </c>
      <c r="B54" s="77" t="s">
        <v>85</v>
      </c>
      <c r="C54" s="157">
        <f>SUM('Форма 2'!F8:I8)</f>
        <v>-3181.185368344773</v>
      </c>
      <c r="D54" s="157">
        <f>SUM('Форма 2'!J8:M8)</f>
        <v>-10929.735952060897</v>
      </c>
      <c r="E54" s="157">
        <f>SUM('Форма 2'!N8:Q8)</f>
        <v>-11292.882837242594</v>
      </c>
      <c r="F54" s="157">
        <f>SUM('Форма 2'!R8:U8)</f>
        <v>-11636.840355533626</v>
      </c>
      <c r="G54" s="157">
        <f>SUM('Форма 2'!V8:Y8)</f>
        <v>-10972.980819618564</v>
      </c>
    </row>
    <row r="55" spans="1:7" x14ac:dyDescent="0.2">
      <c r="A55" s="201" t="s">
        <v>326</v>
      </c>
      <c r="B55" s="77" t="s">
        <v>85</v>
      </c>
      <c r="C55" s="157">
        <f>SUM('Форма 2'!F9:I9)</f>
        <v>-3050.8474576271187</v>
      </c>
      <c r="D55" s="157">
        <f>SUM('Форма 2'!J9:M9)</f>
        <v>-3313.2203389830515</v>
      </c>
      <c r="E55" s="157">
        <f>SUM('Форма 2'!N9:Q9)</f>
        <v>-3538.5193220338992</v>
      </c>
      <c r="F55" s="157">
        <f>SUM('Форма 2'!R9:U9)</f>
        <v>-3757.9075200000011</v>
      </c>
      <c r="G55" s="157">
        <f>SUM('Форма 2'!V9:Y9)</f>
        <v>-4002.171508800001</v>
      </c>
    </row>
    <row r="56" spans="1:7" x14ac:dyDescent="0.2">
      <c r="A56" s="201" t="s">
        <v>117</v>
      </c>
      <c r="B56" s="77" t="s">
        <v>85</v>
      </c>
      <c r="C56" s="157">
        <f>SUM('Форма 2'!F10:I10)</f>
        <v>-208.26271186440678</v>
      </c>
      <c r="D56" s="157">
        <f>SUM('Форма 2'!J10:M10)</f>
        <v>-208.26271186440678</v>
      </c>
      <c r="E56" s="157">
        <f>SUM('Форма 2'!N10:Q10)</f>
        <v>-208.26271186440678</v>
      </c>
      <c r="F56" s="157">
        <f>SUM('Форма 2'!R10:U10)</f>
        <v>-208.26271186440678</v>
      </c>
      <c r="G56" s="157">
        <f>SUM('Форма 2'!V10:Y10)</f>
        <v>-208.26271186440678</v>
      </c>
    </row>
    <row r="57" spans="1:7" x14ac:dyDescent="0.2">
      <c r="A57" s="174"/>
      <c r="B57" s="77"/>
      <c r="C57" s="176"/>
      <c r="D57" s="183"/>
      <c r="E57" s="183"/>
      <c r="F57" s="183"/>
      <c r="G57" s="183"/>
    </row>
    <row r="58" spans="1:7" s="143" customFormat="1" x14ac:dyDescent="0.2">
      <c r="A58" s="175" t="s">
        <v>20</v>
      </c>
      <c r="B58" s="77" t="s">
        <v>85</v>
      </c>
      <c r="C58" s="155">
        <f>C49+C51</f>
        <v>-33888.314562262385</v>
      </c>
      <c r="D58" s="155">
        <f>D49+D51</f>
        <v>383507.85778918135</v>
      </c>
      <c r="E58" s="155">
        <f>E49+E51</f>
        <v>410933.90191425133</v>
      </c>
      <c r="F58" s="155">
        <f>F49+F51</f>
        <v>922122.54349085584</v>
      </c>
      <c r="G58" s="155">
        <f>G49+G51</f>
        <v>1499381.9091967621</v>
      </c>
    </row>
    <row r="59" spans="1:7" x14ac:dyDescent="0.2">
      <c r="A59" s="174"/>
      <c r="B59" s="77"/>
      <c r="C59" s="181"/>
      <c r="D59" s="182"/>
      <c r="E59" s="182"/>
      <c r="F59" s="182"/>
      <c r="G59" s="182"/>
    </row>
    <row r="60" spans="1:7" s="179" customFormat="1" x14ac:dyDescent="0.2">
      <c r="A60" s="192" t="s">
        <v>328</v>
      </c>
      <c r="B60" s="77" t="s">
        <v>85</v>
      </c>
      <c r="C60" s="154">
        <f>SUM('Форма 2'!F13:I13)</f>
        <v>-3389.8305084745766</v>
      </c>
      <c r="D60" s="154">
        <f>SUM('Форма 2'!J13:M13)</f>
        <v>-7362.7118644067805</v>
      </c>
      <c r="E60" s="154">
        <f>SUM('Форма 2'!N13:Q13)</f>
        <v>-7863.376271186441</v>
      </c>
      <c r="F60" s="154">
        <f>SUM('Форма 2'!R13:U13)</f>
        <v>-8350.9056</v>
      </c>
      <c r="G60" s="154">
        <f>SUM('Форма 2'!V13:Y13)</f>
        <v>-8893.7144640000006</v>
      </c>
    </row>
    <row r="61" spans="1:7" s="179" customFormat="1" x14ac:dyDescent="0.2">
      <c r="A61" s="192" t="s">
        <v>108</v>
      </c>
      <c r="B61" s="77" t="s">
        <v>85</v>
      </c>
      <c r="C61" s="154">
        <f>SUM('Форма 2'!F14:I14)</f>
        <v>-1059.3220338983051</v>
      </c>
      <c r="D61" s="154">
        <f>SUM('Форма 2'!J14:M14)</f>
        <v>-2300.8474576271187</v>
      </c>
      <c r="E61" s="154">
        <f>SUM('Форма 2'!N14:Q14)</f>
        <v>-2457.305084745763</v>
      </c>
      <c r="F61" s="154">
        <f>SUM('Форма 2'!R14:U14)</f>
        <v>-2609.6580000000004</v>
      </c>
      <c r="G61" s="154">
        <f>SUM('Форма 2'!V14:Y14)</f>
        <v>-2779.2857700000004</v>
      </c>
    </row>
    <row r="62" spans="1:7" x14ac:dyDescent="0.2">
      <c r="A62" s="174"/>
      <c r="B62" s="77"/>
      <c r="C62" s="181"/>
      <c r="D62" s="182"/>
      <c r="E62" s="182"/>
      <c r="F62" s="182"/>
      <c r="G62" s="182"/>
    </row>
    <row r="63" spans="1:7" s="143" customFormat="1" x14ac:dyDescent="0.2">
      <c r="A63" s="180" t="s">
        <v>22</v>
      </c>
      <c r="B63" s="77" t="s">
        <v>85</v>
      </c>
      <c r="C63" s="155">
        <f>C58+C60+C61</f>
        <v>-38337.467104635267</v>
      </c>
      <c r="D63" s="155">
        <f>D58+D60+D61</f>
        <v>373844.29846714746</v>
      </c>
      <c r="E63" s="155">
        <f>E58+E60+E61</f>
        <v>400613.22055831912</v>
      </c>
      <c r="F63" s="155">
        <f>F58+F60+F61</f>
        <v>911161.97989085573</v>
      </c>
      <c r="G63" s="155">
        <f>G58+G60+G61</f>
        <v>1487708.9089627622</v>
      </c>
    </row>
    <row r="64" spans="1:7" x14ac:dyDescent="0.2">
      <c r="A64" s="174"/>
      <c r="B64" s="77"/>
      <c r="C64" s="181"/>
      <c r="D64" s="182"/>
      <c r="E64" s="182"/>
      <c r="F64" s="182"/>
      <c r="G64" s="182"/>
    </row>
    <row r="65" spans="1:7" s="179" customFormat="1" ht="12" customHeight="1" x14ac:dyDescent="0.2">
      <c r="A65" s="192" t="s">
        <v>390</v>
      </c>
      <c r="B65" s="77" t="s">
        <v>85</v>
      </c>
      <c r="C65" s="154">
        <f>SUM('Форма 2'!F17:I17)</f>
        <v>0</v>
      </c>
      <c r="D65" s="154">
        <f>SUM('Форма 2'!J17:M17)</f>
        <v>0</v>
      </c>
      <c r="E65" s="154">
        <f>SUM('Форма 2'!N17:Q17)</f>
        <v>0</v>
      </c>
      <c r="F65" s="154">
        <f>SUM('Форма 2'!R17:U17)</f>
        <v>0</v>
      </c>
      <c r="G65" s="154">
        <f>SUM('Форма 2'!V17:Y17)</f>
        <v>0</v>
      </c>
    </row>
    <row r="66" spans="1:7" s="179" customFormat="1" x14ac:dyDescent="0.2">
      <c r="A66" s="192" t="s">
        <v>391</v>
      </c>
      <c r="B66" s="77" t="s">
        <v>85</v>
      </c>
      <c r="C66" s="154">
        <f>SUM('Форма 2'!F18:I18)</f>
        <v>0</v>
      </c>
      <c r="D66" s="154">
        <f>SUM('Форма 2'!J18:M18)</f>
        <v>0</v>
      </c>
      <c r="E66" s="154">
        <f>SUM('Форма 2'!N18:Q18)</f>
        <v>0</v>
      </c>
      <c r="F66" s="154">
        <f>SUM('Форма 2'!R18:U18)</f>
        <v>0</v>
      </c>
      <c r="G66" s="154">
        <f>SUM('Форма 2'!V18:Y18)</f>
        <v>0</v>
      </c>
    </row>
    <row r="67" spans="1:7" s="179" customFormat="1" x14ac:dyDescent="0.2">
      <c r="A67" s="192" t="s">
        <v>540</v>
      </c>
      <c r="B67" s="77"/>
      <c r="C67" s="154">
        <v>0</v>
      </c>
      <c r="D67" s="154">
        <v>0</v>
      </c>
      <c r="E67" s="154">
        <v>0</v>
      </c>
      <c r="F67" s="154">
        <v>0</v>
      </c>
      <c r="G67" s="154">
        <v>0</v>
      </c>
    </row>
    <row r="68" spans="1:7" s="179" customFormat="1" x14ac:dyDescent="0.2">
      <c r="A68" s="192" t="s">
        <v>541</v>
      </c>
      <c r="B68" s="77"/>
      <c r="C68" s="154">
        <v>0</v>
      </c>
      <c r="D68" s="154">
        <v>0</v>
      </c>
      <c r="E68" s="154">
        <v>0</v>
      </c>
      <c r="F68" s="154">
        <v>0</v>
      </c>
      <c r="G68" s="154">
        <v>0</v>
      </c>
    </row>
    <row r="69" spans="1:7" x14ac:dyDescent="0.2">
      <c r="A69" s="174"/>
      <c r="B69" s="77"/>
      <c r="C69" s="181"/>
      <c r="D69" s="182"/>
      <c r="E69" s="182"/>
      <c r="F69" s="182"/>
      <c r="G69" s="182"/>
    </row>
    <row r="70" spans="1:7" s="143" customFormat="1" x14ac:dyDescent="0.2">
      <c r="A70" s="180" t="s">
        <v>27</v>
      </c>
      <c r="B70" s="77" t="s">
        <v>85</v>
      </c>
      <c r="C70" s="155">
        <f>C63+C65+C66+C67+C68</f>
        <v>-38337.467104635267</v>
      </c>
      <c r="D70" s="155">
        <f t="shared" ref="D70:G70" si="3">D63+D65+D66+D67+D68</f>
        <v>373844.29846714746</v>
      </c>
      <c r="E70" s="155">
        <f t="shared" si="3"/>
        <v>400613.22055831912</v>
      </c>
      <c r="F70" s="155">
        <f t="shared" si="3"/>
        <v>911161.97989085573</v>
      </c>
      <c r="G70" s="155">
        <f t="shared" si="3"/>
        <v>1487708.9089627622</v>
      </c>
    </row>
    <row r="71" spans="1:7" x14ac:dyDescent="0.2">
      <c r="A71" s="174"/>
      <c r="B71" s="77"/>
      <c r="C71" s="181"/>
      <c r="D71" s="182"/>
      <c r="E71" s="182"/>
      <c r="F71" s="182"/>
      <c r="G71" s="182"/>
    </row>
    <row r="72" spans="1:7" x14ac:dyDescent="0.2">
      <c r="A72" s="192" t="s">
        <v>96</v>
      </c>
      <c r="B72" s="77" t="s">
        <v>85</v>
      </c>
      <c r="C72" s="154">
        <f>-SUM('Форма 2'!F25:I25)</f>
        <v>0</v>
      </c>
      <c r="D72" s="154">
        <f>-SUM('Форма 2'!J25:M25)</f>
        <v>-77432.576973461953</v>
      </c>
      <c r="E72" s="154">
        <f>-SUM('Форма 2'!N25:Q25)</f>
        <v>-82900.118676968239</v>
      </c>
      <c r="F72" s="154">
        <f>-SUM('Форма 2'!R25:U25)</f>
        <v>-185118.7769836284</v>
      </c>
      <c r="G72" s="154">
        <f>-SUM('Форма 2'!V25:Y25)</f>
        <v>-300549.40311353828</v>
      </c>
    </row>
    <row r="73" spans="1:7" s="179" customFormat="1" x14ac:dyDescent="0.2">
      <c r="A73" s="178"/>
      <c r="B73" s="87"/>
      <c r="C73" s="184"/>
      <c r="D73" s="185"/>
      <c r="E73" s="185"/>
      <c r="F73" s="185"/>
      <c r="G73" s="185"/>
    </row>
    <row r="74" spans="1:7" s="143" customFormat="1" x14ac:dyDescent="0.2">
      <c r="A74" s="175" t="s">
        <v>29</v>
      </c>
      <c r="B74" s="77" t="s">
        <v>85</v>
      </c>
      <c r="C74" s="155">
        <f>C70+C72</f>
        <v>-38337.467104635267</v>
      </c>
      <c r="D74" s="155">
        <f>D70+D72</f>
        <v>296411.7214936855</v>
      </c>
      <c r="E74" s="155">
        <f>E70+E72</f>
        <v>317713.10188135086</v>
      </c>
      <c r="F74" s="155">
        <f>F70+F72</f>
        <v>726043.20290722733</v>
      </c>
      <c r="G74" s="155">
        <f>G70+G72</f>
        <v>1187159.505849224</v>
      </c>
    </row>
    <row r="75" spans="1:7" x14ac:dyDescent="0.2">
      <c r="A75" s="173"/>
      <c r="B75" s="77"/>
      <c r="C75" s="146" t="b">
        <f>ROUND(C74,)=ROUND(SUM('Форма 2'!F27:I27),)</f>
        <v>1</v>
      </c>
      <c r="D75" s="146" t="b">
        <f>ROUND(D74,)=ROUND(SUM('Форма 2'!J27:M27),)</f>
        <v>1</v>
      </c>
      <c r="E75" s="146" t="b">
        <f>ROUND(E74,)=ROUND(SUM('Форма 2'!N27:Q27),)</f>
        <v>1</v>
      </c>
      <c r="F75" s="146" t="b">
        <f>ROUND(F74,)=ROUND(SUM('Форма 2'!R27:U27),)</f>
        <v>1</v>
      </c>
      <c r="G75" s="146" t="b">
        <f>ROUND(G74,)=ROUND(SUM('Форма 2'!V27:Y27),)</f>
        <v>1</v>
      </c>
    </row>
    <row r="76" spans="1:7" x14ac:dyDescent="0.2">
      <c r="A76" s="148"/>
      <c r="B76" s="148"/>
      <c r="C76" s="152"/>
      <c r="D76" s="152"/>
      <c r="E76" s="152"/>
      <c r="F76" s="152"/>
      <c r="G76" s="152"/>
    </row>
    <row r="77" spans="1:7" x14ac:dyDescent="0.2">
      <c r="A77" s="148"/>
      <c r="B77" s="148"/>
      <c r="C77" s="152"/>
      <c r="D77" s="152"/>
      <c r="E77" s="152"/>
      <c r="F77" s="152"/>
      <c r="G77" s="152"/>
    </row>
    <row r="78" spans="1:7" x14ac:dyDescent="0.2">
      <c r="A78" s="148"/>
      <c r="B78" s="148"/>
      <c r="C78" s="208"/>
      <c r="D78" s="152"/>
      <c r="E78" s="152"/>
      <c r="F78" s="152"/>
      <c r="G78" s="200"/>
    </row>
    <row r="79" spans="1:7" x14ac:dyDescent="0.2">
      <c r="A79" s="148"/>
      <c r="B79" s="148"/>
      <c r="C79" s="152"/>
      <c r="D79" s="152"/>
      <c r="E79" s="152"/>
      <c r="F79" s="152"/>
      <c r="G79" s="152"/>
    </row>
    <row r="80" spans="1:7" x14ac:dyDescent="0.2">
      <c r="A80" s="148"/>
      <c r="B80" s="148"/>
      <c r="C80" s="152"/>
      <c r="D80" s="152"/>
      <c r="E80" s="152"/>
      <c r="F80" s="152"/>
      <c r="G80" s="152"/>
    </row>
    <row r="81" spans="1:7" x14ac:dyDescent="0.2">
      <c r="A81" s="148"/>
      <c r="B81" s="148"/>
      <c r="C81" s="152"/>
      <c r="D81" s="152"/>
      <c r="E81" s="152"/>
      <c r="F81" s="152"/>
      <c r="G81" s="152"/>
    </row>
  </sheetData>
  <pageMargins left="0.7" right="0.7" top="0.75" bottom="0.75" header="0.3" footer="0.3"/>
  <pageSetup paperSize="9" scale="95" orientation="landscape" r:id="rId1"/>
  <rowBreaks count="1" manualBreakCount="1">
    <brk id="4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01"/>
  <sheetViews>
    <sheetView zoomScale="85" zoomScaleNormal="85" workbookViewId="0">
      <selection activeCell="D6" sqref="D6"/>
    </sheetView>
  </sheetViews>
  <sheetFormatPr defaultRowHeight="12.75" x14ac:dyDescent="0.2"/>
  <cols>
    <col min="1" max="1" width="41.140625" style="144" customWidth="1"/>
    <col min="2" max="2" width="11.85546875" style="144" customWidth="1"/>
    <col min="3" max="3" width="10.42578125" style="140" bestFit="1" customWidth="1"/>
    <col min="4" max="6" width="11.7109375" style="140" bestFit="1" customWidth="1"/>
    <col min="7" max="7" width="12.28515625" style="140" bestFit="1" customWidth="1"/>
    <col min="8" max="16384" width="9.140625" style="140"/>
  </cols>
  <sheetData>
    <row r="1" spans="1:8" x14ac:dyDescent="0.2">
      <c r="A1"/>
    </row>
    <row r="2" spans="1:8" x14ac:dyDescent="0.2">
      <c r="A2" s="11" t="s">
        <v>394</v>
      </c>
      <c r="B2" s="156" t="s">
        <v>79</v>
      </c>
      <c r="C2" s="3">
        <f>Окружение!D4</f>
        <v>2019</v>
      </c>
      <c r="D2" s="4">
        <f>C2+1</f>
        <v>2020</v>
      </c>
      <c r="E2" s="5">
        <f>D2+1</f>
        <v>2021</v>
      </c>
      <c r="F2" s="6">
        <f>E2+1</f>
        <v>2022</v>
      </c>
      <c r="G2" s="7">
        <f>F2+1</f>
        <v>2023</v>
      </c>
    </row>
    <row r="3" spans="1:8" s="141" customFormat="1" x14ac:dyDescent="0.2">
      <c r="A3" s="147"/>
      <c r="B3" s="147"/>
    </row>
    <row r="4" spans="1:8" x14ac:dyDescent="0.2">
      <c r="A4" s="167" t="s">
        <v>170</v>
      </c>
      <c r="B4" s="121"/>
      <c r="C4" s="61"/>
      <c r="D4" s="61"/>
      <c r="E4" s="61"/>
      <c r="F4" s="62"/>
      <c r="G4" s="61"/>
      <c r="H4" s="152"/>
    </row>
    <row r="5" spans="1:8" x14ac:dyDescent="0.2">
      <c r="A5" s="25" t="s">
        <v>377</v>
      </c>
      <c r="B5" s="25"/>
      <c r="C5" s="152"/>
      <c r="D5" s="152"/>
      <c r="E5" s="152"/>
      <c r="F5" s="152"/>
      <c r="G5" s="152"/>
    </row>
    <row r="6" spans="1:8" x14ac:dyDescent="0.2">
      <c r="A6" s="189" t="s">
        <v>264</v>
      </c>
      <c r="B6" s="77" t="s">
        <v>85</v>
      </c>
      <c r="C6" s="163" t="s">
        <v>260</v>
      </c>
      <c r="D6" s="162">
        <f>'Прогнозные отчеты'!D6-'Прогнозные отчеты'!C6</f>
        <v>-74.788135593220204</v>
      </c>
      <c r="E6" s="162">
        <f>'Прогнозные отчеты'!E6-'Прогнозные отчеты'!D6</f>
        <v>-74.788135593220431</v>
      </c>
      <c r="F6" s="162">
        <f>'Прогнозные отчеты'!F6-'Прогнозные отчеты'!E6</f>
        <v>-74.788135593220204</v>
      </c>
      <c r="G6" s="162">
        <f>'Прогнозные отчеты'!G6-'Прогнозные отчеты'!F6</f>
        <v>-74.788135593220431</v>
      </c>
    </row>
    <row r="7" spans="1:8" x14ac:dyDescent="0.2">
      <c r="A7" s="189" t="s">
        <v>263</v>
      </c>
      <c r="B7" s="77" t="s">
        <v>85</v>
      </c>
      <c r="C7" s="163" t="s">
        <v>260</v>
      </c>
      <c r="D7" s="162">
        <f>'Прогнозные отчеты'!D7-'Прогнозные отчеты'!C7</f>
        <v>-208.26271186440681</v>
      </c>
      <c r="E7" s="162">
        <f>'Прогнозные отчеты'!E7-'Прогнозные отчеты'!D7</f>
        <v>-208.26271186440658</v>
      </c>
      <c r="F7" s="162">
        <f>'Прогнозные отчеты'!F7-'Прогнозные отчеты'!E7</f>
        <v>-208.26271186440704</v>
      </c>
      <c r="G7" s="162">
        <f>'Прогнозные отчеты'!G7-'Прогнозные отчеты'!F7</f>
        <v>-208.26271186440681</v>
      </c>
    </row>
    <row r="8" spans="1:8" x14ac:dyDescent="0.2">
      <c r="A8" s="189" t="s">
        <v>175</v>
      </c>
      <c r="B8" s="77" t="s">
        <v>85</v>
      </c>
      <c r="C8" s="163" t="s">
        <v>260</v>
      </c>
      <c r="D8" s="162">
        <f>'Прогнозные отчеты'!D8-'Прогнозные отчеты'!C8</f>
        <v>0</v>
      </c>
      <c r="E8" s="162">
        <f>'Прогнозные отчеты'!E8-'Прогнозные отчеты'!D8</f>
        <v>0</v>
      </c>
      <c r="F8" s="162">
        <f>'Прогнозные отчеты'!F8-'Прогнозные отчеты'!E8</f>
        <v>0</v>
      </c>
      <c r="G8" s="162">
        <f>'Прогнозные отчеты'!G8-'Прогнозные отчеты'!F8</f>
        <v>0</v>
      </c>
    </row>
    <row r="9" spans="1:8" x14ac:dyDescent="0.2">
      <c r="A9" s="153" t="s">
        <v>378</v>
      </c>
      <c r="B9" s="77" t="s">
        <v>85</v>
      </c>
      <c r="C9" s="194" t="s">
        <v>260</v>
      </c>
      <c r="D9" s="164">
        <f>'Прогнозные отчеты'!D9-'Прогнозные отчеты'!C9</f>
        <v>-283.05084745762679</v>
      </c>
      <c r="E9" s="164">
        <f>'Прогнозные отчеты'!E9-'Прогнозные отчеты'!D9</f>
        <v>-283.05084745762724</v>
      </c>
      <c r="F9" s="164">
        <f>'Прогнозные отчеты'!F9-'Прогнозные отчеты'!E9</f>
        <v>-283.05084745762724</v>
      </c>
      <c r="G9" s="164">
        <f>'Прогнозные отчеты'!G9-'Прогнозные отчеты'!F9</f>
        <v>-283.05084745762724</v>
      </c>
    </row>
    <row r="10" spans="1:8" x14ac:dyDescent="0.2">
      <c r="A10" s="151"/>
      <c r="B10" s="151"/>
      <c r="C10" s="169"/>
      <c r="D10" s="166"/>
      <c r="E10" s="166"/>
      <c r="F10" s="166"/>
      <c r="G10" s="166"/>
    </row>
    <row r="11" spans="1:8" x14ac:dyDescent="0.2">
      <c r="A11" s="25" t="s">
        <v>176</v>
      </c>
      <c r="B11" s="140"/>
      <c r="C11" s="169"/>
      <c r="D11" s="166"/>
      <c r="E11" s="166"/>
      <c r="F11" s="166"/>
      <c r="G11" s="166"/>
    </row>
    <row r="12" spans="1:8" x14ac:dyDescent="0.2">
      <c r="A12" s="189" t="s">
        <v>379</v>
      </c>
      <c r="B12" s="77" t="s">
        <v>85</v>
      </c>
      <c r="C12" s="163" t="s">
        <v>260</v>
      </c>
      <c r="D12" s="162">
        <f>'Прогнозные отчеты'!D12-'Прогнозные отчеты'!C12</f>
        <v>0</v>
      </c>
      <c r="E12" s="162">
        <f>'Прогнозные отчеты'!E12-'Прогнозные отчеты'!D12</f>
        <v>0</v>
      </c>
      <c r="F12" s="162">
        <f>'Прогнозные отчеты'!F12-'Прогнозные отчеты'!E12</f>
        <v>0</v>
      </c>
      <c r="G12" s="162">
        <f>'Прогнозные отчеты'!G12-'Прогнозные отчеты'!F12</f>
        <v>0</v>
      </c>
    </row>
    <row r="13" spans="1:8" x14ac:dyDescent="0.2">
      <c r="A13" s="190" t="s">
        <v>277</v>
      </c>
      <c r="B13" s="77" t="s">
        <v>85</v>
      </c>
      <c r="C13" s="163" t="s">
        <v>260</v>
      </c>
      <c r="D13" s="162">
        <f>'Прогнозные отчеты'!D13-'Прогнозные отчеты'!C13</f>
        <v>0</v>
      </c>
      <c r="E13" s="162">
        <f>'Прогнозные отчеты'!E13-'Прогнозные отчеты'!D13</f>
        <v>0</v>
      </c>
      <c r="F13" s="162">
        <f>'Прогнозные отчеты'!F13-'Прогнозные отчеты'!E13</f>
        <v>0</v>
      </c>
      <c r="G13" s="162">
        <f>'Прогнозные отчеты'!G13-'Прогнозные отчеты'!F13</f>
        <v>0</v>
      </c>
    </row>
    <row r="14" spans="1:8" x14ac:dyDescent="0.2">
      <c r="A14" s="189" t="s">
        <v>276</v>
      </c>
      <c r="B14" s="77" t="s">
        <v>85</v>
      </c>
      <c r="C14" s="163" t="s">
        <v>260</v>
      </c>
      <c r="D14" s="162">
        <f>'Прогнозные отчеты'!D14-'Прогнозные отчеты'!C14</f>
        <v>0</v>
      </c>
      <c r="E14" s="162">
        <f>'Прогнозные отчеты'!E14-'Прогнозные отчеты'!D14</f>
        <v>0</v>
      </c>
      <c r="F14" s="162">
        <f>'Прогнозные отчеты'!F14-'Прогнозные отчеты'!E14</f>
        <v>0</v>
      </c>
      <c r="G14" s="162">
        <f>'Прогнозные отчеты'!G14-'Прогнозные отчеты'!F14</f>
        <v>0</v>
      </c>
    </row>
    <row r="15" spans="1:8" x14ac:dyDescent="0.2">
      <c r="A15" s="189" t="s">
        <v>262</v>
      </c>
      <c r="B15" s="77" t="s">
        <v>85</v>
      </c>
      <c r="C15" s="163" t="s">
        <v>260</v>
      </c>
      <c r="D15" s="162">
        <f>'Прогнозные отчеты'!D15-'Прогнозные отчеты'!C15</f>
        <v>0</v>
      </c>
      <c r="E15" s="162">
        <f>'Прогнозные отчеты'!E15-'Прогнозные отчеты'!D15</f>
        <v>0</v>
      </c>
      <c r="F15" s="162">
        <f>'Прогнозные отчеты'!F15-'Прогнозные отчеты'!E15</f>
        <v>0</v>
      </c>
      <c r="G15" s="162">
        <f>'Прогнозные отчеты'!G15-'Прогнозные отчеты'!F15</f>
        <v>0</v>
      </c>
    </row>
    <row r="16" spans="1:8" x14ac:dyDescent="0.2">
      <c r="A16" s="189" t="s">
        <v>261</v>
      </c>
      <c r="B16" s="77" t="s">
        <v>85</v>
      </c>
      <c r="C16" s="163" t="s">
        <v>260</v>
      </c>
      <c r="D16" s="162">
        <f>'Прогнозные отчеты'!D16-'Прогнозные отчеты'!C16</f>
        <v>395032.23944577842</v>
      </c>
      <c r="E16" s="162">
        <f>'Прогнозные отчеты'!E16-'Прогнозные отчеты'!D16</f>
        <v>21584.431235123135</v>
      </c>
      <c r="F16" s="162">
        <f>'Прогнозные отчеты'!F16-'Прогнозные отчеты'!E16</f>
        <v>408613.15187333408</v>
      </c>
      <c r="G16" s="162">
        <f>'Прогнозные отчеты'!G16-'Прогнозные отчеты'!F16</f>
        <v>461399.35378945421</v>
      </c>
    </row>
    <row r="17" spans="1:7" x14ac:dyDescent="0.2">
      <c r="A17" s="153" t="s">
        <v>380</v>
      </c>
      <c r="B17" s="77" t="s">
        <v>85</v>
      </c>
      <c r="C17" s="194" t="s">
        <v>260</v>
      </c>
      <c r="D17" s="164">
        <f>'Прогнозные отчеты'!D17-'Прогнозные отчеты'!C17</f>
        <v>395032.23944577842</v>
      </c>
      <c r="E17" s="164">
        <f>'Прогнозные отчеты'!E17-'Прогнозные отчеты'!D17</f>
        <v>21584.431235123135</v>
      </c>
      <c r="F17" s="164">
        <f>'Прогнозные отчеты'!F17-'Прогнозные отчеты'!E17</f>
        <v>408613.15187333408</v>
      </c>
      <c r="G17" s="164">
        <f>'Прогнозные отчеты'!G17-'Прогнозные отчеты'!F17</f>
        <v>461399.35378945421</v>
      </c>
    </row>
    <row r="18" spans="1:7" x14ac:dyDescent="0.2">
      <c r="A18" s="150"/>
      <c r="B18" s="150"/>
      <c r="C18" s="169"/>
      <c r="D18" s="166"/>
      <c r="E18" s="166"/>
      <c r="F18" s="166"/>
      <c r="G18" s="166"/>
    </row>
    <row r="19" spans="1:7" x14ac:dyDescent="0.2">
      <c r="A19" s="142" t="s">
        <v>385</v>
      </c>
      <c r="B19" s="77" t="s">
        <v>85</v>
      </c>
      <c r="C19" s="194" t="s">
        <v>260</v>
      </c>
      <c r="D19" s="164">
        <f>'Прогнозные отчеты'!D19-'Прогнозные отчеты'!C19</f>
        <v>394749.18859832076</v>
      </c>
      <c r="E19" s="164">
        <f>'Прогнозные отчеты'!E19-'Прогнозные отчеты'!D19</f>
        <v>21301.380387665529</v>
      </c>
      <c r="F19" s="164">
        <f>'Прогнозные отчеты'!F19-'Прогнозные отчеты'!E19</f>
        <v>408330.10102587641</v>
      </c>
      <c r="G19" s="164">
        <f>'Прогнозные отчеты'!G19-'Прогнозные отчеты'!F19</f>
        <v>461116.3029419966</v>
      </c>
    </row>
    <row r="20" spans="1:7" x14ac:dyDescent="0.2">
      <c r="A20" s="140"/>
      <c r="B20" s="140"/>
      <c r="C20" s="169"/>
      <c r="D20" s="166"/>
      <c r="E20" s="166"/>
      <c r="F20" s="166"/>
      <c r="G20" s="166"/>
    </row>
    <row r="21" spans="1:7" x14ac:dyDescent="0.2">
      <c r="A21" s="140"/>
      <c r="B21" s="140"/>
      <c r="C21" s="169"/>
      <c r="D21" s="166"/>
      <c r="E21" s="166"/>
      <c r="F21" s="166"/>
      <c r="G21" s="166"/>
    </row>
    <row r="22" spans="1:7" x14ac:dyDescent="0.2">
      <c r="A22" s="167" t="s">
        <v>178</v>
      </c>
      <c r="B22" s="121"/>
      <c r="C22" s="61"/>
      <c r="D22" s="61"/>
      <c r="E22" s="61"/>
      <c r="F22" s="62"/>
      <c r="G22" s="61"/>
    </row>
    <row r="23" spans="1:7" x14ac:dyDescent="0.2">
      <c r="A23" s="25" t="s">
        <v>156</v>
      </c>
      <c r="B23" s="140"/>
      <c r="C23" s="169"/>
      <c r="D23" s="166"/>
      <c r="E23" s="166"/>
      <c r="F23" s="166"/>
      <c r="G23" s="166"/>
    </row>
    <row r="24" spans="1:7" x14ac:dyDescent="0.2">
      <c r="A24" s="191" t="s">
        <v>266</v>
      </c>
      <c r="B24" s="77" t="s">
        <v>85</v>
      </c>
      <c r="C24" s="163" t="s">
        <v>260</v>
      </c>
      <c r="D24" s="162">
        <f>'Прогнозные отчеты'!D24-'Прогнозные отчеты'!C24</f>
        <v>0</v>
      </c>
      <c r="E24" s="162">
        <f>'Прогнозные отчеты'!E24-'Прогнозные отчеты'!D24</f>
        <v>0</v>
      </c>
      <c r="F24" s="162">
        <f>'Прогнозные отчеты'!F24-'Прогнозные отчеты'!E24</f>
        <v>0</v>
      </c>
      <c r="G24" s="162">
        <f>'Прогнозные отчеты'!G24-'Прогнозные отчеты'!F24</f>
        <v>0</v>
      </c>
    </row>
    <row r="25" spans="1:7" x14ac:dyDescent="0.2">
      <c r="A25" s="191" t="s">
        <v>147</v>
      </c>
      <c r="B25" s="77" t="s">
        <v>85</v>
      </c>
      <c r="C25" s="163" t="s">
        <v>260</v>
      </c>
      <c r="D25" s="162">
        <f>'Прогнозные отчеты'!D25-'Прогнозные отчеты'!C25</f>
        <v>60000</v>
      </c>
      <c r="E25" s="162">
        <f>'Прогнозные отчеты'!E25-'Прогнозные отчеты'!D25</f>
        <v>0</v>
      </c>
      <c r="F25" s="162">
        <f>'Прогнозные отчеты'!F25-'Прогнозные отчеты'!E25</f>
        <v>0</v>
      </c>
      <c r="G25" s="162">
        <f>'Прогнозные отчеты'!G25-'Прогнозные отчеты'!F25</f>
        <v>0</v>
      </c>
    </row>
    <row r="26" spans="1:7" x14ac:dyDescent="0.2">
      <c r="A26" s="191" t="s">
        <v>52</v>
      </c>
      <c r="B26" s="77" t="s">
        <v>85</v>
      </c>
      <c r="C26" s="163" t="s">
        <v>260</v>
      </c>
      <c r="D26" s="162">
        <f>'Прогнозные отчеты'!D26-'Прогнозные отчеты'!C26</f>
        <v>334749.18859832076</v>
      </c>
      <c r="E26" s="162">
        <f>'Прогнозные отчеты'!E26-'Прогнозные отчеты'!D26</f>
        <v>21301.380387665529</v>
      </c>
      <c r="F26" s="162">
        <f>'Прогнозные отчеты'!F26-'Прогнозные отчеты'!E26</f>
        <v>408330.10102587641</v>
      </c>
      <c r="G26" s="162">
        <f>'Прогнозные отчеты'!G26-'Прогнозные отчеты'!F26</f>
        <v>461116.3029419966</v>
      </c>
    </row>
    <row r="27" spans="1:7" s="143" customFormat="1" x14ac:dyDescent="0.2">
      <c r="A27" s="143" t="s">
        <v>193</v>
      </c>
      <c r="B27" s="77" t="s">
        <v>85</v>
      </c>
      <c r="C27" s="194" t="s">
        <v>260</v>
      </c>
      <c r="D27" s="164">
        <f>'Прогнозные отчеты'!D27-'Прогнозные отчеты'!C27</f>
        <v>394749.18859832076</v>
      </c>
      <c r="E27" s="164">
        <f>'Прогнозные отчеты'!E27-'Прогнозные отчеты'!D27</f>
        <v>21301.380387665529</v>
      </c>
      <c r="F27" s="164">
        <f>'Прогнозные отчеты'!F27-'Прогнозные отчеты'!E27</f>
        <v>408330.10102587641</v>
      </c>
      <c r="G27" s="164">
        <f>'Прогнозные отчеты'!G27-'Прогнозные отчеты'!F27</f>
        <v>461116.3029419966</v>
      </c>
    </row>
    <row r="28" spans="1:7" x14ac:dyDescent="0.2">
      <c r="A28" s="140"/>
      <c r="B28" s="140"/>
      <c r="C28" s="169"/>
      <c r="D28" s="166"/>
      <c r="E28" s="166"/>
      <c r="F28" s="166"/>
      <c r="G28" s="166"/>
    </row>
    <row r="29" spans="1:7" x14ac:dyDescent="0.2">
      <c r="A29" s="25" t="s">
        <v>382</v>
      </c>
      <c r="B29" s="140"/>
      <c r="C29" s="169"/>
      <c r="D29" s="166"/>
      <c r="E29" s="166"/>
      <c r="F29" s="166"/>
      <c r="G29" s="166"/>
    </row>
    <row r="30" spans="1:7" x14ac:dyDescent="0.2">
      <c r="A30" s="191" t="s">
        <v>285</v>
      </c>
      <c r="B30" s="77" t="s">
        <v>85</v>
      </c>
      <c r="C30" s="163" t="s">
        <v>260</v>
      </c>
      <c r="D30" s="162">
        <f>'Прогнозные отчеты'!D30-'Прогнозные отчеты'!C30</f>
        <v>0</v>
      </c>
      <c r="E30" s="162">
        <f>'Прогнозные отчеты'!E30-'Прогнозные отчеты'!D30</f>
        <v>0</v>
      </c>
      <c r="F30" s="162">
        <f>'Прогнозные отчеты'!F30-'Прогнозные отчеты'!E30</f>
        <v>0</v>
      </c>
      <c r="G30" s="162">
        <f>'Прогнозные отчеты'!G30-'Прогнозные отчеты'!F30</f>
        <v>0</v>
      </c>
    </row>
    <row r="31" spans="1:7" s="143" customFormat="1" x14ac:dyDescent="0.2">
      <c r="A31" s="143" t="s">
        <v>383</v>
      </c>
      <c r="B31" s="77" t="s">
        <v>85</v>
      </c>
      <c r="C31" s="194" t="s">
        <v>260</v>
      </c>
      <c r="D31" s="164">
        <f>'Прогнозные отчеты'!D31-'Прогнозные отчеты'!C31</f>
        <v>0</v>
      </c>
      <c r="E31" s="164">
        <f>'Прогнозные отчеты'!E31-'Прогнозные отчеты'!D31</f>
        <v>0</v>
      </c>
      <c r="F31" s="164">
        <f>'Прогнозные отчеты'!F31-'Прогнозные отчеты'!E31</f>
        <v>0</v>
      </c>
      <c r="G31" s="164">
        <f>'Прогнозные отчеты'!G31-'Прогнозные отчеты'!F31</f>
        <v>0</v>
      </c>
    </row>
    <row r="32" spans="1:7" x14ac:dyDescent="0.2">
      <c r="A32" s="168"/>
      <c r="B32" s="77"/>
      <c r="C32" s="169"/>
      <c r="D32" s="166"/>
      <c r="E32" s="166"/>
      <c r="F32" s="166"/>
      <c r="G32" s="166"/>
    </row>
    <row r="33" spans="1:8" x14ac:dyDescent="0.2">
      <c r="A33" s="25" t="s">
        <v>384</v>
      </c>
      <c r="B33" s="77"/>
      <c r="C33" s="169"/>
      <c r="D33" s="166"/>
      <c r="E33" s="166"/>
      <c r="F33" s="166"/>
      <c r="G33" s="166"/>
    </row>
    <row r="34" spans="1:8" x14ac:dyDescent="0.2">
      <c r="A34" s="191" t="s">
        <v>280</v>
      </c>
      <c r="B34" s="77" t="s">
        <v>85</v>
      </c>
      <c r="C34" s="163" t="s">
        <v>260</v>
      </c>
      <c r="D34" s="162">
        <f>'Прогнозные отчеты'!D34-'Прогнозные отчеты'!C34</f>
        <v>0</v>
      </c>
      <c r="E34" s="162">
        <f>'Прогнозные отчеты'!E34-'Прогнозные отчеты'!D34</f>
        <v>0</v>
      </c>
      <c r="F34" s="162">
        <f>'Прогнозные отчеты'!F34-'Прогнозные отчеты'!E34</f>
        <v>0</v>
      </c>
      <c r="G34" s="162">
        <f>'Прогнозные отчеты'!G34-'Прогнозные отчеты'!F34</f>
        <v>0</v>
      </c>
    </row>
    <row r="35" spans="1:8" x14ac:dyDescent="0.2">
      <c r="A35" s="189" t="s">
        <v>265</v>
      </c>
      <c r="B35" s="77" t="s">
        <v>85</v>
      </c>
      <c r="C35" s="163" t="s">
        <v>260</v>
      </c>
      <c r="D35" s="162">
        <f>'Прогнозные отчеты'!D35-'Прогнозные отчеты'!C35</f>
        <v>0</v>
      </c>
      <c r="E35" s="162">
        <f>'Прогнозные отчеты'!E35-'Прогнозные отчеты'!D35</f>
        <v>0</v>
      </c>
      <c r="F35" s="162">
        <f>'Прогнозные отчеты'!F35-'Прогнозные отчеты'!E35</f>
        <v>0</v>
      </c>
      <c r="G35" s="162">
        <f>'Прогнозные отчеты'!G35-'Прогнозные отчеты'!F35</f>
        <v>0</v>
      </c>
    </row>
    <row r="36" spans="1:8" x14ac:dyDescent="0.2">
      <c r="A36" s="189" t="s">
        <v>279</v>
      </c>
      <c r="B36" s="77" t="s">
        <v>85</v>
      </c>
      <c r="C36" s="163" t="s">
        <v>260</v>
      </c>
      <c r="D36" s="162">
        <f>'Прогнозные отчеты'!D36-'Прогнозные отчеты'!C36</f>
        <v>0</v>
      </c>
      <c r="E36" s="162">
        <f>'Прогнозные отчеты'!E36-'Прогнозные отчеты'!D36</f>
        <v>0</v>
      </c>
      <c r="F36" s="162">
        <f>'Прогнозные отчеты'!F36-'Прогнозные отчеты'!E36</f>
        <v>0</v>
      </c>
      <c r="G36" s="162">
        <f>'Прогнозные отчеты'!G36-'Прогнозные отчеты'!F36</f>
        <v>0</v>
      </c>
    </row>
    <row r="37" spans="1:8" x14ac:dyDescent="0.2">
      <c r="A37" s="189" t="s">
        <v>281</v>
      </c>
      <c r="B37" s="77" t="s">
        <v>85</v>
      </c>
      <c r="C37" s="163" t="s">
        <v>260</v>
      </c>
      <c r="D37" s="162">
        <f>'Прогнозные отчеты'!D37-'Прогнозные отчеты'!C37</f>
        <v>0</v>
      </c>
      <c r="E37" s="162">
        <f>'Прогнозные отчеты'!E37-'Прогнозные отчеты'!D37</f>
        <v>0</v>
      </c>
      <c r="F37" s="162">
        <f>'Прогнозные отчеты'!F37-'Прогнозные отчеты'!E37</f>
        <v>0</v>
      </c>
      <c r="G37" s="162">
        <f>'Прогнозные отчеты'!G37-'Прогнозные отчеты'!F37</f>
        <v>0</v>
      </c>
    </row>
    <row r="38" spans="1:8" x14ac:dyDescent="0.2">
      <c r="A38" s="189" t="s">
        <v>367</v>
      </c>
      <c r="B38" s="77" t="s">
        <v>85</v>
      </c>
      <c r="C38" s="163" t="s">
        <v>260</v>
      </c>
      <c r="D38" s="162">
        <f>'Прогнозные отчеты'!D38-'Прогнозные отчеты'!C38</f>
        <v>0</v>
      </c>
      <c r="E38" s="162">
        <f>'Прогнозные отчеты'!E38-'Прогнозные отчеты'!D38</f>
        <v>0</v>
      </c>
      <c r="F38" s="162">
        <f>'Прогнозные отчеты'!F38-'Прогнозные отчеты'!E38</f>
        <v>0</v>
      </c>
      <c r="G38" s="162">
        <f>'Прогнозные отчеты'!G38-'Прогнозные отчеты'!F38</f>
        <v>0</v>
      </c>
    </row>
    <row r="39" spans="1:8" x14ac:dyDescent="0.2">
      <c r="A39" s="149" t="s">
        <v>384</v>
      </c>
      <c r="B39" s="77" t="s">
        <v>85</v>
      </c>
      <c r="C39" s="194" t="s">
        <v>260</v>
      </c>
      <c r="D39" s="164">
        <f>'Прогнозные отчеты'!D39-'Прогнозные отчеты'!C39</f>
        <v>0</v>
      </c>
      <c r="E39" s="164">
        <f>'Прогнозные отчеты'!E39-'Прогнозные отчеты'!D39</f>
        <v>0</v>
      </c>
      <c r="F39" s="164">
        <f>'Прогнозные отчеты'!F39-'Прогнозные отчеты'!E39</f>
        <v>0</v>
      </c>
      <c r="G39" s="164">
        <f>'Прогнозные отчеты'!G39-'Прогнозные отчеты'!F39</f>
        <v>0</v>
      </c>
    </row>
    <row r="40" spans="1:8" x14ac:dyDescent="0.2">
      <c r="A40" s="150"/>
      <c r="B40" s="150"/>
      <c r="C40" s="169"/>
      <c r="D40" s="166"/>
      <c r="E40" s="166"/>
      <c r="F40" s="166"/>
      <c r="G40" s="166"/>
    </row>
    <row r="41" spans="1:8" s="170" customFormat="1" x14ac:dyDescent="0.2">
      <c r="A41" s="153" t="s">
        <v>386</v>
      </c>
      <c r="B41" s="77" t="s">
        <v>85</v>
      </c>
      <c r="C41" s="194" t="s">
        <v>260</v>
      </c>
      <c r="D41" s="164">
        <f>'Прогнозные отчеты'!D41-'Прогнозные отчеты'!C41</f>
        <v>394749.18859832076</v>
      </c>
      <c r="E41" s="164">
        <f>'Прогнозные отчеты'!E41-'Прогнозные отчеты'!D41</f>
        <v>21301.380387665529</v>
      </c>
      <c r="F41" s="164">
        <f>'Прогнозные отчеты'!F41-'Прогнозные отчеты'!E41</f>
        <v>408330.10102587641</v>
      </c>
      <c r="G41" s="164">
        <f>'Прогнозные отчеты'!G41-'Прогнозные отчеты'!F41</f>
        <v>461116.3029419966</v>
      </c>
    </row>
    <row r="42" spans="1:8" ht="13.5" customHeight="1" x14ac:dyDescent="0.2">
      <c r="A42" s="150"/>
      <c r="B42" s="150"/>
      <c r="C42" s="169"/>
      <c r="D42" s="166"/>
      <c r="E42" s="166"/>
      <c r="F42" s="166"/>
      <c r="G42" s="166"/>
    </row>
    <row r="43" spans="1:8" x14ac:dyDescent="0.2">
      <c r="C43" s="169"/>
      <c r="D43" s="166"/>
      <c r="E43" s="166"/>
      <c r="F43" s="166"/>
      <c r="G43" s="166"/>
    </row>
    <row r="44" spans="1:8" x14ac:dyDescent="0.2">
      <c r="A44" s="11" t="s">
        <v>392</v>
      </c>
      <c r="B44" s="156" t="s">
        <v>79</v>
      </c>
      <c r="C44" s="3">
        <f>Окружение!D4</f>
        <v>2019</v>
      </c>
      <c r="D44" s="4">
        <f>C44+1</f>
        <v>2020</v>
      </c>
      <c r="E44" s="5">
        <f>D44+1</f>
        <v>2021</v>
      </c>
      <c r="F44" s="6">
        <f>E44+1</f>
        <v>2022</v>
      </c>
      <c r="G44" s="7">
        <f>F44+1</f>
        <v>2023</v>
      </c>
      <c r="H44" s="20"/>
    </row>
    <row r="45" spans="1:8" x14ac:dyDescent="0.2">
      <c r="A45" s="172"/>
      <c r="B45" s="172"/>
      <c r="C45" s="169"/>
      <c r="D45" s="166"/>
      <c r="E45" s="166"/>
      <c r="F45" s="166"/>
      <c r="G45" s="166"/>
    </row>
    <row r="46" spans="1:8" x14ac:dyDescent="0.2">
      <c r="A46" s="173" t="s">
        <v>120</v>
      </c>
      <c r="B46" s="77" t="s">
        <v>85</v>
      </c>
      <c r="C46" s="163" t="s">
        <v>260</v>
      </c>
      <c r="D46" s="162">
        <f>'Прогнозные отчеты'!D49-'Прогнозные отчеты'!C49</f>
        <v>800000</v>
      </c>
      <c r="E46" s="162">
        <f>'Прогнозные отчеты'!E49-'Прогнозные отчеты'!D49</f>
        <v>54400</v>
      </c>
      <c r="F46" s="162">
        <f>'Прогнозные отчеты'!F49-'Прогнозные отчеты'!E49</f>
        <v>960345.60000000033</v>
      </c>
      <c r="G46" s="162">
        <f>'Прогнозные отчеты'!G49-'Прогнозные отчеты'!F49</f>
        <v>1084310.4959999996</v>
      </c>
    </row>
    <row r="47" spans="1:8" x14ac:dyDescent="0.2">
      <c r="A47" s="173"/>
      <c r="B47" s="77"/>
      <c r="C47" s="169"/>
      <c r="D47" s="166"/>
      <c r="E47" s="166"/>
      <c r="F47" s="166"/>
      <c r="G47" s="166"/>
    </row>
    <row r="48" spans="1:8" x14ac:dyDescent="0.2">
      <c r="A48" s="173" t="s">
        <v>387</v>
      </c>
      <c r="B48" s="77" t="s">
        <v>85</v>
      </c>
      <c r="C48" s="163" t="s">
        <v>260</v>
      </c>
      <c r="D48" s="162">
        <f>'Прогнозные отчеты'!D51-'Прогнозные отчеты'!C51</f>
        <v>-382603.82764855627</v>
      </c>
      <c r="E48" s="162">
        <f>'Прогнозные отчеты'!E51-'Прогнозные отчеты'!D51</f>
        <v>-26973.955874930019</v>
      </c>
      <c r="F48" s="162">
        <f>'Прогнозные отчеты'!F51-'Прогнозные отчеты'!E51</f>
        <v>-449156.95842339582</v>
      </c>
      <c r="G48" s="162">
        <f>'Прогнозные отчеты'!G51-'Прогнозные отчеты'!F51</f>
        <v>-507051.13029409328</v>
      </c>
    </row>
    <row r="49" spans="1:7" x14ac:dyDescent="0.2">
      <c r="A49" s="201" t="s">
        <v>388</v>
      </c>
      <c r="B49" s="77" t="s">
        <v>85</v>
      </c>
      <c r="C49" s="163" t="s">
        <v>260</v>
      </c>
      <c r="D49" s="163">
        <f>'Прогнозные отчеты'!D52-'Прогнозные отчеты'!C52</f>
        <v>-354237.28813559323</v>
      </c>
      <c r="E49" s="163">
        <f>'Прогнозные отчеты'!E52-'Прогнозные отчеты'!D52</f>
        <v>-25355.932203389821</v>
      </c>
      <c r="F49" s="163">
        <f>'Прогнозные отчеты'!F52-'Прогнозные отчеты'!E52</f>
        <v>-447618.71186440677</v>
      </c>
      <c r="G49" s="163">
        <f>'Прогнозные отчеты'!G52-'Прогнозные отчеты'!F52</f>
        <v>-505398.95999999996</v>
      </c>
    </row>
    <row r="50" spans="1:7" x14ac:dyDescent="0.2">
      <c r="A50" s="201" t="s">
        <v>206</v>
      </c>
      <c r="B50" s="77" t="s">
        <v>85</v>
      </c>
      <c r="C50" s="163" t="s">
        <v>260</v>
      </c>
      <c r="D50" s="163">
        <f>'Прогнозные отчеты'!D53-'Прогнозные отчеты'!C53</f>
        <v>-20355.616047890973</v>
      </c>
      <c r="E50" s="163">
        <f>'Прогнозные отчеты'!E53-'Прогнозные отчеты'!D53</f>
        <v>-1029.5778033076094</v>
      </c>
      <c r="F50" s="163">
        <f>'Прогнозные отчеты'!F53-'Прогнозные отчеты'!E53</f>
        <v>-974.90084273196044</v>
      </c>
      <c r="G50" s="163">
        <f>'Прогнозные отчеты'!G53-'Прогнозные отчеты'!F53</f>
        <v>-2071.7658412082528</v>
      </c>
    </row>
    <row r="51" spans="1:7" ht="12" customHeight="1" x14ac:dyDescent="0.2">
      <c r="A51" s="201" t="s">
        <v>389</v>
      </c>
      <c r="B51" s="77" t="s">
        <v>85</v>
      </c>
      <c r="C51" s="163" t="s">
        <v>260</v>
      </c>
      <c r="D51" s="163">
        <f>'Прогнозные отчеты'!D54-'Прогнозные отчеты'!C54</f>
        <v>-7748.5505837161236</v>
      </c>
      <c r="E51" s="163">
        <f>'Прогнозные отчеты'!E54-'Прогнозные отчеты'!D54</f>
        <v>-363.14688518169714</v>
      </c>
      <c r="F51" s="163">
        <f>'Прогнозные отчеты'!F54-'Прогнозные отчеты'!E54</f>
        <v>-343.9575182910321</v>
      </c>
      <c r="G51" s="163">
        <f>'Прогнозные отчеты'!G54-'Прогнозные отчеты'!F54</f>
        <v>663.85953591506222</v>
      </c>
    </row>
    <row r="52" spans="1:7" x14ac:dyDescent="0.2">
      <c r="A52" s="201" t="s">
        <v>326</v>
      </c>
      <c r="B52" s="77" t="s">
        <v>85</v>
      </c>
      <c r="C52" s="163" t="s">
        <v>260</v>
      </c>
      <c r="D52" s="163">
        <f>'Прогнозные отчеты'!D55-'Прогнозные отчеты'!C55</f>
        <v>-262.3728813559328</v>
      </c>
      <c r="E52" s="163">
        <f>'Прогнозные отчеты'!E55-'Прогнозные отчеты'!D55</f>
        <v>-225.29898305084771</v>
      </c>
      <c r="F52" s="163">
        <f>'Прогнозные отчеты'!F55-'Прогнозные отчеты'!E55</f>
        <v>-219.38819796610187</v>
      </c>
      <c r="G52" s="163">
        <f>'Прогнозные отчеты'!G55-'Прогнозные отчеты'!F55</f>
        <v>-244.26398879999988</v>
      </c>
    </row>
    <row r="53" spans="1:7" x14ac:dyDescent="0.2">
      <c r="A53" s="201" t="s">
        <v>117</v>
      </c>
      <c r="B53" s="77" t="s">
        <v>85</v>
      </c>
      <c r="C53" s="163" t="s">
        <v>260</v>
      </c>
      <c r="D53" s="163">
        <f>'Прогнозные отчеты'!D56-'Прогнозные отчеты'!C56</f>
        <v>0</v>
      </c>
      <c r="E53" s="163">
        <f>'Прогнозные отчеты'!E56-'Прогнозные отчеты'!D56</f>
        <v>0</v>
      </c>
      <c r="F53" s="163">
        <f>'Прогнозные отчеты'!F56-'Прогнозные отчеты'!E56</f>
        <v>0</v>
      </c>
      <c r="G53" s="163">
        <f>'Прогнозные отчеты'!G56-'Прогнозные отчеты'!F56</f>
        <v>0</v>
      </c>
    </row>
    <row r="54" spans="1:7" x14ac:dyDescent="0.2">
      <c r="A54" s="174"/>
      <c r="B54" s="77"/>
      <c r="C54" s="169"/>
      <c r="D54" s="166"/>
      <c r="E54" s="166"/>
      <c r="F54" s="166"/>
      <c r="G54" s="166"/>
    </row>
    <row r="55" spans="1:7" s="143" customFormat="1" x14ac:dyDescent="0.2">
      <c r="A55" s="175" t="s">
        <v>20</v>
      </c>
      <c r="B55" s="77" t="s">
        <v>85</v>
      </c>
      <c r="C55" s="194" t="s">
        <v>260</v>
      </c>
      <c r="D55" s="164">
        <f>'Прогнозные отчеты'!D58-'Прогнозные отчеты'!C58</f>
        <v>417396.17235144373</v>
      </c>
      <c r="E55" s="164">
        <f>'Прогнозные отчеты'!E58-'Прогнозные отчеты'!D58</f>
        <v>27426.044125069981</v>
      </c>
      <c r="F55" s="164">
        <f>'Прогнозные отчеты'!F58-'Прогнозные отчеты'!E58</f>
        <v>511188.64157660451</v>
      </c>
      <c r="G55" s="164">
        <f>'Прогнозные отчеты'!G58-'Прогнозные отчеты'!F58</f>
        <v>577259.3657059063</v>
      </c>
    </row>
    <row r="56" spans="1:7" x14ac:dyDescent="0.2">
      <c r="A56" s="174"/>
      <c r="B56" s="77"/>
      <c r="C56" s="169"/>
      <c r="D56" s="166"/>
      <c r="E56" s="166"/>
      <c r="F56" s="166"/>
      <c r="G56" s="166"/>
    </row>
    <row r="57" spans="1:7" s="179" customFormat="1" x14ac:dyDescent="0.2">
      <c r="A57" s="192" t="s">
        <v>328</v>
      </c>
      <c r="B57" s="77" t="s">
        <v>85</v>
      </c>
      <c r="C57" s="163" t="s">
        <v>260</v>
      </c>
      <c r="D57" s="162">
        <f>'Прогнозные отчеты'!D60-'Прогнозные отчеты'!C60</f>
        <v>-3972.8813559322039</v>
      </c>
      <c r="E57" s="162">
        <f>'Прогнозные отчеты'!E60-'Прогнозные отчеты'!D60</f>
        <v>-500.66440677966057</v>
      </c>
      <c r="F57" s="162">
        <f>'Прогнозные отчеты'!F60-'Прогнозные отчеты'!E60</f>
        <v>-487.529328813559</v>
      </c>
      <c r="G57" s="162">
        <f>'Прогнозные отчеты'!G60-'Прогнозные отчеты'!F60</f>
        <v>-542.80886400000054</v>
      </c>
    </row>
    <row r="58" spans="1:7" s="179" customFormat="1" x14ac:dyDescent="0.2">
      <c r="A58" s="192" t="s">
        <v>108</v>
      </c>
      <c r="B58" s="77" t="s">
        <v>85</v>
      </c>
      <c r="C58" s="163" t="s">
        <v>260</v>
      </c>
      <c r="D58" s="162">
        <f>'Прогнозные отчеты'!D61-'Прогнозные отчеты'!C61</f>
        <v>-1241.5254237288136</v>
      </c>
      <c r="E58" s="162">
        <f>'Прогнозные отчеты'!E61-'Прогнозные отчеты'!D61</f>
        <v>-156.45762711864427</v>
      </c>
      <c r="F58" s="162">
        <f>'Прогнозные отчеты'!F61-'Прогнозные отчеты'!E61</f>
        <v>-152.35291525423736</v>
      </c>
      <c r="G58" s="162">
        <f>'Прогнозные отчеты'!G61-'Прогнозные отчеты'!F61</f>
        <v>-169.62777000000006</v>
      </c>
    </row>
    <row r="59" spans="1:7" x14ac:dyDescent="0.2">
      <c r="A59" s="174"/>
      <c r="B59" s="77"/>
      <c r="C59" s="169"/>
      <c r="D59" s="166"/>
      <c r="E59" s="166"/>
      <c r="F59" s="166"/>
      <c r="G59" s="166"/>
    </row>
    <row r="60" spans="1:7" s="143" customFormat="1" x14ac:dyDescent="0.2">
      <c r="A60" s="180" t="s">
        <v>22</v>
      </c>
      <c r="B60" s="77" t="s">
        <v>85</v>
      </c>
      <c r="C60" s="194" t="s">
        <v>260</v>
      </c>
      <c r="D60" s="164">
        <f>'Прогнозные отчеты'!D63-'Прогнозные отчеты'!C63</f>
        <v>412181.76557178271</v>
      </c>
      <c r="E60" s="164">
        <f>'Прогнозные отчеты'!E63-'Прогнозные отчеты'!D63</f>
        <v>26768.922091171669</v>
      </c>
      <c r="F60" s="164">
        <f>'Прогнозные отчеты'!F63-'Прогнозные отчеты'!E63</f>
        <v>510548.7593325366</v>
      </c>
      <c r="G60" s="164">
        <f>'Прогнозные отчеты'!G63-'Прогнозные отчеты'!F63</f>
        <v>576546.92907190649</v>
      </c>
    </row>
    <row r="61" spans="1:7" x14ac:dyDescent="0.2">
      <c r="A61" s="174"/>
      <c r="B61" s="77"/>
      <c r="C61" s="169"/>
      <c r="D61" s="166"/>
      <c r="E61" s="166"/>
      <c r="F61" s="166"/>
      <c r="G61" s="166"/>
    </row>
    <row r="62" spans="1:7" s="179" customFormat="1" ht="12" customHeight="1" x14ac:dyDescent="0.2">
      <c r="A62" s="192" t="s">
        <v>390</v>
      </c>
      <c r="B62" s="77" t="s">
        <v>85</v>
      </c>
      <c r="C62" s="163" t="s">
        <v>260</v>
      </c>
      <c r="D62" s="162">
        <f>'Прогнозные отчеты'!D65-'Прогнозные отчеты'!C65</f>
        <v>0</v>
      </c>
      <c r="E62" s="162">
        <f>'Прогнозные отчеты'!E65-'Прогнозные отчеты'!D65</f>
        <v>0</v>
      </c>
      <c r="F62" s="162">
        <f>'Прогнозные отчеты'!F65-'Прогнозные отчеты'!E65</f>
        <v>0</v>
      </c>
      <c r="G62" s="162">
        <f>'Прогнозные отчеты'!G65-'Прогнозные отчеты'!F65</f>
        <v>0</v>
      </c>
    </row>
    <row r="63" spans="1:7" s="179" customFormat="1" x14ac:dyDescent="0.2">
      <c r="A63" s="192" t="s">
        <v>391</v>
      </c>
      <c r="B63" s="77" t="s">
        <v>85</v>
      </c>
      <c r="C63" s="163" t="s">
        <v>260</v>
      </c>
      <c r="D63" s="162">
        <f>'Прогнозные отчеты'!D66-'Прогнозные отчеты'!C66</f>
        <v>0</v>
      </c>
      <c r="E63" s="162">
        <f>'Прогнозные отчеты'!E66-'Прогнозные отчеты'!D66</f>
        <v>0</v>
      </c>
      <c r="F63" s="162">
        <f>'Прогнозные отчеты'!F66-'Прогнозные отчеты'!E66</f>
        <v>0</v>
      </c>
      <c r="G63" s="162">
        <f>'Прогнозные отчеты'!G66-'Прогнозные отчеты'!F66</f>
        <v>0</v>
      </c>
    </row>
    <row r="64" spans="1:7" x14ac:dyDescent="0.2">
      <c r="A64" s="174"/>
      <c r="B64" s="77"/>
      <c r="C64" s="169"/>
      <c r="D64" s="166"/>
      <c r="E64" s="166"/>
      <c r="F64" s="166"/>
      <c r="G64" s="166"/>
    </row>
    <row r="65" spans="1:7" s="143" customFormat="1" x14ac:dyDescent="0.2">
      <c r="A65" s="180" t="s">
        <v>27</v>
      </c>
      <c r="B65" s="77" t="s">
        <v>85</v>
      </c>
      <c r="C65" s="194" t="s">
        <v>260</v>
      </c>
      <c r="D65" s="164">
        <f>'Прогнозные отчеты'!D70-'Прогнозные отчеты'!C70</f>
        <v>412181.76557178271</v>
      </c>
      <c r="E65" s="164">
        <f>'Прогнозные отчеты'!E70-'Прогнозные отчеты'!D70</f>
        <v>26768.922091171669</v>
      </c>
      <c r="F65" s="164">
        <f>'Прогнозные отчеты'!F70-'Прогнозные отчеты'!E70</f>
        <v>510548.7593325366</v>
      </c>
      <c r="G65" s="164">
        <f>'Прогнозные отчеты'!G70-'Прогнозные отчеты'!F70</f>
        <v>576546.92907190649</v>
      </c>
    </row>
    <row r="66" spans="1:7" x14ac:dyDescent="0.2">
      <c r="A66" s="174"/>
      <c r="B66" s="77"/>
      <c r="C66" s="169"/>
      <c r="D66" s="166"/>
      <c r="E66" s="166"/>
      <c r="F66" s="166"/>
      <c r="G66" s="166"/>
    </row>
    <row r="67" spans="1:7" x14ac:dyDescent="0.2">
      <c r="A67" s="192" t="s">
        <v>96</v>
      </c>
      <c r="B67" s="77" t="s">
        <v>85</v>
      </c>
      <c r="C67" s="163" t="s">
        <v>260</v>
      </c>
      <c r="D67" s="162">
        <f>'Прогнозные отчеты'!D72-'Прогнозные отчеты'!C72</f>
        <v>-77432.576973461953</v>
      </c>
      <c r="E67" s="162">
        <f>'Прогнозные отчеты'!E72-'Прогнозные отчеты'!D72</f>
        <v>-5467.5417035062856</v>
      </c>
      <c r="F67" s="162">
        <f>'Прогнозные отчеты'!F72-'Прогнозные отчеты'!E72</f>
        <v>-102218.65830666016</v>
      </c>
      <c r="G67" s="162">
        <f>'Прогнозные отчеты'!G72-'Прогнозные отчеты'!F72</f>
        <v>-115430.62612990988</v>
      </c>
    </row>
    <row r="68" spans="1:7" s="179" customFormat="1" x14ac:dyDescent="0.2">
      <c r="A68" s="178"/>
      <c r="B68" s="87"/>
      <c r="C68" s="169"/>
      <c r="D68" s="166"/>
      <c r="E68" s="166"/>
      <c r="F68" s="166"/>
      <c r="G68" s="166"/>
    </row>
    <row r="69" spans="1:7" s="143" customFormat="1" x14ac:dyDescent="0.2">
      <c r="A69" s="175" t="s">
        <v>29</v>
      </c>
      <c r="B69" s="77" t="s">
        <v>85</v>
      </c>
      <c r="C69" s="194" t="s">
        <v>260</v>
      </c>
      <c r="D69" s="164">
        <f>'Прогнозные отчеты'!D74-'Прогнозные отчеты'!C74</f>
        <v>334749.18859832076</v>
      </c>
      <c r="E69" s="164">
        <f>'Прогнозные отчеты'!E74-'Прогнозные отчеты'!D74</f>
        <v>21301.380387665355</v>
      </c>
      <c r="F69" s="164">
        <f>'Прогнозные отчеты'!F74-'Прогнозные отчеты'!E74</f>
        <v>408330.10102587647</v>
      </c>
      <c r="G69" s="164">
        <f>'Прогнозные отчеты'!G74-'Прогнозные отчеты'!F74</f>
        <v>461116.30294199672</v>
      </c>
    </row>
    <row r="70" spans="1:7" x14ac:dyDescent="0.2">
      <c r="A70" s="173"/>
      <c r="B70" s="77"/>
      <c r="C70" s="169"/>
      <c r="D70" s="166"/>
      <c r="E70" s="166"/>
      <c r="F70" s="166"/>
      <c r="G70" s="166"/>
    </row>
    <row r="71" spans="1:7" x14ac:dyDescent="0.2">
      <c r="A71" s="148"/>
      <c r="B71" s="148"/>
      <c r="C71" s="152"/>
      <c r="D71" s="152"/>
      <c r="E71" s="152"/>
      <c r="F71" s="152"/>
      <c r="G71" s="152"/>
    </row>
    <row r="72" spans="1:7" x14ac:dyDescent="0.2">
      <c r="A72" s="148"/>
      <c r="B72" s="148"/>
      <c r="C72" s="152"/>
      <c r="D72" s="152"/>
      <c r="E72" s="152"/>
      <c r="F72" s="152"/>
      <c r="G72" s="152"/>
    </row>
    <row r="73" spans="1:7" x14ac:dyDescent="0.2">
      <c r="A73" s="148"/>
      <c r="B73" s="148"/>
      <c r="C73" s="152"/>
      <c r="D73" s="152"/>
      <c r="E73" s="152"/>
      <c r="F73" s="152"/>
      <c r="G73" s="152"/>
    </row>
    <row r="74" spans="1:7" x14ac:dyDescent="0.2">
      <c r="A74" s="148"/>
      <c r="B74" s="148"/>
      <c r="C74" s="152"/>
      <c r="D74" s="152"/>
      <c r="E74" s="152"/>
      <c r="F74" s="152"/>
      <c r="G74" s="152"/>
    </row>
    <row r="75" spans="1:7" x14ac:dyDescent="0.2">
      <c r="A75" s="148"/>
      <c r="B75" s="148"/>
      <c r="C75" s="152"/>
      <c r="D75" s="152"/>
      <c r="E75" s="152"/>
      <c r="F75" s="152"/>
      <c r="G75" s="152"/>
    </row>
    <row r="76" spans="1:7" x14ac:dyDescent="0.2">
      <c r="A76" s="148"/>
      <c r="B76" s="148"/>
      <c r="C76" s="152"/>
      <c r="D76" s="152"/>
      <c r="E76" s="152"/>
      <c r="F76" s="152"/>
      <c r="G76" s="152"/>
    </row>
    <row r="77" spans="1:7" x14ac:dyDescent="0.2">
      <c r="C77" s="152"/>
      <c r="D77" s="152"/>
      <c r="E77" s="152"/>
      <c r="F77" s="152"/>
      <c r="G77" s="152"/>
    </row>
    <row r="78" spans="1:7" x14ac:dyDescent="0.2">
      <c r="C78" s="152"/>
      <c r="D78" s="152"/>
      <c r="E78" s="152"/>
      <c r="F78" s="152"/>
      <c r="G78" s="152"/>
    </row>
    <row r="79" spans="1:7" x14ac:dyDescent="0.2">
      <c r="C79" s="152"/>
      <c r="D79" s="152"/>
      <c r="E79" s="152"/>
      <c r="F79" s="152"/>
      <c r="G79" s="152"/>
    </row>
    <row r="80" spans="1:7" x14ac:dyDescent="0.2">
      <c r="C80" s="152"/>
      <c r="D80" s="152"/>
      <c r="E80" s="152"/>
      <c r="F80" s="152"/>
      <c r="G80" s="152"/>
    </row>
    <row r="81" spans="3:7" x14ac:dyDescent="0.2">
      <c r="C81" s="152"/>
      <c r="D81" s="152"/>
      <c r="E81" s="152"/>
      <c r="F81" s="152"/>
      <c r="G81" s="152"/>
    </row>
    <row r="82" spans="3:7" x14ac:dyDescent="0.2">
      <c r="C82" s="152"/>
      <c r="D82" s="152"/>
      <c r="E82" s="152"/>
      <c r="F82" s="152"/>
      <c r="G82" s="152"/>
    </row>
    <row r="83" spans="3:7" x14ac:dyDescent="0.2">
      <c r="C83" s="152"/>
      <c r="D83" s="152"/>
      <c r="E83" s="152"/>
      <c r="F83" s="152"/>
      <c r="G83" s="152"/>
    </row>
    <row r="84" spans="3:7" x14ac:dyDescent="0.2">
      <c r="C84" s="152"/>
      <c r="D84" s="152"/>
      <c r="E84" s="152"/>
      <c r="F84" s="152"/>
      <c r="G84" s="152"/>
    </row>
    <row r="85" spans="3:7" x14ac:dyDescent="0.2">
      <c r="C85" s="152"/>
      <c r="D85" s="152"/>
      <c r="E85" s="152"/>
      <c r="F85" s="152"/>
      <c r="G85" s="152"/>
    </row>
    <row r="86" spans="3:7" x14ac:dyDescent="0.2">
      <c r="C86" s="152"/>
      <c r="D86" s="152"/>
      <c r="E86" s="152"/>
      <c r="F86" s="152"/>
      <c r="G86" s="152"/>
    </row>
    <row r="87" spans="3:7" x14ac:dyDescent="0.2">
      <c r="C87" s="152"/>
      <c r="D87" s="152"/>
      <c r="E87" s="152"/>
      <c r="F87" s="152"/>
      <c r="G87" s="152"/>
    </row>
    <row r="88" spans="3:7" x14ac:dyDescent="0.2">
      <c r="C88" s="152"/>
      <c r="D88" s="152"/>
      <c r="E88" s="152"/>
      <c r="F88" s="152"/>
      <c r="G88" s="152"/>
    </row>
    <row r="89" spans="3:7" x14ac:dyDescent="0.2">
      <c r="C89" s="152"/>
      <c r="D89" s="152"/>
      <c r="E89" s="152"/>
      <c r="F89" s="152"/>
      <c r="G89" s="152"/>
    </row>
    <row r="90" spans="3:7" x14ac:dyDescent="0.2">
      <c r="C90" s="152"/>
      <c r="D90" s="152"/>
      <c r="E90" s="152"/>
      <c r="F90" s="152"/>
      <c r="G90" s="152"/>
    </row>
    <row r="91" spans="3:7" x14ac:dyDescent="0.2">
      <c r="C91" s="152"/>
      <c r="D91" s="152"/>
      <c r="E91" s="152"/>
      <c r="F91" s="152"/>
      <c r="G91" s="152"/>
    </row>
    <row r="92" spans="3:7" x14ac:dyDescent="0.2">
      <c r="C92" s="152"/>
      <c r="D92" s="152"/>
      <c r="E92" s="152"/>
      <c r="F92" s="152"/>
      <c r="G92" s="152"/>
    </row>
    <row r="93" spans="3:7" x14ac:dyDescent="0.2">
      <c r="C93" s="152"/>
      <c r="D93" s="152"/>
      <c r="E93" s="152"/>
      <c r="F93" s="152"/>
      <c r="G93" s="152"/>
    </row>
    <row r="94" spans="3:7" x14ac:dyDescent="0.2">
      <c r="C94" s="152"/>
      <c r="D94" s="152"/>
      <c r="E94" s="152"/>
      <c r="F94" s="152"/>
      <c r="G94" s="152"/>
    </row>
    <row r="95" spans="3:7" x14ac:dyDescent="0.2">
      <c r="C95" s="152"/>
      <c r="D95" s="152"/>
      <c r="E95" s="152"/>
      <c r="F95" s="152"/>
      <c r="G95" s="152"/>
    </row>
    <row r="96" spans="3:7" x14ac:dyDescent="0.2">
      <c r="C96" s="152"/>
      <c r="D96" s="152"/>
      <c r="E96" s="152"/>
      <c r="F96" s="152"/>
      <c r="G96" s="152"/>
    </row>
    <row r="97" spans="3:7" x14ac:dyDescent="0.2">
      <c r="C97" s="152"/>
      <c r="D97" s="152"/>
      <c r="E97" s="152"/>
      <c r="F97" s="152"/>
      <c r="G97" s="152"/>
    </row>
    <row r="98" spans="3:7" x14ac:dyDescent="0.2">
      <c r="C98" s="152"/>
      <c r="D98" s="152"/>
      <c r="E98" s="152"/>
      <c r="F98" s="152"/>
      <c r="G98" s="152"/>
    </row>
    <row r="99" spans="3:7" x14ac:dyDescent="0.2">
      <c r="C99" s="152"/>
      <c r="D99" s="152"/>
      <c r="E99" s="152"/>
      <c r="F99" s="152"/>
      <c r="G99" s="152"/>
    </row>
    <row r="100" spans="3:7" x14ac:dyDescent="0.2">
      <c r="C100" s="152"/>
      <c r="D100" s="152"/>
      <c r="E100" s="152"/>
      <c r="F100" s="152"/>
      <c r="G100" s="152"/>
    </row>
    <row r="101" spans="3:7" x14ac:dyDescent="0.2">
      <c r="C101" s="152"/>
      <c r="D101" s="152"/>
      <c r="E101" s="152"/>
      <c r="F101" s="152"/>
      <c r="G101" s="152"/>
    </row>
  </sheetData>
  <pageMargins left="0.7" right="0.7" top="0.75" bottom="0.75" header="0.3" footer="0.3"/>
  <pageSetup paperSize="9" orientation="landscape" r:id="rId1"/>
  <rowBreaks count="1" manualBreakCount="1">
    <brk id="3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9"/>
  <sheetViews>
    <sheetView zoomScale="85" zoomScaleNormal="85" workbookViewId="0">
      <selection activeCell="E55" sqref="E55"/>
    </sheetView>
  </sheetViews>
  <sheetFormatPr defaultRowHeight="12.75" x14ac:dyDescent="0.2"/>
  <cols>
    <col min="1" max="1" width="47.85546875" style="144" customWidth="1"/>
    <col min="2" max="2" width="5.7109375" style="144" customWidth="1"/>
    <col min="3" max="3" width="10.42578125" style="140" bestFit="1" customWidth="1"/>
    <col min="4" max="6" width="11.7109375" style="140" bestFit="1" customWidth="1"/>
    <col min="7" max="7" width="12.28515625" style="140" bestFit="1" customWidth="1"/>
    <col min="8" max="16384" width="9.140625" style="140"/>
  </cols>
  <sheetData>
    <row r="1" spans="1:8" x14ac:dyDescent="0.2">
      <c r="A1"/>
    </row>
    <row r="2" spans="1:8" x14ac:dyDescent="0.2">
      <c r="A2" s="11" t="s">
        <v>395</v>
      </c>
      <c r="B2" s="11"/>
      <c r="C2" s="3">
        <f>Окружение!D4</f>
        <v>2019</v>
      </c>
      <c r="D2" s="4">
        <f>C2+1</f>
        <v>2020</v>
      </c>
      <c r="E2" s="5">
        <f>D2+1</f>
        <v>2021</v>
      </c>
      <c r="F2" s="6">
        <f>E2+1</f>
        <v>2022</v>
      </c>
      <c r="G2" s="7">
        <f>F2+1</f>
        <v>2023</v>
      </c>
    </row>
    <row r="3" spans="1:8" s="141" customFormat="1" x14ac:dyDescent="0.2">
      <c r="A3" s="147"/>
      <c r="B3" s="147"/>
    </row>
    <row r="4" spans="1:8" x14ac:dyDescent="0.2">
      <c r="A4" s="167" t="s">
        <v>170</v>
      </c>
      <c r="B4" s="167"/>
      <c r="C4" s="61"/>
      <c r="D4" s="61"/>
      <c r="E4" s="61"/>
      <c r="F4" s="62"/>
      <c r="G4" s="61"/>
      <c r="H4" s="152"/>
    </row>
    <row r="5" spans="1:8" x14ac:dyDescent="0.2">
      <c r="A5" s="25" t="s">
        <v>377</v>
      </c>
      <c r="B5" s="25"/>
    </row>
    <row r="6" spans="1:8" x14ac:dyDescent="0.2">
      <c r="A6" s="189" t="s">
        <v>264</v>
      </c>
      <c r="B6" s="148"/>
      <c r="C6" s="163" t="s">
        <v>260</v>
      </c>
      <c r="D6" s="186">
        <f>IF('Прогнозные отчеты'!C6=0,"-",('Прогнозные отчеты'!D6-'Прогнозные отчеты'!C6)/'Прогнозные отчеты'!C6)</f>
        <v>-5.2631578947368328E-2</v>
      </c>
      <c r="E6" s="186">
        <f>IF('Прогнозные отчеты'!D6=0,"-",('Прогнозные отчеты'!E6-'Прогнозные отчеты'!D6)/'Прогнозные отчеты'!D6)</f>
        <v>-5.5555555555555622E-2</v>
      </c>
      <c r="F6" s="186">
        <f>IF('Прогнозные отчеты'!E6=0,"-",('Прогнозные отчеты'!F6-'Прогнозные отчеты'!E6)/'Прогнозные отчеты'!E6)</f>
        <v>-5.8823529411764601E-2</v>
      </c>
      <c r="G6" s="186">
        <f>IF('Прогнозные отчеты'!F6=0,"-",('Прогнозные отчеты'!G6-'Прогнозные отчеты'!F6)/'Прогнозные отчеты'!F6)</f>
        <v>-6.2500000000000069E-2</v>
      </c>
    </row>
    <row r="7" spans="1:8" x14ac:dyDescent="0.2">
      <c r="A7" s="189" t="s">
        <v>263</v>
      </c>
      <c r="B7" s="148"/>
      <c r="C7" s="163" t="s">
        <v>260</v>
      </c>
      <c r="D7" s="186">
        <f>IF('Прогнозные отчеты'!C7=0,"-",('Прогнозные отчеты'!D7-'Прогнозные отчеты'!C7)/'Прогнозные отчеты'!C7)</f>
        <v>-8.4617371094086263E-2</v>
      </c>
      <c r="E7" s="186">
        <f>IF('Прогнозные отчеты'!D7=0,"-",('Прогнозные отчеты'!E7-'Прогнозные отчеты'!D7)/'Прогнозные отчеты'!D7)</f>
        <v>-9.2439345495580125E-2</v>
      </c>
      <c r="F7" s="186">
        <f>IF('Прогнозные отчеты'!E7=0,"-",('Прогнозные отчеты'!F7-'Прогнозные отчеты'!E7)/'Прогнозные отчеты'!E7)</f>
        <v>-0.10185473007978459</v>
      </c>
      <c r="G7" s="186">
        <f>IF('Прогнозные отчеты'!F7=0,"-",('Прогнозные отчеты'!G7-'Прогнозные отчеты'!F7)/'Прогнозные отчеты'!F7)</f>
        <v>-0.11340562990309185</v>
      </c>
    </row>
    <row r="8" spans="1:8" x14ac:dyDescent="0.2">
      <c r="A8" s="189" t="s">
        <v>175</v>
      </c>
      <c r="B8" s="148"/>
      <c r="C8" s="163" t="s">
        <v>260</v>
      </c>
      <c r="D8" s="186" t="str">
        <f>IF('Прогнозные отчеты'!C8=0,"-",('Прогнозные отчеты'!D8-'Прогнозные отчеты'!C8)/'Прогнозные отчеты'!C8)</f>
        <v>-</v>
      </c>
      <c r="E8" s="186" t="str">
        <f>IF('Прогнозные отчеты'!D8=0,"-",('Прогнозные отчеты'!E8-'Прогнозные отчеты'!D8)/'Прогнозные отчеты'!D8)</f>
        <v>-</v>
      </c>
      <c r="F8" s="186" t="str">
        <f>IF('Прогнозные отчеты'!E8=0,"-",('Прогнозные отчеты'!F8-'Прогнозные отчеты'!E8)/'Прогнозные отчеты'!E8)</f>
        <v>-</v>
      </c>
      <c r="G8" s="186" t="str">
        <f>IF('Прогнозные отчеты'!F8=0,"-",('Прогнозные отчеты'!G8-'Прогнозные отчеты'!F8)/'Прогнозные отчеты'!F8)</f>
        <v>-</v>
      </c>
    </row>
    <row r="9" spans="1:8" x14ac:dyDescent="0.2">
      <c r="A9" s="153" t="s">
        <v>378</v>
      </c>
      <c r="B9" s="153"/>
      <c r="C9" s="164" t="s">
        <v>260</v>
      </c>
      <c r="D9" s="187">
        <f>IF('Прогнозные отчеты'!C9=0,"-",('Прогнозные отчеты'!D9-'Прогнозные отчеты'!C9)/'Прогнозные отчеты'!C9)</f>
        <v>-7.2909845012006022E-2</v>
      </c>
      <c r="E9" s="187">
        <f>IF('Прогнозные отчеты'!D9=0,"-",('Прогнозные отчеты'!E9-'Прогнозные отчеты'!D9)/'Прогнозные отчеты'!D9)</f>
        <v>-7.8643748528372998E-2</v>
      </c>
      <c r="F9" s="187">
        <f>IF('Прогнозные отчеты'!E9=0,"-",('Прогнозные отчеты'!F9-'Прогнозные отчеты'!E9)/'Прогнозные отчеты'!E9)</f>
        <v>-8.5356503961155156E-2</v>
      </c>
      <c r="G9" s="187">
        <f>IF('Прогнозные отчеты'!F9=0,"-",('Прогнозные отчеты'!G9-'Прогнозные отчеты'!F9)/'Прогнозные отчеты'!F9)</f>
        <v>-9.3322157027102573E-2</v>
      </c>
    </row>
    <row r="10" spans="1:8" x14ac:dyDescent="0.2">
      <c r="A10" s="151"/>
      <c r="B10" s="151"/>
      <c r="C10" s="165"/>
      <c r="D10" s="165"/>
      <c r="E10" s="165"/>
      <c r="F10" s="165"/>
      <c r="G10" s="165"/>
    </row>
    <row r="11" spans="1:8" x14ac:dyDescent="0.2">
      <c r="A11" s="25" t="s">
        <v>176</v>
      </c>
      <c r="B11" s="25"/>
      <c r="C11" s="165"/>
      <c r="D11" s="165"/>
      <c r="E11" s="165"/>
      <c r="F11" s="165"/>
      <c r="G11" s="165"/>
    </row>
    <row r="12" spans="1:8" x14ac:dyDescent="0.2">
      <c r="A12" s="189" t="s">
        <v>379</v>
      </c>
      <c r="B12" s="148"/>
      <c r="C12" s="163" t="s">
        <v>260</v>
      </c>
      <c r="D12" s="186" t="str">
        <f>IF('Прогнозные отчеты'!C12=0,"-",('Прогнозные отчеты'!D12-'Прогнозные отчеты'!C12)/'Прогнозные отчеты'!C12)</f>
        <v>-</v>
      </c>
      <c r="E12" s="186" t="str">
        <f>IF('Прогнозные отчеты'!D12=0,"-",('Прогнозные отчеты'!E12-'Прогнозные отчеты'!D12)/'Прогнозные отчеты'!D12)</f>
        <v>-</v>
      </c>
      <c r="F12" s="186" t="str">
        <f>IF('Прогнозные отчеты'!E12=0,"-",('Прогнозные отчеты'!F12-'Прогнозные отчеты'!E12)/'Прогнозные отчеты'!E12)</f>
        <v>-</v>
      </c>
      <c r="G12" s="186" t="str">
        <f>IF('Прогнозные отчеты'!F12=0,"-",('Прогнозные отчеты'!G12-'Прогнозные отчеты'!F12)/'Прогнозные отчеты'!F12)</f>
        <v>-</v>
      </c>
    </row>
    <row r="13" spans="1:8" x14ac:dyDescent="0.2">
      <c r="A13" s="190" t="s">
        <v>277</v>
      </c>
      <c r="B13" s="160"/>
      <c r="C13" s="163" t="s">
        <v>260</v>
      </c>
      <c r="D13" s="186" t="str">
        <f>IF('Прогнозные отчеты'!C13=0,"-",('Прогнозные отчеты'!D13-'Прогнозные отчеты'!C13)/'Прогнозные отчеты'!C13)</f>
        <v>-</v>
      </c>
      <c r="E13" s="186" t="str">
        <f>IF('Прогнозные отчеты'!D13=0,"-",('Прогнозные отчеты'!E13-'Прогнозные отчеты'!D13)/'Прогнозные отчеты'!D13)</f>
        <v>-</v>
      </c>
      <c r="F13" s="186" t="str">
        <f>IF('Прогнозные отчеты'!E13=0,"-",('Прогнозные отчеты'!F13-'Прогнозные отчеты'!E13)/'Прогнозные отчеты'!E13)</f>
        <v>-</v>
      </c>
      <c r="G13" s="186" t="str">
        <f>IF('Прогнозные отчеты'!F13=0,"-",('Прогнозные отчеты'!G13-'Прогнозные отчеты'!F13)/'Прогнозные отчеты'!F13)</f>
        <v>-</v>
      </c>
    </row>
    <row r="14" spans="1:8" x14ac:dyDescent="0.2">
      <c r="A14" s="189" t="s">
        <v>276</v>
      </c>
      <c r="B14" s="148"/>
      <c r="C14" s="163" t="s">
        <v>260</v>
      </c>
      <c r="D14" s="186" t="str">
        <f>IF('Прогнозные отчеты'!C14=0,"-",('Прогнозные отчеты'!D14-'Прогнозные отчеты'!C14)/'Прогнозные отчеты'!C14)</f>
        <v>-</v>
      </c>
      <c r="E14" s="186" t="str">
        <f>IF('Прогнозные отчеты'!D14=0,"-",('Прогнозные отчеты'!E14-'Прогнозные отчеты'!D14)/'Прогнозные отчеты'!D14)</f>
        <v>-</v>
      </c>
      <c r="F14" s="186" t="str">
        <f>IF('Прогнозные отчеты'!E14=0,"-",('Прогнозные отчеты'!F14-'Прогнозные отчеты'!E14)/'Прогнозные отчеты'!E14)</f>
        <v>-</v>
      </c>
      <c r="G14" s="186" t="str">
        <f>IF('Прогнозные отчеты'!F14=0,"-",('Прогнозные отчеты'!G14-'Прогнозные отчеты'!F14)/'Прогнозные отчеты'!F14)</f>
        <v>-</v>
      </c>
    </row>
    <row r="15" spans="1:8" x14ac:dyDescent="0.2">
      <c r="A15" s="189" t="s">
        <v>262</v>
      </c>
      <c r="B15" s="148"/>
      <c r="C15" s="163" t="s">
        <v>260</v>
      </c>
      <c r="D15" s="186" t="str">
        <f>IF('Прогнозные отчеты'!C15=0,"-",('Прогнозные отчеты'!D15-'Прогнозные отчеты'!C15)/'Прогнозные отчеты'!C15)</f>
        <v>-</v>
      </c>
      <c r="E15" s="186" t="str">
        <f>IF('Прогнозные отчеты'!D15=0,"-",('Прогнозные отчеты'!E15-'Прогнозные отчеты'!D15)/'Прогнозные отчеты'!D15)</f>
        <v>-</v>
      </c>
      <c r="F15" s="186" t="str">
        <f>IF('Прогнозные отчеты'!E15=0,"-",('Прогнозные отчеты'!F15-'Прогнозные отчеты'!E15)/'Прогнозные отчеты'!E15)</f>
        <v>-</v>
      </c>
      <c r="G15" s="186" t="str">
        <f>IF('Прогнозные отчеты'!F15=0,"-",('Прогнозные отчеты'!G15-'Прогнозные отчеты'!F15)/'Прогнозные отчеты'!F15)</f>
        <v>-</v>
      </c>
    </row>
    <row r="16" spans="1:8" x14ac:dyDescent="0.2">
      <c r="A16" s="189" t="s">
        <v>261</v>
      </c>
      <c r="B16" s="148"/>
      <c r="C16" s="163" t="s">
        <v>260</v>
      </c>
      <c r="D16" s="186">
        <f>IF('Прогнозные отчеты'!C16=0,"-",('Прогнозные отчеты'!D16-'Прогнозные отчеты'!C16)/'Прогнозные отчеты'!C16)</f>
        <v>17.340936150629851</v>
      </c>
      <c r="E16" s="186">
        <f>IF('Прогнозные отчеты'!D16=0,"-",('Прогнозные отчеты'!E16-'Прогнозные отчеты'!D16)/'Прогнозные отчеты'!D16)</f>
        <v>5.1660559875685193E-2</v>
      </c>
      <c r="F16" s="186">
        <f>IF('Прогнозные отчеты'!E16=0,"-",('Прогнозные отчеты'!F16-'Прогнозные отчеты'!E16)/'Прогнозные отчеты'!E16)</f>
        <v>0.92994069531644474</v>
      </c>
      <c r="G16" s="186">
        <f>IF('Прогнозные отчеты'!F16=0,"-",('Прогнозные отчеты'!G16-'Прогнозные отчеты'!F16)/'Прогнозные отчеты'!F16)</f>
        <v>0.54409649774680247</v>
      </c>
    </row>
    <row r="17" spans="1:7" x14ac:dyDescent="0.2">
      <c r="A17" s="153" t="s">
        <v>380</v>
      </c>
      <c r="B17" s="153"/>
      <c r="C17" s="164" t="s">
        <v>260</v>
      </c>
      <c r="D17" s="187">
        <f>IF('Прогнозные отчеты'!C17=0,"-",('Прогнозные отчеты'!D17-'Прогнозные отчеты'!C17)/'Прогнозные отчеты'!C17)</f>
        <v>17.340936150629851</v>
      </c>
      <c r="E17" s="187">
        <f>IF('Прогнозные отчеты'!D17=0,"-",('Прогнозные отчеты'!E17-'Прогнозные отчеты'!D17)/'Прогнозные отчеты'!D17)</f>
        <v>5.1660559875685193E-2</v>
      </c>
      <c r="F17" s="187">
        <f>IF('Прогнозные отчеты'!E17=0,"-",('Прогнозные отчеты'!F17-'Прогнозные отчеты'!E17)/'Прогнозные отчеты'!E17)</f>
        <v>0.92994069531644474</v>
      </c>
      <c r="G17" s="187">
        <f>IF('Прогнозные отчеты'!F17=0,"-",('Прогнозные отчеты'!G17-'Прогнозные отчеты'!F17)/'Прогнозные отчеты'!F17)</f>
        <v>0.54409649774680247</v>
      </c>
    </row>
    <row r="18" spans="1:7" x14ac:dyDescent="0.2">
      <c r="A18" s="150"/>
      <c r="B18" s="150"/>
      <c r="C18" s="188"/>
      <c r="D18" s="166"/>
      <c r="E18" s="166"/>
      <c r="F18" s="166"/>
      <c r="G18" s="166"/>
    </row>
    <row r="19" spans="1:7" x14ac:dyDescent="0.2">
      <c r="A19" s="142" t="s">
        <v>385</v>
      </c>
      <c r="B19" s="142"/>
      <c r="C19" s="164" t="s">
        <v>260</v>
      </c>
      <c r="D19" s="187">
        <f>IF('Прогнозные отчеты'!C19=0,"-",('Прогнозные отчеты'!D19-'Прогнозные отчеты'!C19)/'Прогнозные отчеты'!C19)</f>
        <v>14.805389650994019</v>
      </c>
      <c r="E19" s="187">
        <f>IF('Прогнозные отчеты'!D19=0,"-",('Прогнозные отчеты'!E19-'Прогнозные отчеты'!D19)/'Прогнозные отчеты'!D19)</f>
        <v>5.0547669419738039E-2</v>
      </c>
      <c r="F19" s="187">
        <f>IF('Прогнозные отчеты'!E19=0,"-",('Прогнозные отчеты'!F19-'Прогнозные отчеты'!E19)/'Прогнозные отчеты'!E19)</f>
        <v>0.92233570520194497</v>
      </c>
      <c r="G19" s="187">
        <f>IF('Прогнозные отчеты'!F19=0,"-",('Прогнозные отчеты'!G19-'Прогнозные отчеты'!F19)/'Прогнозные отчеты'!F19)</f>
        <v>0.54182478793883637</v>
      </c>
    </row>
    <row r="20" spans="1:7" x14ac:dyDescent="0.2">
      <c r="A20" s="140"/>
      <c r="B20" s="140"/>
    </row>
    <row r="21" spans="1:7" x14ac:dyDescent="0.2">
      <c r="A21" s="167" t="s">
        <v>178</v>
      </c>
      <c r="B21" s="167"/>
      <c r="C21" s="61"/>
      <c r="D21" s="61"/>
      <c r="E21" s="61"/>
      <c r="F21" s="62"/>
      <c r="G21" s="61"/>
    </row>
    <row r="22" spans="1:7" x14ac:dyDescent="0.2">
      <c r="A22" s="25" t="s">
        <v>156</v>
      </c>
      <c r="B22" s="25"/>
    </row>
    <row r="23" spans="1:7" x14ac:dyDescent="0.2">
      <c r="A23" s="191" t="s">
        <v>266</v>
      </c>
      <c r="B23" s="140"/>
      <c r="C23" s="163" t="s">
        <v>260</v>
      </c>
      <c r="D23" s="186">
        <f>IF('Прогнозные отчеты'!C24=0,"-",('Прогнозные отчеты'!D24-'Прогнозные отчеты'!C24)/'Прогнозные отчеты'!C24)</f>
        <v>0</v>
      </c>
      <c r="E23" s="186">
        <f>IF('Прогнозные отчеты'!D24=0,"-",('Прогнозные отчеты'!E24-'Прогнозные отчеты'!D24)/'Прогнозные отчеты'!D24)</f>
        <v>0</v>
      </c>
      <c r="F23" s="186">
        <f>IF('Прогнозные отчеты'!E24=0,"-",('Прогнозные отчеты'!F24-'Прогнозные отчеты'!E24)/'Прогнозные отчеты'!E24)</f>
        <v>0</v>
      </c>
      <c r="G23" s="186">
        <f>IF('Прогнозные отчеты'!F24=0,"-",('Прогнозные отчеты'!G24-'Прогнозные отчеты'!F24)/'Прогнозные отчеты'!F24)</f>
        <v>0</v>
      </c>
    </row>
    <row r="24" spans="1:7" x14ac:dyDescent="0.2">
      <c r="A24" s="191" t="s">
        <v>147</v>
      </c>
      <c r="B24" s="140"/>
      <c r="C24" s="163" t="s">
        <v>260</v>
      </c>
      <c r="D24" s="186">
        <f>IF('Прогнозные отчеты'!C25=0,"-",('Прогнозные отчеты'!D25-'Прогнозные отчеты'!C25)/'Прогнозные отчеты'!C25)</f>
        <v>1.7142857142857142</v>
      </c>
      <c r="E24" s="186">
        <f>IF('Прогнозные отчеты'!D25=0,"-",('Прогнозные отчеты'!E25-'Прогнозные отчеты'!D25)/'Прогнозные отчеты'!D25)</f>
        <v>0</v>
      </c>
      <c r="F24" s="186">
        <f>IF('Прогнозные отчеты'!E25=0,"-",('Прогнозные отчеты'!F25-'Прогнозные отчеты'!E25)/'Прогнозные отчеты'!E25)</f>
        <v>0</v>
      </c>
      <c r="G24" s="186">
        <f>IF('Прогнозные отчеты'!F25=0,"-",('Прогнозные отчеты'!G25-'Прогнозные отчеты'!F25)/'Прогнозные отчеты'!F25)</f>
        <v>0</v>
      </c>
    </row>
    <row r="25" spans="1:7" x14ac:dyDescent="0.2">
      <c r="A25" s="191" t="s">
        <v>52</v>
      </c>
      <c r="B25" s="140"/>
      <c r="C25" s="163" t="s">
        <v>260</v>
      </c>
      <c r="D25" s="186">
        <f>IF('Прогнозные отчеты'!C26=0,"-",('Прогнозные отчеты'!D26-'Прогнозные отчеты'!C26)/'Прогнозные отчеты'!C26)</f>
        <v>-8.7316459296771676</v>
      </c>
      <c r="E25" s="186">
        <f>IF('Прогнозные отчеты'!D26=0,"-",('Прогнозные отчеты'!E26-'Прогнозные отчеты'!D26)/'Прогнозные отчеты'!D26)</f>
        <v>7.1864163401916328E-2</v>
      </c>
      <c r="F25" s="186">
        <f>IF('Прогнозные отчеты'!E26=0,"-",('Прогнозные отчеты'!F26-'Прогнозные отчеты'!E26)/'Прогнозные отчеты'!E26)</f>
        <v>1.2852164377481858</v>
      </c>
      <c r="G25" s="186">
        <f>IF('Прогнозные отчеты'!F26=0,"-",('Прогнозные отчеты'!G26-'Прогнозные отчеты'!F26)/'Прогнозные отчеты'!F26)</f>
        <v>0.63510862865404061</v>
      </c>
    </row>
    <row r="26" spans="1:7" s="143" customFormat="1" x14ac:dyDescent="0.2">
      <c r="A26" s="143" t="s">
        <v>193</v>
      </c>
      <c r="C26" s="194" t="s">
        <v>260</v>
      </c>
      <c r="D26" s="187">
        <f>IF('Прогнозные отчеты'!C27=0,"-",('Прогнозные отчеты'!D27-'Прогнозные отчеты'!C27)/'Прогнозные отчеты'!C27)</f>
        <v>14.805389650994019</v>
      </c>
      <c r="E26" s="187">
        <f>IF('Прогнозные отчеты'!D27=0,"-",('Прогнозные отчеты'!E27-'Прогнозные отчеты'!D27)/'Прогнозные отчеты'!D27)</f>
        <v>5.0547669419738039E-2</v>
      </c>
      <c r="F26" s="187">
        <f>IF('Прогнозные отчеты'!E27=0,"-",('Прогнозные отчеты'!F27-'Прогнозные отчеты'!E27)/'Прогнозные отчеты'!E27)</f>
        <v>0.92233570520194497</v>
      </c>
      <c r="G26" s="187">
        <f>IF('Прогнозные отчеты'!F27=0,"-",('Прогнозные отчеты'!G27-'Прогнозные отчеты'!F27)/'Прогнозные отчеты'!F27)</f>
        <v>0.54182478793883637</v>
      </c>
    </row>
    <row r="27" spans="1:7" x14ac:dyDescent="0.2">
      <c r="A27" s="140"/>
      <c r="B27" s="140"/>
    </row>
    <row r="28" spans="1:7" x14ac:dyDescent="0.2">
      <c r="A28" s="25" t="s">
        <v>382</v>
      </c>
      <c r="B28" s="25"/>
    </row>
    <row r="29" spans="1:7" x14ac:dyDescent="0.2">
      <c r="A29" s="191" t="s">
        <v>285</v>
      </c>
      <c r="B29" s="140"/>
      <c r="C29" s="163" t="s">
        <v>260</v>
      </c>
      <c r="D29" s="186" t="str">
        <f>IF('Прогнозные отчеты'!C30=0,"-",('Прогнозные отчеты'!D30-'Прогнозные отчеты'!C30)/'Прогнозные отчеты'!C30)</f>
        <v>-</v>
      </c>
      <c r="E29" s="186" t="str">
        <f>IF('Прогнозные отчеты'!D30=0,"-",('Прогнозные отчеты'!E30-'Прогнозные отчеты'!D30)/'Прогнозные отчеты'!D30)</f>
        <v>-</v>
      </c>
      <c r="F29" s="186" t="str">
        <f>IF('Прогнозные отчеты'!E30=0,"-",('Прогнозные отчеты'!F30-'Прогнозные отчеты'!E30)/'Прогнозные отчеты'!E30)</f>
        <v>-</v>
      </c>
      <c r="G29" s="186" t="str">
        <f>IF('Прогнозные отчеты'!F30=0,"-",('Прогнозные отчеты'!G30-'Прогнозные отчеты'!F30)/'Прогнозные отчеты'!F30)</f>
        <v>-</v>
      </c>
    </row>
    <row r="30" spans="1:7" s="143" customFormat="1" x14ac:dyDescent="0.2">
      <c r="A30" s="143" t="s">
        <v>383</v>
      </c>
      <c r="C30" s="164" t="s">
        <v>260</v>
      </c>
      <c r="D30" s="187" t="str">
        <f>IF('Прогнозные отчеты'!C31=0,"-",('Прогнозные отчеты'!D31-'Прогнозные отчеты'!C31)/'Прогнозные отчеты'!C31)</f>
        <v>-</v>
      </c>
      <c r="E30" s="187" t="str">
        <f>IF('Прогнозные отчеты'!D31=0,"-",('Прогнозные отчеты'!E31-'Прогнозные отчеты'!D31)/'Прогнозные отчеты'!D31)</f>
        <v>-</v>
      </c>
      <c r="F30" s="187" t="str">
        <f>IF('Прогнозные отчеты'!E31=0,"-",('Прогнозные отчеты'!F31-'Прогнозные отчеты'!E31)/'Прогнозные отчеты'!E31)</f>
        <v>-</v>
      </c>
      <c r="G30" s="187" t="str">
        <f>IF('Прогнозные отчеты'!F31=0,"-",('Прогнозные отчеты'!G31-'Прогнозные отчеты'!F31)/'Прогнозные отчеты'!F31)</f>
        <v>-</v>
      </c>
    </row>
    <row r="31" spans="1:7" x14ac:dyDescent="0.2">
      <c r="A31" s="168"/>
      <c r="B31" s="168"/>
      <c r="C31" s="169"/>
      <c r="D31" s="169"/>
      <c r="E31" s="169"/>
      <c r="F31" s="169"/>
      <c r="G31" s="169"/>
    </row>
    <row r="32" spans="1:7" x14ac:dyDescent="0.2">
      <c r="A32" s="25" t="s">
        <v>384</v>
      </c>
      <c r="B32" s="25"/>
      <c r="C32" s="169"/>
      <c r="D32" s="169"/>
      <c r="E32" s="169"/>
      <c r="F32" s="169"/>
      <c r="G32" s="169"/>
    </row>
    <row r="33" spans="1:8" x14ac:dyDescent="0.2">
      <c r="A33" s="191" t="s">
        <v>280</v>
      </c>
      <c r="B33" s="140"/>
      <c r="C33" s="163" t="s">
        <v>260</v>
      </c>
      <c r="D33" s="186" t="str">
        <f>IF('Прогнозные отчеты'!C34=0,"-",('Прогнозные отчеты'!D34-'Прогнозные отчеты'!C34)/'Прогнозные отчеты'!C34)</f>
        <v>-</v>
      </c>
      <c r="E33" s="186" t="str">
        <f>IF('Прогнозные отчеты'!D34=0,"-",('Прогнозные отчеты'!E34-'Прогнозные отчеты'!D34)/'Прогнозные отчеты'!D34)</f>
        <v>-</v>
      </c>
      <c r="F33" s="186" t="str">
        <f>IF('Прогнозные отчеты'!E34=0,"-",('Прогнозные отчеты'!F34-'Прогнозные отчеты'!E34)/'Прогнозные отчеты'!E34)</f>
        <v>-</v>
      </c>
      <c r="G33" s="186" t="str">
        <f>IF('Прогнозные отчеты'!F34=0,"-",('Прогнозные отчеты'!G34-'Прогнозные отчеты'!F34)/'Прогнозные отчеты'!F34)</f>
        <v>-</v>
      </c>
    </row>
    <row r="34" spans="1:8" x14ac:dyDescent="0.2">
      <c r="A34" s="189" t="s">
        <v>265</v>
      </c>
      <c r="B34" s="148"/>
      <c r="C34" s="163" t="s">
        <v>260</v>
      </c>
      <c r="D34" s="186" t="str">
        <f>IF('Прогнозные отчеты'!C35=0,"-",('Прогнозные отчеты'!D35-'Прогнозные отчеты'!C35)/'Прогнозные отчеты'!C35)</f>
        <v>-</v>
      </c>
      <c r="E34" s="186" t="str">
        <f>IF('Прогнозные отчеты'!D35=0,"-",('Прогнозные отчеты'!E35-'Прогнозные отчеты'!D35)/'Прогнозные отчеты'!D35)</f>
        <v>-</v>
      </c>
      <c r="F34" s="186" t="str">
        <f>IF('Прогнозные отчеты'!E35=0,"-",('Прогнозные отчеты'!F35-'Прогнозные отчеты'!E35)/'Прогнозные отчеты'!E35)</f>
        <v>-</v>
      </c>
      <c r="G34" s="186" t="str">
        <f>IF('Прогнозные отчеты'!F35=0,"-",('Прогнозные отчеты'!G35-'Прогнозные отчеты'!F35)/'Прогнозные отчеты'!F35)</f>
        <v>-</v>
      </c>
    </row>
    <row r="35" spans="1:8" x14ac:dyDescent="0.2">
      <c r="A35" s="189" t="s">
        <v>279</v>
      </c>
      <c r="B35" s="148"/>
      <c r="C35" s="163" t="s">
        <v>260</v>
      </c>
      <c r="D35" s="186" t="str">
        <f>IF('Прогнозные отчеты'!C36=0,"-",('Прогнозные отчеты'!D36-'Прогнозные отчеты'!C36)/'Прогнозные отчеты'!C36)</f>
        <v>-</v>
      </c>
      <c r="E35" s="186" t="str">
        <f>IF('Прогнозные отчеты'!D36=0,"-",('Прогнозные отчеты'!E36-'Прогнозные отчеты'!D36)/'Прогнозные отчеты'!D36)</f>
        <v>-</v>
      </c>
      <c r="F35" s="186" t="str">
        <f>IF('Прогнозные отчеты'!E36=0,"-",('Прогнозные отчеты'!F36-'Прогнозные отчеты'!E36)/'Прогнозные отчеты'!E36)</f>
        <v>-</v>
      </c>
      <c r="G35" s="186" t="str">
        <f>IF('Прогнозные отчеты'!F36=0,"-",('Прогнозные отчеты'!G36-'Прогнозные отчеты'!F36)/'Прогнозные отчеты'!F36)</f>
        <v>-</v>
      </c>
    </row>
    <row r="36" spans="1:8" x14ac:dyDescent="0.2">
      <c r="A36" s="189" t="s">
        <v>367</v>
      </c>
      <c r="B36" s="148"/>
      <c r="C36" s="163" t="s">
        <v>260</v>
      </c>
      <c r="D36" s="186" t="str">
        <f>IF('Прогнозные отчеты'!C37=0,"-",('Прогнозные отчеты'!D37-'Прогнозные отчеты'!C37)/'Прогнозные отчеты'!C37)</f>
        <v>-</v>
      </c>
      <c r="E36" s="186" t="str">
        <f>IF('Прогнозные отчеты'!D37=0,"-",('Прогнозные отчеты'!E37-'Прогнозные отчеты'!D37)/'Прогнозные отчеты'!D37)</f>
        <v>-</v>
      </c>
      <c r="F36" s="186" t="str">
        <f>IF('Прогнозные отчеты'!E37=0,"-",('Прогнозные отчеты'!F37-'Прогнозные отчеты'!E37)/'Прогнозные отчеты'!E37)</f>
        <v>-</v>
      </c>
      <c r="G36" s="186" t="str">
        <f>IF('Прогнозные отчеты'!F37=0,"-",('Прогнозные отчеты'!G37-'Прогнозные отчеты'!F37)/'Прогнозные отчеты'!F37)</f>
        <v>-</v>
      </c>
    </row>
    <row r="37" spans="1:8" x14ac:dyDescent="0.2">
      <c r="A37" s="189" t="s">
        <v>281</v>
      </c>
      <c r="B37" s="148"/>
      <c r="C37" s="163" t="s">
        <v>260</v>
      </c>
      <c r="D37" s="186" t="str">
        <f>IF('Прогнозные отчеты'!C38=0,"-",('Прогнозные отчеты'!D38-'Прогнозные отчеты'!C38)/'Прогнозные отчеты'!C38)</f>
        <v>-</v>
      </c>
      <c r="E37" s="186" t="str">
        <f>IF('Прогнозные отчеты'!D38=0,"-",('Прогнозные отчеты'!E38-'Прогнозные отчеты'!D38)/'Прогнозные отчеты'!D38)</f>
        <v>-</v>
      </c>
      <c r="F37" s="186" t="str">
        <f>IF('Прогнозные отчеты'!E38=0,"-",('Прогнозные отчеты'!F38-'Прогнозные отчеты'!E38)/'Прогнозные отчеты'!E38)</f>
        <v>-</v>
      </c>
      <c r="G37" s="186" t="str">
        <f>IF('Прогнозные отчеты'!F38=0,"-",('Прогнозные отчеты'!G38-'Прогнозные отчеты'!F38)/'Прогнозные отчеты'!F38)</f>
        <v>-</v>
      </c>
    </row>
    <row r="38" spans="1:8" x14ac:dyDescent="0.2">
      <c r="A38" s="149" t="s">
        <v>384</v>
      </c>
      <c r="B38" s="149"/>
      <c r="C38" s="164" t="s">
        <v>260</v>
      </c>
      <c r="D38" s="187" t="str">
        <f>IF('Прогнозные отчеты'!C39=0,"-",('Прогнозные отчеты'!D39-'Прогнозные отчеты'!C39)/'Прогнозные отчеты'!C39)</f>
        <v>-</v>
      </c>
      <c r="E38" s="187" t="str">
        <f>IF('Прогнозные отчеты'!D39=0,"-",('Прогнозные отчеты'!E39-'Прогнозные отчеты'!D39)/'Прогнозные отчеты'!D39)</f>
        <v>-</v>
      </c>
      <c r="F38" s="187" t="str">
        <f>IF('Прогнозные отчеты'!E39=0,"-",('Прогнозные отчеты'!F39-'Прогнозные отчеты'!E39)/'Прогнозные отчеты'!E39)</f>
        <v>-</v>
      </c>
      <c r="G38" s="187" t="str">
        <f>IF('Прогнозные отчеты'!F39=0,"-",('Прогнозные отчеты'!G39-'Прогнозные отчеты'!F39)/'Прогнозные отчеты'!F39)</f>
        <v>-</v>
      </c>
    </row>
    <row r="39" spans="1:8" x14ac:dyDescent="0.2">
      <c r="A39" s="193"/>
      <c r="B39" s="150"/>
      <c r="C39" s="158"/>
      <c r="D39" s="159"/>
      <c r="E39" s="159"/>
      <c r="F39" s="159"/>
      <c r="G39" s="159"/>
    </row>
    <row r="40" spans="1:8" s="170" customFormat="1" x14ac:dyDescent="0.2">
      <c r="A40" s="153" t="s">
        <v>386</v>
      </c>
      <c r="B40" s="153"/>
      <c r="C40" s="194" t="s">
        <v>260</v>
      </c>
      <c r="D40" s="187">
        <f>IF('Прогнозные отчеты'!C41=0,"-",('Прогнозные отчеты'!D41-'Прогнозные отчеты'!C41)/'Прогнозные отчеты'!C41)</f>
        <v>14.805389650994019</v>
      </c>
      <c r="E40" s="187">
        <f>IF('Прогнозные отчеты'!D41=0,"-",('Прогнозные отчеты'!E41-'Прогнозные отчеты'!D41)/'Прогнозные отчеты'!D41)</f>
        <v>5.0547669419738039E-2</v>
      </c>
      <c r="F40" s="187">
        <f>IF('Прогнозные отчеты'!E41=0,"-",('Прогнозные отчеты'!F41-'Прогнозные отчеты'!E41)/'Прогнозные отчеты'!E41)</f>
        <v>0.92233570520194497</v>
      </c>
      <c r="G40" s="187">
        <f>IF('Прогнозные отчеты'!F41=0,"-",('Прогнозные отчеты'!G41-'Прогнозные отчеты'!F41)/'Прогнозные отчеты'!F41)</f>
        <v>0.54182478793883637</v>
      </c>
    </row>
    <row r="41" spans="1:8" x14ac:dyDescent="0.2">
      <c r="A41" s="150"/>
      <c r="B41" s="150"/>
      <c r="C41" s="158"/>
      <c r="D41" s="159"/>
      <c r="E41" s="159"/>
      <c r="F41" s="159"/>
      <c r="G41" s="159"/>
    </row>
    <row r="43" spans="1:8" x14ac:dyDescent="0.2">
      <c r="A43" s="11" t="s">
        <v>357</v>
      </c>
      <c r="B43" s="11"/>
      <c r="C43" s="3">
        <f>Окружение!D4</f>
        <v>2019</v>
      </c>
      <c r="D43" s="4">
        <f>C43+1</f>
        <v>2020</v>
      </c>
      <c r="E43" s="5">
        <f>D43+1</f>
        <v>2021</v>
      </c>
      <c r="F43" s="6">
        <f>E43+1</f>
        <v>2022</v>
      </c>
      <c r="G43" s="7">
        <f>F43+1</f>
        <v>2023</v>
      </c>
      <c r="H43" s="20"/>
    </row>
    <row r="44" spans="1:8" x14ac:dyDescent="0.2">
      <c r="A44" s="172"/>
      <c r="B44" s="172"/>
      <c r="C44" s="152"/>
      <c r="D44" s="152"/>
      <c r="E44" s="152"/>
      <c r="F44" s="152"/>
      <c r="G44" s="152"/>
    </row>
    <row r="45" spans="1:8" x14ac:dyDescent="0.2">
      <c r="A45" s="173" t="s">
        <v>120</v>
      </c>
      <c r="B45" s="173"/>
      <c r="C45" s="163" t="s">
        <v>260</v>
      </c>
      <c r="D45" s="186" t="str">
        <f>IF('Прогнозные отчеты'!C49=0,"-",('Прогнозные отчеты'!D49-'Прогнозные отчеты'!C49)/'Прогнозные отчеты'!C49)</f>
        <v>-</v>
      </c>
      <c r="E45" s="186">
        <f>IF('Прогнозные отчеты'!D49=0,"-",('Прогнозные отчеты'!E49-'Прогнозные отчеты'!D49)/'Прогнозные отчеты'!D49)</f>
        <v>6.8000000000000005E-2</v>
      </c>
      <c r="F45" s="186">
        <f>IF('Прогнозные отчеты'!E49=0,"-",('Прогнозные отчеты'!F49-'Прогнозные отчеты'!E49)/'Прогнозные отчеты'!E49)</f>
        <v>1.1240000000000003</v>
      </c>
      <c r="G45" s="186">
        <f>IF('Прогнозные отчеты'!F49=0,"-",('Прогнозные отчеты'!G49-'Прогнозные отчеты'!F49)/'Прогнозные отчеты'!F49)</f>
        <v>0.5974999999999997</v>
      </c>
    </row>
    <row r="46" spans="1:8" x14ac:dyDescent="0.2">
      <c r="A46" s="173"/>
      <c r="B46" s="173"/>
      <c r="C46" s="177"/>
      <c r="D46" s="177"/>
      <c r="E46" s="177"/>
      <c r="F46" s="177"/>
      <c r="G46" s="177"/>
    </row>
    <row r="47" spans="1:8" x14ac:dyDescent="0.2">
      <c r="A47" s="173" t="s">
        <v>387</v>
      </c>
      <c r="B47" s="175"/>
      <c r="C47" s="163" t="s">
        <v>260</v>
      </c>
      <c r="D47" s="186">
        <f>IF('Прогнозные отчеты'!C51=0,"-",('Прогнозные отчеты'!D51-'Прогнозные отчеты'!C51)/'Прогнозные отчеты'!C51)</f>
        <v>11.290140350462258</v>
      </c>
      <c r="E47" s="186">
        <f>IF('Прогнозные отчеты'!D51=0,"-",('Прогнозные отчеты'!E51-'Прогнозные отчеты'!D51)/'Прогнозные отчеты'!D51)</f>
        <v>6.4764621324539737E-2</v>
      </c>
      <c r="F47" s="186">
        <f>IF('Прогнозные отчеты'!E51=0,"-",('Прогнозные отчеты'!F51-'Прогнозные отчеты'!E51)/'Прогнозные отчеты'!E51)</f>
        <v>1.0128326840816291</v>
      </c>
      <c r="G47" s="186">
        <f>IF('Прогнозные отчеты'!F51=0,"-",('Прогнозные отчеты'!G51-'Прогнозные отчеты'!F51)/'Прогнозные отчеты'!F51)</f>
        <v>0.56804619441162596</v>
      </c>
    </row>
    <row r="48" spans="1:8" x14ac:dyDescent="0.2">
      <c r="A48" s="201" t="s">
        <v>388</v>
      </c>
      <c r="B48" s="173"/>
      <c r="C48" s="163" t="s">
        <v>260</v>
      </c>
      <c r="D48" s="202">
        <f>IF('Прогнозные отчеты'!C52=0,"-",('Прогнозные отчеты'!D52-'Прогнозные отчеты'!C52)/'Прогнозные отчеты'!C52)</f>
        <v>18.999999999999996</v>
      </c>
      <c r="E48" s="202">
        <f>IF('Прогнозные отчеты'!D52=0,"-",('Прогнозные отчеты'!E52-'Прогнозные отчеты'!D52)/'Прогнозные отчеты'!D52)</f>
        <v>6.7999999999999963E-2</v>
      </c>
      <c r="F48" s="202">
        <f>IF('Прогнозные отчеты'!E52=0,"-",('Прогнозные отчеты'!F52-'Прогнозные отчеты'!E52)/'Прогнозные отчеты'!E52)</f>
        <v>1.1239999999999999</v>
      </c>
      <c r="G48" s="202">
        <f>IF('Прогнозные отчеты'!F52=0,"-",('Прогнозные отчеты'!G52-'Прогнозные отчеты'!F52)/'Прогнозные отчеты'!F52)</f>
        <v>0.59749999999999992</v>
      </c>
    </row>
    <row r="49" spans="1:7" x14ac:dyDescent="0.2">
      <c r="A49" s="201" t="s">
        <v>206</v>
      </c>
      <c r="B49" s="173"/>
      <c r="C49" s="163" t="s">
        <v>260</v>
      </c>
      <c r="D49" s="202">
        <f>IF('Прогнозные отчеты'!C53=0,"-",('Прогнозные отчеты'!D53-'Прогнозные отчеты'!C53)/'Прогнозные отчеты'!C53)</f>
        <v>2.3121000470309068</v>
      </c>
      <c r="E49" s="202">
        <f>IF('Прогнозные отчеты'!D53=0,"-",('Прогнозные отчеты'!E53-'Прогнозные отчеты'!D53)/'Прогнозные отчеты'!D53)</f>
        <v>3.5308404736354257E-2</v>
      </c>
      <c r="F49" s="202">
        <f>IF('Прогнозные отчеты'!E53=0,"-",('Прогнозные отчеты'!F53-'Прогнозные отчеты'!E53)/'Прогнозные отчеты'!E53)</f>
        <v>3.2293092109112007E-2</v>
      </c>
      <c r="G49" s="202">
        <f>IF('Прогнозные отчеты'!F53=0,"-",('Прогнозные отчеты'!G53-'Прогнозные отчеты'!F53)/'Прогнозные отчеты'!F53)</f>
        <v>6.6479360427413647E-2</v>
      </c>
    </row>
    <row r="50" spans="1:7" ht="12" customHeight="1" x14ac:dyDescent="0.2">
      <c r="A50" s="201" t="s">
        <v>389</v>
      </c>
      <c r="B50" s="173"/>
      <c r="C50" s="163" t="s">
        <v>260</v>
      </c>
      <c r="D50" s="202">
        <f>IF('Прогнозные отчеты'!C54=0,"-",('Прогнозные отчеты'!D54-'Прогнозные отчеты'!C54)/'Прогнозные отчеты'!C54)</f>
        <v>2.4357431858011567</v>
      </c>
      <c r="E50" s="202">
        <f>IF('Прогнозные отчеты'!D54=0,"-",('Прогнозные отчеты'!E54-'Прогнозные отчеты'!D54)/'Прогнозные отчеты'!D54)</f>
        <v>3.3225586306430632E-2</v>
      </c>
      <c r="F50" s="202">
        <f>IF('Прогнозные отчеты'!E54=0,"-",('Прогнозные отчеты'!F54-'Прогнозные отчеты'!E54)/'Прогнозные отчеты'!E54)</f>
        <v>3.0457901958984363E-2</v>
      </c>
      <c r="G50" s="202">
        <f>IF('Прогнозные отчеты'!F54=0,"-",('Прогнозные отчеты'!G54-'Прогнозные отчеты'!F54)/'Прогнозные отчеты'!F54)</f>
        <v>-5.7048091718417314E-2</v>
      </c>
    </row>
    <row r="51" spans="1:7" x14ac:dyDescent="0.2">
      <c r="A51" s="201" t="s">
        <v>326</v>
      </c>
      <c r="B51" s="173"/>
      <c r="C51" s="163" t="s">
        <v>260</v>
      </c>
      <c r="D51" s="202">
        <f>IF('Прогнозные отчеты'!C55=0,"-",('Прогнозные отчеты'!D55-'Прогнозные отчеты'!C55)/'Прогнозные отчеты'!C55)</f>
        <v>8.6000000000000201E-2</v>
      </c>
      <c r="E51" s="202">
        <f>IF('Прогнозные отчеты'!D55=0,"-",('Прогнозные отчеты'!E55-'Прогнозные отчеты'!D55)/'Прогнозные отчеты'!D55)</f>
        <v>6.800000000000006E-2</v>
      </c>
      <c r="F51" s="202">
        <f>IF('Прогнозные отчеты'!E55=0,"-",('Прогнозные отчеты'!F55-'Прогнозные отчеты'!E55)/'Прогнозные отчеты'!E55)</f>
        <v>6.2000000000000034E-2</v>
      </c>
      <c r="G51" s="202">
        <f>IF('Прогнозные отчеты'!F55=0,"-",('Прогнозные отчеты'!G55-'Прогнозные отчеты'!F55)/'Прогнозные отчеты'!F55)</f>
        <v>6.4999999999999947E-2</v>
      </c>
    </row>
    <row r="52" spans="1:7" x14ac:dyDescent="0.2">
      <c r="A52" s="201" t="s">
        <v>117</v>
      </c>
      <c r="B52" s="173"/>
      <c r="C52" s="163" t="s">
        <v>260</v>
      </c>
      <c r="D52" s="202">
        <f>IF('Прогнозные отчеты'!C56=0,"-",('Прогнозные отчеты'!D56-'Прогнозные отчеты'!C56)/'Прогнозные отчеты'!C56)</f>
        <v>0</v>
      </c>
      <c r="E52" s="202">
        <f>IF('Прогнозные отчеты'!D56=0,"-",('Прогнозные отчеты'!E56-'Прогнозные отчеты'!D56)/'Прогнозные отчеты'!D56)</f>
        <v>0</v>
      </c>
      <c r="F52" s="202">
        <f>IF('Прогнозные отчеты'!E56=0,"-",('Прогнозные отчеты'!F56-'Прогнозные отчеты'!E56)/'Прогнозные отчеты'!E56)</f>
        <v>0</v>
      </c>
      <c r="G52" s="202">
        <f>IF('Прогнозные отчеты'!F56=0,"-",('Прогнозные отчеты'!G56-'Прогнозные отчеты'!F56)/'Прогнозные отчеты'!F56)</f>
        <v>0</v>
      </c>
    </row>
    <row r="53" spans="1:7" x14ac:dyDescent="0.2">
      <c r="A53" s="174"/>
      <c r="B53" s="174"/>
      <c r="C53" s="176"/>
      <c r="D53" s="183"/>
      <c r="E53" s="183"/>
      <c r="F53" s="183"/>
      <c r="G53" s="183"/>
    </row>
    <row r="54" spans="1:7" s="143" customFormat="1" x14ac:dyDescent="0.2">
      <c r="A54" s="175" t="s">
        <v>20</v>
      </c>
      <c r="B54" s="175"/>
      <c r="C54" s="163" t="s">
        <v>260</v>
      </c>
      <c r="D54" s="186">
        <f>IF('Прогнозные отчеты'!C58=0,"-",('Прогнозные отчеты'!D58-'Прогнозные отчеты'!C58)/'Прогнозные отчеты'!C58)</f>
        <v>-12.316817101793875</v>
      </c>
      <c r="E54" s="186">
        <f>IF('Прогнозные отчеты'!D58=0,"-",('Прогнозные отчеты'!E58-'Прогнозные отчеты'!D58)/'Прогнозные отчеты'!D58)</f>
        <v>7.1513643248859823E-2</v>
      </c>
      <c r="F54" s="186">
        <f>IF('Прогнозные отчеты'!E58=0,"-",('Прогнозные отчеты'!F58-'Прогнозные отчеты'!E58)/'Прогнозные отчеты'!E58)</f>
        <v>1.2439680425375883</v>
      </c>
      <c r="G54" s="186">
        <f>IF('Прогнозные отчеты'!F58=0,"-",('Прогнозные отчеты'!G58-'Прогнозные отчеты'!F58)/'Прогнозные отчеты'!F58)</f>
        <v>0.62601155321568236</v>
      </c>
    </row>
    <row r="55" spans="1:7" x14ac:dyDescent="0.2">
      <c r="A55" s="174"/>
      <c r="B55" s="174"/>
      <c r="C55" s="181"/>
      <c r="D55" s="182"/>
      <c r="E55" s="182"/>
      <c r="F55" s="182"/>
      <c r="G55" s="182"/>
    </row>
    <row r="56" spans="1:7" s="179" customFormat="1" x14ac:dyDescent="0.2">
      <c r="A56" s="192" t="s">
        <v>328</v>
      </c>
      <c r="B56" s="178"/>
      <c r="C56" s="163" t="s">
        <v>260</v>
      </c>
      <c r="D56" s="186">
        <f>IF('Прогнозные отчеты'!C60=0,"-",('Прогнозные отчеты'!D60-'Прогнозные отчеты'!C60)/'Прогнозные отчеты'!C60)</f>
        <v>1.1719999999999999</v>
      </c>
      <c r="E56" s="186">
        <f>IF('Прогнозные отчеты'!D60=0,"-",('Прогнозные отчеты'!E60-'Прогнозные отчеты'!D60)/'Прогнозные отчеты'!D60)</f>
        <v>6.7999999999999935E-2</v>
      </c>
      <c r="F56" s="186">
        <f>IF('Прогнозные отчеты'!E60=0,"-",('Прогнозные отчеты'!F60-'Прогнозные отчеты'!E60)/'Прогнозные отчеты'!E60)</f>
        <v>6.1999999999999958E-2</v>
      </c>
      <c r="G56" s="186">
        <f>IF('Прогнозные отчеты'!F60=0,"-",('Прогнозные отчеты'!G60-'Прогнозные отчеты'!F60)/'Прогнозные отчеты'!F60)</f>
        <v>6.5000000000000058E-2</v>
      </c>
    </row>
    <row r="57" spans="1:7" s="179" customFormat="1" x14ac:dyDescent="0.2">
      <c r="A57" s="192" t="s">
        <v>108</v>
      </c>
      <c r="B57" s="178"/>
      <c r="C57" s="163" t="s">
        <v>260</v>
      </c>
      <c r="D57" s="186">
        <f>IF('Прогнозные отчеты'!C61=0,"-",('Прогнозные отчеты'!D61-'Прогнозные отчеты'!C61)/'Прогнозные отчеты'!C61)</f>
        <v>1.1719999999999999</v>
      </c>
      <c r="E57" s="186">
        <f>IF('Прогнозные отчеты'!D61=0,"-",('Прогнозные отчеты'!E61-'Прогнозные отчеты'!D61)/'Прогнозные отчеты'!D61)</f>
        <v>6.8000000000000088E-2</v>
      </c>
      <c r="F57" s="186">
        <f>IF('Прогнозные отчеты'!E61=0,"-",('Прогнозные отчеты'!F61-'Прогнозные отчеты'!E61)/'Прогнозные отчеты'!E61)</f>
        <v>6.200000000000002E-2</v>
      </c>
      <c r="G57" s="186">
        <f>IF('Прогнозные отчеты'!F61=0,"-",('Прогнозные отчеты'!G61-'Прогнозные отчеты'!F61)/'Прогнозные отчеты'!F61)</f>
        <v>6.5000000000000016E-2</v>
      </c>
    </row>
    <row r="58" spans="1:7" x14ac:dyDescent="0.2">
      <c r="A58" s="174"/>
      <c r="B58" s="174"/>
      <c r="C58" s="181"/>
      <c r="D58" s="182"/>
      <c r="E58" s="182"/>
      <c r="F58" s="182"/>
      <c r="G58" s="182"/>
    </row>
    <row r="59" spans="1:7" s="143" customFormat="1" x14ac:dyDescent="0.2">
      <c r="A59" s="180" t="s">
        <v>22</v>
      </c>
      <c r="B59" s="180"/>
      <c r="C59" s="163" t="s">
        <v>260</v>
      </c>
      <c r="D59" s="186">
        <f>IF('Прогнозные отчеты'!C63=0,"-",('Прогнозные отчеты'!D63-'Прогнозные отчеты'!C63)/'Прогнозные отчеты'!C63)</f>
        <v>-10.751408392390823</v>
      </c>
      <c r="E59" s="186">
        <f>IF('Прогнозные отчеты'!D63=0,"-",('Прогнозные отчеты'!E63-'Прогнозные отчеты'!D63)/'Прогнозные отчеты'!D63)</f>
        <v>7.1604467958801987E-2</v>
      </c>
      <c r="F59" s="186">
        <f>IF('Прогнозные отчеты'!E63=0,"-",('Прогнозные отчеты'!F63-'Прогнозные отчеты'!E63)/'Прогнозные отчеты'!E63)</f>
        <v>1.2744181498079483</v>
      </c>
      <c r="G59" s="186">
        <f>IF('Прогнозные отчеты'!F63=0,"-",('Прогнозные отчеты'!G63-'Прогнозные отчеты'!F63)/'Прогнозные отчеты'!F63)</f>
        <v>0.63276008195707267</v>
      </c>
    </row>
    <row r="60" spans="1:7" x14ac:dyDescent="0.2">
      <c r="A60" s="174"/>
      <c r="B60" s="174"/>
      <c r="C60" s="181"/>
      <c r="D60" s="182"/>
      <c r="E60" s="182"/>
      <c r="F60" s="182"/>
      <c r="G60" s="182"/>
    </row>
    <row r="61" spans="1:7" s="179" customFormat="1" ht="12" customHeight="1" x14ac:dyDescent="0.2">
      <c r="A61" s="192" t="s">
        <v>390</v>
      </c>
      <c r="B61" s="178"/>
      <c r="C61" s="163" t="s">
        <v>260</v>
      </c>
      <c r="D61" s="186" t="str">
        <f>IF('Прогнозные отчеты'!C65=0,"-",('Прогнозные отчеты'!D65-'Прогнозные отчеты'!C65)/'Прогнозные отчеты'!C65)</f>
        <v>-</v>
      </c>
      <c r="E61" s="186" t="str">
        <f>IF('Прогнозные отчеты'!D65=0,"-",('Прогнозные отчеты'!E65-'Прогнозные отчеты'!D65)/'Прогнозные отчеты'!D65)</f>
        <v>-</v>
      </c>
      <c r="F61" s="186" t="str">
        <f>IF('Прогнозные отчеты'!E65=0,"-",('Прогнозные отчеты'!F65-'Прогнозные отчеты'!E65)/'Прогнозные отчеты'!E65)</f>
        <v>-</v>
      </c>
      <c r="G61" s="186" t="str">
        <f>IF('Прогнозные отчеты'!F65=0,"-",('Прогнозные отчеты'!G65-'Прогнозные отчеты'!F65)/'Прогнозные отчеты'!F65)</f>
        <v>-</v>
      </c>
    </row>
    <row r="62" spans="1:7" s="179" customFormat="1" x14ac:dyDescent="0.2">
      <c r="A62" s="192" t="s">
        <v>391</v>
      </c>
      <c r="B62" s="178"/>
      <c r="C62" s="163" t="s">
        <v>260</v>
      </c>
      <c r="D62" s="186" t="str">
        <f>IF('Прогнозные отчеты'!C66=0,"-",('Прогнозные отчеты'!D66-'Прогнозные отчеты'!C66)/'Прогнозные отчеты'!C66)</f>
        <v>-</v>
      </c>
      <c r="E62" s="186" t="str">
        <f>IF('Прогнозные отчеты'!D66=0,"-",('Прогнозные отчеты'!E66-'Прогнозные отчеты'!D66)/'Прогнозные отчеты'!D66)</f>
        <v>-</v>
      </c>
      <c r="F62" s="186" t="str">
        <f>IF('Прогнозные отчеты'!E66=0,"-",('Прогнозные отчеты'!F66-'Прогнозные отчеты'!E66)/'Прогнозные отчеты'!E66)</f>
        <v>-</v>
      </c>
      <c r="G62" s="186" t="str">
        <f>IF('Прогнозные отчеты'!F66=0,"-",('Прогнозные отчеты'!G66-'Прогнозные отчеты'!F66)/'Прогнозные отчеты'!F66)</f>
        <v>-</v>
      </c>
    </row>
    <row r="63" spans="1:7" x14ac:dyDescent="0.2">
      <c r="A63" s="174"/>
      <c r="B63" s="174"/>
      <c r="C63" s="181"/>
      <c r="D63" s="182"/>
      <c r="E63" s="182"/>
      <c r="F63" s="182"/>
      <c r="G63" s="182"/>
    </row>
    <row r="64" spans="1:7" s="143" customFormat="1" x14ac:dyDescent="0.2">
      <c r="A64" s="180" t="s">
        <v>27</v>
      </c>
      <c r="B64" s="180"/>
      <c r="C64" s="163" t="s">
        <v>260</v>
      </c>
      <c r="D64" s="186">
        <f>IF('Прогнозные отчеты'!C70=0,"-",('Прогнозные отчеты'!D70-'Прогнозные отчеты'!C70)/'Прогнозные отчеты'!C70)</f>
        <v>-10.751408392390823</v>
      </c>
      <c r="E64" s="186">
        <f>IF('Прогнозные отчеты'!D70=0,"-",('Прогнозные отчеты'!E70-'Прогнозные отчеты'!D70)/'Прогнозные отчеты'!D70)</f>
        <v>7.1604467958801987E-2</v>
      </c>
      <c r="F64" s="186">
        <f>IF('Прогнозные отчеты'!E70=0,"-",('Прогнозные отчеты'!F70-'Прогнозные отчеты'!E70)/'Прогнозные отчеты'!E70)</f>
        <v>1.2744181498079483</v>
      </c>
      <c r="G64" s="186">
        <f>IF('Прогнозные отчеты'!F70=0,"-",('Прогнозные отчеты'!G70-'Прогнозные отчеты'!F70)/'Прогнозные отчеты'!F70)</f>
        <v>0.63276008195707267</v>
      </c>
    </row>
    <row r="65" spans="1:7" x14ac:dyDescent="0.2">
      <c r="A65" s="174"/>
      <c r="B65" s="174"/>
      <c r="C65" s="181"/>
      <c r="D65" s="182"/>
      <c r="E65" s="182"/>
      <c r="F65" s="182"/>
      <c r="G65" s="182"/>
    </row>
    <row r="66" spans="1:7" x14ac:dyDescent="0.2">
      <c r="A66" s="192" t="s">
        <v>96</v>
      </c>
      <c r="B66" s="173"/>
      <c r="C66" s="163" t="s">
        <v>260</v>
      </c>
      <c r="D66" s="186" t="str">
        <f>IF('Прогнозные отчеты'!C72=0,"-",('Прогнозные отчеты'!D72-'Прогнозные отчеты'!C72)/'Прогнозные отчеты'!C72)</f>
        <v>-</v>
      </c>
      <c r="E66" s="186">
        <f>IF('Прогнозные отчеты'!D72=0,"-",('Прогнозные отчеты'!E72-'Прогнозные отчеты'!D72)/'Прогнозные отчеты'!D72)</f>
        <v>7.061035441685154E-2</v>
      </c>
      <c r="F66" s="186">
        <f>IF('Прогнозные отчеты'!E72=0,"-",('Прогнозные отчеты'!F72-'Прогнозные отчеты'!E72)/'Прогнозные отчеты'!E72)</f>
        <v>1.2330339200715656</v>
      </c>
      <c r="G66" s="186">
        <f>IF('Прогнозные отчеты'!F72=0,"-",('Прогнозные отчеты'!G72-'Прогнозные отчеты'!F72)/'Прогнозные отчеты'!F72)</f>
        <v>0.6235489884428006</v>
      </c>
    </row>
    <row r="67" spans="1:7" s="179" customFormat="1" x14ac:dyDescent="0.2">
      <c r="A67" s="178"/>
      <c r="B67" s="178"/>
      <c r="C67" s="184"/>
      <c r="D67" s="185"/>
      <c r="E67" s="185"/>
      <c r="F67" s="185"/>
      <c r="G67" s="185"/>
    </row>
    <row r="68" spans="1:7" s="143" customFormat="1" x14ac:dyDescent="0.2">
      <c r="A68" s="175" t="s">
        <v>29</v>
      </c>
      <c r="B68" s="175"/>
      <c r="C68" s="163" t="s">
        <v>260</v>
      </c>
      <c r="D68" s="186">
        <f>IF('Прогнозные отчеты'!C74=0,"-",('Прогнозные отчеты'!D74-'Прогнозные отчеты'!C74)/'Прогнозные отчеты'!C74)</f>
        <v>-8.7316459296771658</v>
      </c>
      <c r="E68" s="186">
        <f>IF('Прогнозные отчеты'!D74=0,"-",('Прогнозные отчеты'!E74-'Прогнозные отчеты'!D74)/'Прогнозные отчеты'!D74)</f>
        <v>7.1864163401915745E-2</v>
      </c>
      <c r="F68" s="186">
        <f>IF('Прогнозные отчеты'!E74=0,"-",('Прогнозные отчеты'!F74-'Прогнозные отчеты'!E74)/'Прогнозные отчеты'!E74)</f>
        <v>1.2852164377481867</v>
      </c>
      <c r="G68" s="186">
        <f>IF('Прогнозные отчеты'!F74=0,"-",('Прогнозные отчеты'!G74-'Прогнозные отчеты'!F74)/'Прогнозные отчеты'!F74)</f>
        <v>0.63510862865404094</v>
      </c>
    </row>
    <row r="69" spans="1:7" x14ac:dyDescent="0.2">
      <c r="A69" s="173"/>
      <c r="B69" s="173"/>
      <c r="C69" s="146"/>
      <c r="D69" s="146"/>
      <c r="E69" s="146"/>
      <c r="F69" s="146"/>
      <c r="G69" s="146"/>
    </row>
    <row r="70" spans="1:7" x14ac:dyDescent="0.2">
      <c r="A70" s="148"/>
      <c r="B70" s="148"/>
      <c r="C70" s="152"/>
      <c r="D70" s="152"/>
      <c r="E70" s="152"/>
      <c r="F70" s="152"/>
      <c r="G70" s="152"/>
    </row>
    <row r="71" spans="1:7" x14ac:dyDescent="0.2">
      <c r="A71" s="148"/>
      <c r="B71" s="148"/>
      <c r="C71" s="152"/>
      <c r="D71" s="152"/>
      <c r="E71" s="152"/>
      <c r="F71" s="152"/>
      <c r="G71" s="152"/>
    </row>
    <row r="72" spans="1:7" x14ac:dyDescent="0.2">
      <c r="A72" s="11" t="s">
        <v>477</v>
      </c>
      <c r="B72" s="11"/>
      <c r="C72" s="3">
        <f>Окружение!D4</f>
        <v>2019</v>
      </c>
      <c r="D72" s="4">
        <f>C72+1</f>
        <v>2020</v>
      </c>
      <c r="E72" s="5">
        <f>D72+1</f>
        <v>2021</v>
      </c>
      <c r="F72" s="6">
        <f>E72+1</f>
        <v>2022</v>
      </c>
      <c r="G72" s="7">
        <f>F72+1</f>
        <v>2023</v>
      </c>
    </row>
    <row r="73" spans="1:7" x14ac:dyDescent="0.2">
      <c r="A73" s="148"/>
      <c r="B73" s="148"/>
      <c r="C73" s="152"/>
      <c r="D73" s="152"/>
      <c r="E73" s="152"/>
      <c r="F73" s="152"/>
      <c r="G73" s="152"/>
    </row>
    <row r="74" spans="1:7" x14ac:dyDescent="0.2">
      <c r="A74" s="148" t="s">
        <v>478</v>
      </c>
      <c r="B74" s="77" t="s">
        <v>91</v>
      </c>
      <c r="C74" s="154" t="str">
        <f>C68</f>
        <v>-</v>
      </c>
      <c r="D74" s="154">
        <f>D68</f>
        <v>-8.7316459296771658</v>
      </c>
      <c r="E74" s="154">
        <f>E68</f>
        <v>7.1864163401915745E-2</v>
      </c>
      <c r="F74" s="154">
        <f>F68</f>
        <v>1.2852164377481867</v>
      </c>
      <c r="G74" s="154">
        <f>G68</f>
        <v>0.63510862865404094</v>
      </c>
    </row>
    <row r="75" spans="1:7" x14ac:dyDescent="0.2">
      <c r="A75" s="148" t="s">
        <v>479</v>
      </c>
      <c r="B75" s="77" t="s">
        <v>91</v>
      </c>
      <c r="C75" s="154" t="str">
        <f>C45</f>
        <v>-</v>
      </c>
      <c r="D75" s="154" t="str">
        <f>D45</f>
        <v>-</v>
      </c>
      <c r="E75" s="154">
        <f>E45</f>
        <v>6.8000000000000005E-2</v>
      </c>
      <c r="F75" s="154">
        <f>F45</f>
        <v>1.1240000000000003</v>
      </c>
      <c r="G75" s="154">
        <f>G45</f>
        <v>0.5974999999999997</v>
      </c>
    </row>
    <row r="76" spans="1:7" x14ac:dyDescent="0.2">
      <c r="A76" s="144" t="s">
        <v>480</v>
      </c>
      <c r="B76" s="77" t="s">
        <v>91</v>
      </c>
      <c r="C76" s="154" t="str">
        <f>C19</f>
        <v>-</v>
      </c>
      <c r="D76" s="154">
        <f>D19</f>
        <v>14.805389650994019</v>
      </c>
      <c r="E76" s="154">
        <f>E19</f>
        <v>5.0547669419738039E-2</v>
      </c>
      <c r="F76" s="154">
        <f>F19</f>
        <v>0.92233570520194497</v>
      </c>
      <c r="G76" s="154">
        <f>G19</f>
        <v>0.54182478793883637</v>
      </c>
    </row>
    <row r="77" spans="1:7" x14ac:dyDescent="0.2">
      <c r="A77" s="144" t="s">
        <v>481</v>
      </c>
      <c r="B77" s="77" t="s">
        <v>91</v>
      </c>
      <c r="C77" s="154" t="str">
        <f>C26</f>
        <v>-</v>
      </c>
      <c r="D77" s="154">
        <f>D26</f>
        <v>14.805389650994019</v>
      </c>
      <c r="E77" s="154">
        <f>E26</f>
        <v>5.0547669419738039E-2</v>
      </c>
      <c r="F77" s="154">
        <f>F26</f>
        <v>0.92233570520194497</v>
      </c>
      <c r="G77" s="154">
        <f>G26</f>
        <v>0.54182478793883637</v>
      </c>
    </row>
    <row r="79" spans="1:7" s="143" customFormat="1" x14ac:dyDescent="0.2">
      <c r="A79" s="142" t="s">
        <v>482</v>
      </c>
      <c r="B79" s="142"/>
      <c r="C79" s="242"/>
      <c r="D79" s="242"/>
      <c r="E79" s="242"/>
      <c r="F79" s="242"/>
      <c r="G79" s="242"/>
    </row>
  </sheetData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6"/>
  <sheetViews>
    <sheetView zoomScale="85" zoomScaleNormal="85" workbookViewId="0">
      <selection activeCell="X51" sqref="X51"/>
    </sheetView>
  </sheetViews>
  <sheetFormatPr defaultRowHeight="12.75" x14ac:dyDescent="0.2"/>
  <cols>
    <col min="1" max="1" width="41.140625" style="144" customWidth="1"/>
    <col min="2" max="2" width="11.85546875" style="144" customWidth="1"/>
    <col min="3" max="3" width="10.42578125" style="140" bestFit="1" customWidth="1"/>
    <col min="4" max="6" width="11.7109375" style="140" bestFit="1" customWidth="1"/>
    <col min="7" max="7" width="12.28515625" style="140" bestFit="1" customWidth="1"/>
    <col min="8" max="16384" width="9.140625" style="140"/>
  </cols>
  <sheetData>
    <row r="1" spans="1:8" ht="18" x14ac:dyDescent="0.25">
      <c r="A1" s="282"/>
    </row>
    <row r="2" spans="1:8" x14ac:dyDescent="0.2">
      <c r="A2" s="11" t="s">
        <v>398</v>
      </c>
      <c r="B2" s="11"/>
      <c r="C2" s="3">
        <f>Окружение!D4</f>
        <v>2019</v>
      </c>
      <c r="D2" s="4">
        <f>C2+1</f>
        <v>2020</v>
      </c>
      <c r="E2" s="5">
        <f>D2+1</f>
        <v>2021</v>
      </c>
      <c r="F2" s="6">
        <f>E2+1</f>
        <v>2022</v>
      </c>
      <c r="G2" s="7">
        <f>F2+1</f>
        <v>2023</v>
      </c>
    </row>
    <row r="3" spans="1:8" s="141" customFormat="1" x14ac:dyDescent="0.2">
      <c r="A3" s="147"/>
      <c r="B3" s="147"/>
    </row>
    <row r="4" spans="1:8" x14ac:dyDescent="0.2">
      <c r="A4" s="167" t="s">
        <v>170</v>
      </c>
      <c r="B4" s="121"/>
      <c r="C4" s="61"/>
      <c r="D4" s="61"/>
      <c r="E4" s="61"/>
      <c r="F4" s="62"/>
      <c r="G4" s="61"/>
      <c r="H4" s="152"/>
    </row>
    <row r="5" spans="1:8" x14ac:dyDescent="0.2">
      <c r="A5" s="25" t="s">
        <v>377</v>
      </c>
      <c r="B5" s="25"/>
    </row>
    <row r="6" spans="1:8" x14ac:dyDescent="0.2">
      <c r="A6" s="189" t="s">
        <v>264</v>
      </c>
      <c r="B6" s="77"/>
      <c r="C6" s="186">
        <f>IF('Прогнозные отчеты'!C$19=0,0,'Прогнозные отчеты'!C6/'Прогнозные отчеты'!C$19)</f>
        <v>5.3294808180741962E-2</v>
      </c>
      <c r="D6" s="186">
        <f>IF('Прогнозные отчеты'!D$19=0,0,'Прогнозные отчеты'!D6/'Прогнозные отчеты'!D$19)</f>
        <v>3.1944684307936072E-3</v>
      </c>
      <c r="E6" s="186">
        <f>IF('Прогнозные отчеты'!E$19=0,0,'Прогнозные отчеты'!E6/'Прогнозные отчеты'!E$19)</f>
        <v>2.8718334733754632E-3</v>
      </c>
      <c r="F6" s="186">
        <f>IF('Прогнозные отчеты'!F$19=0,0,'Прогнозные отчеты'!F6/'Прогнозные отчеты'!F$19)</f>
        <v>1.4060510270263783E-3</v>
      </c>
      <c r="G6" s="186">
        <f>IF('Прогнозные отчеты'!G$19=0,0,'Прогнозные отчеты'!G6/'Прогнозные отчеты'!G$19)</f>
        <v>8.5494334255671654E-4</v>
      </c>
    </row>
    <row r="7" spans="1:8" x14ac:dyDescent="0.2">
      <c r="A7" s="189" t="s">
        <v>263</v>
      </c>
      <c r="B7" s="77"/>
      <c r="C7" s="186">
        <f>IF('Прогнозные отчеты'!C$19=0,0,'Прогнозные отчеты'!C7/'Прогнозные отчеты'!C$19)</f>
        <v>9.2310390135034948E-2</v>
      </c>
      <c r="D7" s="186">
        <f>IF('Прогнозные отчеты'!D$19=0,0,'Прогнозные отчеты'!D7/'Прогнозные отчеты'!D$19)</f>
        <v>5.3462350162195808E-3</v>
      </c>
      <c r="E7" s="186">
        <f>IF('Прогнозные отчеты'!E$19=0,0,'Прогнозные отчеты'!E7/'Прогнозные отчеты'!E$19)</f>
        <v>4.6185743795278452E-3</v>
      </c>
      <c r="F7" s="186">
        <f>IF('Прогнозные отчеты'!F$19=0,0,'Прогнозные отчеты'!F7/'Прогнозные отчеты'!F$19)</f>
        <v>2.1578700960100295E-3</v>
      </c>
      <c r="G7" s="186">
        <f>IF('Прогнозные отчеты'!G$19=0,0,'Прогнозные отчеты'!G7/'Прогнозные отчеты'!G$19)</f>
        <v>1.2408384490176329E-3</v>
      </c>
    </row>
    <row r="8" spans="1:8" x14ac:dyDescent="0.2">
      <c r="A8" s="189" t="s">
        <v>175</v>
      </c>
      <c r="B8" s="77"/>
      <c r="C8" s="186">
        <f>IF('Прогнозные отчеты'!C$19=0,0,'Прогнозные отчеты'!C8/'Прогнозные отчеты'!C$19)</f>
        <v>0</v>
      </c>
      <c r="D8" s="186">
        <f>IF('Прогнозные отчеты'!D$19=0,0,'Прогнозные отчеты'!D8/'Прогнозные отчеты'!D$19)</f>
        <v>0</v>
      </c>
      <c r="E8" s="186">
        <f>IF('Прогнозные отчеты'!E$19=0,0,'Прогнозные отчеты'!E8/'Прогнозные отчеты'!E$19)</f>
        <v>0</v>
      </c>
      <c r="F8" s="186">
        <f>IF('Прогнозные отчеты'!F$19=0,0,'Прогнозные отчеты'!F8/'Прогнозные отчеты'!F$19)</f>
        <v>0</v>
      </c>
      <c r="G8" s="186">
        <f>IF('Прогнозные отчеты'!G$19=0,0,'Прогнозные отчеты'!G8/'Прогнозные отчеты'!G$19)</f>
        <v>0</v>
      </c>
    </row>
    <row r="9" spans="1:8" x14ac:dyDescent="0.2">
      <c r="A9" s="153" t="s">
        <v>378</v>
      </c>
      <c r="B9" s="77"/>
      <c r="C9" s="187">
        <f>IF('Прогнозные отчеты'!C$19=0,0,'Прогнозные отчеты'!C9/'Прогнозные отчеты'!C$19)</f>
        <v>0.1456051983157769</v>
      </c>
      <c r="D9" s="187">
        <f>IF('Прогнозные отчеты'!D$19=0,0,'Прогнозные отчеты'!D9/'Прогнозные отчеты'!D$19)</f>
        <v>8.5407034470131888E-3</v>
      </c>
      <c r="E9" s="187">
        <f>IF('Прогнозные отчеты'!E$19=0,0,'Прогнозные отчеты'!E9/'Прогнозные отчеты'!E$19)</f>
        <v>7.4904078529033089E-3</v>
      </c>
      <c r="F9" s="187">
        <f>IF('Прогнозные отчеты'!F$19=0,0,'Прогнозные отчеты'!F9/'Прогнозные отчеты'!F$19)</f>
        <v>3.5639211230364073E-3</v>
      </c>
      <c r="G9" s="187">
        <f>IF('Прогнозные отчеты'!G$19=0,0,'Прогнозные отчеты'!G9/'Прогнозные отчеты'!G$19)</f>
        <v>2.0957817915743496E-3</v>
      </c>
    </row>
    <row r="10" spans="1:8" x14ac:dyDescent="0.2">
      <c r="A10" s="151"/>
      <c r="B10" s="151"/>
      <c r="C10" s="203"/>
      <c r="D10" s="203"/>
      <c r="E10" s="203"/>
      <c r="F10" s="203"/>
      <c r="G10" s="203"/>
      <c r="H10" s="152"/>
    </row>
    <row r="11" spans="1:8" x14ac:dyDescent="0.2">
      <c r="A11" s="25" t="s">
        <v>176</v>
      </c>
      <c r="B11" s="152"/>
      <c r="C11" s="203"/>
      <c r="D11" s="203"/>
      <c r="E11" s="203"/>
      <c r="F11" s="203"/>
      <c r="G11" s="203"/>
      <c r="H11" s="152"/>
    </row>
    <row r="12" spans="1:8" x14ac:dyDescent="0.2">
      <c r="A12" s="189" t="s">
        <v>379</v>
      </c>
      <c r="B12" s="77"/>
      <c r="C12" s="186">
        <f>IF('Прогнозные отчеты'!C$19=0,0,'Прогнозные отчеты'!C12/'Прогнозные отчеты'!C$19)</f>
        <v>0</v>
      </c>
      <c r="D12" s="186">
        <f>IF('Прогнозные отчеты'!D$19=0,0,'Прогнозные отчеты'!D12/'Прогнозные отчеты'!D$19)</f>
        <v>0</v>
      </c>
      <c r="E12" s="186">
        <f>IF('Прогнозные отчеты'!E$19=0,0,'Прогнозные отчеты'!E12/'Прогнозные отчеты'!E$19)</f>
        <v>0</v>
      </c>
      <c r="F12" s="186">
        <f>IF('Прогнозные отчеты'!F$19=0,0,'Прогнозные отчеты'!F12/'Прогнозные отчеты'!F$19)</f>
        <v>0</v>
      </c>
      <c r="G12" s="186">
        <f>IF('Прогнозные отчеты'!G$19=0,0,'Прогнозные отчеты'!G12/'Прогнозные отчеты'!G$19)</f>
        <v>0</v>
      </c>
    </row>
    <row r="13" spans="1:8" x14ac:dyDescent="0.2">
      <c r="A13" s="190" t="s">
        <v>277</v>
      </c>
      <c r="B13" s="77"/>
      <c r="C13" s="186">
        <f>IF('Прогнозные отчеты'!C$19=0,0,'Прогнозные отчеты'!C13/'Прогнозные отчеты'!C$19)</f>
        <v>0</v>
      </c>
      <c r="D13" s="186">
        <f>IF('Прогнозные отчеты'!D$19=0,0,'Прогнозные отчеты'!D13/'Прогнозные отчеты'!D$19)</f>
        <v>0</v>
      </c>
      <c r="E13" s="186">
        <f>IF('Прогнозные отчеты'!E$19=0,0,'Прогнозные отчеты'!E13/'Прогнозные отчеты'!E$19)</f>
        <v>0</v>
      </c>
      <c r="F13" s="186">
        <f>IF('Прогнозные отчеты'!F$19=0,0,'Прогнозные отчеты'!F13/'Прогнозные отчеты'!F$19)</f>
        <v>0</v>
      </c>
      <c r="G13" s="186">
        <f>IF('Прогнозные отчеты'!G$19=0,0,'Прогнозные отчеты'!G13/'Прогнозные отчеты'!G$19)</f>
        <v>0</v>
      </c>
    </row>
    <row r="14" spans="1:8" x14ac:dyDescent="0.2">
      <c r="A14" s="189" t="s">
        <v>276</v>
      </c>
      <c r="B14" s="77"/>
      <c r="C14" s="186">
        <f>IF('Прогнозные отчеты'!C$19=0,0,'Прогнозные отчеты'!C14/'Прогнозные отчеты'!C$19)</f>
        <v>0</v>
      </c>
      <c r="D14" s="186">
        <f>IF('Прогнозные отчеты'!D$19=0,0,'Прогнозные отчеты'!D14/'Прогнозные отчеты'!D$19)</f>
        <v>0</v>
      </c>
      <c r="E14" s="186">
        <f>IF('Прогнозные отчеты'!E$19=0,0,'Прогнозные отчеты'!E14/'Прогнозные отчеты'!E$19)</f>
        <v>0</v>
      </c>
      <c r="F14" s="186">
        <f>IF('Прогнозные отчеты'!F$19=0,0,'Прогнозные отчеты'!F14/'Прогнозные отчеты'!F$19)</f>
        <v>0</v>
      </c>
      <c r="G14" s="186">
        <f>IF('Прогнозные отчеты'!G$19=0,0,'Прогнозные отчеты'!G14/'Прогнозные отчеты'!G$19)</f>
        <v>0</v>
      </c>
    </row>
    <row r="15" spans="1:8" x14ac:dyDescent="0.2">
      <c r="A15" s="189" t="s">
        <v>262</v>
      </c>
      <c r="B15" s="77"/>
      <c r="C15" s="186">
        <f>IF('Прогнозные отчеты'!C$19=0,0,'Прогнозные отчеты'!C15/'Прогнозные отчеты'!C$19)</f>
        <v>0</v>
      </c>
      <c r="D15" s="186">
        <f>IF('Прогнозные отчеты'!D$19=0,0,'Прогнозные отчеты'!D15/'Прогнозные отчеты'!D$19)</f>
        <v>0</v>
      </c>
      <c r="E15" s="186">
        <f>IF('Прогнозные отчеты'!E$19=0,0,'Прогнозные отчеты'!E15/'Прогнозные отчеты'!E$19)</f>
        <v>0</v>
      </c>
      <c r="F15" s="186">
        <f>IF('Прогнозные отчеты'!F$19=0,0,'Прогнозные отчеты'!F15/'Прогнозные отчеты'!F$19)</f>
        <v>0</v>
      </c>
      <c r="G15" s="186">
        <f>IF('Прогнозные отчеты'!G$19=0,0,'Прогнозные отчеты'!G15/'Прогнозные отчеты'!G$19)</f>
        <v>0</v>
      </c>
    </row>
    <row r="16" spans="1:8" x14ac:dyDescent="0.2">
      <c r="A16" s="189" t="s">
        <v>261</v>
      </c>
      <c r="B16" s="77"/>
      <c r="C16" s="186">
        <f>IF('Прогнозные отчеты'!C$19=0,0,'Прогнозные отчеты'!C16/'Прогнозные отчеты'!C$19)</f>
        <v>0.8543948016842231</v>
      </c>
      <c r="D16" s="186">
        <f>IF('Прогнозные отчеты'!D$19=0,0,'Прогнозные отчеты'!D16/'Прогнозные отчеты'!D$19)</f>
        <v>0.99145929655298681</v>
      </c>
      <c r="E16" s="186">
        <f>IF('Прогнозные отчеты'!E$19=0,0,'Прогнозные отчеты'!E16/'Прогнозные отчеты'!E$19)</f>
        <v>0.99250959214709666</v>
      </c>
      <c r="F16" s="186">
        <f>IF('Прогнозные отчеты'!F$19=0,0,'Прогнозные отчеты'!F16/'Прогнозные отчеты'!F$19)</f>
        <v>0.99643607887696362</v>
      </c>
      <c r="G16" s="186">
        <f>IF('Прогнозные отчеты'!G$19=0,0,'Прогнозные отчеты'!G16/'Прогнозные отчеты'!G$19)</f>
        <v>0.99790421820842568</v>
      </c>
    </row>
    <row r="17" spans="1:8" x14ac:dyDescent="0.2">
      <c r="A17" s="153" t="s">
        <v>380</v>
      </c>
      <c r="B17" s="77"/>
      <c r="C17" s="187">
        <f>IF('Прогнозные отчеты'!C$19=0,0,'Прогнозные отчеты'!C17/'Прогнозные отчеты'!C$19)</f>
        <v>0.8543948016842231</v>
      </c>
      <c r="D17" s="187">
        <f>IF('Прогнозные отчеты'!D$19=0,0,'Прогнозные отчеты'!D17/'Прогнозные отчеты'!D$19)</f>
        <v>0.99145929655298681</v>
      </c>
      <c r="E17" s="187">
        <f>IF('Прогнозные отчеты'!E$19=0,0,'Прогнозные отчеты'!E17/'Прогнозные отчеты'!E$19)</f>
        <v>0.99250959214709666</v>
      </c>
      <c r="F17" s="187">
        <f>IF('Прогнозные отчеты'!F$19=0,0,'Прогнозные отчеты'!F17/'Прогнозные отчеты'!F$19)</f>
        <v>0.99643607887696362</v>
      </c>
      <c r="G17" s="187">
        <f>IF('Прогнозные отчеты'!G$19=0,0,'Прогнозные отчеты'!G17/'Прогнозные отчеты'!G$19)</f>
        <v>0.99790421820842568</v>
      </c>
    </row>
    <row r="18" spans="1:8" x14ac:dyDescent="0.2">
      <c r="A18" s="150"/>
      <c r="B18" s="150"/>
      <c r="C18" s="203"/>
      <c r="D18" s="203"/>
      <c r="E18" s="203"/>
      <c r="F18" s="203"/>
      <c r="G18" s="203"/>
      <c r="H18" s="152"/>
    </row>
    <row r="19" spans="1:8" x14ac:dyDescent="0.2">
      <c r="A19" s="142" t="s">
        <v>385</v>
      </c>
      <c r="B19" s="77"/>
      <c r="C19" s="187">
        <f>IF('Прогнозные отчеты'!C$19=0,0,'Прогнозные отчеты'!C19/'Прогнозные отчеты'!C$19)</f>
        <v>1</v>
      </c>
      <c r="D19" s="187">
        <f>IF('Прогнозные отчеты'!D$19=0,0,'Прогнозные отчеты'!D19/'Прогнозные отчеты'!D$19)</f>
        <v>1</v>
      </c>
      <c r="E19" s="187">
        <f>IF('Прогнозные отчеты'!E$19=0,0,'Прогнозные отчеты'!E19/'Прогнозные отчеты'!E$19)</f>
        <v>1</v>
      </c>
      <c r="F19" s="187">
        <f>IF('Прогнозные отчеты'!F$19=0,0,'Прогнозные отчеты'!F19/'Прогнозные отчеты'!F$19)</f>
        <v>1</v>
      </c>
      <c r="G19" s="187">
        <f>IF('Прогнозные отчеты'!G$19=0,0,'Прогнозные отчеты'!G19/'Прогнозные отчеты'!G$19)</f>
        <v>1</v>
      </c>
    </row>
    <row r="20" spans="1:8" x14ac:dyDescent="0.2">
      <c r="A20" s="140"/>
      <c r="B20" s="140"/>
      <c r="C20" s="146"/>
      <c r="D20" s="146"/>
      <c r="E20" s="146"/>
      <c r="F20" s="146"/>
      <c r="G20" s="146"/>
    </row>
    <row r="21" spans="1:8" x14ac:dyDescent="0.2">
      <c r="A21" s="140"/>
      <c r="B21" s="140"/>
    </row>
    <row r="22" spans="1:8" x14ac:dyDescent="0.2">
      <c r="A22" s="167" t="s">
        <v>178</v>
      </c>
      <c r="B22" s="121"/>
      <c r="C22" s="61"/>
      <c r="D22" s="61"/>
      <c r="E22" s="61"/>
      <c r="F22" s="62"/>
      <c r="G22" s="61"/>
    </row>
    <row r="23" spans="1:8" x14ac:dyDescent="0.2">
      <c r="A23" s="25" t="s">
        <v>156</v>
      </c>
      <c r="B23" s="140"/>
      <c r="C23" s="152"/>
      <c r="D23" s="152"/>
      <c r="E23" s="152"/>
      <c r="F23" s="152"/>
      <c r="G23" s="152"/>
    </row>
    <row r="24" spans="1:8" x14ac:dyDescent="0.2">
      <c r="A24" s="191" t="s">
        <v>266</v>
      </c>
      <c r="B24" s="77"/>
      <c r="C24" s="205">
        <f>IF('Прогнозные отчеты'!C$41=0,0,'Прогнозные отчеты'!C24/'Прогнозные отчеты'!C$41)</f>
        <v>1.1251744205148444</v>
      </c>
      <c r="D24" s="205">
        <f>IF('Прогнозные отчеты'!D$41=0,0,'Прогнозные отчеты'!D24/'Прогнозные отчеты'!D$41)</f>
        <v>7.1189287031849985E-2</v>
      </c>
      <c r="E24" s="205">
        <f>IF('Прогнозные отчеты'!E$41=0,0,'Прогнозные отчеты'!E24/'Прогнозные отчеты'!E$41)</f>
        <v>6.7763975975664997E-2</v>
      </c>
      <c r="F24" s="205">
        <f>IF('Прогнозные отчеты'!F$41=0,0,'Прогнозные отчеты'!F24/'Прогнозные отчеты'!F$41)</f>
        <v>3.525085436029305E-2</v>
      </c>
      <c r="G24" s="205">
        <f>IF('Прогнозные отчеты'!G$41=0,0,'Прогнозные отчеты'!G24/'Прогнозные отчеты'!G$41)</f>
        <v>2.2863074089901996E-2</v>
      </c>
    </row>
    <row r="25" spans="1:8" x14ac:dyDescent="0.2">
      <c r="A25" s="191" t="s">
        <v>147</v>
      </c>
      <c r="B25" s="77"/>
      <c r="C25" s="205">
        <f>IF('Прогнозные отчеты'!C$41=0,0,'Прогнозные отчеты'!C25/'Прогнозные отчеты'!C$41)</f>
        <v>1.3127034906006518</v>
      </c>
      <c r="D25" s="205">
        <f>IF('Прогнозные отчеты'!D$41=0,0,'Прогнозные отчеты'!D25/'Прогнозные отчеты'!D$41)</f>
        <v>0.22543274226752494</v>
      </c>
      <c r="E25" s="205">
        <f>IF('Прогнозные отчеты'!E$41=0,0,'Прогнозные отчеты'!E25/'Прогнозные отчеты'!E$41)</f>
        <v>0.21458592392293915</v>
      </c>
      <c r="F25" s="205">
        <f>IF('Прогнозные отчеты'!F$41=0,0,'Прогнозные отчеты'!F25/'Прогнозные отчеты'!F$41)</f>
        <v>0.11162770547426132</v>
      </c>
      <c r="G25" s="205">
        <f>IF('Прогнозные отчеты'!G$41=0,0,'Прогнозные отчеты'!G25/'Прогнозные отчеты'!G$41)</f>
        <v>7.2399734618022987E-2</v>
      </c>
    </row>
    <row r="26" spans="1:8" x14ac:dyDescent="0.2">
      <c r="A26" s="191" t="s">
        <v>52</v>
      </c>
      <c r="B26" s="77"/>
      <c r="C26" s="205">
        <f>IF('Прогнозные отчеты'!C$41=0,0,'Прогнозные отчеты'!C26/'Прогнозные отчеты'!C$41)</f>
        <v>-1.4378779111154965</v>
      </c>
      <c r="D26" s="205">
        <f>IF('Прогнозные отчеты'!D$41=0,0,'Прогнозные отчеты'!D26/'Прогнозные отчеты'!D$41)</f>
        <v>0.70337797070062513</v>
      </c>
      <c r="E26" s="205">
        <f>IF('Прогнозные отчеты'!E$41=0,0,'Прогнозные отчеты'!E26/'Прогнозные отчеты'!E$41)</f>
        <v>0.71765010010139585</v>
      </c>
      <c r="F26" s="205">
        <f>IF('Прогнозные отчеты'!F$41=0,0,'Прогнозные отчеты'!F26/'Прогнозные отчеты'!F$41)</f>
        <v>0.85312144016544567</v>
      </c>
      <c r="G26" s="205">
        <f>IF('Прогнозные отчеты'!G$41=0,0,'Прогнозные отчеты'!G26/'Прогнозные отчеты'!G$41)</f>
        <v>0.90473719129207497</v>
      </c>
    </row>
    <row r="27" spans="1:8" s="143" customFormat="1" x14ac:dyDescent="0.2">
      <c r="A27" s="143" t="s">
        <v>193</v>
      </c>
      <c r="B27" s="77"/>
      <c r="C27" s="206">
        <f>IF('Прогнозные отчеты'!C$41=0,0,'Прогнозные отчеты'!C27/'Прогнозные отчеты'!C$41)</f>
        <v>1</v>
      </c>
      <c r="D27" s="206">
        <f>IF('Прогнозные отчеты'!D$41=0,0,'Прогнозные отчеты'!D27/'Прогнозные отчеты'!D$41)</f>
        <v>1</v>
      </c>
      <c r="E27" s="206">
        <f>IF('Прогнозные отчеты'!E$41=0,0,'Прогнозные отчеты'!E27/'Прогнозные отчеты'!E$41)</f>
        <v>1</v>
      </c>
      <c r="F27" s="206">
        <f>IF('Прогнозные отчеты'!F$41=0,0,'Прогнозные отчеты'!F27/'Прогнозные отчеты'!F$41)</f>
        <v>1</v>
      </c>
      <c r="G27" s="206">
        <f>IF('Прогнозные отчеты'!G$41=0,0,'Прогнозные отчеты'!G27/'Прогнозные отчеты'!G$41)</f>
        <v>1</v>
      </c>
    </row>
    <row r="28" spans="1:8" x14ac:dyDescent="0.2">
      <c r="A28" s="140"/>
      <c r="B28" s="140"/>
      <c r="C28" s="204"/>
      <c r="D28" s="204"/>
      <c r="E28" s="204"/>
      <c r="F28" s="204"/>
      <c r="G28" s="204"/>
    </row>
    <row r="29" spans="1:8" x14ac:dyDescent="0.2">
      <c r="A29" s="25" t="s">
        <v>382</v>
      </c>
      <c r="B29" s="140"/>
      <c r="C29" s="204"/>
      <c r="D29" s="204"/>
      <c r="E29" s="204"/>
      <c r="F29" s="204"/>
      <c r="G29" s="204"/>
    </row>
    <row r="30" spans="1:8" x14ac:dyDescent="0.2">
      <c r="A30" s="191" t="s">
        <v>285</v>
      </c>
      <c r="B30" s="77"/>
      <c r="C30" s="205">
        <f>IF('Прогнозные отчеты'!C$41=0,0,'Прогнозные отчеты'!C30/'Прогнозные отчеты'!C$41)</f>
        <v>0</v>
      </c>
      <c r="D30" s="205">
        <f>IF('Прогнозные отчеты'!D$41=0,0,'Прогнозные отчеты'!D30/'Прогнозные отчеты'!D$41)</f>
        <v>0</v>
      </c>
      <c r="E30" s="205">
        <f>IF('Прогнозные отчеты'!E$41=0,0,'Прогнозные отчеты'!E30/'Прогнозные отчеты'!E$41)</f>
        <v>0</v>
      </c>
      <c r="F30" s="205">
        <f>IF('Прогнозные отчеты'!F$41=0,0,'Прогнозные отчеты'!F30/'Прогнозные отчеты'!F$41)</f>
        <v>0</v>
      </c>
      <c r="G30" s="205">
        <f>IF('Прогнозные отчеты'!G$41=0,0,'Прогнозные отчеты'!G30/'Прогнозные отчеты'!G$41)</f>
        <v>0</v>
      </c>
    </row>
    <row r="31" spans="1:8" s="143" customFormat="1" x14ac:dyDescent="0.2">
      <c r="A31" s="143" t="s">
        <v>383</v>
      </c>
      <c r="B31" s="77"/>
      <c r="C31" s="206">
        <f>IF('Прогнозные отчеты'!C$41=0,0,'Прогнозные отчеты'!C31/'Прогнозные отчеты'!C$41)</f>
        <v>0</v>
      </c>
      <c r="D31" s="206">
        <f>IF('Прогнозные отчеты'!D$41=0,0,'Прогнозные отчеты'!D31/'Прогнозные отчеты'!D$41)</f>
        <v>0</v>
      </c>
      <c r="E31" s="206">
        <f>IF('Прогнозные отчеты'!E$41=0,0,'Прогнозные отчеты'!E31/'Прогнозные отчеты'!E$41)</f>
        <v>0</v>
      </c>
      <c r="F31" s="206">
        <f>IF('Прогнозные отчеты'!F$41=0,0,'Прогнозные отчеты'!F31/'Прогнозные отчеты'!F$41)</f>
        <v>0</v>
      </c>
      <c r="G31" s="206">
        <f>IF('Прогнозные отчеты'!G$41=0,0,'Прогнозные отчеты'!G31/'Прогнозные отчеты'!G$41)</f>
        <v>0</v>
      </c>
    </row>
    <row r="32" spans="1:8" x14ac:dyDescent="0.2">
      <c r="A32" s="168"/>
      <c r="B32" s="77"/>
      <c r="C32" s="204"/>
      <c r="D32" s="204"/>
      <c r="E32" s="204"/>
      <c r="F32" s="204"/>
      <c r="G32" s="204"/>
    </row>
    <row r="33" spans="1:8" x14ac:dyDescent="0.2">
      <c r="A33" s="25" t="s">
        <v>384</v>
      </c>
      <c r="B33" s="77"/>
      <c r="C33" s="204"/>
      <c r="D33" s="204"/>
      <c r="E33" s="204"/>
      <c r="F33" s="204"/>
      <c r="G33" s="204"/>
    </row>
    <row r="34" spans="1:8" x14ac:dyDescent="0.2">
      <c r="A34" s="191" t="s">
        <v>280</v>
      </c>
      <c r="B34" s="77"/>
      <c r="C34" s="205">
        <f>IF('Прогнозные отчеты'!C$41=0,0,'Прогнозные отчеты'!C34/'Прогнозные отчеты'!C$41)</f>
        <v>0</v>
      </c>
      <c r="D34" s="205">
        <f>IF('Прогнозные отчеты'!D$41=0,0,'Прогнозные отчеты'!D34/'Прогнозные отчеты'!D$41)</f>
        <v>0</v>
      </c>
      <c r="E34" s="205">
        <f>IF('Прогнозные отчеты'!E$41=0,0,'Прогнозные отчеты'!E34/'Прогнозные отчеты'!E$41)</f>
        <v>0</v>
      </c>
      <c r="F34" s="205">
        <f>IF('Прогнозные отчеты'!F$41=0,0,'Прогнозные отчеты'!F34/'Прогнозные отчеты'!F$41)</f>
        <v>0</v>
      </c>
      <c r="G34" s="205">
        <f>IF('Прогнозные отчеты'!G$41=0,0,'Прогнозные отчеты'!G34/'Прогнозные отчеты'!G$41)</f>
        <v>0</v>
      </c>
    </row>
    <row r="35" spans="1:8" x14ac:dyDescent="0.2">
      <c r="A35" s="189" t="s">
        <v>265</v>
      </c>
      <c r="B35" s="77"/>
      <c r="C35" s="205">
        <f>IF('Прогнозные отчеты'!C$41=0,0,'Прогнозные отчеты'!C35/'Прогнозные отчеты'!C$41)</f>
        <v>0</v>
      </c>
      <c r="D35" s="205">
        <f>IF('Прогнозные отчеты'!D$41=0,0,'Прогнозные отчеты'!D35/'Прогнозные отчеты'!D$41)</f>
        <v>0</v>
      </c>
      <c r="E35" s="205">
        <f>IF('Прогнозные отчеты'!E$41=0,0,'Прогнозные отчеты'!E35/'Прогнозные отчеты'!E$41)</f>
        <v>0</v>
      </c>
      <c r="F35" s="205">
        <f>IF('Прогнозные отчеты'!F$41=0,0,'Прогнозные отчеты'!F35/'Прогнозные отчеты'!F$41)</f>
        <v>0</v>
      </c>
      <c r="G35" s="205">
        <f>IF('Прогнозные отчеты'!G$41=0,0,'Прогнозные отчеты'!G35/'Прогнозные отчеты'!G$41)</f>
        <v>0</v>
      </c>
    </row>
    <row r="36" spans="1:8" x14ac:dyDescent="0.2">
      <c r="A36" s="189" t="s">
        <v>279</v>
      </c>
      <c r="B36" s="77"/>
      <c r="C36" s="205">
        <f>IF('Прогнозные отчеты'!C$41=0,0,'Прогнозные отчеты'!C36/'Прогнозные отчеты'!C$41)</f>
        <v>0</v>
      </c>
      <c r="D36" s="205">
        <f>IF('Прогнозные отчеты'!D$41=0,0,'Прогнозные отчеты'!D36/'Прогнозные отчеты'!D$41)</f>
        <v>0</v>
      </c>
      <c r="E36" s="205">
        <f>IF('Прогнозные отчеты'!E$41=0,0,'Прогнозные отчеты'!E36/'Прогнозные отчеты'!E$41)</f>
        <v>0</v>
      </c>
      <c r="F36" s="205">
        <f>IF('Прогнозные отчеты'!F$41=0,0,'Прогнозные отчеты'!F36/'Прогнозные отчеты'!F$41)</f>
        <v>0</v>
      </c>
      <c r="G36" s="205">
        <f>IF('Прогнозные отчеты'!G$41=0,0,'Прогнозные отчеты'!G36/'Прогнозные отчеты'!G$41)</f>
        <v>0</v>
      </c>
    </row>
    <row r="37" spans="1:8" x14ac:dyDescent="0.2">
      <c r="A37" s="189" t="s">
        <v>281</v>
      </c>
      <c r="B37" s="77"/>
      <c r="C37" s="205">
        <f>IF('Прогнозные отчеты'!C$41=0,0,'Прогнозные отчеты'!C37/'Прогнозные отчеты'!C$41)</f>
        <v>0</v>
      </c>
      <c r="D37" s="205">
        <f>IF('Прогнозные отчеты'!D$41=0,0,'Прогнозные отчеты'!D37/'Прогнозные отчеты'!D$41)</f>
        <v>0</v>
      </c>
      <c r="E37" s="205">
        <f>IF('Прогнозные отчеты'!E$41=0,0,'Прогнозные отчеты'!E37/'Прогнозные отчеты'!E$41)</f>
        <v>0</v>
      </c>
      <c r="F37" s="205">
        <f>IF('Прогнозные отчеты'!F$41=0,0,'Прогнозные отчеты'!F37/'Прогнозные отчеты'!F$41)</f>
        <v>0</v>
      </c>
      <c r="G37" s="205">
        <f>IF('Прогнозные отчеты'!G$41=0,0,'Прогнозные отчеты'!G37/'Прогнозные отчеты'!G$41)</f>
        <v>0</v>
      </c>
    </row>
    <row r="38" spans="1:8" x14ac:dyDescent="0.2">
      <c r="A38" s="189" t="s">
        <v>367</v>
      </c>
      <c r="B38" s="77"/>
      <c r="C38" s="205">
        <f>IF('Прогнозные отчеты'!C$41=0,0,'Прогнозные отчеты'!C38/'Прогнозные отчеты'!C$41)</f>
        <v>0</v>
      </c>
      <c r="D38" s="205">
        <f>IF('Прогнозные отчеты'!D$41=0,0,'Прогнозные отчеты'!D38/'Прогнозные отчеты'!D$41)</f>
        <v>0</v>
      </c>
      <c r="E38" s="205">
        <f>IF('Прогнозные отчеты'!E$41=0,0,'Прогнозные отчеты'!E38/'Прогнозные отчеты'!E$41)</f>
        <v>0</v>
      </c>
      <c r="F38" s="205">
        <f>IF('Прогнозные отчеты'!F$41=0,0,'Прогнозные отчеты'!F38/'Прогнозные отчеты'!F$41)</f>
        <v>0</v>
      </c>
      <c r="G38" s="205">
        <f>IF('Прогнозные отчеты'!G$41=0,0,'Прогнозные отчеты'!G38/'Прогнозные отчеты'!G$41)</f>
        <v>0</v>
      </c>
    </row>
    <row r="39" spans="1:8" x14ac:dyDescent="0.2">
      <c r="A39" s="149" t="s">
        <v>384</v>
      </c>
      <c r="B39" s="77"/>
      <c r="C39" s="206">
        <f>IF('Прогнозные отчеты'!C$41=0,0,'Прогнозные отчеты'!C39/'Прогнозные отчеты'!C$41)</f>
        <v>0</v>
      </c>
      <c r="D39" s="206">
        <f>IF('Прогнозные отчеты'!D$41=0,0,'Прогнозные отчеты'!D39/'Прогнозные отчеты'!D$41)</f>
        <v>0</v>
      </c>
      <c r="E39" s="206">
        <f>IF('Прогнозные отчеты'!E$41=0,0,'Прогнозные отчеты'!E39/'Прогнозные отчеты'!E$41)</f>
        <v>0</v>
      </c>
      <c r="F39" s="206">
        <f>IF('Прогнозные отчеты'!F$41=0,0,'Прогнозные отчеты'!F39/'Прогнозные отчеты'!F$41)</f>
        <v>0</v>
      </c>
      <c r="G39" s="206">
        <f>IF('Прогнозные отчеты'!G$41=0,0,'Прогнозные отчеты'!G39/'Прогнозные отчеты'!G$41)</f>
        <v>0</v>
      </c>
    </row>
    <row r="40" spans="1:8" x14ac:dyDescent="0.2">
      <c r="A40" s="150"/>
      <c r="B40" s="150"/>
      <c r="C40" s="204"/>
      <c r="D40" s="204"/>
      <c r="E40" s="204"/>
      <c r="F40" s="204"/>
      <c r="G40" s="204"/>
    </row>
    <row r="41" spans="1:8" s="170" customFormat="1" x14ac:dyDescent="0.2">
      <c r="A41" s="153" t="s">
        <v>386</v>
      </c>
      <c r="B41" s="77"/>
      <c r="C41" s="206">
        <f>IF('Прогнозные отчеты'!C$41=0,0,'Прогнозные отчеты'!C41/'Прогнозные отчеты'!C$41)</f>
        <v>1</v>
      </c>
      <c r="D41" s="206">
        <f>IF('Прогнозные отчеты'!D$41=0,0,'Прогнозные отчеты'!D41/'Прогнозные отчеты'!D$41)</f>
        <v>1</v>
      </c>
      <c r="E41" s="206">
        <f>IF('Прогнозные отчеты'!E$41=0,0,'Прогнозные отчеты'!E41/'Прогнозные отчеты'!E$41)</f>
        <v>1</v>
      </c>
      <c r="F41" s="206">
        <f>IF('Прогнозные отчеты'!F$41=0,0,'Прогнозные отчеты'!F41/'Прогнозные отчеты'!F$41)</f>
        <v>1</v>
      </c>
      <c r="G41" s="206">
        <f>IF('Прогнозные отчеты'!G$41=0,0,'Прогнозные отчеты'!G41/'Прогнозные отчеты'!G$41)</f>
        <v>1</v>
      </c>
    </row>
    <row r="42" spans="1:8" ht="13.5" customHeight="1" x14ac:dyDescent="0.2">
      <c r="A42" s="150"/>
      <c r="B42" s="150"/>
      <c r="C42" s="146"/>
      <c r="D42" s="146"/>
      <c r="E42" s="146"/>
      <c r="F42" s="146"/>
      <c r="G42" s="146"/>
    </row>
    <row r="43" spans="1:8" x14ac:dyDescent="0.2">
      <c r="A43" s="150"/>
      <c r="B43" s="150"/>
      <c r="C43" s="158"/>
      <c r="D43" s="159"/>
      <c r="E43" s="159"/>
      <c r="F43" s="159"/>
      <c r="G43" s="159"/>
    </row>
    <row r="44" spans="1:8" x14ac:dyDescent="0.2">
      <c r="C44" s="152"/>
      <c r="D44" s="152"/>
      <c r="E44" s="152"/>
      <c r="F44" s="152"/>
      <c r="G44" s="152"/>
    </row>
    <row r="45" spans="1:8" x14ac:dyDescent="0.2">
      <c r="A45" s="11" t="s">
        <v>399</v>
      </c>
      <c r="B45" s="11"/>
      <c r="C45" s="195">
        <f>Окружение!D4</f>
        <v>2019</v>
      </c>
      <c r="D45" s="196">
        <f>C45+1</f>
        <v>2020</v>
      </c>
      <c r="E45" s="197">
        <f>D45+1</f>
        <v>2021</v>
      </c>
      <c r="F45" s="198">
        <f>E45+1</f>
        <v>2022</v>
      </c>
      <c r="G45" s="199">
        <f>F45+1</f>
        <v>2023</v>
      </c>
      <c r="H45" s="20"/>
    </row>
    <row r="46" spans="1:8" x14ac:dyDescent="0.2">
      <c r="A46" s="172"/>
      <c r="B46" s="172"/>
      <c r="C46" s="152"/>
      <c r="D46" s="152"/>
      <c r="E46" s="152"/>
      <c r="F46" s="152"/>
      <c r="G46" s="152"/>
    </row>
    <row r="47" spans="1:8" x14ac:dyDescent="0.2">
      <c r="A47" s="173" t="s">
        <v>120</v>
      </c>
      <c r="B47" s="77"/>
      <c r="C47" s="206">
        <f>IF('Прогнозные отчеты'!C$49=0,0,'Прогнозные отчеты'!C49/'Прогнозные отчеты'!C$49)</f>
        <v>0</v>
      </c>
      <c r="D47" s="206">
        <f>IF('Прогнозные отчеты'!D$49=0,0,'Прогнозные отчеты'!D49/'Прогнозные отчеты'!D$49)</f>
        <v>1</v>
      </c>
      <c r="E47" s="206">
        <f>IF('Прогнозные отчеты'!E$49=0,0,'Прогнозные отчеты'!E49/'Прогнозные отчеты'!E$49)</f>
        <v>1</v>
      </c>
      <c r="F47" s="206">
        <f>IF('Прогнозные отчеты'!F$49=0,0,'Прогнозные отчеты'!F49/'Прогнозные отчеты'!F$49)</f>
        <v>1</v>
      </c>
      <c r="G47" s="206">
        <f>IF('Прогнозные отчеты'!G$49=0,0,'Прогнозные отчеты'!G49/'Прогнозные отчеты'!G$49)</f>
        <v>1</v>
      </c>
    </row>
    <row r="48" spans="1:8" x14ac:dyDescent="0.2">
      <c r="A48" s="173"/>
      <c r="B48" s="77"/>
      <c r="C48" s="204"/>
      <c r="D48" s="204"/>
      <c r="E48" s="204"/>
      <c r="F48" s="204"/>
      <c r="G48" s="204"/>
    </row>
    <row r="49" spans="1:7" x14ac:dyDescent="0.2">
      <c r="A49" s="173" t="s">
        <v>387</v>
      </c>
      <c r="B49" s="77"/>
      <c r="C49" s="205">
        <f>IF('Прогнозные отчеты'!C$49=0,0,'Прогнозные отчеты'!C51/'Прогнозные отчеты'!C$49)</f>
        <v>0</v>
      </c>
      <c r="D49" s="205">
        <f>IF('Прогнозные отчеты'!D$49=0,0,'Прогнозные отчеты'!D51/'Прогнозные отчеты'!D$49)</f>
        <v>-0.52061517776352328</v>
      </c>
      <c r="E49" s="205">
        <f>IF('Прогнозные отчеты'!E$49=0,0,'Прогнозные отчеты'!E51/'Прогнозные отчеты'!E$49)</f>
        <v>-0.51903803614905042</v>
      </c>
      <c r="F49" s="205">
        <f>IF('Прогнозные отчеты'!F$49=0,0,'Прогнозные отчеты'!F51/'Прогнозные отчеты'!F$49)</f>
        <v>-0.49187228034008973</v>
      </c>
      <c r="G49" s="205">
        <f>IF('Прогнозные отчеты'!G$49=0,0,'Прогнозные отчеты'!G51/'Прогнозные отчеты'!G$49)</f>
        <v>-0.48280341616516198</v>
      </c>
    </row>
    <row r="50" spans="1:7" x14ac:dyDescent="0.2">
      <c r="A50" s="201" t="s">
        <v>388</v>
      </c>
      <c r="B50" s="77"/>
      <c r="C50" s="207">
        <f>IF('Прогнозные отчеты'!C$49=0,0,'Прогнозные отчеты'!C52/'Прогнозные отчеты'!C$49)</f>
        <v>0</v>
      </c>
      <c r="D50" s="207">
        <f>IF('Прогнозные отчеты'!D$49=0,0,'Прогнозные отчеты'!D52/'Прогнозные отчеты'!D$49)</f>
        <v>-0.46610169491525427</v>
      </c>
      <c r="E50" s="207">
        <f>IF('Прогнозные отчеты'!E$49=0,0,'Прогнозные отчеты'!E52/'Прогнозные отчеты'!E$49)</f>
        <v>-0.46610169491525427</v>
      </c>
      <c r="F50" s="207">
        <f>IF('Прогнозные отчеты'!F$49=0,0,'Прогнозные отчеты'!F52/'Прогнозные отчеты'!F$49)</f>
        <v>-0.46610169491525416</v>
      </c>
      <c r="G50" s="207">
        <f>IF('Прогнозные отчеты'!G$49=0,0,'Прогнозные отчеты'!G52/'Прогнозные отчеты'!G$49)</f>
        <v>-0.46610169491525422</v>
      </c>
    </row>
    <row r="51" spans="1:7" x14ac:dyDescent="0.2">
      <c r="A51" s="201" t="s">
        <v>206</v>
      </c>
      <c r="B51" s="77"/>
      <c r="C51" s="207">
        <f>IF('Прогнозные отчеты'!C$49=0,0,'Прогнозные отчеты'!C53/'Прогнозные отчеты'!C$49)</f>
        <v>0</v>
      </c>
      <c r="D51" s="207">
        <f>IF('Прогнозные отчеты'!D$49=0,0,'Прогнозные отчеты'!D53/'Прогнозные отчеты'!D$49)</f>
        <v>-3.6449459094633603E-2</v>
      </c>
      <c r="E51" s="207">
        <f>IF('Прогнозные отчеты'!E$49=0,0,'Прогнозные отчеты'!E53/'Прогнозные отчеты'!E$49)</f>
        <v>-3.5333737217947671E-2</v>
      </c>
      <c r="F51" s="207">
        <f>IF('Прогнозные отчеты'!F$49=0,0,'Прогнозные отчеты'!F53/'Прогнозные отчеты'!F$49)</f>
        <v>-1.717268024881639E-2</v>
      </c>
      <c r="G51" s="207">
        <f>IF('Прогнозные отчеты'!G$49=0,0,'Прогнозные отчеты'!G53/'Прогнозные отчеты'!G$49)</f>
        <v>-1.1464356211945029E-2</v>
      </c>
    </row>
    <row r="52" spans="1:7" ht="12" customHeight="1" x14ac:dyDescent="0.2">
      <c r="A52" s="201" t="s">
        <v>389</v>
      </c>
      <c r="B52" s="77"/>
      <c r="C52" s="207">
        <f>IF('Прогнозные отчеты'!C$49=0,0,'Прогнозные отчеты'!C54/'Прогнозные отчеты'!C$49)</f>
        <v>0</v>
      </c>
      <c r="D52" s="207">
        <f>IF('Прогнозные отчеты'!D$49=0,0,'Прогнозные отчеты'!D54/'Прогнозные отчеты'!D$49)</f>
        <v>-1.3662169940076121E-2</v>
      </c>
      <c r="E52" s="207">
        <f>IF('Прогнозные отчеты'!E$49=0,0,'Прогнозные отчеты'!E54/'Прогнозные отчеты'!E$49)</f>
        <v>-1.3217325418121014E-2</v>
      </c>
      <c r="F52" s="207">
        <f>IF('Прогнозные отчеты'!F$49=0,0,'Прогнозные отчеты'!F54/'Прогнозные отчеты'!F$49)</f>
        <v>-6.4123810827994981E-3</v>
      </c>
      <c r="G52" s="207">
        <f>IF('Прогнозные отчеты'!G$49=0,0,'Прогнозные отчеты'!G54/'Прогнозные отчеты'!G$49)</f>
        <v>-3.7850184529918682E-3</v>
      </c>
    </row>
    <row r="53" spans="1:7" x14ac:dyDescent="0.2">
      <c r="A53" s="201" t="s">
        <v>326</v>
      </c>
      <c r="B53" s="77"/>
      <c r="C53" s="207">
        <f>IF('Прогнозные отчеты'!C$49=0,0,'Прогнозные отчеты'!C55/'Прогнозные отчеты'!C$49)</f>
        <v>0</v>
      </c>
      <c r="D53" s="207">
        <f>IF('Прогнозные отчеты'!D$49=0,0,'Прогнозные отчеты'!D55/'Прогнозные отчеты'!D$49)</f>
        <v>-4.1415254237288143E-3</v>
      </c>
      <c r="E53" s="207">
        <f>IF('Прогнозные отчеты'!E$49=0,0,'Прогнозные отчеты'!E55/'Прогнозные отчеты'!E$49)</f>
        <v>-4.1415254237288143E-3</v>
      </c>
      <c r="F53" s="207">
        <f>IF('Прогнозные отчеты'!F$49=0,0,'Прогнозные отчеты'!F55/'Прогнозные отчеты'!F$49)</f>
        <v>-2.0707627118644071E-3</v>
      </c>
      <c r="G53" s="207">
        <f>IF('Прогнозные отчеты'!G$49=0,0,'Прогнозные отчеты'!G55/'Прогнозные отчеты'!G$49)</f>
        <v>-1.3805084745762716E-3</v>
      </c>
    </row>
    <row r="54" spans="1:7" x14ac:dyDescent="0.2">
      <c r="A54" s="201" t="s">
        <v>117</v>
      </c>
      <c r="B54" s="77"/>
      <c r="C54" s="207">
        <f>IF('Прогнозные отчеты'!C$49=0,0,'Прогнозные отчеты'!C56/'Прогнозные отчеты'!C$49)</f>
        <v>0</v>
      </c>
      <c r="D54" s="207">
        <f>IF('Прогнозные отчеты'!D$49=0,0,'Прогнозные отчеты'!D56/'Прогнозные отчеты'!D$49)</f>
        <v>-2.6032838983050847E-4</v>
      </c>
      <c r="E54" s="207">
        <f>IF('Прогнозные отчеты'!E$49=0,0,'Прогнозные отчеты'!E56/'Прогнозные отчеты'!E$49)</f>
        <v>-2.4375317399860343E-4</v>
      </c>
      <c r="F54" s="207">
        <f>IF('Прогнозные отчеты'!F$49=0,0,'Прогнозные отчеты'!F56/'Прогнозные отчеты'!F$49)</f>
        <v>-1.1476138135527466E-4</v>
      </c>
      <c r="G54" s="207">
        <f>IF('Прогнозные отчеты'!G$49=0,0,'Прогнозные отчеты'!G56/'Прогнозные отчеты'!G$49)</f>
        <v>-7.1838110394538155E-5</v>
      </c>
    </row>
    <row r="55" spans="1:7" x14ac:dyDescent="0.2">
      <c r="A55" s="174"/>
      <c r="B55" s="77"/>
      <c r="C55" s="204"/>
      <c r="D55" s="204"/>
      <c r="E55" s="204"/>
      <c r="F55" s="204"/>
      <c r="G55" s="204"/>
    </row>
    <row r="56" spans="1:7" s="143" customFormat="1" x14ac:dyDescent="0.2">
      <c r="A56" s="175" t="s">
        <v>20</v>
      </c>
      <c r="B56" s="77"/>
      <c r="C56" s="206">
        <f>IF('Прогнозные отчеты'!C$49=0,0,'Прогнозные отчеты'!C58/'Прогнозные отчеты'!C$49)</f>
        <v>0</v>
      </c>
      <c r="D56" s="206">
        <f>IF('Прогнозные отчеты'!D$49=0,0,'Прогнозные отчеты'!D58/'Прогнозные отчеты'!D$49)</f>
        <v>0.47938482223647666</v>
      </c>
      <c r="E56" s="206">
        <f>IF('Прогнозные отчеты'!E$49=0,0,'Прогнозные отчеты'!E58/'Прогнозные отчеты'!E$49)</f>
        <v>0.48096196385094958</v>
      </c>
      <c r="F56" s="206">
        <f>IF('Прогнозные отчеты'!F$49=0,0,'Прогнозные отчеты'!F58/'Прогнозные отчеты'!F$49)</f>
        <v>0.50812771965991033</v>
      </c>
      <c r="G56" s="206">
        <f>IF('Прогнозные отчеты'!G$49=0,0,'Прогнозные отчеты'!G58/'Прогнозные отчеты'!G$49)</f>
        <v>0.51719658383483802</v>
      </c>
    </row>
    <row r="57" spans="1:7" x14ac:dyDescent="0.2">
      <c r="A57" s="174"/>
      <c r="B57" s="77"/>
      <c r="C57" s="204"/>
      <c r="D57" s="204"/>
      <c r="E57" s="204"/>
      <c r="F57" s="204"/>
      <c r="G57" s="204"/>
    </row>
    <row r="58" spans="1:7" s="179" customFormat="1" x14ac:dyDescent="0.2">
      <c r="A58" s="192" t="s">
        <v>328</v>
      </c>
      <c r="B58" s="77"/>
      <c r="C58" s="205">
        <f>IF('Прогнозные отчеты'!C$49=0,0,'Прогнозные отчеты'!C60/'Прогнозные отчеты'!C$49)</f>
        <v>0</v>
      </c>
      <c r="D58" s="205">
        <f>IF('Прогнозные отчеты'!D$49=0,0,'Прогнозные отчеты'!D60/'Прогнозные отчеты'!D$49)</f>
        <v>-9.2033898305084755E-3</v>
      </c>
      <c r="E58" s="205">
        <f>IF('Прогнозные отчеты'!E$49=0,0,'Прогнозные отчеты'!E60/'Прогнозные отчеты'!E$49)</f>
        <v>-9.2033898305084755E-3</v>
      </c>
      <c r="F58" s="205">
        <f>IF('Прогнозные отчеты'!F$49=0,0,'Прогнозные отчеты'!F60/'Прогнозные отчеты'!F$49)</f>
        <v>-4.6016949152542369E-3</v>
      </c>
      <c r="G58" s="205">
        <f>IF('Прогнозные отчеты'!G$49=0,0,'Прогнозные отчеты'!G60/'Прогнозные отчеты'!G$49)</f>
        <v>-3.067796610169492E-3</v>
      </c>
    </row>
    <row r="59" spans="1:7" s="179" customFormat="1" x14ac:dyDescent="0.2">
      <c r="A59" s="192" t="s">
        <v>108</v>
      </c>
      <c r="B59" s="77"/>
      <c r="C59" s="205">
        <f>IF('Прогнозные отчеты'!C$49=0,0,'Прогнозные отчеты'!C61/'Прогнозные отчеты'!C$49)</f>
        <v>0</v>
      </c>
      <c r="D59" s="205">
        <f>IF('Прогнозные отчеты'!D$49=0,0,'Прогнозные отчеты'!D61/'Прогнозные отчеты'!D$49)</f>
        <v>-2.8760593220338985E-3</v>
      </c>
      <c r="E59" s="205">
        <f>IF('Прогнозные отчеты'!E$49=0,0,'Прогнозные отчеты'!E61/'Прогнозные отчеты'!E$49)</f>
        <v>-2.8760593220338985E-3</v>
      </c>
      <c r="F59" s="205">
        <f>IF('Прогнозные отчеты'!F$49=0,0,'Прогнозные отчеты'!F61/'Прогнозные отчеты'!F$49)</f>
        <v>-1.438029661016949E-3</v>
      </c>
      <c r="G59" s="205">
        <f>IF('Прогнозные отчеты'!G$49=0,0,'Прогнозные отчеты'!G61/'Прогнозные отчеты'!G$49)</f>
        <v>-9.5868644067796628E-4</v>
      </c>
    </row>
    <row r="60" spans="1:7" x14ac:dyDescent="0.2">
      <c r="A60" s="174"/>
      <c r="B60" s="77"/>
      <c r="C60" s="204"/>
      <c r="D60" s="204"/>
      <c r="E60" s="204"/>
      <c r="F60" s="204"/>
      <c r="G60" s="204"/>
    </row>
    <row r="61" spans="1:7" s="143" customFormat="1" x14ac:dyDescent="0.2">
      <c r="A61" s="180" t="s">
        <v>22</v>
      </c>
      <c r="B61" s="77"/>
      <c r="C61" s="206">
        <f>IF('Прогнозные отчеты'!C$49=0,0,'Прогнозные отчеты'!C63/'Прогнозные отчеты'!C$49)</f>
        <v>0</v>
      </c>
      <c r="D61" s="206">
        <f>IF('Прогнозные отчеты'!D$49=0,0,'Прогнозные отчеты'!D63/'Прогнозные отчеты'!D$49)</f>
        <v>0.46730537308393433</v>
      </c>
      <c r="E61" s="206">
        <f>IF('Прогнозные отчеты'!E$49=0,0,'Прогнозные отчеты'!E63/'Прогнозные отчеты'!E$49)</f>
        <v>0.46888251469840719</v>
      </c>
      <c r="F61" s="206">
        <f>IF('Прогнозные отчеты'!F$49=0,0,'Прогнозные отчеты'!F63/'Прогнозные отчеты'!F$49)</f>
        <v>0.50208799508363899</v>
      </c>
      <c r="G61" s="206">
        <f>IF('Прогнозные отчеты'!G$49=0,0,'Прогнозные отчеты'!G63/'Прогнозные отчеты'!G$49)</f>
        <v>0.51317010078399061</v>
      </c>
    </row>
    <row r="62" spans="1:7" x14ac:dyDescent="0.2">
      <c r="A62" s="174"/>
      <c r="B62" s="77"/>
      <c r="C62" s="204"/>
      <c r="D62" s="204"/>
      <c r="E62" s="204"/>
      <c r="F62" s="204"/>
      <c r="G62" s="204"/>
    </row>
    <row r="63" spans="1:7" s="179" customFormat="1" ht="12" customHeight="1" x14ac:dyDescent="0.2">
      <c r="A63" s="192" t="s">
        <v>390</v>
      </c>
      <c r="B63" s="77"/>
      <c r="C63" s="205">
        <f>IF('Прогнозные отчеты'!C$49=0,0,'Прогнозные отчеты'!C65/'Прогнозные отчеты'!C$49)</f>
        <v>0</v>
      </c>
      <c r="D63" s="205">
        <f>IF('Прогнозные отчеты'!D$49=0,0,'Прогнозные отчеты'!D65/'Прогнозные отчеты'!D$49)</f>
        <v>0</v>
      </c>
      <c r="E63" s="205">
        <f>IF('Прогнозные отчеты'!E$49=0,0,'Прогнозные отчеты'!E65/'Прогнозные отчеты'!E$49)</f>
        <v>0</v>
      </c>
      <c r="F63" s="205">
        <f>IF('Прогнозные отчеты'!F$49=0,0,'Прогнозные отчеты'!F65/'Прогнозные отчеты'!F$49)</f>
        <v>0</v>
      </c>
      <c r="G63" s="205">
        <f>IF('Прогнозные отчеты'!G$49=0,0,'Прогнозные отчеты'!G65/'Прогнозные отчеты'!G$49)</f>
        <v>0</v>
      </c>
    </row>
    <row r="64" spans="1:7" s="179" customFormat="1" x14ac:dyDescent="0.2">
      <c r="A64" s="192" t="s">
        <v>391</v>
      </c>
      <c r="B64" s="77"/>
      <c r="C64" s="205">
        <f>IF('Прогнозные отчеты'!C$49=0,0,'Прогнозные отчеты'!C66/'Прогнозные отчеты'!C$49)</f>
        <v>0</v>
      </c>
      <c r="D64" s="205">
        <f>IF('Прогнозные отчеты'!D$49=0,0,'Прогнозные отчеты'!D66/'Прогнозные отчеты'!D$49)</f>
        <v>0</v>
      </c>
      <c r="E64" s="205">
        <f>IF('Прогнозные отчеты'!E$49=0,0,'Прогнозные отчеты'!E66/'Прогнозные отчеты'!E$49)</f>
        <v>0</v>
      </c>
      <c r="F64" s="205">
        <f>IF('Прогнозные отчеты'!F$49=0,0,'Прогнозные отчеты'!F66/'Прогнозные отчеты'!F$49)</f>
        <v>0</v>
      </c>
      <c r="G64" s="205">
        <f>IF('Прогнозные отчеты'!G$49=0,0,'Прогнозные отчеты'!G66/'Прогнозные отчеты'!G$49)</f>
        <v>0</v>
      </c>
    </row>
    <row r="65" spans="1:7" x14ac:dyDescent="0.2">
      <c r="A65" s="174"/>
      <c r="B65" s="77"/>
      <c r="C65" s="204"/>
      <c r="D65" s="204"/>
      <c r="E65" s="204"/>
      <c r="F65" s="204"/>
      <c r="G65" s="204"/>
    </row>
    <row r="66" spans="1:7" s="143" customFormat="1" x14ac:dyDescent="0.2">
      <c r="A66" s="180" t="s">
        <v>27</v>
      </c>
      <c r="B66" s="77"/>
      <c r="C66" s="206">
        <f>IF('Прогнозные отчеты'!C$49=0,0,'Прогнозные отчеты'!C70/'Прогнозные отчеты'!C$49)</f>
        <v>0</v>
      </c>
      <c r="D66" s="206">
        <f>IF('Прогнозные отчеты'!D$49=0,0,'Прогнозные отчеты'!D70/'Прогнозные отчеты'!D$49)</f>
        <v>0.46730537308393433</v>
      </c>
      <c r="E66" s="206">
        <f>IF('Прогнозные отчеты'!E$49=0,0,'Прогнозные отчеты'!E70/'Прогнозные отчеты'!E$49)</f>
        <v>0.46888251469840719</v>
      </c>
      <c r="F66" s="206">
        <f>IF('Прогнозные отчеты'!F$49=0,0,'Прогнозные отчеты'!F70/'Прогнозные отчеты'!F$49)</f>
        <v>0.50208799508363899</v>
      </c>
      <c r="G66" s="206">
        <f>IF('Прогнозные отчеты'!G$49=0,0,'Прогнозные отчеты'!G70/'Прогнозные отчеты'!G$49)</f>
        <v>0.51317010078399061</v>
      </c>
    </row>
    <row r="67" spans="1:7" x14ac:dyDescent="0.2">
      <c r="A67" s="174"/>
      <c r="B67" s="77"/>
      <c r="C67" s="204"/>
      <c r="D67" s="204"/>
      <c r="E67" s="204"/>
      <c r="F67" s="204"/>
      <c r="G67" s="204"/>
    </row>
    <row r="68" spans="1:7" x14ac:dyDescent="0.2">
      <c r="A68" s="192" t="s">
        <v>96</v>
      </c>
      <c r="B68" s="77"/>
      <c r="C68" s="205">
        <f>IF('Прогнозные отчеты'!C$49=0,0,'Прогнозные отчеты'!C72/'Прогнозные отчеты'!C$49)</f>
        <v>0</v>
      </c>
      <c r="D68" s="205">
        <f>IF('Прогнозные отчеты'!D$49=0,0,'Прогнозные отчеты'!D72/'Прогнозные отчеты'!D$49)</f>
        <v>-9.6790721216827441E-2</v>
      </c>
      <c r="E68" s="205">
        <f>IF('Прогнозные отчеты'!E$49=0,0,'Прогнозные отчеты'!E72/'Прогнозные отчеты'!E$49)</f>
        <v>-9.702729245899841E-2</v>
      </c>
      <c r="F68" s="205">
        <f>IF('Прогнозные отчеты'!F$49=0,0,'Прогнозные отчеты'!F72/'Прогнозные отчеты'!F$49)</f>
        <v>-0.10200811451678315</v>
      </c>
      <c r="G68" s="205">
        <f>IF('Прогнозные отчеты'!G$49=0,0,'Прогнозные отчеты'!G72/'Прогнозные отчеты'!G$49)</f>
        <v>-0.10367146863016007</v>
      </c>
    </row>
    <row r="69" spans="1:7" s="179" customFormat="1" x14ac:dyDescent="0.2">
      <c r="A69" s="178"/>
      <c r="B69" s="87"/>
      <c r="C69" s="204"/>
      <c r="D69" s="204"/>
      <c r="E69" s="204"/>
      <c r="F69" s="204"/>
      <c r="G69" s="204"/>
    </row>
    <row r="70" spans="1:7" s="143" customFormat="1" x14ac:dyDescent="0.2">
      <c r="A70" s="175" t="s">
        <v>29</v>
      </c>
      <c r="B70" s="77"/>
      <c r="C70" s="206">
        <f>IF('Прогнозные отчеты'!C$49=0,0,'Прогнозные отчеты'!C74/'Прогнозные отчеты'!C$49)</f>
        <v>0</v>
      </c>
      <c r="D70" s="206">
        <f>IF('Прогнозные отчеты'!D$49=0,0,'Прогнозные отчеты'!D74/'Прогнозные отчеты'!D$49)</f>
        <v>0.37051465186710686</v>
      </c>
      <c r="E70" s="206">
        <f>IF('Прогнозные отчеты'!E$49=0,0,'Прогнозные отчеты'!E74/'Прогнозные отчеты'!E$49)</f>
        <v>0.37185522223940876</v>
      </c>
      <c r="F70" s="206">
        <f>IF('Прогнозные отчеты'!F$49=0,0,'Прогнозные отчеты'!F74/'Прогнозные отчеты'!F$49)</f>
        <v>0.40007988056685589</v>
      </c>
      <c r="G70" s="206">
        <f>IF('Прогнозные отчеты'!G$49=0,0,'Прогнозные отчеты'!G74/'Прогнозные отчеты'!G$49)</f>
        <v>0.40949863215383053</v>
      </c>
    </row>
    <row r="71" spans="1:7" x14ac:dyDescent="0.2">
      <c r="A71" s="148"/>
      <c r="B71" s="148"/>
      <c r="C71" s="152"/>
      <c r="D71" s="152"/>
      <c r="E71" s="152"/>
      <c r="F71" s="152"/>
      <c r="G71" s="152"/>
    </row>
    <row r="72" spans="1:7" x14ac:dyDescent="0.2">
      <c r="A72" s="148"/>
      <c r="B72" s="148"/>
      <c r="C72" s="152"/>
      <c r="D72" s="152"/>
      <c r="E72" s="152"/>
      <c r="F72" s="152"/>
      <c r="G72" s="152"/>
    </row>
    <row r="73" spans="1:7" x14ac:dyDescent="0.2">
      <c r="A73" s="148"/>
      <c r="B73" s="148"/>
      <c r="C73" s="152"/>
      <c r="D73" s="152"/>
      <c r="E73" s="152"/>
      <c r="F73" s="152"/>
      <c r="G73" s="152"/>
    </row>
    <row r="74" spans="1:7" x14ac:dyDescent="0.2">
      <c r="A74" s="148"/>
      <c r="B74" s="148"/>
      <c r="C74" s="152"/>
      <c r="D74" s="152"/>
      <c r="E74" s="152"/>
      <c r="F74" s="152"/>
      <c r="G74" s="152"/>
    </row>
    <row r="75" spans="1:7" x14ac:dyDescent="0.2">
      <c r="A75" s="148"/>
      <c r="B75" s="148"/>
      <c r="C75" s="152"/>
      <c r="D75" s="152"/>
      <c r="E75" s="152"/>
      <c r="F75" s="152"/>
      <c r="G75" s="152"/>
    </row>
    <row r="76" spans="1:7" x14ac:dyDescent="0.2">
      <c r="A76" s="148"/>
      <c r="B76" s="148"/>
      <c r="C76" s="152"/>
      <c r="D76" s="152"/>
      <c r="E76" s="152"/>
      <c r="F76" s="152"/>
      <c r="G76" s="152"/>
    </row>
  </sheetData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2"/>
  <sheetViews>
    <sheetView zoomScale="208" zoomScaleNormal="208" workbookViewId="0">
      <selection activeCell="E10" sqref="E10"/>
    </sheetView>
  </sheetViews>
  <sheetFormatPr defaultRowHeight="12.75" x14ac:dyDescent="0.2"/>
  <cols>
    <col min="1" max="1" width="45.42578125" style="140" customWidth="1"/>
    <col min="2" max="2" width="11.7109375" style="140" customWidth="1"/>
    <col min="3" max="7" width="11.85546875" style="140" customWidth="1"/>
    <col min="8" max="16384" width="9.140625" style="140"/>
  </cols>
  <sheetData>
    <row r="1" spans="1:8" ht="18" x14ac:dyDescent="0.25">
      <c r="A1" s="282"/>
    </row>
    <row r="2" spans="1:8" x14ac:dyDescent="0.2">
      <c r="A2" s="11" t="s">
        <v>459</v>
      </c>
      <c r="B2" s="156" t="s">
        <v>79</v>
      </c>
      <c r="C2" s="3">
        <f>Окружение!D4</f>
        <v>2019</v>
      </c>
      <c r="D2" s="4">
        <f>C2+1</f>
        <v>2020</v>
      </c>
      <c r="E2" s="5">
        <f>D2+1</f>
        <v>2021</v>
      </c>
      <c r="F2" s="6">
        <f>E2+1</f>
        <v>2022</v>
      </c>
      <c r="G2" s="7">
        <f>F2+1</f>
        <v>2023</v>
      </c>
    </row>
    <row r="3" spans="1:8" x14ac:dyDescent="0.2">
      <c r="A3" s="152"/>
      <c r="B3" s="152"/>
      <c r="C3" s="152"/>
      <c r="D3" s="152"/>
      <c r="E3" s="152"/>
      <c r="F3" s="152"/>
      <c r="G3" s="152"/>
      <c r="H3" s="152"/>
    </row>
    <row r="4" spans="1:8" x14ac:dyDescent="0.2">
      <c r="A4" s="25" t="s">
        <v>464</v>
      </c>
      <c r="B4" s="25"/>
      <c r="C4" s="25"/>
      <c r="D4" s="25"/>
      <c r="E4" s="25"/>
      <c r="F4" s="25"/>
      <c r="G4" s="25"/>
      <c r="H4" s="152"/>
    </row>
    <row r="5" spans="1:8" x14ac:dyDescent="0.2">
      <c r="A5" s="189" t="s">
        <v>20</v>
      </c>
      <c r="B5" s="77" t="s">
        <v>85</v>
      </c>
      <c r="C5" s="213">
        <f>'Прогнозные отчеты'!C58</f>
        <v>-33888.314562262385</v>
      </c>
      <c r="D5" s="213">
        <f>'Прогнозные отчеты'!D58</f>
        <v>383507.85778918135</v>
      </c>
      <c r="E5" s="213">
        <f>'Прогнозные отчеты'!E58</f>
        <v>410933.90191425133</v>
      </c>
      <c r="F5" s="213">
        <f>'Прогнозные отчеты'!F58</f>
        <v>922122.54349085584</v>
      </c>
      <c r="G5" s="213">
        <f>'Прогнозные отчеты'!G58</f>
        <v>1499381.9091967621</v>
      </c>
      <c r="H5" s="152"/>
    </row>
    <row r="6" spans="1:8" x14ac:dyDescent="0.2">
      <c r="A6" s="189" t="s">
        <v>120</v>
      </c>
      <c r="B6" s="77" t="s">
        <v>85</v>
      </c>
      <c r="C6" s="213">
        <f>'Прогнозные отчеты'!C49</f>
        <v>0</v>
      </c>
      <c r="D6" s="213">
        <f>'Прогнозные отчеты'!D49</f>
        <v>800000</v>
      </c>
      <c r="E6" s="213">
        <f>'Прогнозные отчеты'!E49</f>
        <v>854400</v>
      </c>
      <c r="F6" s="213">
        <f>'Прогнозные отчеты'!F49</f>
        <v>1814745.6000000003</v>
      </c>
      <c r="G6" s="213">
        <f>'Прогнозные отчеты'!G49</f>
        <v>2899056.0959999999</v>
      </c>
      <c r="H6" s="152"/>
    </row>
    <row r="7" spans="1:8" s="143" customFormat="1" x14ac:dyDescent="0.2">
      <c r="A7" s="149" t="s">
        <v>464</v>
      </c>
      <c r="B7" s="77" t="s">
        <v>91</v>
      </c>
      <c r="C7" s="235" t="str">
        <f>IF(C6=0,"-",C5/C6)</f>
        <v>-</v>
      </c>
      <c r="D7" s="235">
        <f>IF(D6=0,"-",D5/D6)</f>
        <v>0.47938482223647666</v>
      </c>
      <c r="E7" s="235">
        <f>IF(E6=0,"-",E5/E6)</f>
        <v>0.48096196385094958</v>
      </c>
      <c r="F7" s="235">
        <f>IF(F6=0,"-",F5/F6)</f>
        <v>0.50812771965991033</v>
      </c>
      <c r="G7" s="235">
        <f>IF(G6=0,"-",G5/G6)</f>
        <v>0.51719658383483802</v>
      </c>
      <c r="H7" s="221"/>
    </row>
    <row r="8" spans="1:8" x14ac:dyDescent="0.2">
      <c r="A8" s="152"/>
      <c r="B8" s="152"/>
      <c r="C8" s="152"/>
      <c r="D8" s="152"/>
      <c r="E8" s="152"/>
      <c r="F8" s="152"/>
      <c r="G8" s="152"/>
      <c r="H8" s="152"/>
    </row>
    <row r="9" spans="1:8" x14ac:dyDescent="0.2">
      <c r="A9" s="25" t="s">
        <v>465</v>
      </c>
      <c r="B9" s="25"/>
      <c r="C9" s="25"/>
      <c r="D9" s="25"/>
      <c r="E9" s="25"/>
      <c r="F9" s="25"/>
      <c r="G9" s="25"/>
      <c r="H9" s="152"/>
    </row>
    <row r="10" spans="1:8" x14ac:dyDescent="0.2">
      <c r="A10" s="189" t="s">
        <v>214</v>
      </c>
      <c r="B10" s="77" t="s">
        <v>85</v>
      </c>
      <c r="C10" s="213">
        <f>'Прогнозные отчеты'!C74</f>
        <v>-38337.467104635267</v>
      </c>
      <c r="D10" s="213">
        <f>'Прогнозные отчеты'!D74</f>
        <v>296411.7214936855</v>
      </c>
      <c r="E10" s="213">
        <f>'Прогнозные отчеты'!E74</f>
        <v>317713.10188135086</v>
      </c>
      <c r="F10" s="213">
        <f>'Прогнозные отчеты'!F74</f>
        <v>726043.20290722733</v>
      </c>
      <c r="G10" s="213">
        <f>'Прогнозные отчеты'!G74</f>
        <v>1187159.505849224</v>
      </c>
      <c r="H10" s="152"/>
    </row>
    <row r="11" spans="1:8" x14ac:dyDescent="0.2">
      <c r="A11" s="189" t="s">
        <v>120</v>
      </c>
      <c r="B11" s="77" t="s">
        <v>85</v>
      </c>
      <c r="C11" s="213">
        <f>'Прогнозные отчеты'!C49</f>
        <v>0</v>
      </c>
      <c r="D11" s="213">
        <f>'Прогнозные отчеты'!D49</f>
        <v>800000</v>
      </c>
      <c r="E11" s="213">
        <f>'Прогнозные отчеты'!E49</f>
        <v>854400</v>
      </c>
      <c r="F11" s="213">
        <f>'Прогнозные отчеты'!F49</f>
        <v>1814745.6000000003</v>
      </c>
      <c r="G11" s="213">
        <f>'Прогнозные отчеты'!G49</f>
        <v>2899056.0959999999</v>
      </c>
      <c r="H11" s="152"/>
    </row>
    <row r="12" spans="1:8" s="143" customFormat="1" x14ac:dyDescent="0.2">
      <c r="A12" s="149" t="s">
        <v>465</v>
      </c>
      <c r="B12" s="77" t="s">
        <v>91</v>
      </c>
      <c r="C12" s="235" t="str">
        <f>IF(C11=0,"-",C10/C11)</f>
        <v>-</v>
      </c>
      <c r="D12" s="235">
        <f>IF(D11=0,"-",D10/D11)</f>
        <v>0.37051465186710686</v>
      </c>
      <c r="E12" s="235">
        <f>IF(E11=0,"-",E10/E11)</f>
        <v>0.37185522223940876</v>
      </c>
      <c r="F12" s="235">
        <f>IF(F11=0,"-",F10/F11)</f>
        <v>0.40007988056685589</v>
      </c>
      <c r="G12" s="235">
        <f>IF(G11=0,"-",G10/G11)</f>
        <v>0.40949863215383053</v>
      </c>
      <c r="H12" s="221"/>
    </row>
    <row r="13" spans="1:8" x14ac:dyDescent="0.2">
      <c r="A13" s="152"/>
      <c r="B13" s="152"/>
      <c r="C13" s="152"/>
      <c r="D13" s="152"/>
      <c r="E13" s="152"/>
      <c r="F13" s="152"/>
      <c r="G13" s="152"/>
      <c r="H13" s="152"/>
    </row>
    <row r="14" spans="1:8" x14ac:dyDescent="0.2">
      <c r="A14" s="25" t="s">
        <v>468</v>
      </c>
      <c r="B14" s="25"/>
      <c r="C14" s="25"/>
      <c r="D14" s="25"/>
      <c r="E14" s="25"/>
      <c r="F14" s="25"/>
      <c r="G14" s="25"/>
      <c r="H14" s="152"/>
    </row>
    <row r="15" spans="1:8" x14ac:dyDescent="0.2">
      <c r="A15" s="189" t="s">
        <v>372</v>
      </c>
      <c r="B15" s="77" t="s">
        <v>85</v>
      </c>
      <c r="C15" s="213">
        <f>'Прогнозные отчеты'!C63</f>
        <v>-38337.467104635267</v>
      </c>
      <c r="D15" s="213">
        <f>'Прогнозные отчеты'!D63</f>
        <v>373844.29846714746</v>
      </c>
      <c r="E15" s="213">
        <f>'Прогнозные отчеты'!E63</f>
        <v>400613.22055831912</v>
      </c>
      <c r="F15" s="213">
        <f>'Прогнозные отчеты'!F63</f>
        <v>911161.97989085573</v>
      </c>
      <c r="G15" s="213">
        <f>'Прогнозные отчеты'!G63</f>
        <v>1487708.9089627622</v>
      </c>
      <c r="H15" s="152"/>
    </row>
    <row r="16" spans="1:8" x14ac:dyDescent="0.2">
      <c r="A16" s="189" t="s">
        <v>120</v>
      </c>
      <c r="B16" s="77" t="s">
        <v>85</v>
      </c>
      <c r="C16" s="213">
        <f>'Прогнозные отчеты'!C49</f>
        <v>0</v>
      </c>
      <c r="D16" s="213">
        <f>'Прогнозные отчеты'!D49</f>
        <v>800000</v>
      </c>
      <c r="E16" s="213">
        <f>'Прогнозные отчеты'!E49</f>
        <v>854400</v>
      </c>
      <c r="F16" s="213">
        <f>'Прогнозные отчеты'!F49</f>
        <v>1814745.6000000003</v>
      </c>
      <c r="G16" s="213">
        <f>'Прогнозные отчеты'!G49</f>
        <v>2899056.0959999999</v>
      </c>
      <c r="H16" s="152"/>
    </row>
    <row r="17" spans="1:8" s="143" customFormat="1" x14ac:dyDescent="0.2">
      <c r="A17" s="149" t="s">
        <v>468</v>
      </c>
      <c r="B17" s="77" t="s">
        <v>91</v>
      </c>
      <c r="C17" s="235" t="str">
        <f>IF(C16=0,"-",C15/C16)</f>
        <v>-</v>
      </c>
      <c r="D17" s="235">
        <f>IF(D16=0,"-",D15/D16)</f>
        <v>0.46730537308393433</v>
      </c>
      <c r="E17" s="235">
        <f>IF(E16=0,"-",E15/E16)</f>
        <v>0.46888251469840719</v>
      </c>
      <c r="F17" s="235">
        <f>IF(F16=0,"-",F15/F16)</f>
        <v>0.50208799508363899</v>
      </c>
      <c r="G17" s="235">
        <f>IF(G16=0,"-",G15/G16)</f>
        <v>0.51317010078399061</v>
      </c>
      <c r="H17" s="221"/>
    </row>
    <row r="18" spans="1:8" x14ac:dyDescent="0.2">
      <c r="A18" s="152"/>
      <c r="B18" s="152"/>
      <c r="C18" s="152"/>
      <c r="D18" s="152"/>
      <c r="E18" s="152"/>
      <c r="F18" s="152"/>
      <c r="G18" s="152"/>
      <c r="H18" s="152"/>
    </row>
    <row r="19" spans="1:8" x14ac:dyDescent="0.2">
      <c r="A19" s="25" t="s">
        <v>467</v>
      </c>
      <c r="B19" s="25"/>
      <c r="C19" s="25"/>
      <c r="D19" s="25"/>
      <c r="E19" s="25"/>
      <c r="F19" s="25"/>
      <c r="G19" s="25"/>
      <c r="H19" s="152"/>
    </row>
    <row r="20" spans="1:8" x14ac:dyDescent="0.2">
      <c r="A20" s="236" t="s">
        <v>466</v>
      </c>
      <c r="B20" s="77" t="s">
        <v>85</v>
      </c>
      <c r="C20" s="213">
        <f>'Прогнозные отчеты'!C63</f>
        <v>-38337.467104635267</v>
      </c>
      <c r="D20" s="213">
        <f>'Прогнозные отчеты'!D63</f>
        <v>373844.29846714746</v>
      </c>
      <c r="E20" s="213">
        <f>'Прогнозные отчеты'!E63</f>
        <v>400613.22055831912</v>
      </c>
      <c r="F20" s="213">
        <f>'Прогнозные отчеты'!F63</f>
        <v>911161.97989085573</v>
      </c>
      <c r="G20" s="213">
        <f>'Прогнозные отчеты'!G63</f>
        <v>1487708.9089627622</v>
      </c>
      <c r="H20" s="152"/>
    </row>
    <row r="21" spans="1:8" x14ac:dyDescent="0.2">
      <c r="A21" s="236" t="s">
        <v>117</v>
      </c>
      <c r="B21" s="77" t="s">
        <v>85</v>
      </c>
      <c r="C21" s="213">
        <f>-'Прогнозные отчеты'!C56</f>
        <v>208.26271186440678</v>
      </c>
      <c r="D21" s="213">
        <f>-'Прогнозные отчеты'!D56</f>
        <v>208.26271186440678</v>
      </c>
      <c r="E21" s="213">
        <f>-'Прогнозные отчеты'!E56</f>
        <v>208.26271186440678</v>
      </c>
      <c r="F21" s="213">
        <f>-'Прогнозные отчеты'!F56</f>
        <v>208.26271186440678</v>
      </c>
      <c r="G21" s="213">
        <f>-'Прогнозные отчеты'!G56</f>
        <v>208.26271186440678</v>
      </c>
      <c r="H21" s="152"/>
    </row>
    <row r="22" spans="1:8" x14ac:dyDescent="0.2">
      <c r="A22" s="189" t="s">
        <v>215</v>
      </c>
      <c r="B22" s="77" t="s">
        <v>85</v>
      </c>
      <c r="C22" s="213">
        <f>SUM(C20:C21)</f>
        <v>-38129.204392770858</v>
      </c>
      <c r="D22" s="213">
        <f>SUM(D20:D21)</f>
        <v>374052.56117901189</v>
      </c>
      <c r="E22" s="213">
        <f>SUM(E20:E21)</f>
        <v>400821.48327018355</v>
      </c>
      <c r="F22" s="213">
        <f>SUM(F20:F21)</f>
        <v>911370.24260272016</v>
      </c>
      <c r="G22" s="213">
        <f>SUM(G20:G21)</f>
        <v>1487917.1716746266</v>
      </c>
      <c r="H22" s="152"/>
    </row>
    <row r="23" spans="1:8" x14ac:dyDescent="0.2">
      <c r="A23" s="189" t="s">
        <v>120</v>
      </c>
      <c r="B23" s="77" t="s">
        <v>85</v>
      </c>
      <c r="C23" s="213">
        <f>'Прогнозные отчеты'!C49</f>
        <v>0</v>
      </c>
      <c r="D23" s="213">
        <f>'Прогнозные отчеты'!D49</f>
        <v>800000</v>
      </c>
      <c r="E23" s="213">
        <f>'Прогнозные отчеты'!E49</f>
        <v>854400</v>
      </c>
      <c r="F23" s="213">
        <f>'Прогнозные отчеты'!F49</f>
        <v>1814745.6000000003</v>
      </c>
      <c r="G23" s="213">
        <f>'Прогнозные отчеты'!G49</f>
        <v>2899056.0959999999</v>
      </c>
      <c r="H23" s="152"/>
    </row>
    <row r="24" spans="1:8" x14ac:dyDescent="0.2">
      <c r="A24" s="149" t="s">
        <v>467</v>
      </c>
      <c r="B24" s="77" t="s">
        <v>91</v>
      </c>
      <c r="C24" s="235" t="str">
        <f>IF(C23=0,"-",C22/C23)</f>
        <v>-</v>
      </c>
      <c r="D24" s="235">
        <f>IF(D23=0,"-",D22/D23)</f>
        <v>0.46756570147376486</v>
      </c>
      <c r="E24" s="235">
        <f>IF(E23=0,"-",E22/E23)</f>
        <v>0.46912626787240586</v>
      </c>
      <c r="F24" s="235">
        <f>IF(F23=0,"-",F22/F23)</f>
        <v>0.50220275646499435</v>
      </c>
      <c r="G24" s="235">
        <f>IF(G23=0,"-",G22/G23)</f>
        <v>0.51324193889438507</v>
      </c>
      <c r="H24" s="152"/>
    </row>
    <row r="25" spans="1:8" x14ac:dyDescent="0.2">
      <c r="A25" s="152"/>
      <c r="B25" s="152"/>
      <c r="C25" s="152"/>
      <c r="D25" s="152"/>
      <c r="E25" s="152"/>
      <c r="F25" s="152"/>
      <c r="G25" s="152"/>
      <c r="H25" s="152"/>
    </row>
    <row r="26" spans="1:8" x14ac:dyDescent="0.2">
      <c r="A26" s="25" t="s">
        <v>469</v>
      </c>
      <c r="B26" s="25"/>
      <c r="C26" s="25"/>
      <c r="D26" s="25"/>
      <c r="E26" s="25"/>
      <c r="F26" s="25"/>
      <c r="G26" s="25"/>
      <c r="H26" s="152"/>
    </row>
    <row r="27" spans="1:8" x14ac:dyDescent="0.2">
      <c r="A27" s="189" t="s">
        <v>214</v>
      </c>
      <c r="B27" s="77" t="s">
        <v>85</v>
      </c>
      <c r="C27" s="213">
        <f>'Прогнозные отчеты'!C74</f>
        <v>-38337.467104635267</v>
      </c>
      <c r="D27" s="213">
        <f>'Прогнозные отчеты'!D74</f>
        <v>296411.7214936855</v>
      </c>
      <c r="E27" s="213">
        <f>'Прогнозные отчеты'!E74</f>
        <v>317713.10188135086</v>
      </c>
      <c r="F27" s="213">
        <f>'Прогнозные отчеты'!F74</f>
        <v>726043.20290722733</v>
      </c>
      <c r="G27" s="213">
        <f>'Прогнозные отчеты'!G74</f>
        <v>1187159.505849224</v>
      </c>
      <c r="H27" s="152"/>
    </row>
    <row r="28" spans="1:8" x14ac:dyDescent="0.2">
      <c r="A28" s="189" t="s">
        <v>429</v>
      </c>
      <c r="B28" s="77" t="s">
        <v>85</v>
      </c>
      <c r="C28" s="217" t="s">
        <v>260</v>
      </c>
      <c r="D28" s="213">
        <f>('Прогнозные отчеты'!C19+'Прогнозные отчеты'!D19)/2</f>
        <v>224037.12719452512</v>
      </c>
      <c r="E28" s="213">
        <f>('Прогнозные отчеты'!D19+'Прогнозные отчеты'!E19)/2</f>
        <v>432062.41168751824</v>
      </c>
      <c r="F28" s="213">
        <f>('Прогнозные отчеты'!E19+'Прогнозные отчеты'!F19)/2</f>
        <v>646878.15239428927</v>
      </c>
      <c r="G28" s="213">
        <f>('Прогнозные отчеты'!F19+'Прогнозные отчеты'!G19)/2</f>
        <v>1081601.3543782257</v>
      </c>
      <c r="H28" s="152"/>
    </row>
    <row r="29" spans="1:8" s="143" customFormat="1" x14ac:dyDescent="0.2">
      <c r="A29" s="149" t="s">
        <v>469</v>
      </c>
      <c r="B29" s="77" t="s">
        <v>91</v>
      </c>
      <c r="C29" s="235" t="s">
        <v>260</v>
      </c>
      <c r="D29" s="235">
        <f>IF(D28=0,"-",D27/D28)</f>
        <v>1.3230473234747362</v>
      </c>
      <c r="E29" s="235">
        <f>IF(E28=0,"-",E27/E28)</f>
        <v>0.73534075931403042</v>
      </c>
      <c r="F29" s="235">
        <f>IF(F28=0,"-",F27/F28)</f>
        <v>1.1223801580250077</v>
      </c>
      <c r="G29" s="235">
        <f>IF(G28=0,"-",G27/G28)</f>
        <v>1.0975943225696865</v>
      </c>
      <c r="H29" s="221"/>
    </row>
    <row r="30" spans="1:8" x14ac:dyDescent="0.2">
      <c r="A30" s="152"/>
      <c r="B30" s="152"/>
      <c r="C30" s="152"/>
      <c r="D30" s="152"/>
      <c r="E30" s="152"/>
      <c r="F30" s="152"/>
      <c r="G30" s="152"/>
      <c r="H30" s="152"/>
    </row>
    <row r="31" spans="1:8" x14ac:dyDescent="0.2">
      <c r="A31" s="25" t="s">
        <v>474</v>
      </c>
      <c r="B31" s="25"/>
      <c r="C31" s="25"/>
      <c r="D31" s="25"/>
      <c r="E31" s="25"/>
      <c r="F31" s="25"/>
      <c r="G31" s="25"/>
      <c r="H31" s="152"/>
    </row>
    <row r="32" spans="1:8" x14ac:dyDescent="0.2">
      <c r="A32" s="189" t="s">
        <v>462</v>
      </c>
      <c r="B32" s="77" t="s">
        <v>85</v>
      </c>
      <c r="C32" s="213">
        <f>'Прогнозные отчеты'!C63</f>
        <v>-38337.467104635267</v>
      </c>
      <c r="D32" s="213">
        <f>'Прогнозные отчеты'!D63</f>
        <v>373844.29846714746</v>
      </c>
      <c r="E32" s="213">
        <f>'Прогнозные отчеты'!E63</f>
        <v>400613.22055831912</v>
      </c>
      <c r="F32" s="213">
        <f>'Прогнозные отчеты'!F63</f>
        <v>911161.97989085573</v>
      </c>
      <c r="G32" s="213">
        <f>'Прогнозные отчеты'!G63</f>
        <v>1487708.9089627622</v>
      </c>
      <c r="H32" s="152"/>
    </row>
    <row r="33" spans="1:8" x14ac:dyDescent="0.2">
      <c r="A33" s="189" t="s">
        <v>429</v>
      </c>
      <c r="B33" s="77" t="s">
        <v>85</v>
      </c>
      <c r="C33" s="217" t="s">
        <v>260</v>
      </c>
      <c r="D33" s="213">
        <f>('Прогнозные отчеты'!C19+'Прогнозные отчеты'!D19)/2</f>
        <v>224037.12719452512</v>
      </c>
      <c r="E33" s="213">
        <f>('Прогнозные отчеты'!D19+'Прогнозные отчеты'!E19)/2</f>
        <v>432062.41168751824</v>
      </c>
      <c r="F33" s="213">
        <f>('Прогнозные отчеты'!E19+'Прогнозные отчеты'!F19)/2</f>
        <v>646878.15239428927</v>
      </c>
      <c r="G33" s="213">
        <f>('Прогнозные отчеты'!F19+'Прогнозные отчеты'!G19)/2</f>
        <v>1081601.3543782257</v>
      </c>
      <c r="H33" s="152"/>
    </row>
    <row r="34" spans="1:8" s="143" customFormat="1" x14ac:dyDescent="0.2">
      <c r="A34" s="149" t="s">
        <v>470</v>
      </c>
      <c r="B34" s="77" t="s">
        <v>91</v>
      </c>
      <c r="C34" s="214" t="s">
        <v>260</v>
      </c>
      <c r="D34" s="235">
        <f>IF(D33=0,"-",D32/D33)</f>
        <v>1.6686711847655009</v>
      </c>
      <c r="E34" s="235">
        <f>IF(E33=0,"-",E32/E33)</f>
        <v>0.92721146232932616</v>
      </c>
      <c r="F34" s="235">
        <f>IF(F33=0,"-",F32/F33)</f>
        <v>1.4085527181871471</v>
      </c>
      <c r="G34" s="235">
        <f>IF(G33=0,"-",G32/G33)</f>
        <v>1.375468792583006</v>
      </c>
      <c r="H34" s="221"/>
    </row>
    <row r="35" spans="1:8" x14ac:dyDescent="0.2">
      <c r="A35" s="152"/>
      <c r="B35" s="152"/>
      <c r="C35" s="152"/>
      <c r="D35" s="152"/>
      <c r="E35" s="152"/>
      <c r="F35" s="152"/>
      <c r="G35" s="152"/>
      <c r="H35" s="152"/>
    </row>
    <row r="36" spans="1:8" x14ac:dyDescent="0.2">
      <c r="A36" s="25" t="s">
        <v>449</v>
      </c>
      <c r="B36" s="25"/>
      <c r="C36" s="25"/>
      <c r="D36" s="25"/>
      <c r="E36" s="25"/>
      <c r="F36" s="25"/>
      <c r="G36" s="25"/>
      <c r="H36" s="152"/>
    </row>
    <row r="37" spans="1:8" x14ac:dyDescent="0.2">
      <c r="A37" s="189" t="s">
        <v>214</v>
      </c>
      <c r="B37" s="77" t="s">
        <v>85</v>
      </c>
      <c r="C37" s="213">
        <f>'Прогнозные отчеты'!C74</f>
        <v>-38337.467104635267</v>
      </c>
      <c r="D37" s="213">
        <f>'Прогнозные отчеты'!D74</f>
        <v>296411.7214936855</v>
      </c>
      <c r="E37" s="213">
        <f>'Прогнозные отчеты'!E74</f>
        <v>317713.10188135086</v>
      </c>
      <c r="F37" s="213">
        <f>'Прогнозные отчеты'!F74</f>
        <v>726043.20290722733</v>
      </c>
      <c r="G37" s="213">
        <f>'Прогнозные отчеты'!G74</f>
        <v>1187159.505849224</v>
      </c>
      <c r="H37" s="152"/>
    </row>
    <row r="38" spans="1:8" x14ac:dyDescent="0.2">
      <c r="A38" s="189" t="s">
        <v>431</v>
      </c>
      <c r="B38" s="77" t="s">
        <v>85</v>
      </c>
      <c r="C38" s="217" t="s">
        <v>260</v>
      </c>
      <c r="D38" s="213">
        <f>'Анализ оборачиваемости'!D61</f>
        <v>222653.54668605054</v>
      </c>
      <c r="E38" s="213">
        <f>'Анализ оборачиваемости'!E61</f>
        <v>430753.61931463692</v>
      </c>
      <c r="F38" s="213">
        <f>'Анализ оборачиваемости'!F61</f>
        <v>645644.14815700112</v>
      </c>
      <c r="G38" s="213">
        <f>'Анализ оборачиваемости'!G61</f>
        <v>1080442.1382765309</v>
      </c>
      <c r="H38" s="152"/>
    </row>
    <row r="39" spans="1:8" s="143" customFormat="1" x14ac:dyDescent="0.2">
      <c r="A39" s="149" t="s">
        <v>471</v>
      </c>
      <c r="B39" s="77" t="s">
        <v>91</v>
      </c>
      <c r="C39" s="235" t="s">
        <v>260</v>
      </c>
      <c r="D39" s="235">
        <f>IF(D38=0,"-",D37/D38)</f>
        <v>1.3312688071016296</v>
      </c>
      <c r="E39" s="235">
        <f>IF(E38=0,"-",E37/E38)</f>
        <v>0.73757500258931663</v>
      </c>
      <c r="F39" s="235">
        <f>IF(F38=0,"-",F37/F38)</f>
        <v>1.1245253364097332</v>
      </c>
      <c r="G39" s="235">
        <f>IF(G38=0,"-",G37/G38)</f>
        <v>1.098771941404399</v>
      </c>
      <c r="H39" s="221"/>
    </row>
    <row r="40" spans="1:8" x14ac:dyDescent="0.2">
      <c r="A40" s="152"/>
      <c r="B40" s="152"/>
      <c r="C40" s="152"/>
      <c r="D40" s="152"/>
      <c r="E40" s="152"/>
      <c r="F40" s="152"/>
      <c r="G40" s="152"/>
      <c r="H40" s="152"/>
    </row>
    <row r="41" spans="1:8" x14ac:dyDescent="0.2">
      <c r="A41" s="25" t="s">
        <v>473</v>
      </c>
      <c r="B41" s="25"/>
      <c r="C41" s="25"/>
      <c r="D41" s="25"/>
      <c r="E41" s="25"/>
      <c r="F41" s="25"/>
      <c r="G41" s="25"/>
      <c r="H41" s="152"/>
    </row>
    <row r="42" spans="1:8" x14ac:dyDescent="0.2">
      <c r="A42" s="189" t="s">
        <v>214</v>
      </c>
      <c r="B42" s="77" t="s">
        <v>85</v>
      </c>
      <c r="C42" s="213">
        <f>'Прогнозные отчеты'!C74</f>
        <v>-38337.467104635267</v>
      </c>
      <c r="D42" s="213">
        <f>'Прогнозные отчеты'!D74</f>
        <v>296411.7214936855</v>
      </c>
      <c r="E42" s="213">
        <f>'Прогнозные отчеты'!E74</f>
        <v>317713.10188135086</v>
      </c>
      <c r="F42" s="213">
        <f>'Прогнозные отчеты'!F74</f>
        <v>726043.20290722733</v>
      </c>
      <c r="G42" s="213">
        <f>'Прогнозные отчеты'!G74</f>
        <v>1187159.505849224</v>
      </c>
      <c r="H42" s="152"/>
    </row>
    <row r="43" spans="1:8" x14ac:dyDescent="0.2">
      <c r="A43" s="189" t="s">
        <v>463</v>
      </c>
      <c r="B43" s="77" t="s">
        <v>85</v>
      </c>
      <c r="C43" s="217" t="s">
        <v>260</v>
      </c>
      <c r="D43" s="213">
        <f>('Прогнозные отчеты'!C27+'Прогнозные отчеты'!D27)/2</f>
        <v>224037.12719452512</v>
      </c>
      <c r="E43" s="213">
        <f>('Прогнозные отчеты'!D27+'Прогнозные отчеты'!E27)/2</f>
        <v>432062.41168751824</v>
      </c>
      <c r="F43" s="213">
        <f>('Прогнозные отчеты'!E27+'Прогнозные отчеты'!F27)/2</f>
        <v>646878.15239428927</v>
      </c>
      <c r="G43" s="213">
        <f>('Прогнозные отчеты'!F27+'Прогнозные отчеты'!G27)/2</f>
        <v>1081601.3543782257</v>
      </c>
      <c r="H43" s="152"/>
    </row>
    <row r="44" spans="1:8" s="143" customFormat="1" x14ac:dyDescent="0.2">
      <c r="A44" s="149" t="s">
        <v>472</v>
      </c>
      <c r="B44" s="77" t="s">
        <v>91</v>
      </c>
      <c r="C44" s="214" t="s">
        <v>260</v>
      </c>
      <c r="D44" s="235">
        <f>IF(D43=0,"-",D42/D43)</f>
        <v>1.3230473234747362</v>
      </c>
      <c r="E44" s="235">
        <f>IF(E43=0,"-",E42/E43)</f>
        <v>0.73534075931403042</v>
      </c>
      <c r="F44" s="235">
        <f>IF(F43=0,"-",F42/F43)</f>
        <v>1.1223801580250077</v>
      </c>
      <c r="G44" s="235">
        <f>IF(G43=0,"-",G42/G43)</f>
        <v>1.0975943225696865</v>
      </c>
      <c r="H44" s="221"/>
    </row>
    <row r="45" spans="1:8" x14ac:dyDescent="0.2">
      <c r="A45" s="152" t="s">
        <v>460</v>
      </c>
      <c r="B45" s="77" t="s">
        <v>91</v>
      </c>
      <c r="C45" s="214" t="s">
        <v>260</v>
      </c>
      <c r="D45" s="214" t="s">
        <v>260</v>
      </c>
      <c r="E45" s="237">
        <f>IF(E44="-","-",(E44-D44)/D44)</f>
        <v>-0.44420675945075377</v>
      </c>
      <c r="F45" s="237">
        <f>IF(F44="-","-",(F44-E44)/E44)</f>
        <v>0.52634019508456276</v>
      </c>
      <c r="G45" s="237">
        <f>IF(G44="-","-",(G44-F44)/F44)</f>
        <v>-2.2083280141850969E-2</v>
      </c>
      <c r="H45" s="152"/>
    </row>
    <row r="46" spans="1:8" x14ac:dyDescent="0.2">
      <c r="A46" s="152" t="s">
        <v>461</v>
      </c>
      <c r="B46" s="77" t="s">
        <v>91</v>
      </c>
      <c r="C46" s="177"/>
      <c r="D46" s="177"/>
      <c r="E46" s="177"/>
      <c r="F46" s="177"/>
      <c r="G46" s="205">
        <f>IF(D44="-","-",AVERAGE(D44:G44))</f>
        <v>1.0695906408458653</v>
      </c>
      <c r="H46" s="152"/>
    </row>
    <row r="47" spans="1:8" x14ac:dyDescent="0.2">
      <c r="A47" s="152"/>
      <c r="B47" s="152"/>
      <c r="C47" s="152"/>
      <c r="D47" s="152"/>
      <c r="E47" s="152"/>
      <c r="F47" s="152"/>
      <c r="G47" s="152"/>
      <c r="H47" s="152"/>
    </row>
    <row r="48" spans="1:8" x14ac:dyDescent="0.2">
      <c r="A48" s="25" t="s">
        <v>450</v>
      </c>
      <c r="B48" s="25"/>
      <c r="C48" s="25"/>
      <c r="D48" s="25"/>
      <c r="E48" s="25"/>
      <c r="F48" s="25"/>
      <c r="G48" s="25"/>
    </row>
    <row r="49" spans="1:7" x14ac:dyDescent="0.2">
      <c r="A49" s="189" t="s">
        <v>372</v>
      </c>
      <c r="B49" s="77" t="s">
        <v>85</v>
      </c>
      <c r="C49" s="213">
        <f>'Прогнозные отчеты'!C63</f>
        <v>-38337.467104635267</v>
      </c>
      <c r="D49" s="213">
        <f>'Прогнозные отчеты'!D63</f>
        <v>373844.29846714746</v>
      </c>
      <c r="E49" s="213">
        <f>'Прогнозные отчеты'!E63</f>
        <v>400613.22055831912</v>
      </c>
      <c r="F49" s="213">
        <f>'Прогнозные отчеты'!F63</f>
        <v>911161.97989085573</v>
      </c>
      <c r="G49" s="213">
        <f>'Прогнозные отчеты'!G63</f>
        <v>1487708.9089627622</v>
      </c>
    </row>
    <row r="50" spans="1:7" x14ac:dyDescent="0.2">
      <c r="A50" s="189" t="s">
        <v>448</v>
      </c>
      <c r="B50" s="77" t="s">
        <v>85</v>
      </c>
      <c r="C50" s="213">
        <f>'Прогнозные отчеты'!C27+'Прогнозные отчеты'!C31</f>
        <v>26662.53289536474</v>
      </c>
      <c r="D50" s="213">
        <f>'Прогнозные отчеты'!D27+'Прогнозные отчеты'!D31</f>
        <v>421411.7214936855</v>
      </c>
      <c r="E50" s="213">
        <f>'Прогнозные отчеты'!E27+'Прогнозные отчеты'!E31</f>
        <v>442713.10188135103</v>
      </c>
      <c r="F50" s="213">
        <f>'Прогнозные отчеты'!F27+'Прогнозные отчеты'!F31</f>
        <v>851043.20290722745</v>
      </c>
      <c r="G50" s="213">
        <f>'Прогнозные отчеты'!G27+'Прогнозные отчеты'!G31</f>
        <v>1312159.505849224</v>
      </c>
    </row>
    <row r="51" spans="1:7" x14ac:dyDescent="0.2">
      <c r="A51" s="189" t="s">
        <v>451</v>
      </c>
      <c r="B51" s="77" t="s">
        <v>85</v>
      </c>
      <c r="C51" s="217" t="s">
        <v>260</v>
      </c>
      <c r="D51" s="213">
        <f>IF((C50+D50)=0,"-",(C50+D50)/2)</f>
        <v>224037.12719452512</v>
      </c>
      <c r="E51" s="213">
        <f>IF((D50+E50)=0,"-",(D50+E50)/2)</f>
        <v>432062.41168751824</v>
      </c>
      <c r="F51" s="213">
        <f>IF((E50+F50)=0,"-",(E50+F50)/2)</f>
        <v>646878.15239428927</v>
      </c>
      <c r="G51" s="213">
        <f>IF((F50+G50)=0,"-",(F50+G50)/2)</f>
        <v>1081601.3543782257</v>
      </c>
    </row>
    <row r="52" spans="1:7" x14ac:dyDescent="0.2">
      <c r="A52" s="149" t="s">
        <v>471</v>
      </c>
      <c r="B52" s="77" t="s">
        <v>91</v>
      </c>
      <c r="C52" s="235" t="s">
        <v>260</v>
      </c>
      <c r="D52" s="235">
        <f>IF(D51="-","-",D49*(1+Окружение!K16)/D51)</f>
        <v>2.0024054217186009</v>
      </c>
      <c r="E52" s="235">
        <f>IF(E51="-","-",E49*(1-Окружение!O16)/E51)</f>
        <v>0.74176916986346098</v>
      </c>
      <c r="F52" s="235">
        <f>IF(F51="-","-",F49*(1-Окружение!S16)/F51)</f>
        <v>1.1268421745497177</v>
      </c>
      <c r="G52" s="235">
        <f>IF(G51="-","-",G49*(1-Окружение!W16)/G51)</f>
        <v>1.1003750340664049</v>
      </c>
    </row>
  </sheetData>
  <pageMargins left="0.7" right="0.7" top="0.75" bottom="0.75" header="0.3" footer="0.3"/>
  <pageSetup paperSize="9" orientation="portrait" horizontalDpi="1200" verticalDpi="12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0"/>
  <sheetViews>
    <sheetView zoomScale="85" zoomScaleNormal="85" workbookViewId="0">
      <selection activeCell="A2" sqref="A2"/>
    </sheetView>
  </sheetViews>
  <sheetFormatPr defaultRowHeight="12.75" x14ac:dyDescent="0.2"/>
  <cols>
    <col min="1" max="1" width="49.140625" style="140" customWidth="1"/>
    <col min="2" max="2" width="10.85546875" style="140" customWidth="1"/>
    <col min="3" max="7" width="11.85546875" style="140" customWidth="1"/>
    <col min="8" max="16384" width="9.140625" style="140"/>
  </cols>
  <sheetData>
    <row r="1" spans="1:7" x14ac:dyDescent="0.2">
      <c r="A1"/>
    </row>
    <row r="2" spans="1:7" x14ac:dyDescent="0.2">
      <c r="A2" s="11" t="s">
        <v>433</v>
      </c>
      <c r="B2" s="156" t="s">
        <v>79</v>
      </c>
      <c r="C2" s="3">
        <f>Окружение!D4</f>
        <v>2019</v>
      </c>
      <c r="D2" s="4">
        <f>C2+1</f>
        <v>2020</v>
      </c>
      <c r="E2" s="5">
        <f>D2+1</f>
        <v>2021</v>
      </c>
      <c r="F2" s="6">
        <f>E2+1</f>
        <v>2022</v>
      </c>
      <c r="G2" s="7">
        <f>F2+1</f>
        <v>2023</v>
      </c>
    </row>
    <row r="3" spans="1:7" s="141" customFormat="1" x14ac:dyDescent="0.2">
      <c r="A3" s="20"/>
      <c r="B3" s="20"/>
    </row>
    <row r="4" spans="1:7" ht="12" customHeight="1" x14ac:dyDescent="0.2">
      <c r="A4" s="25" t="s">
        <v>400</v>
      </c>
      <c r="B4" s="209"/>
      <c r="C4" s="210"/>
      <c r="D4" s="210"/>
      <c r="E4" s="210"/>
      <c r="F4" s="210"/>
      <c r="G4" s="210"/>
    </row>
    <row r="5" spans="1:7" x14ac:dyDescent="0.2">
      <c r="A5" s="189" t="s">
        <v>201</v>
      </c>
      <c r="B5" s="77" t="s">
        <v>85</v>
      </c>
      <c r="C5" s="213">
        <f>'Прогнозные отчеты'!C17</f>
        <v>22780.329505534231</v>
      </c>
      <c r="D5" s="213">
        <f>'Прогнозные отчеты'!D17</f>
        <v>417812.56895131263</v>
      </c>
      <c r="E5" s="213">
        <f>'Прогнозные отчеты'!E17</f>
        <v>439397.00018643576</v>
      </c>
      <c r="F5" s="213">
        <f>'Прогнозные отчеты'!F17</f>
        <v>848010.15205976984</v>
      </c>
      <c r="G5" s="213">
        <f>'Прогнозные отчеты'!G17</f>
        <v>1309409.505849224</v>
      </c>
    </row>
    <row r="6" spans="1:7" x14ac:dyDescent="0.2">
      <c r="A6" s="189" t="s">
        <v>203</v>
      </c>
      <c r="B6" s="77" t="s">
        <v>85</v>
      </c>
      <c r="C6" s="213">
        <f>'Прогнозные отчеты'!C39</f>
        <v>0</v>
      </c>
      <c r="D6" s="213">
        <f>'Прогнозные отчеты'!D39</f>
        <v>0</v>
      </c>
      <c r="E6" s="213">
        <f>'Прогнозные отчеты'!E39</f>
        <v>0</v>
      </c>
      <c r="F6" s="213">
        <f>'Прогнозные отчеты'!F39</f>
        <v>0</v>
      </c>
      <c r="G6" s="213">
        <f>'Прогнозные отчеты'!G39</f>
        <v>0</v>
      </c>
    </row>
    <row r="7" spans="1:7" s="143" customFormat="1" x14ac:dyDescent="0.2">
      <c r="A7" s="149" t="s">
        <v>301</v>
      </c>
      <c r="B7" s="149"/>
      <c r="C7" s="214" t="s">
        <v>260</v>
      </c>
      <c r="D7" s="214" t="str">
        <f>IF(C6+D6=0,"-",(D5+C5)/(D6+C6))</f>
        <v>-</v>
      </c>
      <c r="E7" s="214" t="str">
        <f>IF(D6+E6=0,"-",(E5+D5)/(E6+D6))</f>
        <v>-</v>
      </c>
      <c r="F7" s="214" t="str">
        <f>IF(E6+F6=0,"-",(F5+E5)/(F6+E6))</f>
        <v>-</v>
      </c>
      <c r="G7" s="214" t="str">
        <f>IF(F6+G6=0,"-",(G5+F5)/(G6+F6))</f>
        <v>-</v>
      </c>
    </row>
    <row r="8" spans="1:7" x14ac:dyDescent="0.2">
      <c r="A8" s="152"/>
      <c r="B8" s="152"/>
      <c r="C8" s="152"/>
      <c r="D8" s="152"/>
      <c r="E8" s="152"/>
      <c r="F8" s="152"/>
      <c r="G8" s="152"/>
    </row>
    <row r="9" spans="1:7" ht="12.75" customHeight="1" x14ac:dyDescent="0.2">
      <c r="A9" s="25" t="s">
        <v>302</v>
      </c>
      <c r="B9" s="25"/>
      <c r="C9" s="25"/>
      <c r="D9" s="25"/>
      <c r="E9" s="25"/>
      <c r="F9" s="25"/>
      <c r="G9" s="25"/>
    </row>
    <row r="10" spans="1:7" x14ac:dyDescent="0.2">
      <c r="A10" s="189" t="s">
        <v>201</v>
      </c>
      <c r="B10" s="77" t="s">
        <v>85</v>
      </c>
      <c r="C10" s="213">
        <f>'Прогнозные отчеты'!C17</f>
        <v>22780.329505534231</v>
      </c>
      <c r="D10" s="213">
        <f>'Прогнозные отчеты'!D17</f>
        <v>417812.56895131263</v>
      </c>
      <c r="E10" s="213">
        <f>'Прогнозные отчеты'!E17</f>
        <v>439397.00018643576</v>
      </c>
      <c r="F10" s="213">
        <f>'Прогнозные отчеты'!F17</f>
        <v>848010.15205976984</v>
      </c>
      <c r="G10" s="213">
        <f>'Прогнозные отчеты'!G17</f>
        <v>1309409.505849224</v>
      </c>
    </row>
    <row r="11" spans="1:7" x14ac:dyDescent="0.2">
      <c r="A11" s="189" t="s">
        <v>300</v>
      </c>
      <c r="B11" s="77" t="s">
        <v>85</v>
      </c>
      <c r="C11" s="213">
        <f>'Прогнозные отчеты'!C12</f>
        <v>0</v>
      </c>
      <c r="D11" s="213">
        <f>'Прогнозные отчеты'!D12</f>
        <v>0</v>
      </c>
      <c r="E11" s="213">
        <f>'Прогнозные отчеты'!E12</f>
        <v>0</v>
      </c>
      <c r="F11" s="213">
        <f>'Прогнозные отчеты'!F12</f>
        <v>0</v>
      </c>
      <c r="G11" s="213">
        <f>'Прогнозные отчеты'!G12</f>
        <v>0</v>
      </c>
    </row>
    <row r="12" spans="1:7" x14ac:dyDescent="0.2">
      <c r="A12" s="189" t="s">
        <v>203</v>
      </c>
      <c r="B12" s="77" t="s">
        <v>85</v>
      </c>
      <c r="C12" s="213">
        <f>'Прогнозные отчеты'!C39</f>
        <v>0</v>
      </c>
      <c r="D12" s="213">
        <f>'Прогнозные отчеты'!D39</f>
        <v>0</v>
      </c>
      <c r="E12" s="213">
        <f>'Прогнозные отчеты'!E39</f>
        <v>0</v>
      </c>
      <c r="F12" s="213">
        <f>'Прогнозные отчеты'!F39</f>
        <v>0</v>
      </c>
      <c r="G12" s="213">
        <f>'Прогнозные отчеты'!G39</f>
        <v>0</v>
      </c>
    </row>
    <row r="13" spans="1:7" s="143" customFormat="1" x14ac:dyDescent="0.2">
      <c r="A13" s="149" t="s">
        <v>302</v>
      </c>
      <c r="B13" s="149"/>
      <c r="C13" s="214" t="s">
        <v>260</v>
      </c>
      <c r="D13" s="214" t="str">
        <f>IF(C12+D12=0,"-",((D10+C10)/2-(D11+C11)/2)/((D12+C12)/2))</f>
        <v>-</v>
      </c>
      <c r="E13" s="214" t="str">
        <f>IF(D12+E12=0,"-",((E10+D10)/2-(E11+D11)/2)/((E12+D12)/2))</f>
        <v>-</v>
      </c>
      <c r="F13" s="214" t="str">
        <f>IF(E12+F12=0,"-",((F10+E10)/2-(F11+E11)/2)/((F12+E12)/2))</f>
        <v>-</v>
      </c>
      <c r="G13" s="214" t="str">
        <f>IF(F12+G12=0,"-",((G10+F10)/2-(G11+F11)/2)/((G12+F12)/2))</f>
        <v>-</v>
      </c>
    </row>
    <row r="14" spans="1:7" x14ac:dyDescent="0.2">
      <c r="A14" s="148"/>
      <c r="B14" s="148"/>
      <c r="C14" s="211"/>
      <c r="D14" s="211"/>
      <c r="E14" s="211"/>
      <c r="F14" s="211"/>
      <c r="G14" s="211"/>
    </row>
    <row r="15" spans="1:7" x14ac:dyDescent="0.2">
      <c r="A15" s="25" t="s">
        <v>217</v>
      </c>
      <c r="B15" s="25"/>
      <c r="C15" s="25"/>
      <c r="D15" s="25"/>
      <c r="E15" s="25"/>
      <c r="F15" s="25"/>
      <c r="G15" s="25"/>
    </row>
    <row r="16" spans="1:7" x14ac:dyDescent="0.2">
      <c r="A16" s="189" t="s">
        <v>303</v>
      </c>
      <c r="B16" s="77" t="s">
        <v>85</v>
      </c>
      <c r="C16" s="213">
        <f>'Прогнозные отчеты'!C16</f>
        <v>22780.329505534231</v>
      </c>
      <c r="D16" s="213">
        <f>'Прогнозные отчеты'!D16</f>
        <v>417812.56895131263</v>
      </c>
      <c r="E16" s="213">
        <f>'Прогнозные отчеты'!E16</f>
        <v>439397.00018643576</v>
      </c>
      <c r="F16" s="213">
        <f>'Прогнозные отчеты'!F16</f>
        <v>848010.15205976984</v>
      </c>
      <c r="G16" s="213">
        <f>'Прогнозные отчеты'!G16</f>
        <v>1309409.505849224</v>
      </c>
    </row>
    <row r="17" spans="1:7" x14ac:dyDescent="0.2">
      <c r="A17" s="189" t="s">
        <v>203</v>
      </c>
      <c r="B17" s="77" t="s">
        <v>85</v>
      </c>
      <c r="C17" s="213">
        <f>'Прогнозные отчеты'!C39</f>
        <v>0</v>
      </c>
      <c r="D17" s="213">
        <f>'Прогнозные отчеты'!D39</f>
        <v>0</v>
      </c>
      <c r="E17" s="213">
        <f>'Прогнозные отчеты'!E39</f>
        <v>0</v>
      </c>
      <c r="F17" s="213">
        <f>'Прогнозные отчеты'!F39</f>
        <v>0</v>
      </c>
      <c r="G17" s="213">
        <f>'Прогнозные отчеты'!G39</f>
        <v>0</v>
      </c>
    </row>
    <row r="18" spans="1:7" s="143" customFormat="1" x14ac:dyDescent="0.2">
      <c r="A18" s="149" t="s">
        <v>217</v>
      </c>
      <c r="B18" s="149"/>
      <c r="C18" s="214" t="s">
        <v>260</v>
      </c>
      <c r="D18" s="214" t="str">
        <f>IF(C17+D17=0,"-",(D16+C16)/(D17+C17))</f>
        <v>-</v>
      </c>
      <c r="E18" s="214" t="str">
        <f>IF(D17+E17=0,"-",(E16+D16)/(E17+D17))</f>
        <v>-</v>
      </c>
      <c r="F18" s="214" t="str">
        <f>IF(E17+F17=0,"-",(F16+E16)/(F17+E17))</f>
        <v>-</v>
      </c>
      <c r="G18" s="214" t="str">
        <f>IF(F17+G17=0,"-",(G16+F16)/(G17+F17))</f>
        <v>-</v>
      </c>
    </row>
    <row r="19" spans="1:7" x14ac:dyDescent="0.2">
      <c r="A19" s="152"/>
      <c r="B19" s="152"/>
      <c r="C19" s="152"/>
      <c r="D19" s="152"/>
      <c r="E19" s="152"/>
      <c r="F19" s="152"/>
      <c r="G19" s="152"/>
    </row>
    <row r="20" spans="1:7" ht="12.75" customHeight="1" x14ac:dyDescent="0.2">
      <c r="A20" s="25" t="s">
        <v>401</v>
      </c>
      <c r="B20" s="25"/>
      <c r="C20" s="25"/>
      <c r="D20" s="25"/>
      <c r="E20" s="25"/>
      <c r="F20" s="25"/>
      <c r="G20" s="25"/>
    </row>
    <row r="21" spans="1:7" x14ac:dyDescent="0.2">
      <c r="A21" s="236" t="s">
        <v>265</v>
      </c>
      <c r="B21" s="77" t="s">
        <v>85</v>
      </c>
      <c r="C21" s="213">
        <f>'Прогнозные отчеты'!C35</f>
        <v>0</v>
      </c>
      <c r="D21" s="213">
        <f>'Прогнозные отчеты'!D35</f>
        <v>0</v>
      </c>
      <c r="E21" s="213">
        <f>'Прогнозные отчеты'!E35</f>
        <v>0</v>
      </c>
      <c r="F21" s="213">
        <f>'Прогнозные отчеты'!F35</f>
        <v>0</v>
      </c>
      <c r="G21" s="213">
        <f>'Прогнозные отчеты'!G35</f>
        <v>0</v>
      </c>
    </row>
    <row r="22" spans="1:7" x14ac:dyDescent="0.2">
      <c r="A22" s="236" t="s">
        <v>300</v>
      </c>
      <c r="B22" s="77" t="s">
        <v>85</v>
      </c>
      <c r="C22" s="213">
        <f>'Прогнозные отчеты'!C12</f>
        <v>0</v>
      </c>
      <c r="D22" s="213">
        <f>'Прогнозные отчеты'!D12</f>
        <v>0</v>
      </c>
      <c r="E22" s="213">
        <f>'Прогнозные отчеты'!E12</f>
        <v>0</v>
      </c>
      <c r="F22" s="213">
        <f>'Прогнозные отчеты'!F12</f>
        <v>0</v>
      </c>
      <c r="G22" s="213">
        <f>'Прогнозные отчеты'!G12</f>
        <v>0</v>
      </c>
    </row>
    <row r="23" spans="1:7" x14ac:dyDescent="0.2">
      <c r="A23" s="236" t="s">
        <v>277</v>
      </c>
      <c r="B23" s="77" t="s">
        <v>85</v>
      </c>
      <c r="C23" s="213">
        <f>'Прогнозные отчеты'!C13</f>
        <v>0</v>
      </c>
      <c r="D23" s="213">
        <f>'Прогнозные отчеты'!D13</f>
        <v>0</v>
      </c>
      <c r="E23" s="213">
        <f>'Прогнозные отчеты'!E13</f>
        <v>0</v>
      </c>
      <c r="F23" s="213">
        <f>'Прогнозные отчеты'!F13</f>
        <v>0</v>
      </c>
      <c r="G23" s="213">
        <f>'Прогнозные отчеты'!G13</f>
        <v>0</v>
      </c>
    </row>
    <row r="24" spans="1:7" x14ac:dyDescent="0.2">
      <c r="A24" s="236" t="s">
        <v>304</v>
      </c>
      <c r="B24" s="77" t="s">
        <v>85</v>
      </c>
      <c r="C24" s="218">
        <f>C21+C22-C23</f>
        <v>0</v>
      </c>
      <c r="D24" s="218">
        <f>D21+D22-D23</f>
        <v>0</v>
      </c>
      <c r="E24" s="218">
        <f>E21+E22-E23</f>
        <v>0</v>
      </c>
      <c r="F24" s="218">
        <f>F21+F22-F23</f>
        <v>0</v>
      </c>
      <c r="G24" s="218">
        <f>G21+G22-G23</f>
        <v>0</v>
      </c>
    </row>
    <row r="25" spans="1:7" x14ac:dyDescent="0.2">
      <c r="A25" s="189" t="s">
        <v>305</v>
      </c>
      <c r="B25" s="77" t="s">
        <v>85</v>
      </c>
      <c r="C25" s="218" t="s">
        <v>260</v>
      </c>
      <c r="D25" s="218">
        <f>(D24+C24)/2</f>
        <v>0</v>
      </c>
      <c r="E25" s="218">
        <f>(E24+D24)/2</f>
        <v>0</v>
      </c>
      <c r="F25" s="218">
        <f>(F24+E24)/2</f>
        <v>0</v>
      </c>
      <c r="G25" s="218">
        <f>(G24+F24)/2</f>
        <v>0</v>
      </c>
    </row>
    <row r="26" spans="1:7" x14ac:dyDescent="0.2">
      <c r="A26" s="189" t="s">
        <v>120</v>
      </c>
      <c r="B26" s="77" t="s">
        <v>85</v>
      </c>
      <c r="C26" s="213">
        <f>'Прогнозные отчеты'!C49</f>
        <v>0</v>
      </c>
      <c r="D26" s="213">
        <f>'Прогнозные отчеты'!D49</f>
        <v>800000</v>
      </c>
      <c r="E26" s="213">
        <f>'Прогнозные отчеты'!E49</f>
        <v>854400</v>
      </c>
      <c r="F26" s="213">
        <f>'Прогнозные отчеты'!F49</f>
        <v>1814745.6000000003</v>
      </c>
      <c r="G26" s="213">
        <f>'Прогнозные отчеты'!G49</f>
        <v>2899056.0959999999</v>
      </c>
    </row>
    <row r="27" spans="1:7" s="143" customFormat="1" ht="12" customHeight="1" x14ac:dyDescent="0.2">
      <c r="A27" s="149" t="s">
        <v>306</v>
      </c>
      <c r="B27" s="149"/>
      <c r="C27" s="214" t="s">
        <v>260</v>
      </c>
      <c r="D27" s="214">
        <f>IF(D26=0,"-",D25/D26)</f>
        <v>0</v>
      </c>
      <c r="E27" s="214">
        <f>IF(E26=0,"-",E25/E26)</f>
        <v>0</v>
      </c>
      <c r="F27" s="214">
        <f>IF(F26=0,"-",F25/F26)</f>
        <v>0</v>
      </c>
      <c r="G27" s="214">
        <f>IF(G26=0,"-",G25/G26)</f>
        <v>0</v>
      </c>
    </row>
    <row r="28" spans="1:7" x14ac:dyDescent="0.2">
      <c r="A28" s="152"/>
      <c r="B28" s="152"/>
      <c r="C28" s="152"/>
      <c r="D28" s="152"/>
      <c r="E28" s="152"/>
      <c r="F28" s="152"/>
      <c r="G28" s="152"/>
    </row>
    <row r="29" spans="1:7" ht="12.75" customHeight="1" x14ac:dyDescent="0.2">
      <c r="A29" s="25" t="s">
        <v>299</v>
      </c>
      <c r="B29" s="25"/>
      <c r="C29" s="25"/>
      <c r="D29" s="25"/>
      <c r="E29" s="25"/>
      <c r="F29" s="25"/>
      <c r="G29" s="25"/>
    </row>
    <row r="30" spans="1:7" x14ac:dyDescent="0.2">
      <c r="A30" s="189" t="s">
        <v>201</v>
      </c>
      <c r="B30" s="77" t="s">
        <v>85</v>
      </c>
      <c r="C30" s="213">
        <f>'Прогнозные отчеты'!C17</f>
        <v>22780.329505534231</v>
      </c>
      <c r="D30" s="213">
        <f>'Прогнозные отчеты'!D17</f>
        <v>417812.56895131263</v>
      </c>
      <c r="E30" s="213">
        <f>'Прогнозные отчеты'!E17</f>
        <v>439397.00018643576</v>
      </c>
      <c r="F30" s="213">
        <f>'Прогнозные отчеты'!F17</f>
        <v>848010.15205976984</v>
      </c>
      <c r="G30" s="213">
        <f>'Прогнозные отчеты'!G17</f>
        <v>1309409.505849224</v>
      </c>
    </row>
    <row r="31" spans="1:7" x14ac:dyDescent="0.2">
      <c r="A31" s="189" t="s">
        <v>300</v>
      </c>
      <c r="B31" s="77" t="s">
        <v>85</v>
      </c>
      <c r="C31" s="213">
        <f>'Прогнозные отчеты'!C12</f>
        <v>0</v>
      </c>
      <c r="D31" s="213">
        <f>'Прогнозные отчеты'!D12</f>
        <v>0</v>
      </c>
      <c r="E31" s="213">
        <f>'Прогнозные отчеты'!E12</f>
        <v>0</v>
      </c>
      <c r="F31" s="213">
        <f>'Прогнозные отчеты'!F12</f>
        <v>0</v>
      </c>
      <c r="G31" s="213">
        <f>'Прогнозные отчеты'!G12</f>
        <v>0</v>
      </c>
    </row>
    <row r="32" spans="1:7" x14ac:dyDescent="0.2">
      <c r="A32" s="189" t="s">
        <v>307</v>
      </c>
      <c r="B32" s="77" t="s">
        <v>85</v>
      </c>
      <c r="C32" s="219">
        <f>-('Прогнозные отчеты'!C51-'Прогнозные отчеты'!C56+'Прогнозные отчеты'!C60+'Прогнозные отчеты'!C61)/365</f>
        <v>104.46357367882428</v>
      </c>
      <c r="D32" s="219">
        <f>-('Прогнозные отчеты'!D51-'Прогнозные отчеты'!D56+'Прогнозные отчеты'!D60+'Прогнозные отчеты'!D61)/365</f>
        <v>1166.9792844410633</v>
      </c>
      <c r="E32" s="219">
        <f>-('Прогнозные отчеты'!E51-'Прогнозные отчеты'!E56+'Прогнозные отчеты'!E60+'Прогнозные отчеты'!E61)/365</f>
        <v>1242.6808677529218</v>
      </c>
      <c r="F32" s="219">
        <f>-('Прогнозные отчеты'!F51-'Прогнозные отчеты'!F56+'Прогнозные отчеты'!F60+'Прогнозные отчеты'!F61)/365</f>
        <v>2475.0009791706307</v>
      </c>
      <c r="G32" s="219">
        <f>-('Прогнозные отчеты'!G51-'Прогнозные отчеты'!G56+'Прогнозные отчеты'!G60+'Прогнозные отчеты'!G61)/365</f>
        <v>3866.1340392475981</v>
      </c>
    </row>
    <row r="33" spans="1:7" s="143" customFormat="1" x14ac:dyDescent="0.2">
      <c r="A33" s="149" t="s">
        <v>308</v>
      </c>
      <c r="B33" s="77" t="s">
        <v>309</v>
      </c>
      <c r="C33" s="214">
        <f>IF(C32=0,"-",(C30-C31)/C32)</f>
        <v>218.06959788273079</v>
      </c>
      <c r="D33" s="214">
        <f>IF(D32=0,"-",(D30-D31)/D32)</f>
        <v>358.02912230051129</v>
      </c>
      <c r="E33" s="214">
        <f>IF(E32=0,"-",(E30-E31)/E32)</f>
        <v>353.58796581537104</v>
      </c>
      <c r="F33" s="214">
        <f>IF(F32=0,"-",(F30-F31)/F32)</f>
        <v>342.63022891568181</v>
      </c>
      <c r="G33" s="214">
        <f>IF(G32=0,"-",(G30-G31)/G32)</f>
        <v>338.68704306590797</v>
      </c>
    </row>
    <row r="34" spans="1:7" x14ac:dyDescent="0.2">
      <c r="A34" s="152"/>
      <c r="B34" s="152"/>
      <c r="C34" s="152"/>
      <c r="D34" s="152"/>
      <c r="E34" s="152"/>
      <c r="F34" s="152"/>
      <c r="G34" s="152"/>
    </row>
    <row r="35" spans="1:7" x14ac:dyDescent="0.2">
      <c r="A35" s="25" t="s">
        <v>283</v>
      </c>
      <c r="B35" s="152"/>
      <c r="C35" s="152"/>
      <c r="D35" s="152"/>
      <c r="E35" s="152"/>
      <c r="F35" s="152"/>
      <c r="G35" s="212"/>
    </row>
    <row r="36" spans="1:7" x14ac:dyDescent="0.2">
      <c r="A36" s="220" t="s">
        <v>409</v>
      </c>
      <c r="B36" s="77" t="s">
        <v>85</v>
      </c>
      <c r="C36" s="154">
        <f>'Прогнозные отчеты'!C17</f>
        <v>22780.329505534231</v>
      </c>
      <c r="D36" s="154">
        <f>'Прогнозные отчеты'!D17</f>
        <v>417812.56895131263</v>
      </c>
      <c r="E36" s="154">
        <f>'Прогнозные отчеты'!E17</f>
        <v>439397.00018643576</v>
      </c>
      <c r="F36" s="154">
        <f>'Прогнозные отчеты'!F17</f>
        <v>848010.15205976984</v>
      </c>
      <c r="G36" s="154">
        <f>'Прогнозные отчеты'!G17</f>
        <v>1309409.505849224</v>
      </c>
    </row>
    <row r="37" spans="1:7" x14ac:dyDescent="0.2">
      <c r="A37" s="220" t="s">
        <v>410</v>
      </c>
      <c r="B37" s="77" t="s">
        <v>85</v>
      </c>
      <c r="C37" s="154">
        <f>'Прогнозные отчеты'!C39</f>
        <v>0</v>
      </c>
      <c r="D37" s="154">
        <f>'Прогнозные отчеты'!D39</f>
        <v>0</v>
      </c>
      <c r="E37" s="154">
        <f>'Прогнозные отчеты'!E39</f>
        <v>0</v>
      </c>
      <c r="F37" s="154">
        <f>'Прогнозные отчеты'!F39</f>
        <v>0</v>
      </c>
      <c r="G37" s="154">
        <f>'Прогнозные отчеты'!G39</f>
        <v>0</v>
      </c>
    </row>
    <row r="38" spans="1:7" s="143" customFormat="1" x14ac:dyDescent="0.2">
      <c r="A38" s="221" t="s">
        <v>408</v>
      </c>
      <c r="B38" s="77" t="s">
        <v>85</v>
      </c>
      <c r="C38" s="222">
        <f>C36-C37</f>
        <v>22780.329505534231</v>
      </c>
      <c r="D38" s="222">
        <f>D36-D37</f>
        <v>417812.56895131263</v>
      </c>
      <c r="E38" s="222">
        <f>E36-E37</f>
        <v>439397.00018643576</v>
      </c>
      <c r="F38" s="222">
        <f>F36-F37</f>
        <v>848010.15205976984</v>
      </c>
      <c r="G38" s="222">
        <f>G36-G37</f>
        <v>1309409.505849224</v>
      </c>
    </row>
    <row r="39" spans="1:7" x14ac:dyDescent="0.2">
      <c r="A39" s="152"/>
      <c r="B39" s="152"/>
      <c r="C39" s="152"/>
      <c r="D39" s="152"/>
      <c r="E39" s="152"/>
      <c r="F39" s="152"/>
      <c r="G39" s="152"/>
    </row>
    <row r="40" spans="1:7" x14ac:dyDescent="0.2">
      <c r="A40" s="152"/>
      <c r="B40" s="152"/>
      <c r="C40" s="152"/>
      <c r="D40" s="152"/>
      <c r="E40" s="152"/>
      <c r="F40" s="152"/>
      <c r="G40" s="15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0"/>
  <sheetViews>
    <sheetView topLeftCell="A7" zoomScale="90" zoomScaleNormal="90" workbookViewId="0">
      <selection activeCell="M46" sqref="M46"/>
    </sheetView>
  </sheetViews>
  <sheetFormatPr defaultRowHeight="12.75" x14ac:dyDescent="0.2"/>
  <cols>
    <col min="1" max="1" width="60.42578125" style="140" customWidth="1"/>
    <col min="2" max="2" width="10.28515625" style="140" customWidth="1"/>
    <col min="3" max="7" width="11.85546875" style="140" customWidth="1"/>
    <col min="8" max="16384" width="9.140625" style="140"/>
  </cols>
  <sheetData>
    <row r="1" spans="1:8" x14ac:dyDescent="0.2">
      <c r="A1"/>
    </row>
    <row r="2" spans="1:8" x14ac:dyDescent="0.2">
      <c r="A2" s="11" t="s">
        <v>369</v>
      </c>
      <c r="B2" s="156" t="s">
        <v>79</v>
      </c>
      <c r="C2" s="3">
        <f>Окружение!D4</f>
        <v>2019</v>
      </c>
      <c r="D2" s="4">
        <f>C2+1</f>
        <v>2020</v>
      </c>
      <c r="E2" s="5">
        <f>D2+1</f>
        <v>2021</v>
      </c>
      <c r="F2" s="6">
        <f>E2+1</f>
        <v>2022</v>
      </c>
      <c r="G2" s="7">
        <f>F2+1</f>
        <v>2023</v>
      </c>
    </row>
    <row r="4" spans="1:8" x14ac:dyDescent="0.2">
      <c r="A4" s="25" t="s">
        <v>358</v>
      </c>
      <c r="B4" s="25"/>
      <c r="C4" s="25"/>
      <c r="D4" s="25"/>
      <c r="E4" s="25"/>
      <c r="F4" s="25"/>
      <c r="G4" s="25"/>
      <c r="H4" s="152"/>
    </row>
    <row r="5" spans="1:8" x14ac:dyDescent="0.2">
      <c r="A5" s="189" t="s">
        <v>156</v>
      </c>
      <c r="B5" s="77" t="s">
        <v>85</v>
      </c>
      <c r="C5" s="213">
        <f>'Прогнозные отчеты'!C27</f>
        <v>26662.53289536474</v>
      </c>
      <c r="D5" s="213">
        <f>'Прогнозные отчеты'!D27</f>
        <v>421411.7214936855</v>
      </c>
      <c r="E5" s="213">
        <f>'Прогнозные отчеты'!E27</f>
        <v>442713.10188135103</v>
      </c>
      <c r="F5" s="213">
        <f>'Прогнозные отчеты'!F27</f>
        <v>851043.20290722745</v>
      </c>
      <c r="G5" s="213">
        <f>'Прогнозные отчеты'!G27</f>
        <v>1312159.505849224</v>
      </c>
      <c r="H5" s="152"/>
    </row>
    <row r="6" spans="1:8" x14ac:dyDescent="0.2">
      <c r="A6" s="189" t="s">
        <v>370</v>
      </c>
      <c r="B6" s="77" t="s">
        <v>85</v>
      </c>
      <c r="C6" s="213">
        <f>'Прогнозные отчеты'!C19</f>
        <v>26662.53289536474</v>
      </c>
      <c r="D6" s="213">
        <f>'Прогнозные отчеты'!D19</f>
        <v>421411.7214936855</v>
      </c>
      <c r="E6" s="213">
        <f>'Прогнозные отчеты'!E19</f>
        <v>442713.10188135103</v>
      </c>
      <c r="F6" s="213">
        <f>'Прогнозные отчеты'!F19</f>
        <v>851043.20290722745</v>
      </c>
      <c r="G6" s="213">
        <f>'Прогнозные отчеты'!G19</f>
        <v>1312159.505849224</v>
      </c>
      <c r="H6" s="152"/>
    </row>
    <row r="7" spans="1:8" s="143" customFormat="1" x14ac:dyDescent="0.2">
      <c r="A7" s="149" t="s">
        <v>457</v>
      </c>
      <c r="B7" s="149"/>
      <c r="C7" s="214">
        <f>IF(C6=0,"-",C5/C6)</f>
        <v>1</v>
      </c>
      <c r="D7" s="214">
        <f>IF(D6=0,"-",D5/D6)</f>
        <v>1</v>
      </c>
      <c r="E7" s="214">
        <f>IF(E6=0,"-",E5/E6)</f>
        <v>1</v>
      </c>
      <c r="F7" s="214">
        <f>IF(F6=0,"-",F5/F6)</f>
        <v>1</v>
      </c>
      <c r="G7" s="214">
        <f>IF(G6=0,"-",G5/G6)</f>
        <v>1</v>
      </c>
      <c r="H7" s="221"/>
    </row>
    <row r="8" spans="1:8" x14ac:dyDescent="0.2">
      <c r="A8" s="152"/>
      <c r="B8" s="152"/>
      <c r="C8" s="152"/>
      <c r="D8" s="152"/>
      <c r="E8" s="152"/>
      <c r="F8" s="152"/>
      <c r="G8" s="152"/>
      <c r="H8" s="152"/>
    </row>
    <row r="9" spans="1:8" x14ac:dyDescent="0.2">
      <c r="A9" s="25" t="s">
        <v>359</v>
      </c>
      <c r="B9" s="25"/>
      <c r="C9" s="25"/>
      <c r="D9" s="25"/>
      <c r="E9" s="25"/>
      <c r="F9" s="25"/>
      <c r="G9" s="25"/>
      <c r="H9" s="152"/>
    </row>
    <row r="10" spans="1:8" x14ac:dyDescent="0.2">
      <c r="A10" s="189" t="s">
        <v>370</v>
      </c>
      <c r="B10" s="77" t="s">
        <v>85</v>
      </c>
      <c r="C10" s="213">
        <f>'Прогнозные отчеты'!C19</f>
        <v>26662.53289536474</v>
      </c>
      <c r="D10" s="213">
        <f>'Прогнозные отчеты'!D19</f>
        <v>421411.7214936855</v>
      </c>
      <c r="E10" s="213">
        <f>'Прогнозные отчеты'!E19</f>
        <v>442713.10188135103</v>
      </c>
      <c r="F10" s="213">
        <f>'Прогнозные отчеты'!F19</f>
        <v>851043.20290722745</v>
      </c>
      <c r="G10" s="213">
        <f>'Прогнозные отчеты'!G19</f>
        <v>1312159.505849224</v>
      </c>
      <c r="H10" s="152"/>
    </row>
    <row r="11" spans="1:8" x14ac:dyDescent="0.2">
      <c r="A11" s="189" t="s">
        <v>156</v>
      </c>
      <c r="B11" s="77" t="s">
        <v>85</v>
      </c>
      <c r="C11" s="213">
        <f>'Прогнозные отчеты'!C27</f>
        <v>26662.53289536474</v>
      </c>
      <c r="D11" s="213">
        <f>'Прогнозные отчеты'!D27</f>
        <v>421411.7214936855</v>
      </c>
      <c r="E11" s="213">
        <f>'Прогнозные отчеты'!E27</f>
        <v>442713.10188135103</v>
      </c>
      <c r="F11" s="213">
        <f>'Прогнозные отчеты'!F27</f>
        <v>851043.20290722745</v>
      </c>
      <c r="G11" s="213">
        <f>'Прогнозные отчеты'!G27</f>
        <v>1312159.505849224</v>
      </c>
      <c r="H11" s="152"/>
    </row>
    <row r="12" spans="1:8" s="143" customFormat="1" x14ac:dyDescent="0.2">
      <c r="A12" s="149" t="s">
        <v>359</v>
      </c>
      <c r="B12" s="149"/>
      <c r="C12" s="214">
        <f>IF(C11=0,"-",C10/C11)</f>
        <v>1</v>
      </c>
      <c r="D12" s="214">
        <f>IF(D11=0,"-",D10/D11)</f>
        <v>1</v>
      </c>
      <c r="E12" s="214">
        <f>IF(E11=0,"-",E10/E11)</f>
        <v>1</v>
      </c>
      <c r="F12" s="214">
        <f>IF(F11=0,"-",F10/F11)</f>
        <v>1</v>
      </c>
      <c r="G12" s="214">
        <f>IF(G11=0,"-",G10/G11)</f>
        <v>1</v>
      </c>
      <c r="H12" s="221"/>
    </row>
    <row r="13" spans="1:8" x14ac:dyDescent="0.2">
      <c r="A13" s="152"/>
      <c r="B13" s="152"/>
      <c r="C13" s="152"/>
      <c r="D13" s="152"/>
      <c r="E13" s="152"/>
      <c r="F13" s="152"/>
      <c r="G13" s="152"/>
      <c r="H13" s="152"/>
    </row>
    <row r="14" spans="1:8" x14ac:dyDescent="0.2">
      <c r="A14" s="25" t="s">
        <v>360</v>
      </c>
      <c r="B14" s="25"/>
      <c r="C14" s="25"/>
      <c r="D14" s="25"/>
      <c r="E14" s="25"/>
      <c r="F14" s="25"/>
      <c r="G14" s="25"/>
      <c r="H14" s="152"/>
    </row>
    <row r="15" spans="1:8" x14ac:dyDescent="0.2">
      <c r="A15" s="189" t="s">
        <v>371</v>
      </c>
      <c r="B15" s="77" t="s">
        <v>85</v>
      </c>
      <c r="C15" s="213">
        <f>'Прогнозные отчеты'!C31+'Прогнозные отчеты'!C39</f>
        <v>0</v>
      </c>
      <c r="D15" s="213">
        <f>'Прогнозные отчеты'!D31+'Прогнозные отчеты'!D39</f>
        <v>0</v>
      </c>
      <c r="E15" s="213">
        <f>'Прогнозные отчеты'!E31+'Прогнозные отчеты'!E39</f>
        <v>0</v>
      </c>
      <c r="F15" s="213">
        <f>'Прогнозные отчеты'!F31+'Прогнозные отчеты'!F39</f>
        <v>0</v>
      </c>
      <c r="G15" s="213">
        <f>'Прогнозные отчеты'!G31+'Прогнозные отчеты'!G39</f>
        <v>0</v>
      </c>
      <c r="H15" s="152"/>
    </row>
    <row r="16" spans="1:8" x14ac:dyDescent="0.2">
      <c r="A16" s="189" t="s">
        <v>156</v>
      </c>
      <c r="B16" s="77" t="s">
        <v>85</v>
      </c>
      <c r="C16" s="213">
        <f>'Прогнозные отчеты'!C27</f>
        <v>26662.53289536474</v>
      </c>
      <c r="D16" s="213">
        <f>'Прогнозные отчеты'!D27</f>
        <v>421411.7214936855</v>
      </c>
      <c r="E16" s="213">
        <f>'Прогнозные отчеты'!E27</f>
        <v>442713.10188135103</v>
      </c>
      <c r="F16" s="213">
        <f>'Прогнозные отчеты'!F27</f>
        <v>851043.20290722745</v>
      </c>
      <c r="G16" s="213">
        <f>'Прогнозные отчеты'!G27</f>
        <v>1312159.505849224</v>
      </c>
      <c r="H16" s="152"/>
    </row>
    <row r="17" spans="1:8" s="143" customFormat="1" x14ac:dyDescent="0.2">
      <c r="A17" s="149" t="s">
        <v>458</v>
      </c>
      <c r="B17" s="149"/>
      <c r="C17" s="214">
        <f>IF(C16=0,"-",C15/C16)</f>
        <v>0</v>
      </c>
      <c r="D17" s="214">
        <f>IF(D16=0,"-",D15/D16)</f>
        <v>0</v>
      </c>
      <c r="E17" s="214">
        <f>IF(E16=0,"-",E15/E16)</f>
        <v>0</v>
      </c>
      <c r="F17" s="214">
        <f>IF(F16=0,"-",F15/F16)</f>
        <v>0</v>
      </c>
      <c r="G17" s="214">
        <f>IF(G16=0,"-",G15/G16)</f>
        <v>0</v>
      </c>
      <c r="H17" s="221"/>
    </row>
    <row r="18" spans="1:8" x14ac:dyDescent="0.2">
      <c r="A18" s="152"/>
      <c r="B18" s="152"/>
      <c r="C18" s="152"/>
      <c r="D18" s="152"/>
      <c r="E18" s="152"/>
      <c r="F18" s="152"/>
      <c r="G18" s="152"/>
      <c r="H18" s="152"/>
    </row>
    <row r="19" spans="1:8" x14ac:dyDescent="0.2">
      <c r="A19" s="25" t="s">
        <v>361</v>
      </c>
      <c r="B19" s="25"/>
      <c r="C19" s="25"/>
      <c r="D19" s="25"/>
      <c r="E19" s="25"/>
      <c r="F19" s="25"/>
      <c r="G19" s="25"/>
      <c r="H19" s="152"/>
    </row>
    <row r="20" spans="1:8" x14ac:dyDescent="0.2">
      <c r="A20" s="189" t="s">
        <v>371</v>
      </c>
      <c r="B20" s="77" t="s">
        <v>85</v>
      </c>
      <c r="C20" s="213">
        <f>'Прогнозные отчеты'!C31+'Прогнозные отчеты'!C39</f>
        <v>0</v>
      </c>
      <c r="D20" s="213">
        <f>'Прогнозные отчеты'!D31+'Прогнозные отчеты'!D39</f>
        <v>0</v>
      </c>
      <c r="E20" s="213">
        <f>'Прогнозные отчеты'!E31+'Прогнозные отчеты'!E39</f>
        <v>0</v>
      </c>
      <c r="F20" s="213">
        <f>'Прогнозные отчеты'!F31+'Прогнозные отчеты'!F39</f>
        <v>0</v>
      </c>
      <c r="G20" s="213">
        <f>'Прогнозные отчеты'!G31+'Прогнозные отчеты'!G39</f>
        <v>0</v>
      </c>
      <c r="H20" s="152"/>
    </row>
    <row r="21" spans="1:8" x14ac:dyDescent="0.2">
      <c r="A21" s="189" t="s">
        <v>370</v>
      </c>
      <c r="B21" s="77" t="s">
        <v>85</v>
      </c>
      <c r="C21" s="213">
        <f>'Прогнозные отчеты'!C19</f>
        <v>26662.53289536474</v>
      </c>
      <c r="D21" s="213">
        <f>'Прогнозные отчеты'!D19</f>
        <v>421411.7214936855</v>
      </c>
      <c r="E21" s="213">
        <f>'Прогнозные отчеты'!E19</f>
        <v>442713.10188135103</v>
      </c>
      <c r="F21" s="213">
        <f>'Прогнозные отчеты'!F19</f>
        <v>851043.20290722745</v>
      </c>
      <c r="G21" s="213">
        <f>'Прогнозные отчеты'!G19</f>
        <v>1312159.505849224</v>
      </c>
      <c r="H21" s="152"/>
    </row>
    <row r="22" spans="1:8" s="143" customFormat="1" x14ac:dyDescent="0.2">
      <c r="A22" s="149" t="s">
        <v>361</v>
      </c>
      <c r="B22" s="149"/>
      <c r="C22" s="214">
        <f>IF(C21=0,"-",C20/C21)</f>
        <v>0</v>
      </c>
      <c r="D22" s="214">
        <f>IF(D21=0,"-",D20/D21)</f>
        <v>0</v>
      </c>
      <c r="E22" s="214">
        <f>IF(E21=0,"-",E20/E21)</f>
        <v>0</v>
      </c>
      <c r="F22" s="214">
        <f>IF(F21=0,"-",F20/F21)</f>
        <v>0</v>
      </c>
      <c r="G22" s="214">
        <f>IF(G21=0,"-",G20/G21)</f>
        <v>0</v>
      </c>
      <c r="H22" s="221"/>
    </row>
    <row r="23" spans="1:8" x14ac:dyDescent="0.2">
      <c r="A23" s="152"/>
      <c r="B23" s="152"/>
      <c r="C23" s="152"/>
      <c r="D23" s="152"/>
      <c r="E23" s="152"/>
      <c r="F23" s="152"/>
      <c r="G23" s="152"/>
      <c r="H23" s="152"/>
    </row>
    <row r="24" spans="1:8" x14ac:dyDescent="0.2">
      <c r="A24" s="25" t="s">
        <v>362</v>
      </c>
      <c r="B24" s="25"/>
      <c r="C24" s="25"/>
      <c r="D24" s="25"/>
      <c r="E24" s="25"/>
      <c r="F24" s="25"/>
      <c r="G24" s="25"/>
      <c r="H24" s="152"/>
    </row>
    <row r="25" spans="1:8" x14ac:dyDescent="0.2">
      <c r="A25" s="189" t="s">
        <v>372</v>
      </c>
      <c r="B25" s="77" t="s">
        <v>85</v>
      </c>
      <c r="C25" s="213">
        <f>'Прогнозные отчеты'!C63</f>
        <v>-38337.467104635267</v>
      </c>
      <c r="D25" s="213">
        <f>'Прогнозные отчеты'!D63</f>
        <v>373844.29846714746</v>
      </c>
      <c r="E25" s="213">
        <f>'Прогнозные отчеты'!E63</f>
        <v>400613.22055831912</v>
      </c>
      <c r="F25" s="213">
        <f>'Прогнозные отчеты'!F63</f>
        <v>911161.97989085573</v>
      </c>
      <c r="G25" s="213">
        <f>'Прогнозные отчеты'!G63</f>
        <v>1487708.9089627622</v>
      </c>
      <c r="H25" s="152"/>
    </row>
    <row r="26" spans="1:8" x14ac:dyDescent="0.2">
      <c r="A26" s="189" t="s">
        <v>373</v>
      </c>
      <c r="B26" s="77" t="s">
        <v>85</v>
      </c>
      <c r="C26" s="213">
        <f>-'Прогнозные отчеты'!C66</f>
        <v>0</v>
      </c>
      <c r="D26" s="213">
        <f>-'Прогнозные отчеты'!D66</f>
        <v>0</v>
      </c>
      <c r="E26" s="213">
        <f>-'Прогнозные отчеты'!E66</f>
        <v>0</v>
      </c>
      <c r="F26" s="213">
        <f>-'Прогнозные отчеты'!F66</f>
        <v>0</v>
      </c>
      <c r="G26" s="213">
        <f>-'Прогнозные отчеты'!G66</f>
        <v>0</v>
      </c>
      <c r="H26" s="152"/>
    </row>
    <row r="27" spans="1:8" s="143" customFormat="1" x14ac:dyDescent="0.2">
      <c r="A27" s="149" t="s">
        <v>362</v>
      </c>
      <c r="B27" s="149"/>
      <c r="C27" s="214" t="str">
        <f>IF(C26=0,"-",C25/C26)</f>
        <v>-</v>
      </c>
      <c r="D27" s="214" t="str">
        <f>IF(D26=0,"-",D25/D26)</f>
        <v>-</v>
      </c>
      <c r="E27" s="214" t="str">
        <f>IF(E26=0,"-",E25/E26)</f>
        <v>-</v>
      </c>
      <c r="F27" s="214" t="str">
        <f>IF(F26=0,"-",F25/F26)</f>
        <v>-</v>
      </c>
      <c r="G27" s="214" t="str">
        <f>IF(G26=0,"-",G25/G26)</f>
        <v>-</v>
      </c>
      <c r="H27" s="221"/>
    </row>
    <row r="28" spans="1:8" x14ac:dyDescent="0.2">
      <c r="A28" s="152"/>
      <c r="B28" s="152"/>
      <c r="C28" s="152"/>
      <c r="D28" s="152"/>
      <c r="E28" s="152"/>
      <c r="F28" s="152"/>
      <c r="G28" s="234"/>
      <c r="H28" s="152"/>
    </row>
    <row r="29" spans="1:8" x14ac:dyDescent="0.2">
      <c r="A29" s="152"/>
      <c r="B29" s="152"/>
      <c r="C29" s="152"/>
      <c r="D29" s="152"/>
      <c r="E29" s="152"/>
      <c r="F29" s="152"/>
      <c r="G29" s="152"/>
      <c r="H29" s="152"/>
    </row>
    <row r="30" spans="1:8" x14ac:dyDescent="0.2">
      <c r="A30" s="152"/>
      <c r="B30" s="152"/>
      <c r="C30" s="152"/>
      <c r="D30" s="152"/>
      <c r="E30" s="152"/>
      <c r="F30" s="152"/>
      <c r="G30" s="152"/>
      <c r="H30" s="152"/>
    </row>
  </sheetData>
  <pageMargins left="0.7" right="0.7" top="0.75" bottom="0.75" header="0.3" footer="0.3"/>
  <pageSetup paperSize="9" orientation="portrait" horizontalDpi="1200" verticalDpi="12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7"/>
  <sheetViews>
    <sheetView zoomScale="85" zoomScaleNormal="85" workbookViewId="0"/>
  </sheetViews>
  <sheetFormatPr defaultRowHeight="12.75" x14ac:dyDescent="0.2"/>
  <cols>
    <col min="1" max="1" width="60.42578125" style="140" customWidth="1"/>
    <col min="2" max="7" width="11.85546875" style="140" customWidth="1"/>
    <col min="8" max="16384" width="9.140625" style="140"/>
  </cols>
  <sheetData>
    <row r="1" spans="1:8" x14ac:dyDescent="0.2">
      <c r="A1"/>
    </row>
    <row r="2" spans="1:8" x14ac:dyDescent="0.2">
      <c r="A2" s="11" t="s">
        <v>434</v>
      </c>
      <c r="B2" s="156" t="s">
        <v>79</v>
      </c>
      <c r="C2" s="3">
        <f>Окружение!D4</f>
        <v>2019</v>
      </c>
      <c r="D2" s="4">
        <f>C2+1</f>
        <v>2020</v>
      </c>
      <c r="E2" s="5">
        <f>D2+1</f>
        <v>2021</v>
      </c>
      <c r="F2" s="6">
        <f>E2+1</f>
        <v>2022</v>
      </c>
      <c r="G2" s="7">
        <f>F2+1</f>
        <v>2023</v>
      </c>
    </row>
    <row r="3" spans="1:8" x14ac:dyDescent="0.2">
      <c r="A3" s="152"/>
      <c r="B3" s="152"/>
      <c r="C3" s="152"/>
      <c r="D3" s="152"/>
      <c r="E3" s="152"/>
      <c r="F3" s="152"/>
      <c r="G3" s="152"/>
      <c r="H3" s="152"/>
    </row>
    <row r="4" spans="1:8" x14ac:dyDescent="0.2">
      <c r="A4" s="25" t="s">
        <v>310</v>
      </c>
      <c r="B4" s="25"/>
      <c r="C4" s="25"/>
      <c r="D4" s="25"/>
      <c r="E4" s="25"/>
      <c r="F4" s="25"/>
      <c r="G4" s="25"/>
      <c r="H4" s="152"/>
    </row>
    <row r="5" spans="1:8" x14ac:dyDescent="0.2">
      <c r="A5" s="189" t="s">
        <v>120</v>
      </c>
      <c r="B5" s="77" t="s">
        <v>85</v>
      </c>
      <c r="C5" s="213">
        <f>'Прогнозные отчеты'!C49</f>
        <v>0</v>
      </c>
      <c r="D5" s="213">
        <f>'Прогнозные отчеты'!D49</f>
        <v>800000</v>
      </c>
      <c r="E5" s="213">
        <f>'Прогнозные отчеты'!E49</f>
        <v>854400</v>
      </c>
      <c r="F5" s="213">
        <f>'Прогнозные отчеты'!F49</f>
        <v>1814745.6000000003</v>
      </c>
      <c r="G5" s="213">
        <f>'Прогнозные отчеты'!G49</f>
        <v>2899056.0959999999</v>
      </c>
      <c r="H5" s="152"/>
    </row>
    <row r="6" spans="1:8" x14ac:dyDescent="0.2">
      <c r="A6" s="189" t="s">
        <v>320</v>
      </c>
      <c r="B6" s="77" t="s">
        <v>85</v>
      </c>
      <c r="C6" s="217" t="s">
        <v>260</v>
      </c>
      <c r="D6" s="218">
        <f>('Прогнозные отчеты'!C12+'Прогнозные отчеты'!D12)/2</f>
        <v>0</v>
      </c>
      <c r="E6" s="218">
        <f>('Прогнозные отчеты'!D12+'Прогнозные отчеты'!E12)/2</f>
        <v>0</v>
      </c>
      <c r="F6" s="218">
        <f>('Прогнозные отчеты'!E12+'Прогнозные отчеты'!F12)/2</f>
        <v>0</v>
      </c>
      <c r="G6" s="218">
        <f>('Прогнозные отчеты'!F12+'Прогнозные отчеты'!G12)/2</f>
        <v>0</v>
      </c>
      <c r="H6" s="152"/>
    </row>
    <row r="7" spans="1:8" s="143" customFormat="1" x14ac:dyDescent="0.2">
      <c r="A7" s="149" t="s">
        <v>311</v>
      </c>
      <c r="B7" s="149"/>
      <c r="C7" s="214" t="s">
        <v>260</v>
      </c>
      <c r="D7" s="214" t="str">
        <f>IF(D6=0,"-",D5/D6)</f>
        <v>-</v>
      </c>
      <c r="E7" s="214" t="str">
        <f>IF(E6=0,"-",E5/E6)</f>
        <v>-</v>
      </c>
      <c r="F7" s="214" t="str">
        <f>IF(F6=0,"-",F5/F6)</f>
        <v>-</v>
      </c>
      <c r="G7" s="214" t="str">
        <f>IF(G6=0,"-",G5/G6)</f>
        <v>-</v>
      </c>
      <c r="H7" s="221"/>
    </row>
    <row r="8" spans="1:8" x14ac:dyDescent="0.2">
      <c r="A8" s="152"/>
      <c r="B8" s="152"/>
      <c r="C8" s="152"/>
      <c r="D8" s="152"/>
      <c r="E8" s="152"/>
      <c r="F8" s="152"/>
      <c r="G8" s="152"/>
      <c r="H8" s="152"/>
    </row>
    <row r="9" spans="1:8" x14ac:dyDescent="0.2">
      <c r="A9" s="82" t="s">
        <v>312</v>
      </c>
      <c r="B9" s="25"/>
      <c r="C9" s="25"/>
      <c r="D9" s="25"/>
      <c r="E9" s="25"/>
      <c r="F9" s="25"/>
      <c r="G9" s="25"/>
      <c r="H9" s="152"/>
    </row>
    <row r="10" spans="1:8" x14ac:dyDescent="0.2">
      <c r="A10" s="189" t="s">
        <v>321</v>
      </c>
      <c r="B10" s="77" t="s">
        <v>85</v>
      </c>
      <c r="C10" s="213">
        <f>-'Прогнозные отчеты'!C51</f>
        <v>33888.314562262385</v>
      </c>
      <c r="D10" s="213">
        <f>-'Прогнозные отчеты'!D51</f>
        <v>416492.14221081865</v>
      </c>
      <c r="E10" s="213">
        <f>-'Прогнозные отчеты'!E51</f>
        <v>443466.09808574867</v>
      </c>
      <c r="F10" s="213">
        <f>-'Прогнозные отчеты'!F51</f>
        <v>892623.05650914449</v>
      </c>
      <c r="G10" s="213">
        <f>-'Прогнозные отчеты'!G51</f>
        <v>1399674.1868032378</v>
      </c>
      <c r="H10" s="152"/>
    </row>
    <row r="11" spans="1:8" x14ac:dyDescent="0.2">
      <c r="A11" s="189" t="s">
        <v>320</v>
      </c>
      <c r="B11" s="77" t="s">
        <v>85</v>
      </c>
      <c r="C11" s="217" t="s">
        <v>260</v>
      </c>
      <c r="D11" s="218">
        <f>('Прогнозные отчеты'!C12+'Прогнозные отчеты'!D12)/2</f>
        <v>0</v>
      </c>
      <c r="E11" s="218">
        <f>('Прогнозные отчеты'!D12+'Прогнозные отчеты'!E12)/2</f>
        <v>0</v>
      </c>
      <c r="F11" s="218">
        <f>('Прогнозные отчеты'!E12+'Прогнозные отчеты'!F12)/2</f>
        <v>0</v>
      </c>
      <c r="G11" s="218">
        <f>('Прогнозные отчеты'!F12+'Прогнозные отчеты'!G12)/2</f>
        <v>0</v>
      </c>
      <c r="H11" s="152"/>
    </row>
    <row r="12" spans="1:8" s="143" customFormat="1" x14ac:dyDescent="0.2">
      <c r="A12" s="149" t="s">
        <v>311</v>
      </c>
      <c r="B12" s="149"/>
      <c r="C12" s="214" t="s">
        <v>260</v>
      </c>
      <c r="D12" s="214" t="str">
        <f>IF(D11=0,"-",D10/D11)</f>
        <v>-</v>
      </c>
      <c r="E12" s="214" t="str">
        <f>IF(E11=0,"-",E10/E11)</f>
        <v>-</v>
      </c>
      <c r="F12" s="214" t="str">
        <f>IF(F11=0,"-",F10/F11)</f>
        <v>-</v>
      </c>
      <c r="G12" s="214" t="str">
        <f>IF(G11=0,"-",G10/G11)</f>
        <v>-</v>
      </c>
      <c r="H12" s="221"/>
    </row>
    <row r="13" spans="1:8" x14ac:dyDescent="0.2">
      <c r="A13" s="152"/>
      <c r="B13" s="152"/>
      <c r="C13" s="152"/>
      <c r="D13" s="152"/>
      <c r="E13" s="152"/>
      <c r="F13" s="152"/>
      <c r="G13" s="152"/>
      <c r="H13" s="152"/>
    </row>
    <row r="14" spans="1:8" x14ac:dyDescent="0.2">
      <c r="A14" s="25" t="s">
        <v>313</v>
      </c>
      <c r="B14" s="25"/>
      <c r="C14" s="25"/>
      <c r="D14" s="25"/>
      <c r="E14" s="25"/>
      <c r="F14" s="25"/>
      <c r="G14" s="25"/>
      <c r="H14" s="152"/>
    </row>
    <row r="15" spans="1:8" x14ac:dyDescent="0.2">
      <c r="A15" s="189" t="s">
        <v>320</v>
      </c>
      <c r="B15" s="77" t="s">
        <v>85</v>
      </c>
      <c r="C15" s="217" t="s">
        <v>260</v>
      </c>
      <c r="D15" s="218">
        <f>('Прогнозные отчеты'!C12+'Прогнозные отчеты'!D12)/2</f>
        <v>0</v>
      </c>
      <c r="E15" s="218">
        <f>('Прогнозные отчеты'!D12+'Прогнозные отчеты'!E12)/2</f>
        <v>0</v>
      </c>
      <c r="F15" s="218">
        <f>('Прогнозные отчеты'!E12+'Прогнозные отчеты'!F12)/2</f>
        <v>0</v>
      </c>
      <c r="G15" s="218">
        <f>('Прогнозные отчеты'!F12+'Прогнозные отчеты'!G12)/2</f>
        <v>0</v>
      </c>
      <c r="H15" s="152"/>
    </row>
    <row r="16" spans="1:8" x14ac:dyDescent="0.2">
      <c r="A16" s="189" t="s">
        <v>321</v>
      </c>
      <c r="B16" s="77" t="s">
        <v>85</v>
      </c>
      <c r="C16" s="213">
        <f>-'Прогнозные отчеты'!C51</f>
        <v>33888.314562262385</v>
      </c>
      <c r="D16" s="213">
        <f>-'Прогнозные отчеты'!D51</f>
        <v>416492.14221081865</v>
      </c>
      <c r="E16" s="213">
        <f>-'Прогнозные отчеты'!E51</f>
        <v>443466.09808574867</v>
      </c>
      <c r="F16" s="213">
        <f>-'Прогнозные отчеты'!F51</f>
        <v>892623.05650914449</v>
      </c>
      <c r="G16" s="213">
        <f>-'Прогнозные отчеты'!G51</f>
        <v>1399674.1868032378</v>
      </c>
      <c r="H16" s="152"/>
    </row>
    <row r="17" spans="1:8" s="143" customFormat="1" ht="12" customHeight="1" x14ac:dyDescent="0.2">
      <c r="A17" s="149" t="s">
        <v>420</v>
      </c>
      <c r="B17" s="77" t="s">
        <v>309</v>
      </c>
      <c r="C17" s="214" t="s">
        <v>260</v>
      </c>
      <c r="D17" s="214">
        <f>IF(D16=0,"-",D15*365/D16)</f>
        <v>0</v>
      </c>
      <c r="E17" s="214">
        <f>IF(E16=0,"-",E15*365/E16)</f>
        <v>0</v>
      </c>
      <c r="F17" s="214">
        <f>IF(F16=0,"-",F15*365/F16)</f>
        <v>0</v>
      </c>
      <c r="G17" s="214">
        <f>IF(G16=0,"-",G15*365/G16)</f>
        <v>0</v>
      </c>
      <c r="H17" s="221"/>
    </row>
    <row r="18" spans="1:8" x14ac:dyDescent="0.2">
      <c r="A18" s="152"/>
      <c r="B18" s="152"/>
      <c r="C18" s="152"/>
      <c r="D18" s="152"/>
      <c r="E18" s="152"/>
      <c r="F18" s="152"/>
      <c r="G18" s="152"/>
      <c r="H18" s="152"/>
    </row>
    <row r="19" spans="1:8" x14ac:dyDescent="0.2">
      <c r="A19" s="25" t="s">
        <v>314</v>
      </c>
      <c r="B19" s="25"/>
      <c r="C19" s="25"/>
      <c r="D19" s="25"/>
      <c r="E19" s="25"/>
      <c r="F19" s="25"/>
      <c r="G19" s="25"/>
      <c r="H19" s="152"/>
    </row>
    <row r="20" spans="1:8" x14ac:dyDescent="0.2">
      <c r="A20" s="189" t="s">
        <v>120</v>
      </c>
      <c r="B20" s="77" t="s">
        <v>85</v>
      </c>
      <c r="C20" s="213">
        <f>'Прогнозные отчеты'!C49</f>
        <v>0</v>
      </c>
      <c r="D20" s="213">
        <f>'Прогнозные отчеты'!D49</f>
        <v>800000</v>
      </c>
      <c r="E20" s="213">
        <f>'Прогнозные отчеты'!E49</f>
        <v>854400</v>
      </c>
      <c r="F20" s="213">
        <f>'Прогнозные отчеты'!F49</f>
        <v>1814745.6000000003</v>
      </c>
      <c r="G20" s="213">
        <f>'Прогнозные отчеты'!G49</f>
        <v>2899056.0959999999</v>
      </c>
      <c r="H20" s="152"/>
    </row>
    <row r="21" spans="1:8" x14ac:dyDescent="0.2">
      <c r="A21" s="189" t="s">
        <v>421</v>
      </c>
      <c r="B21" s="77" t="s">
        <v>85</v>
      </c>
      <c r="C21" s="217" t="s">
        <v>260</v>
      </c>
      <c r="D21" s="218">
        <f>('Прогнозные отчеты'!C13+'Прогнозные отчеты'!D13)/2</f>
        <v>0</v>
      </c>
      <c r="E21" s="218">
        <f>('Прогнозные отчеты'!D13+'Прогнозные отчеты'!E13)/2</f>
        <v>0</v>
      </c>
      <c r="F21" s="218">
        <f>('Прогнозные отчеты'!E13+'Прогнозные отчеты'!F13)/2</f>
        <v>0</v>
      </c>
      <c r="G21" s="218">
        <f>('Прогнозные отчеты'!F13+'Прогнозные отчеты'!G13)/2</f>
        <v>0</v>
      </c>
      <c r="H21" s="152"/>
    </row>
    <row r="22" spans="1:8" s="143" customFormat="1" x14ac:dyDescent="0.2">
      <c r="A22" s="149" t="s">
        <v>314</v>
      </c>
      <c r="B22" s="149"/>
      <c r="C22" s="214" t="s">
        <v>260</v>
      </c>
      <c r="D22" s="214" t="str">
        <f>IF(D21=0,"-",D20/D21)</f>
        <v>-</v>
      </c>
      <c r="E22" s="214" t="str">
        <f>IF(E21=0,"-",E20/E21)</f>
        <v>-</v>
      </c>
      <c r="F22" s="214" t="str">
        <f>IF(F21=0,"-",F20/F21)</f>
        <v>-</v>
      </c>
      <c r="G22" s="214" t="str">
        <f>IF(G21=0,"-",G20/G21)</f>
        <v>-</v>
      </c>
      <c r="H22" s="221"/>
    </row>
    <row r="23" spans="1:8" x14ac:dyDescent="0.2">
      <c r="A23" s="152"/>
      <c r="B23" s="152"/>
      <c r="C23" s="152"/>
      <c r="D23" s="152"/>
      <c r="E23" s="152"/>
      <c r="F23" s="152"/>
      <c r="G23" s="152"/>
      <c r="H23" s="152"/>
    </row>
    <row r="24" spans="1:8" x14ac:dyDescent="0.2">
      <c r="A24" s="25" t="s">
        <v>315</v>
      </c>
      <c r="B24" s="25"/>
      <c r="C24" s="25"/>
      <c r="D24" s="25"/>
      <c r="E24" s="25"/>
      <c r="F24" s="25"/>
      <c r="G24" s="25"/>
      <c r="H24" s="152"/>
    </row>
    <row r="25" spans="1:8" x14ac:dyDescent="0.2">
      <c r="A25" s="189" t="s">
        <v>421</v>
      </c>
      <c r="B25" s="77" t="s">
        <v>85</v>
      </c>
      <c r="C25" s="217" t="s">
        <v>260</v>
      </c>
      <c r="D25" s="218">
        <f>('Прогнозные отчеты'!C13+'Прогнозные отчеты'!D13)/2</f>
        <v>0</v>
      </c>
      <c r="E25" s="218">
        <f>('Прогнозные отчеты'!D13+'Прогнозные отчеты'!E13)/2</f>
        <v>0</v>
      </c>
      <c r="F25" s="218">
        <f>('Прогнозные отчеты'!E13+'Прогнозные отчеты'!F13)/2</f>
        <v>0</v>
      </c>
      <c r="G25" s="218">
        <f>('Прогнозные отчеты'!F13+'Прогнозные отчеты'!G13)/2</f>
        <v>0</v>
      </c>
      <c r="H25" s="152"/>
    </row>
    <row r="26" spans="1:8" x14ac:dyDescent="0.2">
      <c r="A26" s="189" t="s">
        <v>120</v>
      </c>
      <c r="B26" s="77" t="s">
        <v>85</v>
      </c>
      <c r="C26" s="213">
        <f>'Прогнозные отчеты'!C49</f>
        <v>0</v>
      </c>
      <c r="D26" s="213">
        <f>'Прогнозные отчеты'!D49</f>
        <v>800000</v>
      </c>
      <c r="E26" s="213">
        <f>'Прогнозные отчеты'!E49</f>
        <v>854400</v>
      </c>
      <c r="F26" s="213">
        <f>'Прогнозные отчеты'!F49</f>
        <v>1814745.6000000003</v>
      </c>
      <c r="G26" s="213">
        <f>'Прогнозные отчеты'!G49</f>
        <v>2899056.0959999999</v>
      </c>
      <c r="H26" s="152"/>
    </row>
    <row r="27" spans="1:8" s="143" customFormat="1" x14ac:dyDescent="0.2">
      <c r="A27" s="149" t="s">
        <v>422</v>
      </c>
      <c r="B27" s="77" t="s">
        <v>309</v>
      </c>
      <c r="C27" s="214" t="s">
        <v>260</v>
      </c>
      <c r="D27" s="214">
        <f>IF(D26=0,"-",D25*365/D26)</f>
        <v>0</v>
      </c>
      <c r="E27" s="214">
        <f>IF(E26=0,"-",E25*365/E26)</f>
        <v>0</v>
      </c>
      <c r="F27" s="214">
        <f>IF(F26=0,"-",F25*365/F26)</f>
        <v>0</v>
      </c>
      <c r="G27" s="214">
        <f>IF(G26=0,"-",G25*365/G26)</f>
        <v>0</v>
      </c>
      <c r="H27" s="221"/>
    </row>
    <row r="28" spans="1:8" x14ac:dyDescent="0.2">
      <c r="A28" s="152"/>
      <c r="B28" s="152"/>
      <c r="C28" s="152"/>
      <c r="D28" s="152"/>
      <c r="E28" s="152"/>
      <c r="F28" s="152"/>
      <c r="G28" s="152"/>
      <c r="H28" s="152"/>
    </row>
    <row r="29" spans="1:8" x14ac:dyDescent="0.2">
      <c r="A29" s="25" t="s">
        <v>316</v>
      </c>
      <c r="B29" s="25"/>
      <c r="C29" s="25"/>
      <c r="D29" s="25"/>
      <c r="E29" s="25"/>
      <c r="F29" s="25"/>
      <c r="G29" s="25"/>
      <c r="H29" s="152"/>
    </row>
    <row r="30" spans="1:8" x14ac:dyDescent="0.2">
      <c r="A30" s="189" t="s">
        <v>321</v>
      </c>
      <c r="B30" s="77" t="s">
        <v>85</v>
      </c>
      <c r="C30" s="213">
        <f>-'Прогнозные отчеты'!C51</f>
        <v>33888.314562262385</v>
      </c>
      <c r="D30" s="213">
        <f>-'Прогнозные отчеты'!D51</f>
        <v>416492.14221081865</v>
      </c>
      <c r="E30" s="213">
        <f>-'Прогнозные отчеты'!E51</f>
        <v>443466.09808574867</v>
      </c>
      <c r="F30" s="213">
        <f>-'Прогнозные отчеты'!F51</f>
        <v>892623.05650914449</v>
      </c>
      <c r="G30" s="213">
        <f>-'Прогнозные отчеты'!G51</f>
        <v>1399674.1868032378</v>
      </c>
      <c r="H30" s="152"/>
    </row>
    <row r="31" spans="1:8" x14ac:dyDescent="0.2">
      <c r="A31" s="189" t="s">
        <v>423</v>
      </c>
      <c r="B31" s="77" t="s">
        <v>85</v>
      </c>
      <c r="C31" s="217" t="s">
        <v>260</v>
      </c>
      <c r="D31" s="218">
        <f>('Прогнозные отчеты'!C35+'Прогнозные отчеты'!D35)/2</f>
        <v>0</v>
      </c>
      <c r="E31" s="218">
        <f>('Прогнозные отчеты'!D35+'Прогнозные отчеты'!E35)/2</f>
        <v>0</v>
      </c>
      <c r="F31" s="218">
        <f>('Прогнозные отчеты'!E35+'Прогнозные отчеты'!F35)/2</f>
        <v>0</v>
      </c>
      <c r="G31" s="218">
        <f>('Прогнозные отчеты'!F35+'Прогнозные отчеты'!G35)/2</f>
        <v>0</v>
      </c>
      <c r="H31" s="152"/>
    </row>
    <row r="32" spans="1:8" s="143" customFormat="1" x14ac:dyDescent="0.2">
      <c r="A32" s="149" t="s">
        <v>316</v>
      </c>
      <c r="B32" s="149"/>
      <c r="C32" s="214" t="s">
        <v>260</v>
      </c>
      <c r="D32" s="214" t="str">
        <f>IF(D31=0,"-",D30/D31)</f>
        <v>-</v>
      </c>
      <c r="E32" s="214" t="str">
        <f>IF(E31=0,"-",E30/E31)</f>
        <v>-</v>
      </c>
      <c r="F32" s="214" t="str">
        <f>IF(F31=0,"-",F30/F31)</f>
        <v>-</v>
      </c>
      <c r="G32" s="214" t="str">
        <f>IF(G31=0,"-",G30/G31)</f>
        <v>-</v>
      </c>
      <c r="H32" s="221"/>
    </row>
    <row r="33" spans="1:8" x14ac:dyDescent="0.2">
      <c r="A33" s="152"/>
      <c r="B33" s="152"/>
      <c r="C33" s="152"/>
      <c r="D33" s="152"/>
      <c r="E33" s="152"/>
      <c r="F33" s="152"/>
      <c r="G33" s="152"/>
      <c r="H33" s="152"/>
    </row>
    <row r="34" spans="1:8" x14ac:dyDescent="0.2">
      <c r="A34" s="25" t="s">
        <v>317</v>
      </c>
      <c r="B34" s="25"/>
      <c r="C34" s="25"/>
      <c r="D34" s="25"/>
      <c r="E34" s="25"/>
      <c r="F34" s="25"/>
      <c r="G34" s="25"/>
      <c r="H34" s="152"/>
    </row>
    <row r="35" spans="1:8" x14ac:dyDescent="0.2">
      <c r="A35" s="189" t="s">
        <v>423</v>
      </c>
      <c r="B35" s="77" t="s">
        <v>85</v>
      </c>
      <c r="C35" s="217" t="s">
        <v>260</v>
      </c>
      <c r="D35" s="218">
        <f>('Прогнозные отчеты'!C35+'Прогнозные отчеты'!D35)/2</f>
        <v>0</v>
      </c>
      <c r="E35" s="218">
        <f>('Прогнозные отчеты'!D35+'Прогнозные отчеты'!E35)/2</f>
        <v>0</v>
      </c>
      <c r="F35" s="218">
        <f>('Прогнозные отчеты'!E35+'Прогнозные отчеты'!F35)/2</f>
        <v>0</v>
      </c>
      <c r="G35" s="218">
        <f>('Прогнозные отчеты'!F35+'Прогнозные отчеты'!G35)/2</f>
        <v>0</v>
      </c>
      <c r="H35" s="152"/>
    </row>
    <row r="36" spans="1:8" x14ac:dyDescent="0.2">
      <c r="A36" s="189" t="s">
        <v>321</v>
      </c>
      <c r="B36" s="77" t="s">
        <v>85</v>
      </c>
      <c r="C36" s="213">
        <f>-'Прогнозные отчеты'!C51</f>
        <v>33888.314562262385</v>
      </c>
      <c r="D36" s="213">
        <f>-'Прогнозные отчеты'!D51</f>
        <v>416492.14221081865</v>
      </c>
      <c r="E36" s="213">
        <f>-'Прогнозные отчеты'!E51</f>
        <v>443466.09808574867</v>
      </c>
      <c r="F36" s="213">
        <f>-'Прогнозные отчеты'!F51</f>
        <v>892623.05650914449</v>
      </c>
      <c r="G36" s="213">
        <f>-'Прогнозные отчеты'!G51</f>
        <v>1399674.1868032378</v>
      </c>
      <c r="H36" s="152"/>
    </row>
    <row r="37" spans="1:8" s="143" customFormat="1" x14ac:dyDescent="0.2">
      <c r="A37" s="149" t="s">
        <v>424</v>
      </c>
      <c r="B37" s="77" t="s">
        <v>309</v>
      </c>
      <c r="C37" s="214" t="s">
        <v>260</v>
      </c>
      <c r="D37" s="214">
        <f>IF(D36=0,"-",D35*365/D36)</f>
        <v>0</v>
      </c>
      <c r="E37" s="214">
        <f>IF(E36=0,"-",E35*365/E36)</f>
        <v>0</v>
      </c>
      <c r="F37" s="214">
        <f>IF(F36=0,"-",F35*365/F36)</f>
        <v>0</v>
      </c>
      <c r="G37" s="214">
        <f>IF(G36=0,"-",G35*365/G36)</f>
        <v>0</v>
      </c>
      <c r="H37" s="221"/>
    </row>
    <row r="38" spans="1:8" x14ac:dyDescent="0.2">
      <c r="A38" s="152"/>
      <c r="B38" s="152"/>
      <c r="C38" s="152"/>
      <c r="D38" s="152"/>
      <c r="E38" s="152"/>
      <c r="F38" s="152"/>
      <c r="G38" s="152"/>
      <c r="H38" s="152"/>
    </row>
    <row r="39" spans="1:8" x14ac:dyDescent="0.2">
      <c r="A39" s="25" t="s">
        <v>318</v>
      </c>
      <c r="B39" s="215"/>
      <c r="C39" s="216"/>
      <c r="D39" s="216"/>
      <c r="E39" s="216"/>
      <c r="F39" s="216"/>
      <c r="G39" s="216"/>
      <c r="H39" s="152"/>
    </row>
    <row r="40" spans="1:8" x14ac:dyDescent="0.2">
      <c r="A40" s="189" t="s">
        <v>425</v>
      </c>
      <c r="B40" s="77" t="s">
        <v>309</v>
      </c>
      <c r="C40" s="230" t="str">
        <f>C17</f>
        <v>-</v>
      </c>
      <c r="D40" s="230">
        <f>D17</f>
        <v>0</v>
      </c>
      <c r="E40" s="230">
        <f>E17</f>
        <v>0</v>
      </c>
      <c r="F40" s="230">
        <f>F17</f>
        <v>0</v>
      </c>
      <c r="G40" s="230">
        <f>G17</f>
        <v>0</v>
      </c>
      <c r="H40" s="152"/>
    </row>
    <row r="41" spans="1:8" x14ac:dyDescent="0.2">
      <c r="A41" s="189" t="s">
        <v>422</v>
      </c>
      <c r="B41" s="77" t="s">
        <v>309</v>
      </c>
      <c r="C41" s="230" t="str">
        <f>C27</f>
        <v>-</v>
      </c>
      <c r="D41" s="230">
        <f>D27</f>
        <v>0</v>
      </c>
      <c r="E41" s="230">
        <f>E27</f>
        <v>0</v>
      </c>
      <c r="F41" s="230">
        <f>F27</f>
        <v>0</v>
      </c>
      <c r="G41" s="230">
        <f>G27</f>
        <v>0</v>
      </c>
      <c r="H41" s="152"/>
    </row>
    <row r="42" spans="1:8" x14ac:dyDescent="0.2">
      <c r="A42" s="189" t="s">
        <v>424</v>
      </c>
      <c r="B42" s="77" t="s">
        <v>309</v>
      </c>
      <c r="C42" s="230" t="str">
        <f>C37</f>
        <v>-</v>
      </c>
      <c r="D42" s="230">
        <f>IF(D37="-","-",-D37)</f>
        <v>0</v>
      </c>
      <c r="E42" s="230">
        <f>IF(E37="-","-",-E37)</f>
        <v>0</v>
      </c>
      <c r="F42" s="230">
        <f>IF(F37="-","-",-F37)</f>
        <v>0</v>
      </c>
      <c r="G42" s="230">
        <f>IF(G37="-","-",-G37)</f>
        <v>0</v>
      </c>
      <c r="H42" s="152"/>
    </row>
    <row r="43" spans="1:8" s="143" customFormat="1" x14ac:dyDescent="0.2">
      <c r="A43" s="153" t="s">
        <v>426</v>
      </c>
      <c r="B43" s="77" t="s">
        <v>309</v>
      </c>
      <c r="C43" s="214" t="s">
        <v>260</v>
      </c>
      <c r="D43" s="233">
        <f>IF(D40="-","-",D40+D41)</f>
        <v>0</v>
      </c>
      <c r="E43" s="233">
        <f>IF(E40="-","-",E40+E41)</f>
        <v>0</v>
      </c>
      <c r="F43" s="233">
        <f>IF(F40="-","-",F40+F41)</f>
        <v>0</v>
      </c>
      <c r="G43" s="233">
        <f>IF(G40="-","-",G40+G41)</f>
        <v>0</v>
      </c>
      <c r="H43" s="221"/>
    </row>
    <row r="44" spans="1:8" s="143" customFormat="1" x14ac:dyDescent="0.2">
      <c r="A44" s="149" t="s">
        <v>427</v>
      </c>
      <c r="B44" s="77" t="s">
        <v>309</v>
      </c>
      <c r="C44" s="214" t="s">
        <v>260</v>
      </c>
      <c r="D44" s="233">
        <f>IF(D42="-","-",D43+D42)</f>
        <v>0</v>
      </c>
      <c r="E44" s="233">
        <f>IF(E42="-","-",E43+E42)</f>
        <v>0</v>
      </c>
      <c r="F44" s="233">
        <f>IF(F42="-","-",F43+F42)</f>
        <v>0</v>
      </c>
      <c r="G44" s="233">
        <f>IF(G42="-","-",G43+G42)</f>
        <v>0</v>
      </c>
      <c r="H44" s="221"/>
    </row>
    <row r="45" spans="1:8" x14ac:dyDescent="0.2">
      <c r="A45" s="152"/>
      <c r="B45" s="220"/>
      <c r="C45" s="152"/>
      <c r="D45" s="152"/>
      <c r="E45" s="152"/>
      <c r="F45" s="152"/>
      <c r="G45" s="152"/>
      <c r="H45" s="152"/>
    </row>
    <row r="46" spans="1:8" x14ac:dyDescent="0.2">
      <c r="A46" s="25" t="s">
        <v>319</v>
      </c>
      <c r="B46" s="25"/>
      <c r="C46" s="25"/>
      <c r="D46" s="25"/>
      <c r="E46" s="25"/>
      <c r="F46" s="25"/>
      <c r="G46" s="25"/>
      <c r="H46" s="152"/>
    </row>
    <row r="47" spans="1:8" x14ac:dyDescent="0.2">
      <c r="A47" s="189" t="s">
        <v>120</v>
      </c>
      <c r="B47" s="77" t="s">
        <v>85</v>
      </c>
      <c r="C47" s="213">
        <f>'Прогнозные отчеты'!C49</f>
        <v>0</v>
      </c>
      <c r="D47" s="213">
        <f>'Прогнозные отчеты'!D49</f>
        <v>800000</v>
      </c>
      <c r="E47" s="213">
        <f>'Прогнозные отчеты'!E49</f>
        <v>854400</v>
      </c>
      <c r="F47" s="213">
        <f>'Прогнозные отчеты'!F49</f>
        <v>1814745.6000000003</v>
      </c>
      <c r="G47" s="213">
        <f>'Прогнозные отчеты'!G49</f>
        <v>2899056.0959999999</v>
      </c>
      <c r="H47" s="152"/>
    </row>
    <row r="48" spans="1:8" x14ac:dyDescent="0.2">
      <c r="A48" s="189" t="s">
        <v>428</v>
      </c>
      <c r="B48" s="77" t="s">
        <v>85</v>
      </c>
      <c r="C48" s="217" t="s">
        <v>260</v>
      </c>
      <c r="D48" s="218">
        <f>('Прогнозные отчеты'!C9+'Прогнозные отчеты'!D9)/2</f>
        <v>3740.6779661016953</v>
      </c>
      <c r="E48" s="218">
        <f>('Прогнозные отчеты'!D9+'Прогнозные отчеты'!E9)/2</f>
        <v>3457.6271186440681</v>
      </c>
      <c r="F48" s="218">
        <f>('Прогнозные отчеты'!E9+'Прогнозные отчеты'!F9)/2</f>
        <v>3174.5762711864409</v>
      </c>
      <c r="G48" s="218">
        <f>('Прогнозные отчеты'!F9+'Прогнозные отчеты'!G9)/2</f>
        <v>2891.5254237288136</v>
      </c>
      <c r="H48" s="152"/>
    </row>
    <row r="49" spans="1:8" s="143" customFormat="1" x14ac:dyDescent="0.2">
      <c r="A49" s="149" t="s">
        <v>319</v>
      </c>
      <c r="B49" s="149"/>
      <c r="C49" s="214" t="s">
        <v>260</v>
      </c>
      <c r="D49" s="214">
        <f>IF(D48=0,"-",D47/D48)</f>
        <v>213.86497507929315</v>
      </c>
      <c r="E49" s="214">
        <f>IF(E48=0,"-",E47/E48)</f>
        <v>247.10588235294117</v>
      </c>
      <c r="F49" s="214">
        <f>IF(F48=0,"-",F47/F48)</f>
        <v>571.64970848905512</v>
      </c>
      <c r="G49" s="214">
        <f>IF(G48=0,"-",G47/G48)</f>
        <v>1002.6043942790152</v>
      </c>
      <c r="H49" s="221"/>
    </row>
    <row r="50" spans="1:8" x14ac:dyDescent="0.2">
      <c r="A50" s="152"/>
      <c r="B50" s="152"/>
      <c r="C50" s="152"/>
      <c r="D50" s="152"/>
      <c r="E50" s="152"/>
      <c r="F50" s="152"/>
      <c r="G50" s="152"/>
      <c r="H50" s="152"/>
    </row>
    <row r="51" spans="1:8" x14ac:dyDescent="0.2">
      <c r="A51" s="25" t="s">
        <v>368</v>
      </c>
      <c r="B51" s="25"/>
      <c r="C51" s="25"/>
      <c r="D51" s="25"/>
      <c r="E51" s="25"/>
      <c r="F51" s="25"/>
      <c r="G51" s="25"/>
      <c r="H51" s="152"/>
    </row>
    <row r="52" spans="1:8" x14ac:dyDescent="0.2">
      <c r="A52" s="189" t="s">
        <v>120</v>
      </c>
      <c r="B52" s="77" t="s">
        <v>85</v>
      </c>
      <c r="C52" s="213">
        <f>'Прогнозные отчеты'!C49</f>
        <v>0</v>
      </c>
      <c r="D52" s="213">
        <f>'Прогнозные отчеты'!D49</f>
        <v>800000</v>
      </c>
      <c r="E52" s="213">
        <f>'Прогнозные отчеты'!E49</f>
        <v>854400</v>
      </c>
      <c r="F52" s="213">
        <f>'Прогнозные отчеты'!F49</f>
        <v>1814745.6000000003</v>
      </c>
      <c r="G52" s="213">
        <f>'Прогнозные отчеты'!G49</f>
        <v>2899056.0959999999</v>
      </c>
      <c r="H52" s="152"/>
    </row>
    <row r="53" spans="1:8" x14ac:dyDescent="0.2">
      <c r="A53" s="189" t="s">
        <v>429</v>
      </c>
      <c r="B53" s="77" t="s">
        <v>85</v>
      </c>
      <c r="C53" s="217" t="s">
        <v>260</v>
      </c>
      <c r="D53" s="218">
        <f>('Прогнозные отчеты'!C19+'Прогнозные отчеты'!D19)/2</f>
        <v>224037.12719452512</v>
      </c>
      <c r="E53" s="218">
        <f>('Прогнозные отчеты'!D19+'Прогнозные отчеты'!E19)/2</f>
        <v>432062.41168751824</v>
      </c>
      <c r="F53" s="218">
        <f>('Прогнозные отчеты'!E19+'Прогнозные отчеты'!F19)/2</f>
        <v>646878.15239428927</v>
      </c>
      <c r="G53" s="218">
        <f>('Прогнозные отчеты'!F19+'Прогнозные отчеты'!G19)/2</f>
        <v>1081601.3543782257</v>
      </c>
      <c r="H53" s="152"/>
    </row>
    <row r="54" spans="1:8" s="143" customFormat="1" x14ac:dyDescent="0.2">
      <c r="A54" s="149" t="s">
        <v>368</v>
      </c>
      <c r="B54" s="149"/>
      <c r="C54" s="214" t="s">
        <v>260</v>
      </c>
      <c r="D54" s="214">
        <f>IF(D53=0,"-",D52/D53)</f>
        <v>3.570836718082814</v>
      </c>
      <c r="E54" s="214">
        <f>IF(E53=0,"-",E52/E53)</f>
        <v>1.9774920865320036</v>
      </c>
      <c r="F54" s="214">
        <f>IF(F53=0,"-",F52/F53)</f>
        <v>2.8053901546730011</v>
      </c>
      <c r="G54" s="214">
        <f>IF(G53=0,"-",G52/G53)</f>
        <v>2.6803369691290415</v>
      </c>
      <c r="H54" s="221"/>
    </row>
    <row r="55" spans="1:8" x14ac:dyDescent="0.2">
      <c r="A55" s="152"/>
      <c r="B55" s="152"/>
      <c r="C55" s="152"/>
      <c r="D55" s="152"/>
      <c r="E55" s="152"/>
      <c r="F55" s="152"/>
      <c r="G55" s="152"/>
      <c r="H55" s="152"/>
    </row>
    <row r="56" spans="1:8" x14ac:dyDescent="0.2">
      <c r="A56" s="25" t="s">
        <v>432</v>
      </c>
      <c r="B56" s="25"/>
      <c r="C56" s="25"/>
      <c r="D56" s="25"/>
      <c r="E56" s="25"/>
      <c r="F56" s="25"/>
      <c r="G56" s="25"/>
      <c r="H56" s="152"/>
    </row>
    <row r="57" spans="1:8" x14ac:dyDescent="0.2">
      <c r="A57" s="189" t="s">
        <v>120</v>
      </c>
      <c r="B57" s="77" t="s">
        <v>85</v>
      </c>
      <c r="C57" s="213">
        <f>'Прогнозные отчеты'!C49</f>
        <v>0</v>
      </c>
      <c r="D57" s="213">
        <f>'Прогнозные отчеты'!D49</f>
        <v>800000</v>
      </c>
      <c r="E57" s="213">
        <f>'Прогнозные отчеты'!E49</f>
        <v>854400</v>
      </c>
      <c r="F57" s="213">
        <f>'Прогнозные отчеты'!F49</f>
        <v>1814745.6000000003</v>
      </c>
      <c r="G57" s="213">
        <f>'Прогнозные отчеты'!G49</f>
        <v>2899056.0959999999</v>
      </c>
      <c r="H57" s="152"/>
    </row>
    <row r="58" spans="1:8" x14ac:dyDescent="0.2">
      <c r="A58" s="189" t="s">
        <v>263</v>
      </c>
      <c r="B58" s="77" t="s">
        <v>85</v>
      </c>
      <c r="C58" s="213">
        <f>'Прогнозные отчеты'!C7</f>
        <v>2461.2288135593221</v>
      </c>
      <c r="D58" s="213">
        <f>'Прогнозные отчеты'!D7</f>
        <v>2252.9661016949153</v>
      </c>
      <c r="E58" s="213">
        <f>'Прогнозные отчеты'!E7</f>
        <v>2044.7033898305087</v>
      </c>
      <c r="F58" s="213">
        <f>'Прогнозные отчеты'!F7</f>
        <v>1836.4406779661017</v>
      </c>
      <c r="G58" s="213">
        <f>'Прогнозные отчеты'!G7</f>
        <v>1628.1779661016949</v>
      </c>
      <c r="H58" s="152"/>
    </row>
    <row r="59" spans="1:8" x14ac:dyDescent="0.2">
      <c r="A59" s="189" t="s">
        <v>283</v>
      </c>
      <c r="B59" s="77" t="s">
        <v>85</v>
      </c>
      <c r="C59" s="213">
        <f>'Анализ ликвидности'!C38</f>
        <v>22780.329505534231</v>
      </c>
      <c r="D59" s="213">
        <f>'Анализ ликвидности'!D38</f>
        <v>417812.56895131263</v>
      </c>
      <c r="E59" s="213">
        <f>'Анализ ликвидности'!E38</f>
        <v>439397.00018643576</v>
      </c>
      <c r="F59" s="213">
        <f>'Анализ ликвидности'!F38</f>
        <v>848010.15205976984</v>
      </c>
      <c r="G59" s="213">
        <f>'Анализ ликвидности'!G38</f>
        <v>1309409.505849224</v>
      </c>
      <c r="H59" s="152"/>
    </row>
    <row r="60" spans="1:8" x14ac:dyDescent="0.2">
      <c r="A60" s="189" t="s">
        <v>430</v>
      </c>
      <c r="B60" s="77" t="s">
        <v>85</v>
      </c>
      <c r="C60" s="218">
        <f>C58+C59</f>
        <v>25241.558319093554</v>
      </c>
      <c r="D60" s="218">
        <f>D58+D59</f>
        <v>420065.53505300754</v>
      </c>
      <c r="E60" s="218">
        <f>E58+E59</f>
        <v>441441.70357626624</v>
      </c>
      <c r="F60" s="218">
        <f>F58+F59</f>
        <v>849846.59273773595</v>
      </c>
      <c r="G60" s="218">
        <f>G58+G59</f>
        <v>1311037.6838153258</v>
      </c>
      <c r="H60" s="152"/>
    </row>
    <row r="61" spans="1:8" x14ac:dyDescent="0.2">
      <c r="A61" s="189" t="s">
        <v>431</v>
      </c>
      <c r="B61" s="77" t="s">
        <v>85</v>
      </c>
      <c r="C61" s="217" t="s">
        <v>260</v>
      </c>
      <c r="D61" s="218">
        <f>(C60+D60)/2</f>
        <v>222653.54668605054</v>
      </c>
      <c r="E61" s="218">
        <f>(D60+E60)/2</f>
        <v>430753.61931463692</v>
      </c>
      <c r="F61" s="218">
        <f>(E60+F60)/2</f>
        <v>645644.14815700112</v>
      </c>
      <c r="G61" s="218">
        <f>(F60+G60)/2</f>
        <v>1080442.1382765309</v>
      </c>
      <c r="H61" s="152"/>
    </row>
    <row r="62" spans="1:8" s="143" customFormat="1" x14ac:dyDescent="0.2">
      <c r="A62" s="149" t="s">
        <v>432</v>
      </c>
      <c r="B62" s="149"/>
      <c r="C62" s="214" t="s">
        <v>260</v>
      </c>
      <c r="D62" s="214">
        <f>IF(D61=0,"-",D57/D61)</f>
        <v>3.5930260797867666</v>
      </c>
      <c r="E62" s="214">
        <f>IF(E61=0,"-",E57/E61)</f>
        <v>1.9835004552240745</v>
      </c>
      <c r="F62" s="214">
        <f>IF(F61=0,"-",F57/F61)</f>
        <v>2.8107520298607418</v>
      </c>
      <c r="G62" s="214">
        <f>IF(G61=0,"-",G57/G61)</f>
        <v>2.6832127268050043</v>
      </c>
      <c r="H62" s="221"/>
    </row>
    <row r="63" spans="1:8" x14ac:dyDescent="0.2">
      <c r="A63" s="152"/>
      <c r="B63" s="152"/>
      <c r="C63" s="152"/>
      <c r="D63" s="152"/>
      <c r="E63" s="152"/>
      <c r="F63" s="152"/>
      <c r="G63" s="152"/>
      <c r="H63" s="152"/>
    </row>
    <row r="64" spans="1:8" x14ac:dyDescent="0.2">
      <c r="A64" s="152"/>
      <c r="B64" s="152"/>
      <c r="C64" s="152"/>
      <c r="D64" s="152"/>
      <c r="E64" s="152"/>
      <c r="F64" s="152"/>
      <c r="G64" s="152"/>
      <c r="H64" s="152"/>
    </row>
    <row r="65" spans="1:8" x14ac:dyDescent="0.2">
      <c r="A65" s="152"/>
      <c r="B65" s="152"/>
      <c r="C65" s="152"/>
      <c r="D65" s="152"/>
      <c r="E65" s="152"/>
      <c r="F65" s="152"/>
      <c r="G65" s="152"/>
      <c r="H65" s="152"/>
    </row>
    <row r="66" spans="1:8" x14ac:dyDescent="0.2">
      <c r="A66" s="152"/>
      <c r="B66" s="152"/>
      <c r="C66" s="152"/>
      <c r="D66" s="152"/>
      <c r="E66" s="152"/>
      <c r="F66" s="152"/>
      <c r="G66" s="152"/>
      <c r="H66" s="152"/>
    </row>
    <row r="67" spans="1:8" x14ac:dyDescent="0.2">
      <c r="A67" s="152"/>
      <c r="B67" s="152"/>
      <c r="C67" s="152"/>
      <c r="D67" s="152"/>
      <c r="E67" s="152"/>
      <c r="F67" s="152"/>
      <c r="G67" s="152"/>
      <c r="H67" s="152"/>
    </row>
  </sheetData>
  <pageMargins left="0.7" right="0.7" top="0.75" bottom="0.75" header="0.3" footer="0.3"/>
  <pageSetup paperSize="9"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60"/>
  <sheetViews>
    <sheetView topLeftCell="A22" zoomScale="97" zoomScaleNormal="97" workbookViewId="0">
      <selection activeCell="E66" sqref="E66"/>
    </sheetView>
  </sheetViews>
  <sheetFormatPr defaultRowHeight="12.75" x14ac:dyDescent="0.2"/>
  <cols>
    <col min="1" max="1" width="3.7109375" style="2" customWidth="1"/>
    <col min="2" max="2" width="3.140625" style="2" customWidth="1"/>
    <col min="3" max="3" width="28" style="2" customWidth="1"/>
    <col min="4" max="4" width="9.140625" style="2" customWidth="1"/>
    <col min="5" max="5" width="10.42578125" style="2" bestFit="1" customWidth="1"/>
    <col min="6" max="7" width="10.5703125" style="2" bestFit="1" customWidth="1"/>
    <col min="8" max="17" width="12" style="2" bestFit="1" customWidth="1"/>
    <col min="18" max="24" width="10.85546875" style="2" bestFit="1" customWidth="1"/>
    <col min="25" max="25" width="9.140625" style="2" customWidth="1"/>
    <col min="26" max="26" width="13.7109375" style="2" customWidth="1"/>
    <col min="27" max="16384" width="9.140625" style="2"/>
  </cols>
  <sheetData>
    <row r="1" spans="1:26" ht="18" x14ac:dyDescent="0.25">
      <c r="C1" s="282"/>
    </row>
    <row r="2" spans="1:26" x14ac:dyDescent="0.2">
      <c r="A2" s="11" t="s">
        <v>80</v>
      </c>
      <c r="B2" s="12"/>
      <c r="C2" s="12"/>
      <c r="D2" s="2" t="s">
        <v>79</v>
      </c>
      <c r="E2" s="3" t="s">
        <v>58</v>
      </c>
      <c r="F2" s="3" t="s">
        <v>59</v>
      </c>
      <c r="G2" s="3" t="s">
        <v>60</v>
      </c>
      <c r="H2" s="3" t="s">
        <v>61</v>
      </c>
      <c r="I2" s="4" t="s">
        <v>62</v>
      </c>
      <c r="J2" s="4" t="s">
        <v>63</v>
      </c>
      <c r="K2" s="4" t="s">
        <v>64</v>
      </c>
      <c r="L2" s="4" t="s">
        <v>65</v>
      </c>
      <c r="M2" s="5" t="s">
        <v>66</v>
      </c>
      <c r="N2" s="5" t="s">
        <v>67</v>
      </c>
      <c r="O2" s="5" t="s">
        <v>68</v>
      </c>
      <c r="P2" s="5" t="s">
        <v>69</v>
      </c>
      <c r="Q2" s="6" t="s">
        <v>70</v>
      </c>
      <c r="R2" s="6" t="s">
        <v>71</v>
      </c>
      <c r="S2" s="6" t="s">
        <v>72</v>
      </c>
      <c r="T2" s="6" t="s">
        <v>73</v>
      </c>
      <c r="U2" s="7" t="s">
        <v>74</v>
      </c>
      <c r="V2" s="7" t="s">
        <v>75</v>
      </c>
      <c r="W2" s="7" t="s">
        <v>76</v>
      </c>
      <c r="X2" s="7" t="s">
        <v>77</v>
      </c>
    </row>
    <row r="4" spans="1:26" x14ac:dyDescent="0.2">
      <c r="A4" s="25" t="s">
        <v>237</v>
      </c>
      <c r="B4" s="9"/>
      <c r="C4" s="9"/>
      <c r="D4" s="19"/>
      <c r="E4" s="18"/>
    </row>
    <row r="5" spans="1:26" x14ac:dyDescent="0.2">
      <c r="A5" s="9"/>
      <c r="B5" s="284" t="s">
        <v>548</v>
      </c>
      <c r="C5" s="13"/>
      <c r="D5" s="14" t="s">
        <v>82</v>
      </c>
      <c r="E5" s="15">
        <v>0</v>
      </c>
      <c r="F5" s="15">
        <f t="shared" ref="F5:X5" si="0">SUM(F6:F6)</f>
        <v>0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1</v>
      </c>
      <c r="M5" s="15">
        <f t="shared" si="0"/>
        <v>0</v>
      </c>
      <c r="N5" s="15">
        <f t="shared" si="0"/>
        <v>0</v>
      </c>
      <c r="O5" s="15">
        <f t="shared" si="0"/>
        <v>0</v>
      </c>
      <c r="P5" s="15">
        <f t="shared" si="0"/>
        <v>1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2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3</v>
      </c>
    </row>
    <row r="6" spans="1:26" x14ac:dyDescent="0.2">
      <c r="A6" s="9"/>
      <c r="B6" s="13"/>
      <c r="C6" s="264" t="s">
        <v>485</v>
      </c>
      <c r="D6" s="14" t="s">
        <v>82</v>
      </c>
      <c r="E6" s="265">
        <v>1</v>
      </c>
      <c r="F6" s="265">
        <v>0</v>
      </c>
      <c r="G6" s="265">
        <v>0</v>
      </c>
      <c r="H6" s="265">
        <v>0</v>
      </c>
      <c r="I6" s="265">
        <v>0</v>
      </c>
      <c r="J6" s="265">
        <v>0</v>
      </c>
      <c r="K6" s="265">
        <v>0</v>
      </c>
      <c r="L6" s="265">
        <v>1</v>
      </c>
      <c r="M6" s="265">
        <v>0</v>
      </c>
      <c r="N6" s="265">
        <v>0</v>
      </c>
      <c r="O6" s="265">
        <v>0</v>
      </c>
      <c r="P6" s="265">
        <v>1</v>
      </c>
      <c r="Q6" s="265">
        <v>0</v>
      </c>
      <c r="R6" s="265">
        <v>0</v>
      </c>
      <c r="S6" s="265">
        <v>0</v>
      </c>
      <c r="T6" s="265">
        <v>2</v>
      </c>
      <c r="U6" s="265">
        <v>0</v>
      </c>
      <c r="V6" s="265">
        <v>0</v>
      </c>
      <c r="W6" s="265">
        <v>0</v>
      </c>
      <c r="X6" s="265">
        <v>3</v>
      </c>
    </row>
    <row r="7" spans="1:26" x14ac:dyDescent="0.2">
      <c r="A7" s="9"/>
      <c r="B7" s="10" t="s">
        <v>81</v>
      </c>
      <c r="C7" s="10"/>
      <c r="D7" s="14" t="s">
        <v>82</v>
      </c>
      <c r="E7" s="17">
        <f>SUM(E5)</f>
        <v>0</v>
      </c>
      <c r="F7" s="17">
        <f>SUM(F5)</f>
        <v>0</v>
      </c>
      <c r="G7" s="17">
        <f t="shared" ref="G7:X7" si="1">SUM(G5)</f>
        <v>0</v>
      </c>
      <c r="H7" s="17">
        <f t="shared" si="1"/>
        <v>0</v>
      </c>
      <c r="I7" s="17">
        <f t="shared" si="1"/>
        <v>0</v>
      </c>
      <c r="J7" s="17">
        <f t="shared" si="1"/>
        <v>0</v>
      </c>
      <c r="K7" s="17">
        <f t="shared" si="1"/>
        <v>0</v>
      </c>
      <c r="L7" s="17">
        <f t="shared" si="1"/>
        <v>1</v>
      </c>
      <c r="M7" s="17">
        <f t="shared" si="1"/>
        <v>0</v>
      </c>
      <c r="N7" s="17">
        <f t="shared" si="1"/>
        <v>0</v>
      </c>
      <c r="O7" s="17">
        <f t="shared" si="1"/>
        <v>0</v>
      </c>
      <c r="P7" s="17">
        <f t="shared" si="1"/>
        <v>1</v>
      </c>
      <c r="Q7" s="17">
        <f t="shared" si="1"/>
        <v>0</v>
      </c>
      <c r="R7" s="17">
        <f t="shared" si="1"/>
        <v>0</v>
      </c>
      <c r="S7" s="17">
        <f t="shared" si="1"/>
        <v>0</v>
      </c>
      <c r="T7" s="17">
        <f t="shared" si="1"/>
        <v>2</v>
      </c>
      <c r="U7" s="17">
        <f t="shared" si="1"/>
        <v>0</v>
      </c>
      <c r="V7" s="17">
        <f t="shared" si="1"/>
        <v>0</v>
      </c>
      <c r="W7" s="17">
        <f t="shared" si="1"/>
        <v>0</v>
      </c>
      <c r="X7" s="17">
        <f t="shared" si="1"/>
        <v>3</v>
      </c>
    </row>
    <row r="8" spans="1:26" x14ac:dyDescent="0.2">
      <c r="A8" s="9"/>
      <c r="B8" s="10"/>
      <c r="C8" s="10"/>
      <c r="D8" s="1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</row>
    <row r="9" spans="1:26" x14ac:dyDescent="0.2">
      <c r="A9" s="25" t="s">
        <v>238</v>
      </c>
      <c r="B9" s="9"/>
      <c r="C9" s="9"/>
      <c r="E9" s="18"/>
    </row>
    <row r="10" spans="1:26" x14ac:dyDescent="0.2">
      <c r="B10" s="284" t="s">
        <v>548</v>
      </c>
      <c r="C10" s="13"/>
      <c r="D10" s="19" t="s">
        <v>91</v>
      </c>
      <c r="E10" s="76">
        <v>1</v>
      </c>
      <c r="F10" s="76">
        <v>1</v>
      </c>
      <c r="G10" s="76">
        <v>1</v>
      </c>
      <c r="H10" s="76">
        <v>1</v>
      </c>
      <c r="I10" s="76">
        <v>1</v>
      </c>
      <c r="J10" s="76">
        <v>1</v>
      </c>
      <c r="K10" s="76">
        <v>1</v>
      </c>
      <c r="L10" s="76">
        <v>1</v>
      </c>
      <c r="M10" s="76">
        <v>1</v>
      </c>
      <c r="N10" s="76">
        <v>1</v>
      </c>
      <c r="O10" s="76">
        <v>1</v>
      </c>
      <c r="P10" s="76">
        <v>1</v>
      </c>
      <c r="Q10" s="76">
        <v>1</v>
      </c>
      <c r="R10" s="76">
        <v>1</v>
      </c>
      <c r="S10" s="76">
        <v>1</v>
      </c>
      <c r="T10" s="76">
        <v>1</v>
      </c>
      <c r="U10" s="76">
        <v>1</v>
      </c>
      <c r="V10" s="76">
        <v>1</v>
      </c>
      <c r="W10" s="76">
        <v>1</v>
      </c>
      <c r="X10" s="76">
        <v>1</v>
      </c>
    </row>
    <row r="12" spans="1:26" x14ac:dyDescent="0.2">
      <c r="A12" s="25" t="s">
        <v>341</v>
      </c>
      <c r="B12" s="9"/>
      <c r="C12" s="9"/>
    </row>
    <row r="13" spans="1:26" x14ac:dyDescent="0.2">
      <c r="A13" s="9"/>
      <c r="B13" s="284" t="s">
        <v>548</v>
      </c>
      <c r="C13" s="13"/>
      <c r="D13" s="14" t="s">
        <v>82</v>
      </c>
      <c r="E13" s="15">
        <f t="shared" ref="E13:W13" si="2">IF(E10&gt;0,E5/E10,0)</f>
        <v>0</v>
      </c>
      <c r="F13" s="15">
        <f t="shared" si="2"/>
        <v>0</v>
      </c>
      <c r="G13" s="15">
        <f t="shared" si="2"/>
        <v>0</v>
      </c>
      <c r="H13" s="15">
        <f t="shared" si="2"/>
        <v>0</v>
      </c>
      <c r="I13" s="15">
        <v>0</v>
      </c>
      <c r="J13" s="15">
        <f t="shared" si="2"/>
        <v>0</v>
      </c>
      <c r="K13" s="15">
        <v>0</v>
      </c>
      <c r="L13" s="15">
        <v>1</v>
      </c>
      <c r="M13" s="15">
        <v>0</v>
      </c>
      <c r="N13" s="15">
        <f t="shared" si="2"/>
        <v>0</v>
      </c>
      <c r="O13" s="15">
        <f t="shared" si="2"/>
        <v>0</v>
      </c>
      <c r="P13" s="15">
        <v>1</v>
      </c>
      <c r="Q13" s="15">
        <v>0</v>
      </c>
      <c r="R13" s="15">
        <f t="shared" si="2"/>
        <v>0</v>
      </c>
      <c r="S13" s="15">
        <f t="shared" si="2"/>
        <v>0</v>
      </c>
      <c r="T13" s="15">
        <v>2</v>
      </c>
      <c r="U13" s="15">
        <v>0</v>
      </c>
      <c r="V13" s="15">
        <f t="shared" si="2"/>
        <v>0</v>
      </c>
      <c r="W13" s="15">
        <f t="shared" si="2"/>
        <v>0</v>
      </c>
      <c r="X13" s="15">
        <v>3</v>
      </c>
      <c r="Z13" s="67"/>
    </row>
    <row r="14" spans="1:26" x14ac:dyDescent="0.2">
      <c r="A14" s="9"/>
      <c r="B14" s="10" t="s">
        <v>81</v>
      </c>
      <c r="C14" s="10"/>
      <c r="D14" s="14" t="s">
        <v>82</v>
      </c>
      <c r="E14" s="17">
        <f t="shared" ref="E14:X14" si="3">SUM(E13:E13)</f>
        <v>0</v>
      </c>
      <c r="F14" s="17">
        <f t="shared" si="3"/>
        <v>0</v>
      </c>
      <c r="G14" s="17">
        <f t="shared" si="3"/>
        <v>0</v>
      </c>
      <c r="H14" s="17">
        <f t="shared" si="3"/>
        <v>0</v>
      </c>
      <c r="I14" s="17">
        <f t="shared" si="3"/>
        <v>0</v>
      </c>
      <c r="J14" s="17">
        <f t="shared" si="3"/>
        <v>0</v>
      </c>
      <c r="K14" s="17">
        <f t="shared" si="3"/>
        <v>0</v>
      </c>
      <c r="L14" s="17">
        <f t="shared" si="3"/>
        <v>1</v>
      </c>
      <c r="M14" s="17">
        <f t="shared" si="3"/>
        <v>0</v>
      </c>
      <c r="N14" s="17">
        <f t="shared" si="3"/>
        <v>0</v>
      </c>
      <c r="O14" s="17">
        <f t="shared" si="3"/>
        <v>0</v>
      </c>
      <c r="P14" s="17">
        <f t="shared" si="3"/>
        <v>1</v>
      </c>
      <c r="Q14" s="17">
        <f t="shared" si="3"/>
        <v>0</v>
      </c>
      <c r="R14" s="17">
        <f t="shared" si="3"/>
        <v>0</v>
      </c>
      <c r="S14" s="17">
        <f t="shared" si="3"/>
        <v>0</v>
      </c>
      <c r="T14" s="17">
        <f t="shared" si="3"/>
        <v>2</v>
      </c>
      <c r="U14" s="17">
        <f t="shared" si="3"/>
        <v>0</v>
      </c>
      <c r="V14" s="17">
        <f t="shared" si="3"/>
        <v>0</v>
      </c>
      <c r="W14" s="17">
        <f t="shared" si="3"/>
        <v>0</v>
      </c>
      <c r="X14" s="17">
        <f t="shared" si="3"/>
        <v>3</v>
      </c>
    </row>
    <row r="15" spans="1:26" x14ac:dyDescent="0.2">
      <c r="A15" s="9"/>
      <c r="B15" s="9"/>
      <c r="C15" s="9"/>
    </row>
    <row r="16" spans="1:26" x14ac:dyDescent="0.2">
      <c r="A16" s="25" t="s">
        <v>232</v>
      </c>
      <c r="B16" s="9"/>
      <c r="C16" s="9"/>
    </row>
    <row r="17" spans="1:25" x14ac:dyDescent="0.2">
      <c r="A17" s="25"/>
      <c r="B17" s="284" t="s">
        <v>548</v>
      </c>
      <c r="C17" s="13"/>
      <c r="D17" s="14"/>
    </row>
    <row r="18" spans="1:25" x14ac:dyDescent="0.2">
      <c r="A18" s="25"/>
      <c r="B18" s="13"/>
      <c r="C18" s="264" t="s">
        <v>485</v>
      </c>
      <c r="D18" s="14" t="s">
        <v>84</v>
      </c>
      <c r="E18" s="15">
        <v>0</v>
      </c>
      <c r="F18" s="15">
        <f>E18*(1+Окружение!E8)</f>
        <v>0</v>
      </c>
      <c r="G18" s="15">
        <f>F18*(1+Окружение!F8)</f>
        <v>0</v>
      </c>
      <c r="H18" s="15">
        <f>G18*(1+Окружение!G8)</f>
        <v>0</v>
      </c>
      <c r="I18" s="15">
        <v>0</v>
      </c>
      <c r="J18" s="15">
        <f>I18*(1+Окружение!I8)</f>
        <v>0</v>
      </c>
      <c r="K18" s="15">
        <f>J18*(1+Окружение!J8)</f>
        <v>0</v>
      </c>
      <c r="L18" s="15">
        <v>800000000</v>
      </c>
      <c r="M18" s="15">
        <v>0</v>
      </c>
      <c r="N18" s="15">
        <f>M18*(1+Окружение!M8)</f>
        <v>0</v>
      </c>
      <c r="O18" s="15">
        <f>N18*(1+Окружение!N8)</f>
        <v>0</v>
      </c>
      <c r="P18" s="15">
        <f>L18*(1+Окружение!O7)</f>
        <v>854400000</v>
      </c>
      <c r="Q18" s="15">
        <v>0</v>
      </c>
      <c r="R18" s="15">
        <f>Q18*(1+Окружение!Q8)</f>
        <v>0</v>
      </c>
      <c r="S18" s="15">
        <f>R18*(1+Окружение!R8)</f>
        <v>0</v>
      </c>
      <c r="T18" s="15">
        <f>P18*(1+Окружение!S7)</f>
        <v>907372800</v>
      </c>
      <c r="U18" s="15">
        <v>0</v>
      </c>
      <c r="V18" s="15">
        <f>U18*(1+Окружение!U8)</f>
        <v>0</v>
      </c>
      <c r="W18" s="15">
        <f>V18*(1+Окружение!V8)</f>
        <v>0</v>
      </c>
      <c r="X18" s="15">
        <f>T18*(1+Окружение!W7)</f>
        <v>966352032</v>
      </c>
    </row>
    <row r="19" spans="1:25" x14ac:dyDescent="0.2">
      <c r="A19" s="10"/>
      <c r="B19" s="9"/>
      <c r="C19" s="9" t="s">
        <v>344</v>
      </c>
      <c r="D19" s="14" t="s">
        <v>84</v>
      </c>
      <c r="E19" s="15">
        <f>IF(E5&gt;0,(E18*E6)/E5,0)</f>
        <v>0</v>
      </c>
      <c r="F19" s="15">
        <f t="shared" ref="F19:X19" si="4">IF(F5&gt;0,(F18*F6),0)</f>
        <v>0</v>
      </c>
      <c r="G19" s="15">
        <f t="shared" si="4"/>
        <v>0</v>
      </c>
      <c r="H19" s="15">
        <f t="shared" si="4"/>
        <v>0</v>
      </c>
      <c r="I19" s="15">
        <f t="shared" si="4"/>
        <v>0</v>
      </c>
      <c r="J19" s="15">
        <f t="shared" si="4"/>
        <v>0</v>
      </c>
      <c r="K19" s="15">
        <f t="shared" si="4"/>
        <v>0</v>
      </c>
      <c r="L19" s="15">
        <f t="shared" si="4"/>
        <v>800000000</v>
      </c>
      <c r="M19" s="15">
        <f t="shared" si="4"/>
        <v>0</v>
      </c>
      <c r="N19" s="15">
        <f t="shared" si="4"/>
        <v>0</v>
      </c>
      <c r="O19" s="15">
        <f t="shared" si="4"/>
        <v>0</v>
      </c>
      <c r="P19" s="15">
        <f t="shared" si="4"/>
        <v>854400000</v>
      </c>
      <c r="Q19" s="15">
        <f t="shared" si="4"/>
        <v>0</v>
      </c>
      <c r="R19" s="15">
        <f t="shared" si="4"/>
        <v>0</v>
      </c>
      <c r="S19" s="15">
        <f t="shared" si="4"/>
        <v>0</v>
      </c>
      <c r="T19" s="15">
        <f t="shared" si="4"/>
        <v>1814745600</v>
      </c>
      <c r="U19" s="15">
        <f t="shared" si="4"/>
        <v>0</v>
      </c>
      <c r="V19" s="15">
        <f t="shared" si="4"/>
        <v>0</v>
      </c>
      <c r="W19" s="300">
        <f t="shared" si="4"/>
        <v>0</v>
      </c>
      <c r="X19" s="300">
        <f t="shared" si="4"/>
        <v>2899056096</v>
      </c>
    </row>
    <row r="20" spans="1:25" x14ac:dyDescent="0.2">
      <c r="A20" s="25"/>
      <c r="B20" s="9"/>
      <c r="C20" s="9"/>
      <c r="Y20" s="37"/>
    </row>
    <row r="21" spans="1:25" x14ac:dyDescent="0.2">
      <c r="A21" s="25" t="s">
        <v>83</v>
      </c>
      <c r="B21" s="9"/>
      <c r="C21" s="9"/>
    </row>
    <row r="22" spans="1:25" x14ac:dyDescent="0.2">
      <c r="A22" s="9"/>
      <c r="B22" s="284" t="s">
        <v>548</v>
      </c>
      <c r="C22" s="13"/>
      <c r="D22" s="14"/>
    </row>
    <row r="23" spans="1:25" x14ac:dyDescent="0.2">
      <c r="A23" s="9"/>
      <c r="B23" s="13"/>
      <c r="C23" s="264" t="s">
        <v>485</v>
      </c>
      <c r="D23" s="14" t="s">
        <v>84</v>
      </c>
      <c r="E23" s="15">
        <v>1600</v>
      </c>
      <c r="F23" s="15">
        <f>F18*(1+Окружение!E13)</f>
        <v>0</v>
      </c>
      <c r="G23" s="15">
        <f>G18*(1+Окружение!F13)</f>
        <v>0</v>
      </c>
      <c r="H23" s="15">
        <f>H18*(1+Окружение!G13)</f>
        <v>0</v>
      </c>
      <c r="I23" s="15">
        <f>I18*(1+Окружение!H13)</f>
        <v>0</v>
      </c>
      <c r="J23" s="15">
        <f>J18*(1+Окружение!I13)</f>
        <v>0</v>
      </c>
      <c r="K23" s="15">
        <f>K18*(1+Окружение!J13)</f>
        <v>0</v>
      </c>
      <c r="L23" s="15">
        <f>L18*(1+Окружение!K13)</f>
        <v>944000000</v>
      </c>
      <c r="M23" s="15">
        <f>M18*(1+Окружение!L13)</f>
        <v>0</v>
      </c>
      <c r="N23" s="15">
        <f>N18*(1+Окружение!M13)</f>
        <v>0</v>
      </c>
      <c r="O23" s="15">
        <f>O18*(1+Окружение!N13)</f>
        <v>0</v>
      </c>
      <c r="P23" s="15">
        <f>P18*(1+Окружение!O13)</f>
        <v>1008192000</v>
      </c>
      <c r="Q23" s="15">
        <f>Q18*(1+Окружение!P13)</f>
        <v>0</v>
      </c>
      <c r="R23" s="15">
        <f>R18*(1+Окружение!Q13)</f>
        <v>0</v>
      </c>
      <c r="S23" s="15">
        <f>S18*(1+Окружение!R13)</f>
        <v>0</v>
      </c>
      <c r="T23" s="15">
        <f>T18*(1+Окружение!S13)</f>
        <v>1070699904</v>
      </c>
      <c r="U23" s="15">
        <f>U18*(1+Окружение!T13)</f>
        <v>0</v>
      </c>
      <c r="V23" s="15">
        <f>V18*(1+Окружение!U13)</f>
        <v>0</v>
      </c>
      <c r="W23" s="15">
        <f>W18*(1+Окружение!V13)</f>
        <v>0</v>
      </c>
      <c r="X23" s="15">
        <f>X18*(1+Окружение!W13)</f>
        <v>1140295397.76</v>
      </c>
    </row>
    <row r="24" spans="1:25" x14ac:dyDescent="0.2">
      <c r="A24" s="9"/>
      <c r="B24" s="9"/>
      <c r="C24" s="9"/>
    </row>
    <row r="25" spans="1:25" x14ac:dyDescent="0.2">
      <c r="A25" s="25" t="s">
        <v>234</v>
      </c>
      <c r="B25" s="9"/>
      <c r="C25" s="9"/>
    </row>
    <row r="26" spans="1:25" s="8" customFormat="1" x14ac:dyDescent="0.2">
      <c r="A26" s="10"/>
      <c r="B26" s="263" t="s">
        <v>548</v>
      </c>
      <c r="C26" s="13"/>
      <c r="D26" s="14" t="s">
        <v>85</v>
      </c>
      <c r="E26" s="17">
        <f>SUM(E27:E27)</f>
        <v>0</v>
      </c>
      <c r="F26" s="17">
        <f t="shared" ref="F26:X26" si="5">F5*F18/1000</f>
        <v>0</v>
      </c>
      <c r="G26" s="17">
        <f t="shared" si="5"/>
        <v>0</v>
      </c>
      <c r="H26" s="17">
        <f t="shared" si="5"/>
        <v>0</v>
      </c>
      <c r="I26" s="17">
        <f t="shared" si="5"/>
        <v>0</v>
      </c>
      <c r="J26" s="17">
        <f t="shared" si="5"/>
        <v>0</v>
      </c>
      <c r="K26" s="17">
        <f t="shared" si="5"/>
        <v>0</v>
      </c>
      <c r="L26" s="17">
        <f t="shared" si="5"/>
        <v>800000</v>
      </c>
      <c r="M26" s="17">
        <f t="shared" si="5"/>
        <v>0</v>
      </c>
      <c r="N26" s="17">
        <f t="shared" si="5"/>
        <v>0</v>
      </c>
      <c r="O26" s="17">
        <f t="shared" si="5"/>
        <v>0</v>
      </c>
      <c r="P26" s="17">
        <f t="shared" si="5"/>
        <v>854400</v>
      </c>
      <c r="Q26" s="17">
        <f t="shared" si="5"/>
        <v>0</v>
      </c>
      <c r="R26" s="17">
        <f t="shared" si="5"/>
        <v>0</v>
      </c>
      <c r="S26" s="17">
        <f t="shared" si="5"/>
        <v>0</v>
      </c>
      <c r="T26" s="17">
        <f t="shared" si="5"/>
        <v>1814745.6</v>
      </c>
      <c r="U26" s="17">
        <f t="shared" si="5"/>
        <v>0</v>
      </c>
      <c r="V26" s="17">
        <f t="shared" si="5"/>
        <v>0</v>
      </c>
      <c r="W26" s="17">
        <f t="shared" si="5"/>
        <v>0</v>
      </c>
      <c r="X26" s="17">
        <f t="shared" si="5"/>
        <v>2899056.0959999999</v>
      </c>
    </row>
    <row r="27" spans="1:25" x14ac:dyDescent="0.2">
      <c r="A27" s="9"/>
      <c r="B27" s="13"/>
      <c r="C27" s="264" t="s">
        <v>485</v>
      </c>
      <c r="D27" s="14" t="s">
        <v>85</v>
      </c>
      <c r="E27" s="15">
        <f t="shared" ref="E27:X27" si="6">E6*E18/1000</f>
        <v>0</v>
      </c>
      <c r="F27" s="15">
        <f t="shared" si="6"/>
        <v>0</v>
      </c>
      <c r="G27" s="15">
        <f t="shared" si="6"/>
        <v>0</v>
      </c>
      <c r="H27" s="15">
        <f t="shared" si="6"/>
        <v>0</v>
      </c>
      <c r="I27" s="15">
        <f t="shared" si="6"/>
        <v>0</v>
      </c>
      <c r="J27" s="15">
        <f t="shared" si="6"/>
        <v>0</v>
      </c>
      <c r="K27" s="15">
        <f t="shared" si="6"/>
        <v>0</v>
      </c>
      <c r="L27" s="15">
        <f t="shared" si="6"/>
        <v>800000</v>
      </c>
      <c r="M27" s="15">
        <f t="shared" si="6"/>
        <v>0</v>
      </c>
      <c r="N27" s="15">
        <f t="shared" si="6"/>
        <v>0</v>
      </c>
      <c r="O27" s="15">
        <f t="shared" si="6"/>
        <v>0</v>
      </c>
      <c r="P27" s="15">
        <f t="shared" si="6"/>
        <v>854400</v>
      </c>
      <c r="Q27" s="15">
        <f t="shared" si="6"/>
        <v>0</v>
      </c>
      <c r="R27" s="15">
        <f t="shared" si="6"/>
        <v>0</v>
      </c>
      <c r="S27" s="15">
        <f t="shared" si="6"/>
        <v>0</v>
      </c>
      <c r="T27" s="15">
        <f t="shared" si="6"/>
        <v>1814745.6</v>
      </c>
      <c r="U27" s="15">
        <f t="shared" si="6"/>
        <v>0</v>
      </c>
      <c r="V27" s="15">
        <f t="shared" si="6"/>
        <v>0</v>
      </c>
      <c r="W27" s="15">
        <f t="shared" si="6"/>
        <v>0</v>
      </c>
      <c r="X27" s="15">
        <f t="shared" si="6"/>
        <v>2899056.0959999999</v>
      </c>
    </row>
    <row r="28" spans="1:25" x14ac:dyDescent="0.2">
      <c r="A28" s="9"/>
      <c r="B28" s="10" t="s">
        <v>81</v>
      </c>
      <c r="C28" s="10"/>
      <c r="D28" s="14" t="s">
        <v>85</v>
      </c>
      <c r="E28" s="301">
        <f>SUM(E26)</f>
        <v>0</v>
      </c>
      <c r="F28" s="301">
        <f t="shared" ref="F28:X28" si="7">SUM(F26)</f>
        <v>0</v>
      </c>
      <c r="G28" s="301">
        <f t="shared" si="7"/>
        <v>0</v>
      </c>
      <c r="H28" s="301">
        <f t="shared" si="7"/>
        <v>0</v>
      </c>
      <c r="I28" s="301">
        <f t="shared" si="7"/>
        <v>0</v>
      </c>
      <c r="J28" s="301">
        <f t="shared" si="7"/>
        <v>0</v>
      </c>
      <c r="K28" s="301">
        <f t="shared" si="7"/>
        <v>0</v>
      </c>
      <c r="L28" s="301">
        <f t="shared" si="7"/>
        <v>800000</v>
      </c>
      <c r="M28" s="301">
        <f t="shared" si="7"/>
        <v>0</v>
      </c>
      <c r="N28" s="301">
        <f t="shared" si="7"/>
        <v>0</v>
      </c>
      <c r="O28" s="301">
        <f t="shared" si="7"/>
        <v>0</v>
      </c>
      <c r="P28" s="301">
        <f t="shared" si="7"/>
        <v>854400</v>
      </c>
      <c r="Q28" s="301">
        <f t="shared" si="7"/>
        <v>0</v>
      </c>
      <c r="R28" s="301">
        <f t="shared" si="7"/>
        <v>0</v>
      </c>
      <c r="S28" s="301">
        <f t="shared" si="7"/>
        <v>0</v>
      </c>
      <c r="T28" s="301">
        <f t="shared" si="7"/>
        <v>1814745.6</v>
      </c>
      <c r="U28" s="301">
        <f t="shared" si="7"/>
        <v>0</v>
      </c>
      <c r="V28" s="301">
        <f t="shared" si="7"/>
        <v>0</v>
      </c>
      <c r="W28" s="301">
        <f t="shared" si="7"/>
        <v>0</v>
      </c>
      <c r="X28" s="301">
        <f t="shared" si="7"/>
        <v>2899056.0959999999</v>
      </c>
    </row>
    <row r="29" spans="1:25" x14ac:dyDescent="0.2">
      <c r="A29" s="25"/>
      <c r="B29" s="9"/>
      <c r="C29" s="9"/>
    </row>
    <row r="30" spans="1:25" x14ac:dyDescent="0.2">
      <c r="A30" s="25" t="s">
        <v>102</v>
      </c>
      <c r="B30" s="9"/>
      <c r="C30" s="9"/>
    </row>
    <row r="31" spans="1:25" x14ac:dyDescent="0.2">
      <c r="A31" s="9"/>
      <c r="B31" s="284" t="s">
        <v>548</v>
      </c>
      <c r="C31" s="13"/>
      <c r="D31" s="14" t="s">
        <v>85</v>
      </c>
      <c r="E31" s="15">
        <f>E26*(1+Окружение!D13)</f>
        <v>0</v>
      </c>
      <c r="F31" s="15">
        <f>F26*(1+Окружение!E13)</f>
        <v>0</v>
      </c>
      <c r="G31" s="15">
        <f>G26*(1+Окружение!F13)</f>
        <v>0</v>
      </c>
      <c r="H31" s="15">
        <f>H26*(1+Окружение!G13)</f>
        <v>0</v>
      </c>
      <c r="I31" s="15">
        <f>I26*(1+Окружение!H13)</f>
        <v>0</v>
      </c>
      <c r="J31" s="15">
        <f>J26*(1+Окружение!I13)</f>
        <v>0</v>
      </c>
      <c r="K31" s="15">
        <f>K26*(1+Окружение!J13)</f>
        <v>0</v>
      </c>
      <c r="L31" s="15">
        <f>L26*(1+Окружение!K13)</f>
        <v>944000</v>
      </c>
      <c r="M31" s="15">
        <f>M26*(1+Окружение!L13)</f>
        <v>0</v>
      </c>
      <c r="N31" s="15">
        <f>N26*(1+Окружение!M13)</f>
        <v>0</v>
      </c>
      <c r="O31" s="15">
        <f>O26*(1+Окружение!N13)</f>
        <v>0</v>
      </c>
      <c r="P31" s="15">
        <f>P26*(1+Окружение!O13)</f>
        <v>1008192</v>
      </c>
      <c r="Q31" s="15">
        <f>Q26*(1+Окружение!P13)</f>
        <v>0</v>
      </c>
      <c r="R31" s="15">
        <f>R26*(1+Окружение!Q13)</f>
        <v>0</v>
      </c>
      <c r="S31" s="15">
        <f>S26*(1+Окружение!R13)</f>
        <v>0</v>
      </c>
      <c r="T31" s="15">
        <f>T26*(1+Окружение!S13)</f>
        <v>2141399.8080000002</v>
      </c>
      <c r="U31" s="15">
        <f>U26*(1+Окружение!T13)</f>
        <v>0</v>
      </c>
      <c r="V31" s="15">
        <f>V26*(1+Окружение!U13)</f>
        <v>0</v>
      </c>
      <c r="W31" s="15">
        <f>W26*(1+Окружение!V13)</f>
        <v>0</v>
      </c>
      <c r="X31" s="15">
        <f>X26*(1+Окружение!W13)</f>
        <v>3420886.1932799998</v>
      </c>
    </row>
    <row r="32" spans="1:25" x14ac:dyDescent="0.2">
      <c r="A32" s="9"/>
      <c r="B32" s="10" t="s">
        <v>81</v>
      </c>
      <c r="C32" s="10"/>
      <c r="D32" s="14" t="s">
        <v>85</v>
      </c>
      <c r="E32" s="17">
        <f t="shared" ref="E32:X32" si="8">SUM(E31:E31)</f>
        <v>0</v>
      </c>
      <c r="F32" s="17">
        <f t="shared" si="8"/>
        <v>0</v>
      </c>
      <c r="G32" s="17">
        <f t="shared" si="8"/>
        <v>0</v>
      </c>
      <c r="H32" s="17">
        <f t="shared" si="8"/>
        <v>0</v>
      </c>
      <c r="I32" s="17">
        <f t="shared" si="8"/>
        <v>0</v>
      </c>
      <c r="J32" s="17">
        <f t="shared" si="8"/>
        <v>0</v>
      </c>
      <c r="K32" s="17">
        <f t="shared" si="8"/>
        <v>0</v>
      </c>
      <c r="L32" s="17">
        <f t="shared" si="8"/>
        <v>944000</v>
      </c>
      <c r="M32" s="17">
        <f t="shared" si="8"/>
        <v>0</v>
      </c>
      <c r="N32" s="17">
        <f t="shared" si="8"/>
        <v>0</v>
      </c>
      <c r="O32" s="17">
        <f t="shared" si="8"/>
        <v>0</v>
      </c>
      <c r="P32" s="17">
        <f t="shared" si="8"/>
        <v>1008192</v>
      </c>
      <c r="Q32" s="17">
        <f t="shared" si="8"/>
        <v>0</v>
      </c>
      <c r="R32" s="17">
        <f t="shared" si="8"/>
        <v>0</v>
      </c>
      <c r="S32" s="17">
        <f t="shared" si="8"/>
        <v>0</v>
      </c>
      <c r="T32" s="17">
        <f t="shared" si="8"/>
        <v>2141399.8080000002</v>
      </c>
      <c r="U32" s="17">
        <f t="shared" si="8"/>
        <v>0</v>
      </c>
      <c r="V32" s="17">
        <f t="shared" si="8"/>
        <v>0</v>
      </c>
      <c r="W32" s="17">
        <f t="shared" si="8"/>
        <v>0</v>
      </c>
      <c r="X32" s="17">
        <f t="shared" si="8"/>
        <v>3420886.1932799998</v>
      </c>
    </row>
    <row r="33" spans="1:24" x14ac:dyDescent="0.2">
      <c r="A33" s="9"/>
      <c r="B33" s="42" t="s">
        <v>103</v>
      </c>
      <c r="C33" s="42"/>
      <c r="D33" s="14" t="s">
        <v>85</v>
      </c>
      <c r="E33" s="75">
        <f>E32-E32/(1+Окружение!D13)</f>
        <v>0</v>
      </c>
      <c r="F33" s="75">
        <f>F32-F32/(1+Окружение!E13)</f>
        <v>0</v>
      </c>
      <c r="G33" s="75">
        <f>G32-G32/(1+Окружение!F13)</f>
        <v>0</v>
      </c>
      <c r="H33" s="75">
        <f>H32-H32/(1+Окружение!G13)</f>
        <v>0</v>
      </c>
      <c r="I33" s="75">
        <f>I32-I32/(1+Окружение!H13)</f>
        <v>0</v>
      </c>
      <c r="J33" s="75">
        <f>J32-J32/(1+Окружение!I13)</f>
        <v>0</v>
      </c>
      <c r="K33" s="75">
        <f>K32-K32/(1+Окружение!J13)</f>
        <v>0</v>
      </c>
      <c r="L33" s="75">
        <f>L32-L32/(1+Окружение!K13)</f>
        <v>144000</v>
      </c>
      <c r="M33" s="75">
        <f>M32-M32/(1+Окружение!L13)</f>
        <v>0</v>
      </c>
      <c r="N33" s="75">
        <f>N32-N32/(1+Окружение!M13)</f>
        <v>0</v>
      </c>
      <c r="O33" s="75">
        <f>O32-O32/(1+Окружение!N13)</f>
        <v>0</v>
      </c>
      <c r="P33" s="75">
        <f>P32-P32/(1+Окружение!O13)</f>
        <v>153792</v>
      </c>
      <c r="Q33" s="75">
        <f>Q32-Q32/(1+Окружение!P13)</f>
        <v>0</v>
      </c>
      <c r="R33" s="75">
        <f>R32-R32/(1+Окружение!Q13)</f>
        <v>0</v>
      </c>
      <c r="S33" s="75">
        <f>S32-S32/(1+Окружение!R13)</f>
        <v>0</v>
      </c>
      <c r="T33" s="75">
        <f>T32-T32/(1+Окружение!S13)</f>
        <v>326654.20799999987</v>
      </c>
      <c r="U33" s="75">
        <f>U32-U32/(1+Окружение!T13)</f>
        <v>0</v>
      </c>
      <c r="V33" s="75">
        <f>V32-V32/(1+Окружение!U13)</f>
        <v>0</v>
      </c>
      <c r="W33" s="75">
        <f>W32-W32/(1+Окружение!V13)</f>
        <v>0</v>
      </c>
      <c r="X33" s="75">
        <f>X32-X32/(1+Окружение!W13)</f>
        <v>521830.09727999987</v>
      </c>
    </row>
    <row r="34" spans="1:24" x14ac:dyDescent="0.2">
      <c r="A34" s="9"/>
      <c r="B34" s="9"/>
      <c r="C34" s="9"/>
    </row>
    <row r="35" spans="1:24" x14ac:dyDescent="0.2">
      <c r="A35" s="25" t="s">
        <v>236</v>
      </c>
    </row>
    <row r="36" spans="1:24" x14ac:dyDescent="0.2">
      <c r="B36" s="9" t="s">
        <v>549</v>
      </c>
      <c r="C36" s="13"/>
      <c r="D36" s="14" t="s">
        <v>82</v>
      </c>
      <c r="E36" s="85">
        <f t="shared" ref="E36:X36" si="9">E13-E5</f>
        <v>0</v>
      </c>
      <c r="F36" s="85">
        <f t="shared" si="9"/>
        <v>0</v>
      </c>
      <c r="G36" s="85">
        <f t="shared" si="9"/>
        <v>0</v>
      </c>
      <c r="H36" s="85">
        <f t="shared" si="9"/>
        <v>0</v>
      </c>
      <c r="I36" s="85">
        <f t="shared" si="9"/>
        <v>0</v>
      </c>
      <c r="J36" s="85">
        <f t="shared" si="9"/>
        <v>0</v>
      </c>
      <c r="K36" s="85">
        <f t="shared" si="9"/>
        <v>0</v>
      </c>
      <c r="L36" s="85">
        <f t="shared" si="9"/>
        <v>0</v>
      </c>
      <c r="M36" s="85">
        <f t="shared" si="9"/>
        <v>0</v>
      </c>
      <c r="N36" s="85">
        <f t="shared" si="9"/>
        <v>0</v>
      </c>
      <c r="O36" s="85">
        <f t="shared" si="9"/>
        <v>0</v>
      </c>
      <c r="P36" s="85">
        <f t="shared" si="9"/>
        <v>0</v>
      </c>
      <c r="Q36" s="85">
        <f t="shared" si="9"/>
        <v>0</v>
      </c>
      <c r="R36" s="85">
        <f t="shared" si="9"/>
        <v>0</v>
      </c>
      <c r="S36" s="85">
        <f t="shared" si="9"/>
        <v>0</v>
      </c>
      <c r="T36" s="85">
        <f t="shared" si="9"/>
        <v>0</v>
      </c>
      <c r="U36" s="85">
        <f t="shared" si="9"/>
        <v>0</v>
      </c>
      <c r="V36" s="85">
        <f t="shared" si="9"/>
        <v>0</v>
      </c>
      <c r="W36" s="85">
        <f t="shared" si="9"/>
        <v>0</v>
      </c>
      <c r="X36" s="85">
        <f t="shared" si="9"/>
        <v>0</v>
      </c>
    </row>
    <row r="37" spans="1:24" ht="18" customHeight="1" x14ac:dyDescent="0.2">
      <c r="B37" s="9" t="s">
        <v>549</v>
      </c>
      <c r="C37" s="13"/>
      <c r="D37" s="14" t="s">
        <v>85</v>
      </c>
      <c r="E37" s="86">
        <f>(E36*Затраты!F75)/1000</f>
        <v>0</v>
      </c>
      <c r="F37" s="86">
        <f>(F36*Затраты!G75)/1000</f>
        <v>0</v>
      </c>
      <c r="G37" s="86">
        <f>(G36*Затраты!H75)/1000</f>
        <v>0</v>
      </c>
      <c r="H37" s="86">
        <f>(H36*Затраты!I75)/1000</f>
        <v>0</v>
      </c>
      <c r="I37" s="86">
        <f>(I36*Затраты!J75)/1000</f>
        <v>0</v>
      </c>
      <c r="J37" s="86">
        <f>(J36*Затраты!K75)/1000</f>
        <v>0</v>
      </c>
      <c r="K37" s="86">
        <f>(K36*Затраты!L75)/1000</f>
        <v>0</v>
      </c>
      <c r="L37" s="86">
        <f>(L36*Затраты!M75)/1000</f>
        <v>0</v>
      </c>
      <c r="M37" s="86">
        <f>(M36*Затраты!N75)/1000</f>
        <v>0</v>
      </c>
      <c r="N37" s="86">
        <f>(N36*Затраты!O75)/1000</f>
        <v>0</v>
      </c>
      <c r="O37" s="86">
        <f>(O36*Затраты!P75)/1000</f>
        <v>0</v>
      </c>
      <c r="P37" s="86">
        <f>(P36*Затраты!Q75)/1000</f>
        <v>0</v>
      </c>
      <c r="Q37" s="86">
        <f>(Q36*Затраты!R75)/1000</f>
        <v>0</v>
      </c>
      <c r="R37" s="86">
        <f>(R36*Затраты!S75)/1000</f>
        <v>0</v>
      </c>
      <c r="S37" s="86">
        <f>(S36*Затраты!T75)/1000</f>
        <v>0</v>
      </c>
      <c r="T37" s="86">
        <f>(T36*Затраты!U75)/1000</f>
        <v>0</v>
      </c>
      <c r="U37" s="86">
        <f>(U36*Затраты!V75)/1000</f>
        <v>0</v>
      </c>
      <c r="V37" s="86">
        <f>(V36*Затраты!W75)/1000</f>
        <v>0</v>
      </c>
      <c r="W37" s="86">
        <f>(W36*Затраты!X75)/1000</f>
        <v>0</v>
      </c>
      <c r="X37" s="86">
        <f>(X36*Затраты!Y75)/1000</f>
        <v>0</v>
      </c>
    </row>
    <row r="38" spans="1:24" x14ac:dyDescent="0.2">
      <c r="B38" s="10" t="s">
        <v>81</v>
      </c>
      <c r="C38" s="10"/>
      <c r="D38" s="14" t="s">
        <v>85</v>
      </c>
      <c r="E38" s="17">
        <f t="shared" ref="E38:X38" si="10">SUM(E37:E37)</f>
        <v>0</v>
      </c>
      <c r="F38" s="17">
        <f t="shared" si="10"/>
        <v>0</v>
      </c>
      <c r="G38" s="17">
        <f t="shared" si="10"/>
        <v>0</v>
      </c>
      <c r="H38" s="17">
        <f t="shared" si="10"/>
        <v>0</v>
      </c>
      <c r="I38" s="17">
        <f t="shared" si="10"/>
        <v>0</v>
      </c>
      <c r="J38" s="17">
        <f t="shared" si="10"/>
        <v>0</v>
      </c>
      <c r="K38" s="17">
        <f t="shared" si="10"/>
        <v>0</v>
      </c>
      <c r="L38" s="17">
        <f t="shared" si="10"/>
        <v>0</v>
      </c>
      <c r="M38" s="17">
        <f t="shared" si="10"/>
        <v>0</v>
      </c>
      <c r="N38" s="17">
        <f t="shared" si="10"/>
        <v>0</v>
      </c>
      <c r="O38" s="17">
        <f t="shared" si="10"/>
        <v>0</v>
      </c>
      <c r="P38" s="17">
        <f t="shared" si="10"/>
        <v>0</v>
      </c>
      <c r="Q38" s="17">
        <f t="shared" si="10"/>
        <v>0</v>
      </c>
      <c r="R38" s="17">
        <f t="shared" si="10"/>
        <v>0</v>
      </c>
      <c r="S38" s="17">
        <f t="shared" si="10"/>
        <v>0</v>
      </c>
      <c r="T38" s="17">
        <f t="shared" si="10"/>
        <v>0</v>
      </c>
      <c r="U38" s="17">
        <f t="shared" si="10"/>
        <v>0</v>
      </c>
      <c r="V38" s="17">
        <f t="shared" si="10"/>
        <v>0</v>
      </c>
      <c r="W38" s="17">
        <f t="shared" si="10"/>
        <v>0</v>
      </c>
      <c r="X38" s="17">
        <f t="shared" si="10"/>
        <v>0</v>
      </c>
    </row>
    <row r="39" spans="1:24" x14ac:dyDescent="0.2">
      <c r="E39" s="66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24" x14ac:dyDescent="0.2">
      <c r="A40" s="25" t="s">
        <v>278</v>
      </c>
      <c r="E40" s="66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1" spans="1:24" ht="28.5" customHeight="1" x14ac:dyDescent="0.2">
      <c r="C41" s="310" t="s">
        <v>550</v>
      </c>
      <c r="D41" s="310"/>
      <c r="E41" s="74">
        <v>0</v>
      </c>
      <c r="F41" s="78">
        <f>E41</f>
        <v>0</v>
      </c>
      <c r="G41" s="78">
        <f t="shared" ref="G41:X41" si="11">F41</f>
        <v>0</v>
      </c>
      <c r="H41" s="78">
        <f t="shared" si="11"/>
        <v>0</v>
      </c>
      <c r="I41" s="78">
        <v>0</v>
      </c>
      <c r="J41" s="78">
        <f t="shared" si="11"/>
        <v>0</v>
      </c>
      <c r="K41" s="78">
        <f t="shared" si="11"/>
        <v>0</v>
      </c>
      <c r="L41" s="78">
        <f t="shared" si="11"/>
        <v>0</v>
      </c>
      <c r="M41" s="78">
        <v>0</v>
      </c>
      <c r="N41" s="78">
        <f t="shared" si="11"/>
        <v>0</v>
      </c>
      <c r="O41" s="78">
        <f t="shared" si="11"/>
        <v>0</v>
      </c>
      <c r="P41" s="78">
        <f t="shared" si="11"/>
        <v>0</v>
      </c>
      <c r="Q41" s="78">
        <v>0</v>
      </c>
      <c r="R41" s="78">
        <f t="shared" si="11"/>
        <v>0</v>
      </c>
      <c r="S41" s="78">
        <f t="shared" si="11"/>
        <v>0</v>
      </c>
      <c r="T41" s="78">
        <f t="shared" si="11"/>
        <v>0</v>
      </c>
      <c r="U41" s="78">
        <f t="shared" si="11"/>
        <v>0</v>
      </c>
      <c r="V41" s="78">
        <f t="shared" si="11"/>
        <v>0</v>
      </c>
      <c r="W41" s="78">
        <f t="shared" si="11"/>
        <v>0</v>
      </c>
      <c r="X41" s="78">
        <f t="shared" si="11"/>
        <v>0</v>
      </c>
    </row>
    <row r="42" spans="1:24" x14ac:dyDescent="0.2">
      <c r="A42" s="25"/>
      <c r="B42" s="13"/>
      <c r="C42" s="13"/>
      <c r="D42" s="14"/>
      <c r="E42" s="66"/>
      <c r="F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24" x14ac:dyDescent="0.2">
      <c r="B43" s="284" t="s">
        <v>548</v>
      </c>
      <c r="C43" s="13"/>
      <c r="D43" s="14" t="s">
        <v>85</v>
      </c>
      <c r="E43" s="79">
        <f t="shared" ref="E43:X43" si="12">E31*E41</f>
        <v>0</v>
      </c>
      <c r="F43" s="79">
        <f t="shared" si="12"/>
        <v>0</v>
      </c>
      <c r="G43" s="79">
        <f t="shared" si="12"/>
        <v>0</v>
      </c>
      <c r="H43" s="79">
        <f t="shared" si="12"/>
        <v>0</v>
      </c>
      <c r="I43" s="79">
        <f t="shared" si="12"/>
        <v>0</v>
      </c>
      <c r="J43" s="79">
        <f t="shared" si="12"/>
        <v>0</v>
      </c>
      <c r="K43" s="79">
        <f t="shared" si="12"/>
        <v>0</v>
      </c>
      <c r="L43" s="79">
        <f t="shared" si="12"/>
        <v>0</v>
      </c>
      <c r="M43" s="79">
        <f t="shared" si="12"/>
        <v>0</v>
      </c>
      <c r="N43" s="79">
        <f t="shared" si="12"/>
        <v>0</v>
      </c>
      <c r="O43" s="79">
        <f t="shared" si="12"/>
        <v>0</v>
      </c>
      <c r="P43" s="79">
        <f t="shared" si="12"/>
        <v>0</v>
      </c>
      <c r="Q43" s="79">
        <f t="shared" si="12"/>
        <v>0</v>
      </c>
      <c r="R43" s="79">
        <f t="shared" si="12"/>
        <v>0</v>
      </c>
      <c r="S43" s="79">
        <f t="shared" si="12"/>
        <v>0</v>
      </c>
      <c r="T43" s="79">
        <f t="shared" si="12"/>
        <v>0</v>
      </c>
      <c r="U43" s="79">
        <f t="shared" si="12"/>
        <v>0</v>
      </c>
      <c r="V43" s="79">
        <f t="shared" si="12"/>
        <v>0</v>
      </c>
      <c r="W43" s="79">
        <f t="shared" si="12"/>
        <v>0</v>
      </c>
      <c r="X43" s="79">
        <f t="shared" si="12"/>
        <v>0</v>
      </c>
    </row>
    <row r="44" spans="1:24" x14ac:dyDescent="0.2">
      <c r="A44" s="84"/>
      <c r="B44" s="10" t="s">
        <v>81</v>
      </c>
      <c r="C44" s="10"/>
      <c r="D44" s="14" t="s">
        <v>85</v>
      </c>
      <c r="E44" s="113">
        <f t="shared" ref="E44:X44" si="13">SUM(E43:E43)</f>
        <v>0</v>
      </c>
      <c r="F44" s="113">
        <f t="shared" si="13"/>
        <v>0</v>
      </c>
      <c r="G44" s="113">
        <f t="shared" si="13"/>
        <v>0</v>
      </c>
      <c r="H44" s="113">
        <f t="shared" si="13"/>
        <v>0</v>
      </c>
      <c r="I44" s="113">
        <f t="shared" si="13"/>
        <v>0</v>
      </c>
      <c r="J44" s="113">
        <f t="shared" si="13"/>
        <v>0</v>
      </c>
      <c r="K44" s="113">
        <f t="shared" si="13"/>
        <v>0</v>
      </c>
      <c r="L44" s="113">
        <f t="shared" si="13"/>
        <v>0</v>
      </c>
      <c r="M44" s="113">
        <f t="shared" si="13"/>
        <v>0</v>
      </c>
      <c r="N44" s="113">
        <f t="shared" si="13"/>
        <v>0</v>
      </c>
      <c r="O44" s="113">
        <f t="shared" si="13"/>
        <v>0</v>
      </c>
      <c r="P44" s="113">
        <f t="shared" si="13"/>
        <v>0</v>
      </c>
      <c r="Q44" s="113">
        <f t="shared" si="13"/>
        <v>0</v>
      </c>
      <c r="R44" s="113">
        <f t="shared" si="13"/>
        <v>0</v>
      </c>
      <c r="S44" s="113">
        <f t="shared" si="13"/>
        <v>0</v>
      </c>
      <c r="T44" s="113">
        <f t="shared" si="13"/>
        <v>0</v>
      </c>
      <c r="U44" s="113">
        <f t="shared" si="13"/>
        <v>0</v>
      </c>
      <c r="V44" s="113">
        <f t="shared" si="13"/>
        <v>0</v>
      </c>
      <c r="W44" s="113">
        <f t="shared" si="13"/>
        <v>0</v>
      </c>
      <c r="X44" s="113">
        <f t="shared" si="13"/>
        <v>0</v>
      </c>
    </row>
    <row r="46" spans="1:24" x14ac:dyDescent="0.2">
      <c r="A46" s="25" t="s">
        <v>279</v>
      </c>
      <c r="E46" s="66"/>
      <c r="F46" s="48"/>
      <c r="G46" s="48"/>
      <c r="H46" s="48"/>
      <c r="I46" s="48"/>
      <c r="J46" s="48"/>
      <c r="K46" s="48"/>
      <c r="L46" s="48"/>
      <c r="M46" s="48"/>
      <c r="N46" s="48"/>
      <c r="O46" s="48"/>
    </row>
    <row r="47" spans="1:24" ht="26.25" customHeight="1" x14ac:dyDescent="0.2">
      <c r="A47" s="25"/>
      <c r="B47" s="352" t="s">
        <v>551</v>
      </c>
      <c r="C47" s="352"/>
      <c r="D47" s="14" t="s">
        <v>91</v>
      </c>
      <c r="E47" s="74">
        <v>0</v>
      </c>
      <c r="F47" s="78">
        <v>0</v>
      </c>
      <c r="G47" s="78">
        <v>0</v>
      </c>
      <c r="H47" s="78">
        <v>0</v>
      </c>
      <c r="I47" s="78">
        <v>0.3</v>
      </c>
      <c r="J47" s="78">
        <v>0</v>
      </c>
      <c r="K47" s="78">
        <v>0.5</v>
      </c>
      <c r="L47" s="78">
        <v>0.2</v>
      </c>
      <c r="M47" s="78">
        <v>0.3</v>
      </c>
      <c r="N47" s="78">
        <v>0</v>
      </c>
      <c r="O47" s="78">
        <v>0.5</v>
      </c>
      <c r="P47" s="78">
        <v>0.2</v>
      </c>
      <c r="Q47" s="78">
        <v>0.3</v>
      </c>
      <c r="R47" s="78">
        <v>0</v>
      </c>
      <c r="S47" s="78">
        <v>0.5</v>
      </c>
      <c r="T47" s="78">
        <v>0.2</v>
      </c>
      <c r="U47" s="78">
        <v>0.3</v>
      </c>
      <c r="V47" s="78">
        <v>0</v>
      </c>
      <c r="W47" s="78">
        <v>0.5</v>
      </c>
      <c r="X47" s="78">
        <v>0.2</v>
      </c>
    </row>
    <row r="48" spans="1:24" x14ac:dyDescent="0.2">
      <c r="A48" s="25"/>
      <c r="B48" s="13"/>
      <c r="C48" s="13"/>
      <c r="D48" s="14"/>
      <c r="E48" s="66"/>
      <c r="F48" s="48"/>
      <c r="G48" s="48"/>
      <c r="H48" s="48"/>
      <c r="I48" s="48"/>
      <c r="J48" s="48"/>
      <c r="K48" s="48"/>
      <c r="L48" s="48"/>
      <c r="M48" s="48"/>
      <c r="N48" s="48"/>
      <c r="O48" s="48"/>
    </row>
    <row r="49" spans="1:26" x14ac:dyDescent="0.2">
      <c r="B49" s="284" t="s">
        <v>548</v>
      </c>
      <c r="C49" s="13"/>
      <c r="D49" s="14" t="s">
        <v>85</v>
      </c>
      <c r="E49" s="289">
        <f>$E$31*E47</f>
        <v>0</v>
      </c>
      <c r="F49" s="289">
        <f>$E$31*F47</f>
        <v>0</v>
      </c>
      <c r="G49" s="289">
        <f>$E$31*G47</f>
        <v>0</v>
      </c>
      <c r="H49" s="289">
        <f>$E$31*H47</f>
        <v>0</v>
      </c>
      <c r="I49" s="290">
        <f>$L$31*I47</f>
        <v>283200</v>
      </c>
      <c r="J49" s="290">
        <f>$I$31*J47</f>
        <v>0</v>
      </c>
      <c r="K49" s="290">
        <f>$L$31*K47</f>
        <v>472000</v>
      </c>
      <c r="L49" s="290">
        <f>$L$31*L47</f>
        <v>188800</v>
      </c>
      <c r="M49" s="326">
        <f>$P$31*M47</f>
        <v>302457.59999999998</v>
      </c>
      <c r="N49" s="291">
        <f>$M$31*N47</f>
        <v>0</v>
      </c>
      <c r="O49" s="291">
        <f>$P$31*O47</f>
        <v>504096</v>
      </c>
      <c r="P49" s="291">
        <f>$P$31*P47</f>
        <v>201638.40000000002</v>
      </c>
      <c r="Q49" s="292">
        <f>$T$31*Q47</f>
        <v>642419.94240000006</v>
      </c>
      <c r="R49" s="292">
        <f>$Q$31*R47</f>
        <v>0</v>
      </c>
      <c r="S49" s="292">
        <f>$T$31*S47</f>
        <v>1070699.9040000001</v>
      </c>
      <c r="T49" s="292">
        <f>$T$31*T47</f>
        <v>428279.96160000004</v>
      </c>
      <c r="U49" s="293">
        <f>$X$31*U47</f>
        <v>1026265.8579839999</v>
      </c>
      <c r="V49" s="293">
        <f>$U$31*V47</f>
        <v>0</v>
      </c>
      <c r="W49" s="293">
        <f>$X$31*W47</f>
        <v>1710443.0966399999</v>
      </c>
      <c r="X49" s="293">
        <f>$X$31*X47</f>
        <v>684177.238656</v>
      </c>
    </row>
    <row r="50" spans="1:26" x14ac:dyDescent="0.2">
      <c r="A50" s="84"/>
      <c r="B50" s="10" t="s">
        <v>81</v>
      </c>
      <c r="C50" s="10"/>
      <c r="D50" s="14" t="s">
        <v>85</v>
      </c>
      <c r="E50" s="289">
        <f t="shared" ref="E50:X50" si="14">SUM(E49:E49)</f>
        <v>0</v>
      </c>
      <c r="F50" s="289">
        <f t="shared" si="14"/>
        <v>0</v>
      </c>
      <c r="G50" s="289">
        <f t="shared" si="14"/>
        <v>0</v>
      </c>
      <c r="H50" s="289">
        <f t="shared" si="14"/>
        <v>0</v>
      </c>
      <c r="I50" s="290">
        <f t="shared" si="14"/>
        <v>283200</v>
      </c>
      <c r="J50" s="290">
        <f t="shared" si="14"/>
        <v>0</v>
      </c>
      <c r="K50" s="290">
        <f t="shared" si="14"/>
        <v>472000</v>
      </c>
      <c r="L50" s="290">
        <f t="shared" si="14"/>
        <v>188800</v>
      </c>
      <c r="M50" s="326">
        <f t="shared" si="14"/>
        <v>302457.59999999998</v>
      </c>
      <c r="N50" s="291">
        <f t="shared" si="14"/>
        <v>0</v>
      </c>
      <c r="O50" s="291">
        <f t="shared" si="14"/>
        <v>504096</v>
      </c>
      <c r="P50" s="291">
        <f t="shared" si="14"/>
        <v>201638.40000000002</v>
      </c>
      <c r="Q50" s="292">
        <f t="shared" si="14"/>
        <v>642419.94240000006</v>
      </c>
      <c r="R50" s="292">
        <f t="shared" si="14"/>
        <v>0</v>
      </c>
      <c r="S50" s="292">
        <f t="shared" si="14"/>
        <v>1070699.9040000001</v>
      </c>
      <c r="T50" s="292">
        <f t="shared" si="14"/>
        <v>428279.96160000004</v>
      </c>
      <c r="U50" s="293">
        <f t="shared" si="14"/>
        <v>1026265.8579839999</v>
      </c>
      <c r="V50" s="293">
        <f t="shared" si="14"/>
        <v>0</v>
      </c>
      <c r="W50" s="293">
        <f t="shared" si="14"/>
        <v>1710443.0966399999</v>
      </c>
      <c r="X50" s="293">
        <f t="shared" si="14"/>
        <v>684177.238656</v>
      </c>
    </row>
    <row r="51" spans="1:26" x14ac:dyDescent="0.2">
      <c r="A51" s="9"/>
      <c r="B51" s="42" t="s">
        <v>103</v>
      </c>
      <c r="C51" s="42"/>
      <c r="D51" s="14" t="s">
        <v>85</v>
      </c>
      <c r="E51" s="75">
        <f>E50-E50/(1+Окружение!D13)</f>
        <v>0</v>
      </c>
      <c r="F51" s="75">
        <f>F50-F50/(1+Окружение!E13)</f>
        <v>0</v>
      </c>
      <c r="G51" s="75">
        <f>G50-G50/(1+Окружение!F13)</f>
        <v>0</v>
      </c>
      <c r="H51" s="75">
        <f>H50-H50/(1+Окружение!G13)</f>
        <v>0</v>
      </c>
      <c r="I51" s="75">
        <f>I50-I50/(1+Окружение!H13)</f>
        <v>43200</v>
      </c>
      <c r="J51" s="75">
        <f>J50-J50/(1+Окружение!I13)</f>
        <v>0</v>
      </c>
      <c r="K51" s="75">
        <f>K50-K50/(1+Окружение!J13)</f>
        <v>72000</v>
      </c>
      <c r="L51" s="75">
        <f>L50-L50/(1+Окружение!K13)</f>
        <v>28800</v>
      </c>
      <c r="M51" s="75">
        <f>M50-M50/(1+Окружение!L13)</f>
        <v>46137.599999999977</v>
      </c>
      <c r="N51" s="75">
        <f>N50-N50/(1+Окружение!M13)</f>
        <v>0</v>
      </c>
      <c r="O51" s="75">
        <f>O50-O50/(1+Окружение!N13)</f>
        <v>76896</v>
      </c>
      <c r="P51" s="75">
        <f>P50-P50/(1+Окружение!O13)</f>
        <v>30758.399999999994</v>
      </c>
      <c r="Q51" s="75">
        <f>Q50-Q50/(1+Окружение!P13)</f>
        <v>97996.262400000007</v>
      </c>
      <c r="R51" s="75">
        <f>R50-R50/(1+Окружение!Q13)</f>
        <v>0</v>
      </c>
      <c r="S51" s="75">
        <f>S50-S50/(1+Окружение!R13)</f>
        <v>163327.10399999993</v>
      </c>
      <c r="T51" s="75">
        <f>T50-T50/(1+Окружение!S13)</f>
        <v>65330.841599999985</v>
      </c>
      <c r="U51" s="75">
        <f>U50-U50/(1+Окружение!T13)</f>
        <v>156549.02918399998</v>
      </c>
      <c r="V51" s="75">
        <f>V50-V50/(1+Окружение!U13)</f>
        <v>0</v>
      </c>
      <c r="W51" s="75">
        <f>W50-W50/(1+Окружение!V13)</f>
        <v>260915.04863999994</v>
      </c>
      <c r="X51" s="75">
        <f>X50-X50/(1+Окружение!W13)</f>
        <v>104366.01945599995</v>
      </c>
    </row>
    <row r="52" spans="1:26" x14ac:dyDescent="0.2">
      <c r="A52" s="25" t="s">
        <v>290</v>
      </c>
      <c r="B52" s="1"/>
      <c r="C52" s="1"/>
      <c r="D52" s="77" t="s">
        <v>85</v>
      </c>
      <c r="E52" s="15">
        <f t="shared" ref="E52:X52" si="15">E33</f>
        <v>0</v>
      </c>
      <c r="F52" s="15">
        <f t="shared" si="15"/>
        <v>0</v>
      </c>
      <c r="G52" s="15">
        <f t="shared" si="15"/>
        <v>0</v>
      </c>
      <c r="H52" s="15">
        <f t="shared" si="15"/>
        <v>0</v>
      </c>
      <c r="I52" s="15">
        <f t="shared" si="15"/>
        <v>0</v>
      </c>
      <c r="J52" s="15">
        <f t="shared" si="15"/>
        <v>0</v>
      </c>
      <c r="K52" s="15">
        <f t="shared" si="15"/>
        <v>0</v>
      </c>
      <c r="L52" s="15">
        <f t="shared" si="15"/>
        <v>144000</v>
      </c>
      <c r="M52" s="15">
        <f t="shared" si="15"/>
        <v>0</v>
      </c>
      <c r="N52" s="15">
        <f t="shared" si="15"/>
        <v>0</v>
      </c>
      <c r="O52" s="15">
        <f t="shared" si="15"/>
        <v>0</v>
      </c>
      <c r="P52" s="15">
        <f t="shared" si="15"/>
        <v>153792</v>
      </c>
      <c r="Q52" s="15">
        <f t="shared" si="15"/>
        <v>0</v>
      </c>
      <c r="R52" s="15">
        <f t="shared" si="15"/>
        <v>0</v>
      </c>
      <c r="S52" s="15">
        <f t="shared" si="15"/>
        <v>0</v>
      </c>
      <c r="T52" s="15">
        <f t="shared" si="15"/>
        <v>326654.20799999987</v>
      </c>
      <c r="U52" s="15">
        <f t="shared" si="15"/>
        <v>0</v>
      </c>
      <c r="V52" s="15">
        <f t="shared" si="15"/>
        <v>0</v>
      </c>
      <c r="W52" s="15">
        <f t="shared" si="15"/>
        <v>0</v>
      </c>
      <c r="X52" s="15">
        <f t="shared" si="15"/>
        <v>521830.09727999987</v>
      </c>
      <c r="Y52" s="1"/>
      <c r="Z52" s="1"/>
    </row>
    <row r="53" spans="1:26" x14ac:dyDescent="0.2">
      <c r="A53" s="1"/>
      <c r="B53" s="1"/>
      <c r="C53" s="1"/>
      <c r="E53" s="5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5" spans="1:26" x14ac:dyDescent="0.2">
      <c r="G55" s="139"/>
    </row>
    <row r="60" spans="1:26" x14ac:dyDescent="0.2">
      <c r="M60" s="341"/>
    </row>
  </sheetData>
  <mergeCells count="1">
    <mergeCell ref="B47:C47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/>
  <rowBreaks count="1" manualBreakCount="1">
    <brk id="2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6"/>
  <sheetViews>
    <sheetView zoomScale="85" zoomScaleNormal="85" workbookViewId="0">
      <selection activeCell="A2" sqref="A2"/>
    </sheetView>
  </sheetViews>
  <sheetFormatPr defaultRowHeight="12.75" x14ac:dyDescent="0.2"/>
  <cols>
    <col min="1" max="1" width="37.42578125" style="152" customWidth="1"/>
    <col min="2" max="2" width="10" style="152" customWidth="1"/>
    <col min="3" max="7" width="11.85546875" style="152" customWidth="1"/>
    <col min="8" max="16384" width="9.140625" style="152"/>
  </cols>
  <sheetData>
    <row r="1" spans="1:7" x14ac:dyDescent="0.2">
      <c r="A1"/>
    </row>
    <row r="2" spans="1:7" x14ac:dyDescent="0.2">
      <c r="A2" s="239" t="s">
        <v>475</v>
      </c>
      <c r="B2" s="156" t="s">
        <v>79</v>
      </c>
      <c r="C2" s="195">
        <f>Окружение!D4</f>
        <v>2019</v>
      </c>
      <c r="D2" s="196">
        <f>C2+1</f>
        <v>2020</v>
      </c>
      <c r="E2" s="197">
        <f>D2+1</f>
        <v>2021</v>
      </c>
      <c r="F2" s="198">
        <f>E2+1</f>
        <v>2022</v>
      </c>
      <c r="G2" s="199">
        <f>F2+1</f>
        <v>2023</v>
      </c>
    </row>
    <row r="4" spans="1:7" x14ac:dyDescent="0.2">
      <c r="A4" s="25" t="s">
        <v>363</v>
      </c>
      <c r="B4" s="25"/>
      <c r="C4" s="25"/>
      <c r="D4" s="25"/>
      <c r="E4" s="25"/>
      <c r="F4" s="25"/>
      <c r="G4" s="25"/>
    </row>
    <row r="5" spans="1:7" x14ac:dyDescent="0.2">
      <c r="A5" s="189" t="s">
        <v>373</v>
      </c>
      <c r="B5" s="148"/>
      <c r="C5" s="218">
        <f>-'Прогнозные отчеты'!C66</f>
        <v>0</v>
      </c>
      <c r="D5" s="218">
        <f>-'Прогнозные отчеты'!D66</f>
        <v>0</v>
      </c>
      <c r="E5" s="218">
        <f>-'Прогнозные отчеты'!E66</f>
        <v>0</v>
      </c>
      <c r="F5" s="218">
        <f>-'Прогнозные отчеты'!F66</f>
        <v>0</v>
      </c>
      <c r="G5" s="218">
        <f>-'Прогнозные отчеты'!G66</f>
        <v>0</v>
      </c>
    </row>
    <row r="6" spans="1:7" x14ac:dyDescent="0.2">
      <c r="A6" s="189" t="s">
        <v>372</v>
      </c>
      <c r="B6" s="148"/>
      <c r="C6" s="219">
        <f>'Прогнозные отчеты'!C63</f>
        <v>-38337.467104635267</v>
      </c>
      <c r="D6" s="219">
        <f>'Прогнозные отчеты'!D63</f>
        <v>373844.29846714746</v>
      </c>
      <c r="E6" s="219">
        <f>'Прогнозные отчеты'!E63</f>
        <v>400613.22055831912</v>
      </c>
      <c r="F6" s="219">
        <f>'Прогнозные отчеты'!F63</f>
        <v>911161.97989085573</v>
      </c>
      <c r="G6" s="219">
        <f>'Прогнозные отчеты'!G63</f>
        <v>1487708.9089627622</v>
      </c>
    </row>
    <row r="7" spans="1:7" s="221" customFormat="1" x14ac:dyDescent="0.2">
      <c r="A7" s="149" t="s">
        <v>476</v>
      </c>
      <c r="B7" s="149"/>
      <c r="C7" s="240">
        <f>IF(C6=0,"-",1-C5/C6)</f>
        <v>1</v>
      </c>
      <c r="D7" s="240">
        <f>IF(D6=0,"-",1-D5/D6)</f>
        <v>1</v>
      </c>
      <c r="E7" s="240">
        <f>IF(E6=0,"-",1-E5/E6)</f>
        <v>1</v>
      </c>
      <c r="F7" s="240">
        <f>IF(F6=0,"-",1-F5/F6)</f>
        <v>1</v>
      </c>
      <c r="G7" s="240">
        <f>IF(G6=0,"-",1-G5/G6)</f>
        <v>1</v>
      </c>
    </row>
    <row r="9" spans="1:7" x14ac:dyDescent="0.2">
      <c r="A9" s="25" t="s">
        <v>364</v>
      </c>
      <c r="B9" s="25"/>
      <c r="C9" s="25"/>
      <c r="D9" s="25"/>
      <c r="E9" s="25"/>
      <c r="F9" s="25"/>
      <c r="G9" s="25"/>
    </row>
    <row r="10" spans="1:7" x14ac:dyDescent="0.2">
      <c r="A10" s="189" t="s">
        <v>214</v>
      </c>
      <c r="B10" s="148"/>
      <c r="C10" s="218">
        <f>'Прогнозные отчеты'!C74</f>
        <v>-38337.467104635267</v>
      </c>
      <c r="D10" s="218">
        <f>'Прогнозные отчеты'!D74</f>
        <v>296411.7214936855</v>
      </c>
      <c r="E10" s="218">
        <f>'Прогнозные отчеты'!E74</f>
        <v>317713.10188135086</v>
      </c>
      <c r="F10" s="218">
        <f>'Прогнозные отчеты'!F74</f>
        <v>726043.20290722733</v>
      </c>
      <c r="G10" s="218">
        <f>'Прогнозные отчеты'!G74</f>
        <v>1187159.505849224</v>
      </c>
    </row>
    <row r="11" spans="1:7" x14ac:dyDescent="0.2">
      <c r="A11" s="189" t="s">
        <v>27</v>
      </c>
      <c r="B11" s="148"/>
      <c r="C11" s="218">
        <f>'Прогнозные отчеты'!C70</f>
        <v>-38337.467104635267</v>
      </c>
      <c r="D11" s="218">
        <f>'Прогнозные отчеты'!D70</f>
        <v>373844.29846714746</v>
      </c>
      <c r="E11" s="218">
        <f>'Прогнозные отчеты'!E70</f>
        <v>400613.22055831912</v>
      </c>
      <c r="F11" s="218">
        <f>'Прогнозные отчеты'!F70</f>
        <v>911161.97989085573</v>
      </c>
      <c r="G11" s="218">
        <f>'Прогнозные отчеты'!G70</f>
        <v>1487708.9089627622</v>
      </c>
    </row>
    <row r="12" spans="1:7" s="221" customFormat="1" x14ac:dyDescent="0.2">
      <c r="A12" s="149" t="s">
        <v>365</v>
      </c>
      <c r="B12" s="149"/>
      <c r="C12" s="214">
        <f>IF(C11=0,"-",C10/C11)</f>
        <v>1</v>
      </c>
      <c r="D12" s="214">
        <f>IF(D11=0,"-",D10/D11)</f>
        <v>0.79287479495887903</v>
      </c>
      <c r="E12" s="214">
        <f>IF(E11=0,"-",E10/E11)</f>
        <v>0.79306694232049157</v>
      </c>
      <c r="F12" s="214">
        <f>IF(F11=0,"-",F10/F11)</f>
        <v>0.79683219771109959</v>
      </c>
      <c r="G12" s="214">
        <f>IF(G11=0,"-",G10/G11)</f>
        <v>0.79797835362625968</v>
      </c>
    </row>
    <row r="14" spans="1:7" x14ac:dyDescent="0.2">
      <c r="A14" s="25" t="s">
        <v>366</v>
      </c>
      <c r="B14" s="25"/>
      <c r="C14" s="25"/>
      <c r="D14" s="25"/>
      <c r="E14" s="25"/>
      <c r="F14" s="25"/>
      <c r="G14" s="25"/>
    </row>
    <row r="15" spans="1:7" x14ac:dyDescent="0.2">
      <c r="A15" s="189" t="s">
        <v>364</v>
      </c>
      <c r="B15" s="148"/>
      <c r="C15" s="230">
        <f>C12</f>
        <v>1</v>
      </c>
      <c r="D15" s="230">
        <f>D12</f>
        <v>0.79287479495887903</v>
      </c>
      <c r="E15" s="230">
        <f>E12</f>
        <v>0.79306694232049157</v>
      </c>
      <c r="F15" s="230">
        <f>F12</f>
        <v>0.79683219771109959</v>
      </c>
      <c r="G15" s="230">
        <f>G12</f>
        <v>0.79797835362625968</v>
      </c>
    </row>
    <row r="16" spans="1:7" s="221" customFormat="1" x14ac:dyDescent="0.2">
      <c r="A16" s="149" t="s">
        <v>366</v>
      </c>
      <c r="B16" s="149"/>
      <c r="C16" s="214">
        <f>IF(C15="-","-",1-C15)</f>
        <v>0</v>
      </c>
      <c r="D16" s="214">
        <f>IF(D15="-","-",1-D15)</f>
        <v>0.20712520504112097</v>
      </c>
      <c r="E16" s="214">
        <f>IF(E15="-","-",1-E15)</f>
        <v>0.20693305767950843</v>
      </c>
      <c r="F16" s="214">
        <f>IF(F15="-","-",1-F15)</f>
        <v>0.20316780228890041</v>
      </c>
      <c r="G16" s="214">
        <f>IF(G15="-","-",1-G15)</f>
        <v>0.20202164637374032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9"/>
  <sheetViews>
    <sheetView zoomScale="85" zoomScaleNormal="85" workbookViewId="0">
      <selection activeCell="E33" sqref="E33"/>
    </sheetView>
  </sheetViews>
  <sheetFormatPr defaultRowHeight="12.75" x14ac:dyDescent="0.2"/>
  <cols>
    <col min="1" max="1" width="2.85546875" style="140" customWidth="1"/>
    <col min="2" max="2" width="39" style="140" customWidth="1"/>
    <col min="3" max="3" width="30.7109375" style="140" customWidth="1"/>
    <col min="4" max="4" width="33.42578125" style="140" customWidth="1"/>
    <col min="5" max="5" width="41.140625" style="140" customWidth="1"/>
    <col min="6" max="6" width="22.85546875" style="140" customWidth="1"/>
    <col min="7" max="7" width="17" style="140" customWidth="1"/>
    <col min="8" max="16384" width="9.140625" style="140"/>
  </cols>
  <sheetData>
    <row r="1" spans="1:7" ht="18" x14ac:dyDescent="0.25">
      <c r="B1" s="282" t="s">
        <v>484</v>
      </c>
    </row>
    <row r="2" spans="1:7" x14ac:dyDescent="0.2">
      <c r="A2" s="11" t="s">
        <v>435</v>
      </c>
      <c r="B2" s="11"/>
      <c r="C2" s="11"/>
      <c r="D2" s="11"/>
      <c r="E2" s="11"/>
      <c r="F2" s="11"/>
      <c r="G2" s="11"/>
    </row>
    <row r="4" spans="1:7" x14ac:dyDescent="0.2">
      <c r="B4" s="241" t="s">
        <v>436</v>
      </c>
      <c r="C4" s="241"/>
      <c r="D4" s="354" t="s">
        <v>437</v>
      </c>
      <c r="E4" s="354" t="s">
        <v>438</v>
      </c>
    </row>
    <row r="5" spans="1:7" x14ac:dyDescent="0.2">
      <c r="B5" s="226" t="s">
        <v>439</v>
      </c>
      <c r="C5" s="226" t="s">
        <v>440</v>
      </c>
      <c r="D5" s="355"/>
      <c r="E5" s="355"/>
    </row>
    <row r="6" spans="1:7" x14ac:dyDescent="0.2">
      <c r="B6" s="223" t="s">
        <v>499</v>
      </c>
      <c r="C6" s="287"/>
      <c r="D6" s="287"/>
      <c r="E6" s="287"/>
    </row>
    <row r="7" spans="1:7" ht="38.25" x14ac:dyDescent="0.2">
      <c r="B7" s="223" t="s">
        <v>352</v>
      </c>
      <c r="C7" s="280" t="s">
        <v>34</v>
      </c>
      <c r="D7" s="280" t="s">
        <v>5</v>
      </c>
      <c r="E7" s="280" t="s">
        <v>35</v>
      </c>
    </row>
    <row r="8" spans="1:7" ht="25.5" x14ac:dyDescent="0.2">
      <c r="B8" s="223" t="s">
        <v>441</v>
      </c>
      <c r="C8" s="280" t="s">
        <v>0</v>
      </c>
      <c r="D8" s="280" t="s">
        <v>10</v>
      </c>
      <c r="E8" s="280" t="s">
        <v>14</v>
      </c>
    </row>
    <row r="9" spans="1:7" ht="25.5" x14ac:dyDescent="0.2">
      <c r="B9" s="223" t="s">
        <v>442</v>
      </c>
      <c r="C9" s="280" t="s">
        <v>36</v>
      </c>
      <c r="D9" s="280" t="s">
        <v>4</v>
      </c>
      <c r="E9" s="280" t="s">
        <v>37</v>
      </c>
    </row>
    <row r="10" spans="1:7" x14ac:dyDescent="0.2">
      <c r="B10" s="223" t="s">
        <v>353</v>
      </c>
      <c r="C10" s="280" t="s">
        <v>38</v>
      </c>
      <c r="D10" s="280" t="s">
        <v>6</v>
      </c>
      <c r="E10" s="280" t="s">
        <v>39</v>
      </c>
    </row>
    <row r="11" spans="1:7" ht="38.25" x14ac:dyDescent="0.2">
      <c r="B11" s="223" t="s">
        <v>354</v>
      </c>
      <c r="C11" s="280" t="s">
        <v>40</v>
      </c>
      <c r="D11" s="280" t="s">
        <v>7</v>
      </c>
      <c r="E11" s="280" t="s">
        <v>15</v>
      </c>
    </row>
    <row r="12" spans="1:7" ht="25.5" x14ac:dyDescent="0.2">
      <c r="B12" s="223" t="s">
        <v>443</v>
      </c>
      <c r="C12" s="280" t="s">
        <v>41</v>
      </c>
      <c r="D12" s="280" t="s">
        <v>8</v>
      </c>
      <c r="E12" s="280" t="s">
        <v>42</v>
      </c>
    </row>
    <row r="13" spans="1:7" ht="38.25" x14ac:dyDescent="0.2">
      <c r="B13" s="223" t="s">
        <v>355</v>
      </c>
      <c r="C13" s="280" t="s">
        <v>1</v>
      </c>
      <c r="D13" s="280" t="s">
        <v>9</v>
      </c>
      <c r="E13" s="280" t="s">
        <v>43</v>
      </c>
    </row>
    <row r="14" spans="1:7" ht="51" x14ac:dyDescent="0.2">
      <c r="B14" s="223" t="s">
        <v>444</v>
      </c>
      <c r="C14" s="280" t="s">
        <v>2</v>
      </c>
      <c r="D14" s="280" t="s">
        <v>10</v>
      </c>
      <c r="E14" s="280" t="s">
        <v>17</v>
      </c>
    </row>
    <row r="15" spans="1:7" ht="25.5" x14ac:dyDescent="0.2">
      <c r="B15" s="223" t="s">
        <v>356</v>
      </c>
      <c r="C15" s="280" t="s">
        <v>11</v>
      </c>
      <c r="D15" s="280" t="s">
        <v>12</v>
      </c>
      <c r="E15" s="280" t="s">
        <v>16</v>
      </c>
    </row>
    <row r="16" spans="1:7" ht="38.25" x14ac:dyDescent="0.2">
      <c r="B16" s="223" t="s">
        <v>445</v>
      </c>
      <c r="C16" s="280" t="s">
        <v>3</v>
      </c>
      <c r="D16" s="280" t="s">
        <v>13</v>
      </c>
      <c r="E16" s="280" t="s">
        <v>18</v>
      </c>
    </row>
    <row r="17" spans="1:7" x14ac:dyDescent="0.2">
      <c r="B17" s="144"/>
      <c r="C17" s="144"/>
      <c r="D17" s="144"/>
      <c r="E17" s="144"/>
    </row>
    <row r="18" spans="1:7" x14ac:dyDescent="0.2">
      <c r="B18" s="144"/>
      <c r="C18" s="144"/>
      <c r="D18" s="144"/>
      <c r="E18" s="144"/>
    </row>
    <row r="19" spans="1:7" x14ac:dyDescent="0.2">
      <c r="B19" s="144"/>
      <c r="C19" s="144"/>
      <c r="D19" s="144"/>
      <c r="E19" s="144"/>
    </row>
    <row r="20" spans="1:7" x14ac:dyDescent="0.2">
      <c r="A20" s="11" t="s">
        <v>446</v>
      </c>
      <c r="B20" s="11"/>
      <c r="C20" s="11"/>
      <c r="D20" s="11"/>
      <c r="E20" s="11"/>
      <c r="F20" s="11"/>
      <c r="G20" s="11"/>
    </row>
    <row r="22" spans="1:7" x14ac:dyDescent="0.2">
      <c r="B22" s="140" t="s">
        <v>345</v>
      </c>
      <c r="C22" s="286">
        <v>382286.31671761244</v>
      </c>
      <c r="D22" s="225" t="s">
        <v>85</v>
      </c>
    </row>
    <row r="24" spans="1:7" x14ac:dyDescent="0.2">
      <c r="B24" s="226" t="s">
        <v>346</v>
      </c>
      <c r="C24" s="226" t="s">
        <v>347</v>
      </c>
      <c r="D24" s="226" t="s">
        <v>406</v>
      </c>
      <c r="E24" s="226" t="s">
        <v>348</v>
      </c>
      <c r="F24" s="226" t="s">
        <v>351</v>
      </c>
      <c r="G24" s="226" t="s">
        <v>349</v>
      </c>
    </row>
    <row r="25" spans="1:7" x14ac:dyDescent="0.2">
      <c r="B25" s="224">
        <v>1</v>
      </c>
      <c r="C25" s="224">
        <v>2</v>
      </c>
      <c r="D25" s="224">
        <v>3</v>
      </c>
      <c r="E25" s="224">
        <v>4</v>
      </c>
      <c r="F25" s="224" t="s">
        <v>350</v>
      </c>
      <c r="G25" s="224">
        <v>6</v>
      </c>
    </row>
    <row r="26" spans="1:7" x14ac:dyDescent="0.2">
      <c r="B26" s="140" t="s">
        <v>45</v>
      </c>
      <c r="C26" s="243">
        <v>0.1</v>
      </c>
      <c r="D26" s="285">
        <v>331220</v>
      </c>
      <c r="E26" s="227">
        <f>IF($C$22=0,0,(D26-$C$22)/$C$22)</f>
        <v>-0.1335813354662499</v>
      </c>
      <c r="F26" s="228">
        <f>IF(C26=0,0,E26/C26)</f>
        <v>-1.3358133546624988</v>
      </c>
      <c r="G26" s="285">
        <v>3</v>
      </c>
    </row>
    <row r="27" spans="1:7" x14ac:dyDescent="0.2">
      <c r="B27" s="229" t="s">
        <v>80</v>
      </c>
      <c r="C27" s="243">
        <v>0.1</v>
      </c>
      <c r="D27" s="285">
        <v>328117</v>
      </c>
      <c r="E27" s="227">
        <f>IF($C$22=0,0,(D27-$C$22)/$C$22)</f>
        <v>-0.14169828829533093</v>
      </c>
      <c r="F27" s="228">
        <f>IF(C27=0,0,E27/C27)</f>
        <v>-1.4169828829533093</v>
      </c>
      <c r="G27" s="285">
        <v>2</v>
      </c>
    </row>
    <row r="28" spans="1:7" x14ac:dyDescent="0.2">
      <c r="B28" s="229" t="s">
        <v>44</v>
      </c>
      <c r="C28" s="243">
        <v>0.1</v>
      </c>
      <c r="D28" s="285">
        <v>372567</v>
      </c>
      <c r="E28" s="227">
        <f>IF($C$22=0,0,(D28-$C$22)/$C$22)</f>
        <v>-2.5424181542945241E-2</v>
      </c>
      <c r="F28" s="228">
        <f>IF(C28=0,0,E28/C28)</f>
        <v>-0.2542418154294524</v>
      </c>
      <c r="G28" s="285">
        <v>5</v>
      </c>
    </row>
    <row r="29" spans="1:7" ht="25.5" x14ac:dyDescent="0.2">
      <c r="B29" s="229" t="s">
        <v>498</v>
      </c>
      <c r="C29" s="243">
        <v>0.1</v>
      </c>
      <c r="D29" s="285">
        <v>359819</v>
      </c>
      <c r="E29" s="227">
        <f>IF($C$22=0,0,(D29-$C$22)/$C$22)</f>
        <v>-5.8770915241019774E-2</v>
      </c>
      <c r="F29" s="228">
        <f>IF(C29=0,0,E29/C29)</f>
        <v>-0.58770915241019772</v>
      </c>
      <c r="G29" s="285">
        <v>4</v>
      </c>
    </row>
  </sheetData>
  <mergeCells count="2">
    <mergeCell ref="D4:D5"/>
    <mergeCell ref="E4:E5"/>
  </mergeCells>
  <hyperlinks>
    <hyperlink ref="B1" r:id="rId1"/>
  </hyperlinks>
  <pageMargins left="0.70866141732283472" right="0.70866141732283472" top="0.33" bottom="0.33" header="0.31496062992125984" footer="0.31496062992125984"/>
  <pageSetup paperSize="9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O1" sqref="O1"/>
    </sheetView>
  </sheetViews>
  <sheetFormatPr defaultColWidth="8.85546875" defaultRowHeight="12.75" x14ac:dyDescent="0.2"/>
  <sheetData>
    <row r="1" spans="1:16" ht="18" x14ac:dyDescent="0.25">
      <c r="A1" s="265">
        <v>9000</v>
      </c>
      <c r="B1" s="265">
        <v>10500</v>
      </c>
      <c r="C1" s="265">
        <v>13500</v>
      </c>
      <c r="D1" s="265">
        <v>17000</v>
      </c>
      <c r="E1" s="265">
        <v>21000</v>
      </c>
      <c r="F1" s="265">
        <v>24000</v>
      </c>
      <c r="G1" s="265">
        <v>30000</v>
      </c>
      <c r="H1" s="265">
        <v>33500</v>
      </c>
      <c r="I1" s="265">
        <v>40500</v>
      </c>
      <c r="J1" s="265">
        <v>45000</v>
      </c>
      <c r="K1" s="265">
        <v>49000</v>
      </c>
      <c r="L1" s="265">
        <v>57000</v>
      </c>
      <c r="M1" s="265">
        <v>60000</v>
      </c>
      <c r="O1" s="282" t="s">
        <v>484</v>
      </c>
    </row>
    <row r="2" spans="1:16" x14ac:dyDescent="0.2">
      <c r="A2" s="265">
        <v>3000</v>
      </c>
      <c r="B2" s="265">
        <v>5000</v>
      </c>
      <c r="C2" s="265">
        <v>6500</v>
      </c>
      <c r="D2" s="265">
        <v>8000</v>
      </c>
      <c r="E2" s="265">
        <v>8500</v>
      </c>
      <c r="F2" s="265">
        <v>9000</v>
      </c>
      <c r="G2" s="265">
        <v>11000</v>
      </c>
      <c r="H2" s="265">
        <v>13000</v>
      </c>
      <c r="I2" s="265">
        <v>17000</v>
      </c>
      <c r="J2" s="265">
        <v>20000</v>
      </c>
      <c r="K2" s="265">
        <v>24000</v>
      </c>
      <c r="L2" s="265">
        <v>28000</v>
      </c>
      <c r="M2" s="265">
        <v>30000</v>
      </c>
    </row>
    <row r="3" spans="1:16" x14ac:dyDescent="0.2">
      <c r="A3" s="265">
        <v>0</v>
      </c>
      <c r="B3" s="265">
        <v>0</v>
      </c>
      <c r="C3" s="265">
        <v>0</v>
      </c>
      <c r="D3" s="265">
        <v>500</v>
      </c>
      <c r="E3" s="265">
        <v>1000</v>
      </c>
      <c r="F3" s="265">
        <v>1500</v>
      </c>
      <c r="G3" s="265">
        <v>3000</v>
      </c>
      <c r="H3" s="265">
        <v>3500</v>
      </c>
      <c r="I3" s="265">
        <v>5000</v>
      </c>
      <c r="J3" s="265">
        <v>5500</v>
      </c>
      <c r="K3" s="265">
        <v>6500</v>
      </c>
      <c r="L3" s="265">
        <v>9000</v>
      </c>
      <c r="M3" s="265">
        <v>10000</v>
      </c>
    </row>
    <row r="4" spans="1:16" x14ac:dyDescent="0.2">
      <c r="A4" s="3" t="s">
        <v>60</v>
      </c>
      <c r="B4" s="3" t="s">
        <v>61</v>
      </c>
      <c r="C4" s="4" t="s">
        <v>63</v>
      </c>
      <c r="D4" s="4" t="s">
        <v>65</v>
      </c>
      <c r="E4" s="5" t="s">
        <v>66</v>
      </c>
      <c r="F4" s="5" t="s">
        <v>67</v>
      </c>
      <c r="G4" s="5" t="s">
        <v>69</v>
      </c>
      <c r="H4" s="6" t="s">
        <v>70</v>
      </c>
      <c r="I4" s="6" t="s">
        <v>72</v>
      </c>
      <c r="J4" s="6" t="s">
        <v>73</v>
      </c>
      <c r="K4" s="7" t="s">
        <v>74</v>
      </c>
      <c r="L4" s="7" t="s">
        <v>76</v>
      </c>
      <c r="M4" s="7" t="s">
        <v>77</v>
      </c>
    </row>
    <row r="6" spans="1:16" x14ac:dyDescent="0.2">
      <c r="A6">
        <v>9000</v>
      </c>
      <c r="B6">
        <v>10500</v>
      </c>
      <c r="C6">
        <v>13500</v>
      </c>
      <c r="D6">
        <v>17000</v>
      </c>
      <c r="E6">
        <v>21000</v>
      </c>
      <c r="F6">
        <v>24000</v>
      </c>
      <c r="G6">
        <v>30000</v>
      </c>
      <c r="H6">
        <v>33500</v>
      </c>
      <c r="I6">
        <v>40500</v>
      </c>
      <c r="J6">
        <v>45000</v>
      </c>
      <c r="K6">
        <v>49000</v>
      </c>
      <c r="L6">
        <v>57000</v>
      </c>
      <c r="M6">
        <v>60000</v>
      </c>
    </row>
    <row r="7" spans="1:16" x14ac:dyDescent="0.2">
      <c r="A7">
        <v>3000</v>
      </c>
      <c r="B7">
        <v>5000</v>
      </c>
      <c r="C7">
        <v>6500</v>
      </c>
      <c r="D7">
        <v>8000</v>
      </c>
      <c r="E7">
        <v>8500</v>
      </c>
      <c r="F7">
        <v>9000</v>
      </c>
      <c r="G7">
        <v>11000</v>
      </c>
      <c r="H7">
        <v>13000</v>
      </c>
      <c r="I7">
        <v>17000</v>
      </c>
      <c r="J7">
        <v>20000</v>
      </c>
      <c r="K7">
        <v>24000</v>
      </c>
      <c r="L7">
        <v>28000</v>
      </c>
      <c r="M7">
        <v>30000</v>
      </c>
    </row>
    <row r="8" spans="1:16" x14ac:dyDescent="0.2">
      <c r="A8">
        <v>0</v>
      </c>
      <c r="B8">
        <v>0</v>
      </c>
      <c r="C8">
        <v>0</v>
      </c>
      <c r="D8">
        <v>500</v>
      </c>
      <c r="E8">
        <v>1000</v>
      </c>
      <c r="F8">
        <v>1500</v>
      </c>
      <c r="G8">
        <v>3000</v>
      </c>
      <c r="H8">
        <v>3500</v>
      </c>
      <c r="I8">
        <v>5000</v>
      </c>
      <c r="J8">
        <v>5500</v>
      </c>
      <c r="K8">
        <v>6500</v>
      </c>
      <c r="L8">
        <v>9000</v>
      </c>
      <c r="M8">
        <v>10000</v>
      </c>
    </row>
    <row r="12" spans="1:16" x14ac:dyDescent="0.2">
      <c r="A12">
        <v>2</v>
      </c>
      <c r="B12">
        <v>3</v>
      </c>
      <c r="C12">
        <v>4</v>
      </c>
      <c r="D12">
        <v>6</v>
      </c>
      <c r="E12">
        <v>7</v>
      </c>
      <c r="F12">
        <v>8</v>
      </c>
      <c r="G12">
        <v>9</v>
      </c>
      <c r="H12">
        <v>10</v>
      </c>
      <c r="I12">
        <v>12</v>
      </c>
      <c r="J12">
        <v>13</v>
      </c>
      <c r="K12">
        <v>14</v>
      </c>
      <c r="L12">
        <v>15</v>
      </c>
      <c r="M12">
        <v>16</v>
      </c>
      <c r="N12">
        <v>17</v>
      </c>
      <c r="O12">
        <v>19</v>
      </c>
      <c r="P12">
        <v>20</v>
      </c>
    </row>
    <row r="13" spans="1:16" x14ac:dyDescent="0.2">
      <c r="A13" s="265">
        <v>35000</v>
      </c>
      <c r="B13" s="265">
        <v>35000</v>
      </c>
      <c r="C13" s="265">
        <v>40000</v>
      </c>
      <c r="D13" s="265">
        <v>70000</v>
      </c>
      <c r="E13" s="265">
        <v>80000</v>
      </c>
      <c r="F13" s="265">
        <v>90000</v>
      </c>
      <c r="G13" s="265">
        <v>100000</v>
      </c>
      <c r="H13" s="265">
        <v>105000</v>
      </c>
      <c r="I13" s="265">
        <v>120000</v>
      </c>
      <c r="J13" s="265">
        <v>130000</v>
      </c>
      <c r="K13" s="265">
        <v>135000</v>
      </c>
      <c r="L13" s="265">
        <v>140000</v>
      </c>
      <c r="M13" s="265">
        <v>150000</v>
      </c>
      <c r="N13" s="265">
        <v>155000</v>
      </c>
      <c r="O13" s="265">
        <v>165000</v>
      </c>
      <c r="P13" s="265">
        <v>180000</v>
      </c>
    </row>
    <row r="14" spans="1:16" x14ac:dyDescent="0.2">
      <c r="A14" s="265">
        <v>20000</v>
      </c>
      <c r="B14" s="265">
        <v>20000</v>
      </c>
      <c r="C14" s="265">
        <v>25000</v>
      </c>
      <c r="D14" s="265">
        <v>40000</v>
      </c>
      <c r="E14" s="265">
        <v>80000</v>
      </c>
      <c r="F14" s="265">
        <v>100000</v>
      </c>
      <c r="G14" s="265">
        <v>130000</v>
      </c>
      <c r="H14" s="265">
        <v>150000</v>
      </c>
      <c r="I14" s="265">
        <v>160000</v>
      </c>
      <c r="J14" s="265">
        <v>170000</v>
      </c>
      <c r="K14" s="265">
        <v>180000</v>
      </c>
      <c r="L14" s="265">
        <v>190000</v>
      </c>
      <c r="M14" s="265">
        <v>210000</v>
      </c>
      <c r="N14" s="265">
        <v>220000</v>
      </c>
      <c r="O14" s="265">
        <v>260000</v>
      </c>
      <c r="P14" s="265">
        <v>270000</v>
      </c>
    </row>
    <row r="15" spans="1:16" x14ac:dyDescent="0.2">
      <c r="A15" s="265">
        <v>0</v>
      </c>
      <c r="B15" s="265">
        <v>0</v>
      </c>
      <c r="C15" s="265">
        <v>0</v>
      </c>
      <c r="D15" s="265">
        <v>0</v>
      </c>
      <c r="E15" s="265">
        <v>10000</v>
      </c>
      <c r="F15" s="265">
        <v>20000</v>
      </c>
      <c r="G15" s="265">
        <v>25000</v>
      </c>
      <c r="H15" s="265">
        <v>30000</v>
      </c>
      <c r="I15" s="265">
        <v>60000</v>
      </c>
      <c r="J15" s="265">
        <v>65000</v>
      </c>
      <c r="K15" s="265">
        <v>70000</v>
      </c>
      <c r="L15" s="265">
        <v>75000</v>
      </c>
      <c r="M15" s="265">
        <v>85000</v>
      </c>
      <c r="N15" s="265">
        <v>90000</v>
      </c>
      <c r="O15" s="265">
        <v>100000</v>
      </c>
      <c r="P15" s="265">
        <v>110000</v>
      </c>
    </row>
    <row r="20" spans="4:19" x14ac:dyDescent="0.2">
      <c r="D20">
        <v>35000</v>
      </c>
      <c r="E20">
        <v>35000</v>
      </c>
      <c r="F20">
        <v>40000</v>
      </c>
      <c r="G20">
        <v>70000</v>
      </c>
      <c r="H20">
        <v>80000</v>
      </c>
      <c r="I20">
        <v>90000</v>
      </c>
      <c r="J20">
        <v>100000</v>
      </c>
      <c r="K20">
        <v>105000</v>
      </c>
      <c r="L20">
        <v>120000</v>
      </c>
      <c r="M20">
        <v>130000</v>
      </c>
      <c r="N20">
        <v>135000</v>
      </c>
      <c r="O20">
        <v>140000</v>
      </c>
      <c r="P20">
        <v>150000</v>
      </c>
      <c r="Q20">
        <v>155000</v>
      </c>
      <c r="R20">
        <v>165000</v>
      </c>
      <c r="S20">
        <v>180000</v>
      </c>
    </row>
    <row r="21" spans="4:19" x14ac:dyDescent="0.2">
      <c r="D21">
        <v>20000</v>
      </c>
      <c r="E21">
        <v>20000</v>
      </c>
      <c r="F21">
        <v>25000</v>
      </c>
      <c r="G21">
        <v>40000</v>
      </c>
      <c r="H21">
        <v>80000</v>
      </c>
      <c r="I21">
        <v>100000</v>
      </c>
      <c r="J21">
        <v>130000</v>
      </c>
      <c r="K21">
        <v>150000</v>
      </c>
      <c r="L21">
        <v>160000</v>
      </c>
      <c r="M21">
        <v>170000</v>
      </c>
      <c r="N21">
        <v>180000</v>
      </c>
      <c r="O21">
        <v>190000</v>
      </c>
      <c r="P21">
        <v>210000</v>
      </c>
      <c r="Q21">
        <v>220000</v>
      </c>
      <c r="R21">
        <v>260000</v>
      </c>
      <c r="S21">
        <v>270000</v>
      </c>
    </row>
    <row r="22" spans="4:19" x14ac:dyDescent="0.2">
      <c r="D22">
        <v>0</v>
      </c>
      <c r="E22">
        <v>0</v>
      </c>
      <c r="F22">
        <v>0</v>
      </c>
      <c r="G22">
        <v>0</v>
      </c>
      <c r="H22">
        <v>10000</v>
      </c>
      <c r="I22">
        <v>20000</v>
      </c>
      <c r="J22">
        <v>25000</v>
      </c>
      <c r="K22">
        <v>30000</v>
      </c>
      <c r="L22">
        <v>60000</v>
      </c>
      <c r="M22">
        <v>65000</v>
      </c>
      <c r="N22">
        <v>70000</v>
      </c>
      <c r="O22">
        <v>75000</v>
      </c>
      <c r="P22">
        <v>85000</v>
      </c>
      <c r="Q22">
        <v>90000</v>
      </c>
      <c r="R22">
        <v>100000</v>
      </c>
      <c r="S22">
        <v>110000</v>
      </c>
    </row>
    <row r="28" spans="4:19" x14ac:dyDescent="0.2">
      <c r="I28" s="16">
        <v>1300</v>
      </c>
      <c r="J28">
        <f>I28*0.9</f>
        <v>1170</v>
      </c>
    </row>
    <row r="29" spans="4:19" x14ac:dyDescent="0.2">
      <c r="I29" s="16">
        <v>1600</v>
      </c>
    </row>
    <row r="30" spans="4:19" x14ac:dyDescent="0.2">
      <c r="I30" s="106">
        <v>2200</v>
      </c>
    </row>
    <row r="33" spans="1:20" x14ac:dyDescent="0.2">
      <c r="A33" s="265">
        <v>1000</v>
      </c>
      <c r="B33" s="265">
        <v>5000</v>
      </c>
      <c r="C33" s="265">
        <v>9000</v>
      </c>
      <c r="D33" s="265">
        <v>13500</v>
      </c>
      <c r="E33" s="265">
        <v>15000</v>
      </c>
      <c r="F33" s="265">
        <v>17000</v>
      </c>
      <c r="G33" s="265">
        <v>21000</v>
      </c>
      <c r="H33" s="265">
        <v>24000</v>
      </c>
      <c r="I33" s="265">
        <v>28500</v>
      </c>
      <c r="J33" s="265">
        <v>33500</v>
      </c>
      <c r="K33" s="265">
        <v>37000</v>
      </c>
      <c r="L33" s="265">
        <v>40500</v>
      </c>
      <c r="M33" s="265">
        <v>45000</v>
      </c>
      <c r="N33" s="265">
        <v>49000</v>
      </c>
      <c r="O33" s="265">
        <v>57000</v>
      </c>
      <c r="P33" s="265">
        <v>60000</v>
      </c>
      <c r="Q33" s="265">
        <v>45000</v>
      </c>
      <c r="R33" s="265">
        <v>49000</v>
      </c>
      <c r="S33" s="265">
        <v>57000</v>
      </c>
      <c r="T33" s="265">
        <v>60000</v>
      </c>
    </row>
    <row r="34" spans="1:20" x14ac:dyDescent="0.2">
      <c r="A34" s="265">
        <v>1000</v>
      </c>
      <c r="B34" s="265">
        <v>2000</v>
      </c>
      <c r="C34" s="265">
        <v>4000</v>
      </c>
      <c r="D34" s="265">
        <v>6500</v>
      </c>
      <c r="E34" s="265">
        <v>7000</v>
      </c>
      <c r="F34" s="265">
        <v>8000</v>
      </c>
      <c r="G34" s="265">
        <v>8500</v>
      </c>
      <c r="H34" s="265">
        <v>9000</v>
      </c>
      <c r="I34" s="265">
        <v>11000</v>
      </c>
      <c r="J34" s="265">
        <v>13000</v>
      </c>
      <c r="K34" s="265">
        <v>15000</v>
      </c>
      <c r="L34" s="265">
        <v>17000</v>
      </c>
      <c r="M34" s="265">
        <v>20000</v>
      </c>
      <c r="N34" s="265">
        <v>24000</v>
      </c>
      <c r="O34" s="265">
        <v>28000</v>
      </c>
      <c r="P34" s="265">
        <v>30000</v>
      </c>
      <c r="Q34" s="265">
        <v>20000</v>
      </c>
      <c r="R34" s="265">
        <v>24000</v>
      </c>
      <c r="S34" s="265">
        <v>28000</v>
      </c>
      <c r="T34" s="265">
        <v>30000</v>
      </c>
    </row>
    <row r="35" spans="1:20" x14ac:dyDescent="0.2">
      <c r="A35" s="265">
        <v>0</v>
      </c>
      <c r="B35" s="265">
        <v>0</v>
      </c>
      <c r="C35" s="265">
        <v>0</v>
      </c>
      <c r="D35" s="265">
        <v>0</v>
      </c>
      <c r="E35" s="265">
        <v>500</v>
      </c>
      <c r="F35" s="265">
        <v>500</v>
      </c>
      <c r="G35" s="265">
        <v>1000</v>
      </c>
      <c r="H35" s="265">
        <v>1500</v>
      </c>
      <c r="I35" s="265">
        <v>3000</v>
      </c>
      <c r="J35" s="265">
        <v>3500</v>
      </c>
      <c r="K35" s="265">
        <v>4000</v>
      </c>
      <c r="L35" s="265">
        <v>5000</v>
      </c>
      <c r="M35" s="265">
        <v>5500</v>
      </c>
      <c r="N35" s="265">
        <v>6500</v>
      </c>
      <c r="O35" s="265">
        <v>9000</v>
      </c>
      <c r="P35" s="265">
        <v>10000</v>
      </c>
      <c r="Q35" s="265">
        <v>5500</v>
      </c>
      <c r="R35" s="265">
        <v>6500</v>
      </c>
      <c r="S35" s="265">
        <v>9000</v>
      </c>
      <c r="T35" s="265">
        <v>10000</v>
      </c>
    </row>
    <row r="37" spans="1:20" x14ac:dyDescent="0.2">
      <c r="A37">
        <f>A33*0.9</f>
        <v>900</v>
      </c>
      <c r="B37">
        <f t="shared" ref="B37:T37" si="0">B33*0.9</f>
        <v>4500</v>
      </c>
      <c r="C37">
        <f t="shared" si="0"/>
        <v>8100</v>
      </c>
      <c r="D37">
        <f t="shared" si="0"/>
        <v>12150</v>
      </c>
      <c r="E37">
        <f t="shared" si="0"/>
        <v>13500</v>
      </c>
      <c r="F37">
        <f t="shared" si="0"/>
        <v>15300</v>
      </c>
      <c r="G37">
        <f t="shared" si="0"/>
        <v>18900</v>
      </c>
      <c r="H37">
        <f t="shared" si="0"/>
        <v>21600</v>
      </c>
      <c r="I37">
        <f t="shared" si="0"/>
        <v>25650</v>
      </c>
      <c r="J37">
        <f t="shared" si="0"/>
        <v>30150</v>
      </c>
      <c r="K37">
        <f t="shared" si="0"/>
        <v>33300</v>
      </c>
      <c r="L37">
        <f t="shared" si="0"/>
        <v>36450</v>
      </c>
      <c r="M37">
        <f t="shared" si="0"/>
        <v>40500</v>
      </c>
      <c r="N37">
        <f t="shared" si="0"/>
        <v>44100</v>
      </c>
      <c r="O37">
        <f t="shared" si="0"/>
        <v>51300</v>
      </c>
      <c r="P37">
        <f t="shared" si="0"/>
        <v>54000</v>
      </c>
      <c r="Q37">
        <f t="shared" si="0"/>
        <v>40500</v>
      </c>
      <c r="R37">
        <f t="shared" si="0"/>
        <v>44100</v>
      </c>
      <c r="S37">
        <f t="shared" si="0"/>
        <v>51300</v>
      </c>
      <c r="T37">
        <f t="shared" si="0"/>
        <v>54000</v>
      </c>
    </row>
    <row r="38" spans="1:20" x14ac:dyDescent="0.2">
      <c r="A38">
        <f t="shared" ref="A38:T38" si="1">A34*0.9</f>
        <v>900</v>
      </c>
      <c r="B38">
        <f t="shared" si="1"/>
        <v>1800</v>
      </c>
      <c r="C38">
        <f t="shared" si="1"/>
        <v>3600</v>
      </c>
      <c r="D38">
        <f t="shared" si="1"/>
        <v>5850</v>
      </c>
      <c r="E38">
        <f t="shared" si="1"/>
        <v>6300</v>
      </c>
      <c r="F38">
        <f t="shared" si="1"/>
        <v>7200</v>
      </c>
      <c r="G38">
        <f t="shared" si="1"/>
        <v>7650</v>
      </c>
      <c r="H38">
        <f t="shared" si="1"/>
        <v>8100</v>
      </c>
      <c r="I38">
        <f t="shared" si="1"/>
        <v>9900</v>
      </c>
      <c r="J38">
        <f t="shared" si="1"/>
        <v>11700</v>
      </c>
      <c r="K38">
        <f t="shared" si="1"/>
        <v>13500</v>
      </c>
      <c r="L38">
        <f t="shared" si="1"/>
        <v>15300</v>
      </c>
      <c r="M38">
        <f t="shared" si="1"/>
        <v>18000</v>
      </c>
      <c r="N38">
        <f t="shared" si="1"/>
        <v>21600</v>
      </c>
      <c r="O38">
        <f t="shared" si="1"/>
        <v>25200</v>
      </c>
      <c r="P38">
        <f t="shared" si="1"/>
        <v>27000</v>
      </c>
      <c r="Q38">
        <f t="shared" si="1"/>
        <v>18000</v>
      </c>
      <c r="R38">
        <f t="shared" si="1"/>
        <v>21600</v>
      </c>
      <c r="S38">
        <f t="shared" si="1"/>
        <v>25200</v>
      </c>
      <c r="T38">
        <f t="shared" si="1"/>
        <v>27000</v>
      </c>
    </row>
    <row r="39" spans="1:20" x14ac:dyDescent="0.2">
      <c r="A39">
        <f t="shared" ref="A39:T39" si="2">A35*0.9</f>
        <v>0</v>
      </c>
      <c r="B39">
        <f t="shared" si="2"/>
        <v>0</v>
      </c>
      <c r="C39">
        <f t="shared" si="2"/>
        <v>0</v>
      </c>
      <c r="D39">
        <f t="shared" si="2"/>
        <v>0</v>
      </c>
      <c r="E39">
        <f t="shared" si="2"/>
        <v>450</v>
      </c>
      <c r="F39">
        <f t="shared" si="2"/>
        <v>450</v>
      </c>
      <c r="G39">
        <f t="shared" si="2"/>
        <v>900</v>
      </c>
      <c r="H39">
        <f t="shared" si="2"/>
        <v>1350</v>
      </c>
      <c r="I39">
        <f t="shared" si="2"/>
        <v>2700</v>
      </c>
      <c r="J39">
        <f t="shared" si="2"/>
        <v>3150</v>
      </c>
      <c r="K39">
        <f t="shared" si="2"/>
        <v>3600</v>
      </c>
      <c r="L39">
        <f t="shared" si="2"/>
        <v>4500</v>
      </c>
      <c r="M39">
        <f t="shared" si="2"/>
        <v>4950</v>
      </c>
      <c r="N39">
        <f t="shared" si="2"/>
        <v>5850</v>
      </c>
      <c r="O39">
        <f t="shared" si="2"/>
        <v>8100</v>
      </c>
      <c r="P39">
        <f t="shared" si="2"/>
        <v>9000</v>
      </c>
      <c r="Q39">
        <f t="shared" si="2"/>
        <v>4950</v>
      </c>
      <c r="R39">
        <f t="shared" si="2"/>
        <v>5850</v>
      </c>
      <c r="S39">
        <f t="shared" si="2"/>
        <v>8100</v>
      </c>
      <c r="T39">
        <f t="shared" si="2"/>
        <v>9000</v>
      </c>
    </row>
  </sheetData>
  <hyperlinks>
    <hyperlink ref="O1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129"/>
  <sheetViews>
    <sheetView zoomScale="112" zoomScaleNormal="112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B40" sqref="B40"/>
    </sheetView>
  </sheetViews>
  <sheetFormatPr defaultRowHeight="12.75" x14ac:dyDescent="0.2"/>
  <cols>
    <col min="1" max="2" width="3.7109375" style="1" customWidth="1"/>
    <col min="3" max="3" width="53.7109375" style="1" customWidth="1"/>
    <col min="4" max="4" width="9.140625" style="1" customWidth="1"/>
    <col min="5" max="5" width="9.7109375" style="1" bestFit="1" customWidth="1"/>
    <col min="6" max="6" width="9.28515625" style="1" bestFit="1" customWidth="1"/>
    <col min="7" max="7" width="9.140625" style="1" customWidth="1"/>
    <col min="8" max="24" width="9.28515625" style="1" bestFit="1" customWidth="1"/>
    <col min="25" max="16384" width="9.140625" style="1"/>
  </cols>
  <sheetData>
    <row r="1" spans="1:24" ht="18" x14ac:dyDescent="0.25">
      <c r="C1" s="282"/>
    </row>
    <row r="2" spans="1:24" s="2" customFormat="1" x14ac:dyDescent="0.2">
      <c r="A2" s="11" t="s">
        <v>323</v>
      </c>
      <c r="B2" s="11"/>
      <c r="C2" s="12"/>
      <c r="D2" s="2" t="s">
        <v>79</v>
      </c>
      <c r="E2" s="3" t="s">
        <v>58</v>
      </c>
      <c r="F2" s="3" t="s">
        <v>59</v>
      </c>
      <c r="G2" s="3" t="s">
        <v>60</v>
      </c>
      <c r="H2" s="3" t="s">
        <v>61</v>
      </c>
      <c r="I2" s="4" t="s">
        <v>62</v>
      </c>
      <c r="J2" s="4" t="s">
        <v>63</v>
      </c>
      <c r="K2" s="4" t="s">
        <v>64</v>
      </c>
      <c r="L2" s="4" t="s">
        <v>65</v>
      </c>
      <c r="M2" s="5" t="s">
        <v>66</v>
      </c>
      <c r="N2" s="5" t="s">
        <v>67</v>
      </c>
      <c r="O2" s="5" t="s">
        <v>68</v>
      </c>
      <c r="P2" s="5" t="s">
        <v>69</v>
      </c>
      <c r="Q2" s="6" t="s">
        <v>70</v>
      </c>
      <c r="R2" s="6" t="s">
        <v>71</v>
      </c>
      <c r="S2" s="6" t="s">
        <v>72</v>
      </c>
      <c r="T2" s="6" t="s">
        <v>73</v>
      </c>
      <c r="U2" s="7" t="s">
        <v>74</v>
      </c>
      <c r="V2" s="7" t="s">
        <v>75</v>
      </c>
      <c r="W2" s="7" t="s">
        <v>76</v>
      </c>
      <c r="X2" s="7" t="s">
        <v>77</v>
      </c>
    </row>
    <row r="3" spans="1:24" x14ac:dyDescent="0.2">
      <c r="A3" s="25" t="s">
        <v>507</v>
      </c>
    </row>
    <row r="4" spans="1:24" x14ac:dyDescent="0.2">
      <c r="B4" s="268" t="s">
        <v>508</v>
      </c>
      <c r="C4" s="267"/>
    </row>
    <row r="5" spans="1:24" x14ac:dyDescent="0.2">
      <c r="B5" s="267"/>
      <c r="C5" s="267" t="s">
        <v>97</v>
      </c>
      <c r="D5" s="14" t="s">
        <v>99</v>
      </c>
      <c r="E5" s="266">
        <v>1</v>
      </c>
      <c r="F5" s="29">
        <f>E5</f>
        <v>1</v>
      </c>
      <c r="G5" s="29">
        <f>F5</f>
        <v>1</v>
      </c>
      <c r="H5" s="29">
        <f>G5</f>
        <v>1</v>
      </c>
      <c r="I5" s="29">
        <f t="shared" ref="I5:X5" si="0">H5</f>
        <v>1</v>
      </c>
      <c r="J5" s="29">
        <f t="shared" si="0"/>
        <v>1</v>
      </c>
      <c r="K5" s="29">
        <f t="shared" si="0"/>
        <v>1</v>
      </c>
      <c r="L5" s="29">
        <f t="shared" si="0"/>
        <v>1</v>
      </c>
      <c r="M5" s="29">
        <f t="shared" si="0"/>
        <v>1</v>
      </c>
      <c r="N5" s="29">
        <f t="shared" si="0"/>
        <v>1</v>
      </c>
      <c r="O5" s="29">
        <f t="shared" si="0"/>
        <v>1</v>
      </c>
      <c r="P5" s="29">
        <f t="shared" si="0"/>
        <v>1</v>
      </c>
      <c r="Q5" s="29">
        <f t="shared" si="0"/>
        <v>1</v>
      </c>
      <c r="R5" s="29">
        <f t="shared" si="0"/>
        <v>1</v>
      </c>
      <c r="S5" s="29">
        <f t="shared" si="0"/>
        <v>1</v>
      </c>
      <c r="T5" s="29">
        <f t="shared" si="0"/>
        <v>1</v>
      </c>
      <c r="U5" s="29">
        <f t="shared" si="0"/>
        <v>1</v>
      </c>
      <c r="V5" s="29">
        <f t="shared" si="0"/>
        <v>1</v>
      </c>
      <c r="W5" s="29">
        <f t="shared" si="0"/>
        <v>1</v>
      </c>
      <c r="X5" s="29">
        <f t="shared" si="0"/>
        <v>1</v>
      </c>
    </row>
    <row r="6" spans="1:24" s="95" customFormat="1" x14ac:dyDescent="0.2">
      <c r="B6" s="343"/>
      <c r="C6" s="343" t="s">
        <v>26</v>
      </c>
      <c r="D6" s="312" t="s">
        <v>85</v>
      </c>
      <c r="E6" s="295">
        <v>130</v>
      </c>
      <c r="F6" s="294">
        <f>E6*(1)</f>
        <v>130</v>
      </c>
      <c r="G6" s="294">
        <f t="shared" ref="G6:H6" si="1">F6*(1)</f>
        <v>130</v>
      </c>
      <c r="H6" s="294">
        <f t="shared" si="1"/>
        <v>130</v>
      </c>
      <c r="I6" s="294">
        <f>H6*(1+Окружение!H7)</f>
        <v>141.18</v>
      </c>
      <c r="J6" s="294">
        <f>I6*(1)</f>
        <v>141.18</v>
      </c>
      <c r="K6" s="294">
        <f t="shared" ref="K6:L6" si="2">J6*(1)</f>
        <v>141.18</v>
      </c>
      <c r="L6" s="294">
        <f t="shared" si="2"/>
        <v>141.18</v>
      </c>
      <c r="M6" s="294">
        <f>L6*(1+Окружение!L7)</f>
        <v>150.78024000000002</v>
      </c>
      <c r="N6" s="294">
        <f>M6*(1)</f>
        <v>150.78024000000002</v>
      </c>
      <c r="O6" s="294">
        <f t="shared" ref="O6:P6" si="3">N6*(1)</f>
        <v>150.78024000000002</v>
      </c>
      <c r="P6" s="294">
        <f t="shared" si="3"/>
        <v>150.78024000000002</v>
      </c>
      <c r="Q6" s="294">
        <f>P6*(1+Окружение!P7)</f>
        <v>160.12861488000004</v>
      </c>
      <c r="R6" s="294">
        <f>Q6*(1)</f>
        <v>160.12861488000004</v>
      </c>
      <c r="S6" s="294">
        <f t="shared" ref="S6:T6" si="4">R6*(1)</f>
        <v>160.12861488000004</v>
      </c>
      <c r="T6" s="294">
        <f t="shared" si="4"/>
        <v>160.12861488000004</v>
      </c>
      <c r="U6" s="294">
        <f>T6*(1+Окружение!T7)</f>
        <v>170.53697484720004</v>
      </c>
      <c r="V6" s="294">
        <f>U6*(1)</f>
        <v>170.53697484720004</v>
      </c>
      <c r="W6" s="294">
        <f>V6*(1)</f>
        <v>170.53697484720004</v>
      </c>
      <c r="X6" s="294">
        <f>W6*(1)</f>
        <v>170.53697484720004</v>
      </c>
    </row>
    <row r="7" spans="1:24" x14ac:dyDescent="0.2">
      <c r="B7" s="28" t="s">
        <v>98</v>
      </c>
      <c r="D7" s="14" t="s">
        <v>99</v>
      </c>
      <c r="E7" s="81">
        <f t="shared" ref="E7:X7" si="5">E5</f>
        <v>1</v>
      </c>
      <c r="F7" s="81">
        <f t="shared" si="5"/>
        <v>1</v>
      </c>
      <c r="G7" s="81">
        <f t="shared" si="5"/>
        <v>1</v>
      </c>
      <c r="H7" s="81">
        <f t="shared" si="5"/>
        <v>1</v>
      </c>
      <c r="I7" s="81">
        <f t="shared" si="5"/>
        <v>1</v>
      </c>
      <c r="J7" s="81">
        <f t="shared" si="5"/>
        <v>1</v>
      </c>
      <c r="K7" s="81">
        <f t="shared" si="5"/>
        <v>1</v>
      </c>
      <c r="L7" s="81">
        <f t="shared" si="5"/>
        <v>1</v>
      </c>
      <c r="M7" s="81">
        <f t="shared" si="5"/>
        <v>1</v>
      </c>
      <c r="N7" s="81">
        <f t="shared" si="5"/>
        <v>1</v>
      </c>
      <c r="O7" s="81">
        <f t="shared" si="5"/>
        <v>1</v>
      </c>
      <c r="P7" s="81">
        <f t="shared" si="5"/>
        <v>1</v>
      </c>
      <c r="Q7" s="81">
        <f t="shared" si="5"/>
        <v>1</v>
      </c>
      <c r="R7" s="81">
        <f t="shared" si="5"/>
        <v>1</v>
      </c>
      <c r="S7" s="81">
        <f t="shared" si="5"/>
        <v>1</v>
      </c>
      <c r="T7" s="81">
        <f t="shared" si="5"/>
        <v>1</v>
      </c>
      <c r="U7" s="81">
        <f t="shared" si="5"/>
        <v>1</v>
      </c>
      <c r="V7" s="81">
        <f t="shared" si="5"/>
        <v>1</v>
      </c>
      <c r="W7" s="81">
        <f t="shared" si="5"/>
        <v>1</v>
      </c>
      <c r="X7" s="81">
        <f t="shared" si="5"/>
        <v>1</v>
      </c>
    </row>
    <row r="8" spans="1:24" x14ac:dyDescent="0.2">
      <c r="B8" s="28" t="s">
        <v>100</v>
      </c>
      <c r="D8" s="14" t="s">
        <v>85</v>
      </c>
      <c r="E8" s="81">
        <f t="shared" ref="E8:X8" si="6">E5*E6*3</f>
        <v>390</v>
      </c>
      <c r="F8" s="81">
        <f t="shared" si="6"/>
        <v>390</v>
      </c>
      <c r="G8" s="81">
        <f t="shared" si="6"/>
        <v>390</v>
      </c>
      <c r="H8" s="81">
        <f t="shared" si="6"/>
        <v>390</v>
      </c>
      <c r="I8" s="81">
        <f t="shared" si="6"/>
        <v>423.54</v>
      </c>
      <c r="J8" s="81">
        <f t="shared" si="6"/>
        <v>423.54</v>
      </c>
      <c r="K8" s="81">
        <f t="shared" si="6"/>
        <v>423.54</v>
      </c>
      <c r="L8" s="81">
        <f t="shared" si="6"/>
        <v>423.54</v>
      </c>
      <c r="M8" s="81">
        <f t="shared" si="6"/>
        <v>452.34072000000003</v>
      </c>
      <c r="N8" s="81">
        <f t="shared" si="6"/>
        <v>452.34072000000003</v>
      </c>
      <c r="O8" s="81">
        <f t="shared" si="6"/>
        <v>452.34072000000003</v>
      </c>
      <c r="P8" s="81">
        <f t="shared" si="6"/>
        <v>452.34072000000003</v>
      </c>
      <c r="Q8" s="81">
        <f t="shared" si="6"/>
        <v>480.38584464000013</v>
      </c>
      <c r="R8" s="81">
        <f t="shared" si="6"/>
        <v>480.38584464000013</v>
      </c>
      <c r="S8" s="81">
        <f t="shared" si="6"/>
        <v>480.38584464000013</v>
      </c>
      <c r="T8" s="81">
        <f t="shared" si="6"/>
        <v>480.38584464000013</v>
      </c>
      <c r="U8" s="81">
        <f t="shared" si="6"/>
        <v>511.61092454160013</v>
      </c>
      <c r="V8" s="81">
        <f t="shared" si="6"/>
        <v>511.61092454160013</v>
      </c>
      <c r="W8" s="81">
        <f t="shared" si="6"/>
        <v>511.61092454160013</v>
      </c>
      <c r="X8" s="81">
        <f t="shared" si="6"/>
        <v>511.61092454160013</v>
      </c>
    </row>
    <row r="9" spans="1:24" x14ac:dyDescent="0.2">
      <c r="A9" s="25" t="s">
        <v>509</v>
      </c>
      <c r="B9" s="267"/>
      <c r="C9" s="267"/>
      <c r="D9" s="14"/>
      <c r="E9" s="95"/>
    </row>
    <row r="10" spans="1:24" x14ac:dyDescent="0.2">
      <c r="B10" s="268" t="s">
        <v>510</v>
      </c>
      <c r="C10" s="267"/>
    </row>
    <row r="11" spans="1:24" x14ac:dyDescent="0.2">
      <c r="B11" s="267"/>
      <c r="C11" s="267" t="s">
        <v>97</v>
      </c>
      <c r="D11" s="14" t="s">
        <v>99</v>
      </c>
      <c r="E11" s="266">
        <v>1</v>
      </c>
      <c r="F11" s="266">
        <v>1</v>
      </c>
      <c r="G11" s="266">
        <v>1</v>
      </c>
      <c r="H11" s="266">
        <v>1</v>
      </c>
      <c r="I11" s="266">
        <v>1</v>
      </c>
      <c r="J11" s="266">
        <v>1</v>
      </c>
      <c r="K11" s="266">
        <v>1</v>
      </c>
      <c r="L11" s="266">
        <v>1</v>
      </c>
      <c r="M11" s="266">
        <v>1</v>
      </c>
      <c r="N11" s="266">
        <v>1</v>
      </c>
      <c r="O11" s="266">
        <v>1</v>
      </c>
      <c r="P11" s="266">
        <v>1</v>
      </c>
      <c r="Q11" s="266">
        <v>1</v>
      </c>
      <c r="R11" s="266">
        <v>1</v>
      </c>
      <c r="S11" s="266">
        <v>1</v>
      </c>
      <c r="T11" s="266">
        <v>1</v>
      </c>
      <c r="U11" s="266">
        <v>1</v>
      </c>
      <c r="V11" s="266">
        <v>1</v>
      </c>
      <c r="W11" s="266">
        <v>1</v>
      </c>
      <c r="X11" s="266">
        <v>1</v>
      </c>
    </row>
    <row r="12" spans="1:24" x14ac:dyDescent="0.2">
      <c r="B12" s="267"/>
      <c r="C12" s="267" t="s">
        <v>26</v>
      </c>
      <c r="D12" s="14" t="s">
        <v>85</v>
      </c>
      <c r="E12" s="295">
        <v>90</v>
      </c>
      <c r="F12" s="29">
        <f>E12</f>
        <v>90</v>
      </c>
      <c r="G12" s="29">
        <f>E12</f>
        <v>90</v>
      </c>
      <c r="H12" s="29">
        <f>F12</f>
        <v>90</v>
      </c>
      <c r="I12" s="29">
        <f>H12*(1+Окружение!H7)</f>
        <v>97.740000000000009</v>
      </c>
      <c r="J12" s="29">
        <f>I12</f>
        <v>97.740000000000009</v>
      </c>
      <c r="K12" s="29">
        <f>I12</f>
        <v>97.740000000000009</v>
      </c>
      <c r="L12" s="29">
        <f>K12</f>
        <v>97.740000000000009</v>
      </c>
      <c r="M12" s="29">
        <f>L12*(1+Окружение!L7)</f>
        <v>104.38632000000001</v>
      </c>
      <c r="N12" s="29">
        <f>M12*(1)</f>
        <v>104.38632000000001</v>
      </c>
      <c r="O12" s="29">
        <f t="shared" ref="O12:P12" si="7">N12*(1)</f>
        <v>104.38632000000001</v>
      </c>
      <c r="P12" s="29">
        <f t="shared" si="7"/>
        <v>104.38632000000001</v>
      </c>
      <c r="Q12" s="29">
        <f>P12*(1+Окружение!P7)</f>
        <v>110.85827184000001</v>
      </c>
      <c r="R12" s="29">
        <f>Q12*(1)</f>
        <v>110.85827184000001</v>
      </c>
      <c r="S12" s="29">
        <f t="shared" ref="S12:T12" si="8">R12*(1)</f>
        <v>110.85827184000001</v>
      </c>
      <c r="T12" s="29">
        <f t="shared" si="8"/>
        <v>110.85827184000001</v>
      </c>
      <c r="U12" s="29">
        <f>T12*(1+Окружение!T7)</f>
        <v>118.06405950960001</v>
      </c>
      <c r="V12" s="29">
        <f>U12*(1)</f>
        <v>118.06405950960001</v>
      </c>
      <c r="W12" s="29">
        <f t="shared" ref="W12:X12" si="9">V12*(1)</f>
        <v>118.06405950960001</v>
      </c>
      <c r="X12" s="29">
        <f t="shared" si="9"/>
        <v>118.06405950960001</v>
      </c>
    </row>
    <row r="13" spans="1:24" x14ac:dyDescent="0.2">
      <c r="B13" s="267"/>
      <c r="C13" s="267"/>
      <c r="D13" s="14"/>
      <c r="E13" s="311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</row>
    <row r="14" spans="1:24" x14ac:dyDescent="0.2">
      <c r="B14" s="268" t="s">
        <v>511</v>
      </c>
      <c r="C14" s="267"/>
    </row>
    <row r="15" spans="1:24" x14ac:dyDescent="0.2">
      <c r="B15" s="267"/>
      <c r="C15" s="267" t="s">
        <v>97</v>
      </c>
      <c r="D15" s="14" t="s">
        <v>99</v>
      </c>
      <c r="E15" s="266">
        <v>0</v>
      </c>
      <c r="F15" s="29">
        <f>E15</f>
        <v>0</v>
      </c>
      <c r="G15" s="29">
        <f t="shared" ref="G15:X16" si="10">F15</f>
        <v>0</v>
      </c>
      <c r="H15" s="29">
        <f t="shared" si="10"/>
        <v>0</v>
      </c>
      <c r="I15" s="29">
        <v>1</v>
      </c>
      <c r="J15" s="29">
        <f t="shared" si="10"/>
        <v>1</v>
      </c>
      <c r="K15" s="29">
        <f t="shared" si="10"/>
        <v>1</v>
      </c>
      <c r="L15" s="29">
        <f t="shared" si="10"/>
        <v>1</v>
      </c>
      <c r="M15" s="29">
        <f t="shared" si="10"/>
        <v>1</v>
      </c>
      <c r="N15" s="29">
        <f t="shared" si="10"/>
        <v>1</v>
      </c>
      <c r="O15" s="29">
        <f t="shared" si="10"/>
        <v>1</v>
      </c>
      <c r="P15" s="29">
        <f t="shared" si="10"/>
        <v>1</v>
      </c>
      <c r="Q15" s="29">
        <f t="shared" si="10"/>
        <v>1</v>
      </c>
      <c r="R15" s="29">
        <f t="shared" si="10"/>
        <v>1</v>
      </c>
      <c r="S15" s="29">
        <f t="shared" si="10"/>
        <v>1</v>
      </c>
      <c r="T15" s="29">
        <f t="shared" si="10"/>
        <v>1</v>
      </c>
      <c r="U15" s="29">
        <f t="shared" si="10"/>
        <v>1</v>
      </c>
      <c r="V15" s="29">
        <f t="shared" si="10"/>
        <v>1</v>
      </c>
      <c r="W15" s="29">
        <f t="shared" si="10"/>
        <v>1</v>
      </c>
      <c r="X15" s="29">
        <f t="shared" si="10"/>
        <v>1</v>
      </c>
    </row>
    <row r="16" spans="1:24" x14ac:dyDescent="0.2">
      <c r="B16" s="267"/>
      <c r="C16" s="267" t="s">
        <v>26</v>
      </c>
      <c r="D16" s="14" t="s">
        <v>85</v>
      </c>
      <c r="E16" s="295">
        <v>0</v>
      </c>
      <c r="F16" s="29">
        <f>E16*(1+Окружение!E8)</f>
        <v>0</v>
      </c>
      <c r="G16" s="29">
        <f>F16*(1+Окружение!F8)</f>
        <v>0</v>
      </c>
      <c r="H16" s="29">
        <f>G16*(1+Окружение!G8)</f>
        <v>0</v>
      </c>
      <c r="I16" s="295">
        <v>50</v>
      </c>
      <c r="J16" s="29">
        <f>I16*(1)</f>
        <v>50</v>
      </c>
      <c r="K16" s="29">
        <f>J16*(1)</f>
        <v>50</v>
      </c>
      <c r="L16" s="29">
        <f>K16*(1)</f>
        <v>50</v>
      </c>
      <c r="M16" s="29">
        <f>L16*(1+Окружение!L7)</f>
        <v>53.400000000000006</v>
      </c>
      <c r="N16" s="29">
        <f>M16</f>
        <v>53.400000000000006</v>
      </c>
      <c r="O16" s="29">
        <f t="shared" si="10"/>
        <v>53.400000000000006</v>
      </c>
      <c r="P16" s="29">
        <f t="shared" si="10"/>
        <v>53.400000000000006</v>
      </c>
      <c r="Q16" s="29">
        <f>P16*(1+Окружение!P7)</f>
        <v>56.710800000000006</v>
      </c>
      <c r="R16" s="29">
        <f>Q16*(1)</f>
        <v>56.710800000000006</v>
      </c>
      <c r="S16" s="29">
        <f>R16*(1)</f>
        <v>56.710800000000006</v>
      </c>
      <c r="T16" s="29">
        <f>S16*(1)</f>
        <v>56.710800000000006</v>
      </c>
      <c r="U16" s="29">
        <f>T16*(1+Окружение!T7)</f>
        <v>60.397002000000001</v>
      </c>
      <c r="V16" s="29">
        <f>U16*(1)</f>
        <v>60.397002000000001</v>
      </c>
      <c r="W16" s="29">
        <f>V16*(1)</f>
        <v>60.397002000000001</v>
      </c>
      <c r="X16" s="29">
        <f>W16*(1)</f>
        <v>60.397002000000001</v>
      </c>
    </row>
    <row r="17" spans="1:24" x14ac:dyDescent="0.2">
      <c r="B17" s="267"/>
      <c r="C17" s="267"/>
      <c r="D17" s="14"/>
      <c r="E17" s="311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</row>
    <row r="18" spans="1:24" x14ac:dyDescent="0.2">
      <c r="B18" s="28" t="s">
        <v>98</v>
      </c>
      <c r="C18" s="267"/>
      <c r="D18" s="14" t="s">
        <v>99</v>
      </c>
      <c r="E18" s="81">
        <f>E11+E15</f>
        <v>1</v>
      </c>
      <c r="F18" s="81">
        <f t="shared" ref="F18:X18" si="11">F11+F15</f>
        <v>1</v>
      </c>
      <c r="G18" s="81">
        <f t="shared" si="11"/>
        <v>1</v>
      </c>
      <c r="H18" s="81">
        <f t="shared" si="11"/>
        <v>1</v>
      </c>
      <c r="I18" s="81">
        <f t="shared" si="11"/>
        <v>2</v>
      </c>
      <c r="J18" s="81">
        <f t="shared" si="11"/>
        <v>2</v>
      </c>
      <c r="K18" s="81">
        <f t="shared" si="11"/>
        <v>2</v>
      </c>
      <c r="L18" s="81">
        <f t="shared" si="11"/>
        <v>2</v>
      </c>
      <c r="M18" s="81">
        <f t="shared" si="11"/>
        <v>2</v>
      </c>
      <c r="N18" s="81">
        <f t="shared" si="11"/>
        <v>2</v>
      </c>
      <c r="O18" s="81">
        <f t="shared" si="11"/>
        <v>2</v>
      </c>
      <c r="P18" s="81">
        <f t="shared" si="11"/>
        <v>2</v>
      </c>
      <c r="Q18" s="81">
        <f t="shared" si="11"/>
        <v>2</v>
      </c>
      <c r="R18" s="81">
        <f t="shared" si="11"/>
        <v>2</v>
      </c>
      <c r="S18" s="81">
        <f t="shared" si="11"/>
        <v>2</v>
      </c>
      <c r="T18" s="81">
        <f t="shared" si="11"/>
        <v>2</v>
      </c>
      <c r="U18" s="81">
        <f t="shared" si="11"/>
        <v>2</v>
      </c>
      <c r="V18" s="81">
        <f t="shared" si="11"/>
        <v>2</v>
      </c>
      <c r="W18" s="81">
        <f t="shared" si="11"/>
        <v>2</v>
      </c>
      <c r="X18" s="81">
        <f t="shared" si="11"/>
        <v>2</v>
      </c>
    </row>
    <row r="19" spans="1:24" x14ac:dyDescent="0.2">
      <c r="B19" s="28" t="s">
        <v>100</v>
      </c>
      <c r="C19" s="267"/>
      <c r="D19" s="14" t="s">
        <v>85</v>
      </c>
      <c r="E19" s="81">
        <f>E11*E12*3+E15*E16*3</f>
        <v>270</v>
      </c>
      <c r="F19" s="81">
        <f t="shared" ref="F19:X19" si="12">F11*F12*3</f>
        <v>270</v>
      </c>
      <c r="G19" s="81">
        <f t="shared" si="12"/>
        <v>270</v>
      </c>
      <c r="H19" s="81">
        <f t="shared" si="12"/>
        <v>270</v>
      </c>
      <c r="I19" s="81">
        <f t="shared" si="12"/>
        <v>293.22000000000003</v>
      </c>
      <c r="J19" s="81">
        <f t="shared" si="12"/>
        <v>293.22000000000003</v>
      </c>
      <c r="K19" s="81">
        <f t="shared" si="12"/>
        <v>293.22000000000003</v>
      </c>
      <c r="L19" s="81">
        <f t="shared" si="12"/>
        <v>293.22000000000003</v>
      </c>
      <c r="M19" s="81">
        <f t="shared" si="12"/>
        <v>313.15896000000004</v>
      </c>
      <c r="N19" s="81">
        <f t="shared" si="12"/>
        <v>313.15896000000004</v>
      </c>
      <c r="O19" s="81">
        <f t="shared" si="12"/>
        <v>313.15896000000004</v>
      </c>
      <c r="P19" s="81">
        <f t="shared" si="12"/>
        <v>313.15896000000004</v>
      </c>
      <c r="Q19" s="81">
        <f t="shared" si="12"/>
        <v>332.57481552000002</v>
      </c>
      <c r="R19" s="81">
        <f t="shared" si="12"/>
        <v>332.57481552000002</v>
      </c>
      <c r="S19" s="81">
        <f t="shared" si="12"/>
        <v>332.57481552000002</v>
      </c>
      <c r="T19" s="81">
        <f t="shared" si="12"/>
        <v>332.57481552000002</v>
      </c>
      <c r="U19" s="81">
        <f t="shared" si="12"/>
        <v>354.19217852880001</v>
      </c>
      <c r="V19" s="81">
        <f t="shared" si="12"/>
        <v>354.19217852880001</v>
      </c>
      <c r="W19" s="81">
        <f t="shared" si="12"/>
        <v>354.19217852880001</v>
      </c>
      <c r="X19" s="81">
        <f t="shared" si="12"/>
        <v>354.19217852880001</v>
      </c>
    </row>
    <row r="20" spans="1:24" x14ac:dyDescent="0.2">
      <c r="A20" s="25" t="s">
        <v>486</v>
      </c>
      <c r="B20" s="267"/>
      <c r="C20" s="267"/>
    </row>
    <row r="21" spans="1:24" x14ac:dyDescent="0.2">
      <c r="B21" s="337" t="s">
        <v>512</v>
      </c>
    </row>
    <row r="22" spans="1:24" s="95" customFormat="1" x14ac:dyDescent="0.2">
      <c r="C22" s="95" t="s">
        <v>97</v>
      </c>
      <c r="D22" s="22" t="s">
        <v>99</v>
      </c>
      <c r="E22" s="294">
        <v>3</v>
      </c>
      <c r="F22" s="294">
        <f>E22</f>
        <v>3</v>
      </c>
      <c r="G22" s="294">
        <f t="shared" ref="G22:H22" si="13">F22</f>
        <v>3</v>
      </c>
      <c r="H22" s="294">
        <f t="shared" si="13"/>
        <v>3</v>
      </c>
      <c r="I22" s="294">
        <f t="shared" ref="I22" si="14">H22</f>
        <v>3</v>
      </c>
      <c r="J22" s="294">
        <f t="shared" ref="J22" si="15">I22</f>
        <v>3</v>
      </c>
      <c r="K22" s="294">
        <f t="shared" ref="K22" si="16">J22</f>
        <v>3</v>
      </c>
      <c r="L22" s="294">
        <f t="shared" ref="L22" si="17">K22</f>
        <v>3</v>
      </c>
      <c r="M22" s="294">
        <f t="shared" ref="M22" si="18">L22</f>
        <v>3</v>
      </c>
      <c r="N22" s="294">
        <f t="shared" ref="N22" si="19">M22</f>
        <v>3</v>
      </c>
      <c r="O22" s="294">
        <f t="shared" ref="O22" si="20">N22</f>
        <v>3</v>
      </c>
      <c r="P22" s="294">
        <f t="shared" ref="P22" si="21">O22</f>
        <v>3</v>
      </c>
      <c r="Q22" s="294">
        <f t="shared" ref="Q22" si="22">P22</f>
        <v>3</v>
      </c>
      <c r="R22" s="294">
        <f t="shared" ref="R22" si="23">Q22</f>
        <v>3</v>
      </c>
      <c r="S22" s="294">
        <f t="shared" ref="S22" si="24">R22</f>
        <v>3</v>
      </c>
      <c r="T22" s="294">
        <f t="shared" ref="T22" si="25">S22</f>
        <v>3</v>
      </c>
      <c r="U22" s="294">
        <f t="shared" ref="U22" si="26">T22</f>
        <v>3</v>
      </c>
      <c r="V22" s="294">
        <f t="shared" ref="V22" si="27">U22</f>
        <v>3</v>
      </c>
      <c r="W22" s="294">
        <f t="shared" ref="W22" si="28">V22</f>
        <v>3</v>
      </c>
      <c r="X22" s="294">
        <f t="shared" ref="X22" si="29">W22</f>
        <v>3</v>
      </c>
    </row>
    <row r="23" spans="1:24" s="95" customFormat="1" x14ac:dyDescent="0.2">
      <c r="C23" s="95" t="s">
        <v>26</v>
      </c>
      <c r="D23" s="22" t="s">
        <v>85</v>
      </c>
      <c r="E23" s="294">
        <v>65</v>
      </c>
      <c r="F23" s="294">
        <f>E23*(1+Окружение!E8)</f>
        <v>66.62782325244109</v>
      </c>
      <c r="G23" s="294">
        <f>F23</f>
        <v>66.62782325244109</v>
      </c>
      <c r="H23" s="294">
        <f>G23</f>
        <v>66.62782325244109</v>
      </c>
      <c r="I23" s="294">
        <f>H23*(1+Окружение!H7)</f>
        <v>72.357816052151023</v>
      </c>
      <c r="J23" s="294">
        <f>I23*(1)</f>
        <v>72.357816052151023</v>
      </c>
      <c r="K23" s="294">
        <f t="shared" ref="K23:L23" si="30">J23*(1)</f>
        <v>72.357816052151023</v>
      </c>
      <c r="L23" s="294">
        <f t="shared" si="30"/>
        <v>72.357816052151023</v>
      </c>
      <c r="M23" s="294">
        <f>L23*(1+Окружение!L7)</f>
        <v>77.278147543697301</v>
      </c>
      <c r="N23" s="294">
        <f>M23*(1)</f>
        <v>77.278147543697301</v>
      </c>
      <c r="O23" s="294">
        <f t="shared" ref="O23:P23" si="31">N23*(1)</f>
        <v>77.278147543697301</v>
      </c>
      <c r="P23" s="294">
        <f t="shared" si="31"/>
        <v>77.278147543697301</v>
      </c>
      <c r="Q23" s="294">
        <f>P23*(1+Окружение!P7)</f>
        <v>82.069392691406534</v>
      </c>
      <c r="R23" s="294">
        <f>Q23*(1)</f>
        <v>82.069392691406534</v>
      </c>
      <c r="S23" s="294">
        <f t="shared" ref="S23:T23" si="32">R23*(1)</f>
        <v>82.069392691406534</v>
      </c>
      <c r="T23" s="294">
        <f t="shared" si="32"/>
        <v>82.069392691406534</v>
      </c>
      <c r="U23" s="294">
        <f>T23*(1+Окружение!T7)</f>
        <v>87.403903216347956</v>
      </c>
      <c r="V23" s="294">
        <f>U23*(1)</f>
        <v>87.403903216347956</v>
      </c>
      <c r="W23" s="294">
        <f>U23</f>
        <v>87.403903216347956</v>
      </c>
      <c r="X23" s="294">
        <f>V23</f>
        <v>87.403903216347956</v>
      </c>
    </row>
    <row r="24" spans="1:24" s="95" customFormat="1" x14ac:dyDescent="0.2">
      <c r="B24" s="338" t="s">
        <v>513</v>
      </c>
      <c r="D24" s="22"/>
    </row>
    <row r="25" spans="1:24" s="95" customFormat="1" x14ac:dyDescent="0.2">
      <c r="C25" s="95" t="s">
        <v>97</v>
      </c>
      <c r="D25" s="22" t="s">
        <v>99</v>
      </c>
      <c r="E25" s="294">
        <v>1</v>
      </c>
      <c r="F25" s="294">
        <f>E25</f>
        <v>1</v>
      </c>
      <c r="G25" s="294">
        <v>1</v>
      </c>
      <c r="H25" s="294">
        <f t="shared" ref="H25" si="33">G25</f>
        <v>1</v>
      </c>
      <c r="I25" s="294">
        <f t="shared" ref="I25" si="34">H25</f>
        <v>1</v>
      </c>
      <c r="J25" s="294">
        <f t="shared" ref="J25" si="35">I25</f>
        <v>1</v>
      </c>
      <c r="K25" s="294">
        <f t="shared" ref="K25" si="36">J25</f>
        <v>1</v>
      </c>
      <c r="L25" s="294">
        <f t="shared" ref="L25" si="37">K25</f>
        <v>1</v>
      </c>
      <c r="M25" s="294">
        <f t="shared" ref="M25" si="38">L25</f>
        <v>1</v>
      </c>
      <c r="N25" s="294">
        <f t="shared" ref="N25" si="39">M25</f>
        <v>1</v>
      </c>
      <c r="O25" s="294">
        <f t="shared" ref="O25" si="40">N25</f>
        <v>1</v>
      </c>
      <c r="P25" s="294">
        <f t="shared" ref="P25" si="41">O25</f>
        <v>1</v>
      </c>
      <c r="Q25" s="294">
        <f t="shared" ref="Q25" si="42">P25</f>
        <v>1</v>
      </c>
      <c r="R25" s="294">
        <f t="shared" ref="R25" si="43">Q25</f>
        <v>1</v>
      </c>
      <c r="S25" s="294">
        <f t="shared" ref="S25" si="44">R25</f>
        <v>1</v>
      </c>
      <c r="T25" s="294">
        <f t="shared" ref="T25" si="45">S25</f>
        <v>1</v>
      </c>
      <c r="U25" s="294">
        <f t="shared" ref="U25" si="46">T25</f>
        <v>1</v>
      </c>
      <c r="V25" s="294">
        <f t="shared" ref="V25" si="47">U25</f>
        <v>1</v>
      </c>
      <c r="W25" s="294">
        <f t="shared" ref="W25" si="48">V25</f>
        <v>1</v>
      </c>
      <c r="X25" s="294">
        <f t="shared" ref="X25" si="49">W25</f>
        <v>1</v>
      </c>
    </row>
    <row r="26" spans="1:24" s="95" customFormat="1" x14ac:dyDescent="0.2">
      <c r="C26" s="95" t="s">
        <v>26</v>
      </c>
      <c r="D26" s="22" t="s">
        <v>85</v>
      </c>
      <c r="E26" s="294">
        <v>85</v>
      </c>
      <c r="F26" s="294">
        <f>E26*(1)</f>
        <v>85</v>
      </c>
      <c r="G26" s="294">
        <f t="shared" ref="G26:H26" si="50">F26*(1)</f>
        <v>85</v>
      </c>
      <c r="H26" s="294">
        <f t="shared" si="50"/>
        <v>85</v>
      </c>
      <c r="I26" s="294">
        <f>(1+Окружение!H7)*E26</f>
        <v>92.31</v>
      </c>
      <c r="J26" s="294">
        <f>I26*(1)</f>
        <v>92.31</v>
      </c>
      <c r="K26" s="294">
        <f t="shared" ref="K26:L26" si="51">J26*(1)</f>
        <v>92.31</v>
      </c>
      <c r="L26" s="294">
        <f t="shared" si="51"/>
        <v>92.31</v>
      </c>
      <c r="M26" s="294">
        <f>L26*(1+Окружение!L7)</f>
        <v>98.587080000000014</v>
      </c>
      <c r="N26" s="294">
        <f>M26*(1)</f>
        <v>98.587080000000014</v>
      </c>
      <c r="O26" s="294">
        <f t="shared" ref="O26:P26" si="52">N26*(1)</f>
        <v>98.587080000000014</v>
      </c>
      <c r="P26" s="294">
        <f t="shared" si="52"/>
        <v>98.587080000000014</v>
      </c>
      <c r="Q26" s="294">
        <f>P26*(1+Окружение!P7)</f>
        <v>104.69947896000002</v>
      </c>
      <c r="R26" s="294">
        <f>Q26*(1)</f>
        <v>104.69947896000002</v>
      </c>
      <c r="S26" s="294">
        <f t="shared" ref="S26:T26" si="53">R26*(1)</f>
        <v>104.69947896000002</v>
      </c>
      <c r="T26" s="294">
        <f t="shared" si="53"/>
        <v>104.69947896000002</v>
      </c>
      <c r="U26" s="294">
        <f>T26*(1+Окружение!T7)</f>
        <v>111.50494509240002</v>
      </c>
      <c r="V26" s="294">
        <f>U26*(1)</f>
        <v>111.50494509240002</v>
      </c>
      <c r="W26" s="294">
        <f t="shared" ref="W26:X26" si="54">V26*(1)</f>
        <v>111.50494509240002</v>
      </c>
      <c r="X26" s="294">
        <f t="shared" si="54"/>
        <v>111.50494509240002</v>
      </c>
    </row>
    <row r="27" spans="1:24" s="95" customFormat="1" x14ac:dyDescent="0.2">
      <c r="B27" s="338" t="s">
        <v>514</v>
      </c>
      <c r="D27" s="22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</row>
    <row r="28" spans="1:24" s="95" customFormat="1" x14ac:dyDescent="0.2">
      <c r="C28" s="95" t="s">
        <v>97</v>
      </c>
      <c r="D28" s="22" t="s">
        <v>99</v>
      </c>
      <c r="E28" s="294">
        <v>3</v>
      </c>
      <c r="F28" s="294">
        <v>3</v>
      </c>
      <c r="G28" s="294">
        <v>3</v>
      </c>
      <c r="H28" s="294">
        <v>3</v>
      </c>
      <c r="I28" s="294">
        <v>5</v>
      </c>
      <c r="J28" s="294">
        <f t="shared" ref="J28" si="55">I28</f>
        <v>5</v>
      </c>
      <c r="K28" s="294">
        <f t="shared" ref="K28" si="56">J28</f>
        <v>5</v>
      </c>
      <c r="L28" s="294">
        <f t="shared" ref="L28" si="57">K28</f>
        <v>5</v>
      </c>
      <c r="M28" s="294">
        <f t="shared" ref="M28" si="58">L28</f>
        <v>5</v>
      </c>
      <c r="N28" s="294">
        <f t="shared" ref="N28" si="59">M28</f>
        <v>5</v>
      </c>
      <c r="O28" s="294">
        <f t="shared" ref="O28" si="60">N28</f>
        <v>5</v>
      </c>
      <c r="P28" s="294">
        <f t="shared" ref="P28" si="61">O28</f>
        <v>5</v>
      </c>
      <c r="Q28" s="294">
        <f t="shared" ref="Q28" si="62">P28</f>
        <v>5</v>
      </c>
      <c r="R28" s="294">
        <f t="shared" ref="R28" si="63">Q28</f>
        <v>5</v>
      </c>
      <c r="S28" s="294">
        <f t="shared" ref="S28" si="64">R28</f>
        <v>5</v>
      </c>
      <c r="T28" s="294">
        <f t="shared" ref="T28" si="65">S28</f>
        <v>5</v>
      </c>
      <c r="U28" s="294">
        <f t="shared" ref="U28" si="66">T28</f>
        <v>5</v>
      </c>
      <c r="V28" s="294">
        <f t="shared" ref="V28" si="67">U28</f>
        <v>5</v>
      </c>
      <c r="W28" s="294">
        <f t="shared" ref="W28" si="68">V28</f>
        <v>5</v>
      </c>
      <c r="X28" s="294">
        <f t="shared" ref="X28" si="69">W28</f>
        <v>5</v>
      </c>
    </row>
    <row r="29" spans="1:24" s="95" customFormat="1" x14ac:dyDescent="0.2">
      <c r="C29" s="95" t="s">
        <v>26</v>
      </c>
      <c r="D29" s="22" t="s">
        <v>85</v>
      </c>
      <c r="E29" s="294">
        <v>80</v>
      </c>
      <c r="F29" s="294">
        <f>E29*(1)</f>
        <v>80</v>
      </c>
      <c r="G29" s="294">
        <f t="shared" ref="G29:H29" si="70">F29*(1)</f>
        <v>80</v>
      </c>
      <c r="H29" s="294">
        <f t="shared" si="70"/>
        <v>80</v>
      </c>
      <c r="I29" s="294">
        <f>H29*(1+Окружение!H7)</f>
        <v>86.88000000000001</v>
      </c>
      <c r="J29" s="294">
        <f>I29*(1)</f>
        <v>86.88000000000001</v>
      </c>
      <c r="K29" s="294">
        <f t="shared" ref="K29:L29" si="71">J29*(1)</f>
        <v>86.88000000000001</v>
      </c>
      <c r="L29" s="294">
        <f t="shared" si="71"/>
        <v>86.88000000000001</v>
      </c>
      <c r="M29" s="294">
        <f>L29*(1+Окружение!L7)</f>
        <v>92.787840000000017</v>
      </c>
      <c r="N29" s="294">
        <f>M29*(1)</f>
        <v>92.787840000000017</v>
      </c>
      <c r="O29" s="294">
        <f>N29*(1)</f>
        <v>92.787840000000017</v>
      </c>
      <c r="P29" s="294">
        <f>O29*(1)</f>
        <v>92.787840000000017</v>
      </c>
      <c r="Q29" s="294">
        <f>P29*(1+Окружение!Q7)</f>
        <v>98.540686080000029</v>
      </c>
      <c r="R29" s="294">
        <f>Q29*(1)</f>
        <v>98.540686080000029</v>
      </c>
      <c r="S29" s="294">
        <f>R29*(1)</f>
        <v>98.540686080000029</v>
      </c>
      <c r="T29" s="294">
        <f>S29*(1)</f>
        <v>98.540686080000029</v>
      </c>
      <c r="U29" s="294">
        <f>T29*(1+Окружение!T7)</f>
        <v>104.94583067520003</v>
      </c>
      <c r="V29" s="294">
        <f>U29*(1)</f>
        <v>104.94583067520003</v>
      </c>
      <c r="W29" s="294">
        <f t="shared" ref="W29:X29" si="72">V29*(1)</f>
        <v>104.94583067520003</v>
      </c>
      <c r="X29" s="294">
        <f t="shared" si="72"/>
        <v>104.94583067520003</v>
      </c>
    </row>
    <row r="30" spans="1:24" s="95" customFormat="1" x14ac:dyDescent="0.2">
      <c r="B30" s="95" t="s">
        <v>515</v>
      </c>
      <c r="D30" s="22"/>
    </row>
    <row r="31" spans="1:24" s="95" customFormat="1" x14ac:dyDescent="0.2">
      <c r="C31" s="95" t="s">
        <v>97</v>
      </c>
      <c r="D31" s="22" t="s">
        <v>99</v>
      </c>
      <c r="E31" s="294">
        <v>1</v>
      </c>
      <c r="F31" s="294">
        <f>E31</f>
        <v>1</v>
      </c>
      <c r="G31" s="294">
        <f t="shared" ref="G31:X31" si="73">F31</f>
        <v>1</v>
      </c>
      <c r="H31" s="294">
        <f t="shared" si="73"/>
        <v>1</v>
      </c>
      <c r="I31" s="294">
        <f t="shared" si="73"/>
        <v>1</v>
      </c>
      <c r="J31" s="294">
        <f t="shared" si="73"/>
        <v>1</v>
      </c>
      <c r="K31" s="294">
        <f t="shared" si="73"/>
        <v>1</v>
      </c>
      <c r="L31" s="294">
        <f t="shared" si="73"/>
        <v>1</v>
      </c>
      <c r="M31" s="294">
        <f t="shared" si="73"/>
        <v>1</v>
      </c>
      <c r="N31" s="294">
        <f t="shared" si="73"/>
        <v>1</v>
      </c>
      <c r="O31" s="294">
        <f t="shared" si="73"/>
        <v>1</v>
      </c>
      <c r="P31" s="294">
        <f t="shared" si="73"/>
        <v>1</v>
      </c>
      <c r="Q31" s="294">
        <f t="shared" si="73"/>
        <v>1</v>
      </c>
      <c r="R31" s="294">
        <f t="shared" si="73"/>
        <v>1</v>
      </c>
      <c r="S31" s="294">
        <f t="shared" si="73"/>
        <v>1</v>
      </c>
      <c r="T31" s="294">
        <f t="shared" si="73"/>
        <v>1</v>
      </c>
      <c r="U31" s="294">
        <f t="shared" si="73"/>
        <v>1</v>
      </c>
      <c r="V31" s="294">
        <f t="shared" si="73"/>
        <v>1</v>
      </c>
      <c r="W31" s="294">
        <f t="shared" si="73"/>
        <v>1</v>
      </c>
      <c r="X31" s="294">
        <f t="shared" si="73"/>
        <v>1</v>
      </c>
    </row>
    <row r="32" spans="1:24" s="95" customFormat="1" x14ac:dyDescent="0.2">
      <c r="C32" s="95" t="s">
        <v>26</v>
      </c>
      <c r="D32" s="22" t="s">
        <v>85</v>
      </c>
      <c r="E32" s="294">
        <v>0</v>
      </c>
      <c r="F32" s="340">
        <f>E32*(1+Окружение!E8)</f>
        <v>0</v>
      </c>
      <c r="G32" s="340">
        <f>F32*(1+Окружение!F8)</f>
        <v>0</v>
      </c>
      <c r="H32" s="340">
        <f>G32*(1+Окружение!G8)</f>
        <v>0</v>
      </c>
      <c r="I32" s="294">
        <v>75</v>
      </c>
      <c r="J32" s="340">
        <f>I32*(1)</f>
        <v>75</v>
      </c>
      <c r="K32" s="340">
        <f t="shared" ref="K32:L32" si="74">J32*(1)</f>
        <v>75</v>
      </c>
      <c r="L32" s="340">
        <f t="shared" si="74"/>
        <v>75</v>
      </c>
      <c r="M32" s="340">
        <f>L32*(1+Окружение!L8)</f>
        <v>76.243719788869925</v>
      </c>
      <c r="N32" s="340">
        <f>M32*(1)</f>
        <v>76.243719788869925</v>
      </c>
      <c r="O32" s="340">
        <f t="shared" ref="O32:P32" si="75">N32*(1)</f>
        <v>76.243719788869925</v>
      </c>
      <c r="P32" s="340">
        <f t="shared" si="75"/>
        <v>76.243719788869925</v>
      </c>
      <c r="Q32" s="340">
        <f>P32*(1)</f>
        <v>76.243719788869925</v>
      </c>
      <c r="R32" s="340">
        <f t="shared" ref="R32:T32" si="76">Q32*(1)</f>
        <v>76.243719788869925</v>
      </c>
      <c r="S32" s="340">
        <f t="shared" si="76"/>
        <v>76.243719788869925</v>
      </c>
      <c r="T32" s="340">
        <f t="shared" si="76"/>
        <v>76.243719788869925</v>
      </c>
      <c r="U32" s="340">
        <f>T32*(1+Окружение!T8)</f>
        <v>77.453576847378457</v>
      </c>
      <c r="V32" s="340">
        <f>U32*(1)</f>
        <v>77.453576847378457</v>
      </c>
      <c r="W32" s="340">
        <f t="shared" ref="W32:X32" si="77">V32*(1)</f>
        <v>77.453576847378457</v>
      </c>
      <c r="X32" s="340">
        <f t="shared" si="77"/>
        <v>77.453576847378457</v>
      </c>
    </row>
    <row r="33" spans="1:24" x14ac:dyDescent="0.2">
      <c r="B33" s="28" t="s">
        <v>98</v>
      </c>
      <c r="D33" s="2" t="s">
        <v>99</v>
      </c>
      <c r="E33" s="81">
        <f>E22+E25+E31+E28</f>
        <v>8</v>
      </c>
      <c r="F33" s="81">
        <f t="shared" ref="F33:X33" si="78">F22+F25+F31+F28</f>
        <v>8</v>
      </c>
      <c r="G33" s="81">
        <f t="shared" si="78"/>
        <v>8</v>
      </c>
      <c r="H33" s="81">
        <f t="shared" si="78"/>
        <v>8</v>
      </c>
      <c r="I33" s="81">
        <f t="shared" si="78"/>
        <v>10</v>
      </c>
      <c r="J33" s="81">
        <f t="shared" si="78"/>
        <v>10</v>
      </c>
      <c r="K33" s="81">
        <f t="shared" si="78"/>
        <v>10</v>
      </c>
      <c r="L33" s="81">
        <f t="shared" si="78"/>
        <v>10</v>
      </c>
      <c r="M33" s="81">
        <f t="shared" si="78"/>
        <v>10</v>
      </c>
      <c r="N33" s="81">
        <f t="shared" si="78"/>
        <v>10</v>
      </c>
      <c r="O33" s="81">
        <f t="shared" si="78"/>
        <v>10</v>
      </c>
      <c r="P33" s="81">
        <f t="shared" si="78"/>
        <v>10</v>
      </c>
      <c r="Q33" s="81">
        <f t="shared" si="78"/>
        <v>10</v>
      </c>
      <c r="R33" s="81">
        <f t="shared" si="78"/>
        <v>10</v>
      </c>
      <c r="S33" s="81">
        <f t="shared" si="78"/>
        <v>10</v>
      </c>
      <c r="T33" s="81">
        <f t="shared" si="78"/>
        <v>10</v>
      </c>
      <c r="U33" s="81">
        <f t="shared" si="78"/>
        <v>10</v>
      </c>
      <c r="V33" s="81">
        <f t="shared" si="78"/>
        <v>10</v>
      </c>
      <c r="W33" s="81">
        <f t="shared" si="78"/>
        <v>10</v>
      </c>
      <c r="X33" s="81">
        <f t="shared" si="78"/>
        <v>10</v>
      </c>
    </row>
    <row r="34" spans="1:24" x14ac:dyDescent="0.2">
      <c r="B34" s="28" t="s">
        <v>100</v>
      </c>
      <c r="D34" s="2" t="s">
        <v>85</v>
      </c>
      <c r="E34" s="81">
        <f>E22*E23*3+E25*E26*3+E31*E32*3+E28*E29*3</f>
        <v>1560</v>
      </c>
      <c r="F34" s="81">
        <f t="shared" ref="F34:X34" si="79">F22*F23*3+F25*F26*3+F31*F32*3+F28*F29*3</f>
        <v>1574.6504092719697</v>
      </c>
      <c r="G34" s="81">
        <f t="shared" si="79"/>
        <v>1574.6504092719697</v>
      </c>
      <c r="H34" s="81">
        <f t="shared" si="79"/>
        <v>1574.6504092719697</v>
      </c>
      <c r="I34" s="81">
        <f t="shared" si="79"/>
        <v>2456.3503444693592</v>
      </c>
      <c r="J34" s="81">
        <f t="shared" si="79"/>
        <v>2456.3503444693592</v>
      </c>
      <c r="K34" s="81">
        <f t="shared" si="79"/>
        <v>2456.3503444693592</v>
      </c>
      <c r="L34" s="81">
        <f t="shared" si="79"/>
        <v>2456.3503444693592</v>
      </c>
      <c r="M34" s="81">
        <f t="shared" si="79"/>
        <v>2611.8133272598861</v>
      </c>
      <c r="N34" s="81">
        <f t="shared" si="79"/>
        <v>2611.8133272598861</v>
      </c>
      <c r="O34" s="81">
        <f t="shared" si="79"/>
        <v>2611.8133272598861</v>
      </c>
      <c r="P34" s="81">
        <f t="shared" si="79"/>
        <v>2611.8133272598861</v>
      </c>
      <c r="Q34" s="81">
        <f t="shared" si="79"/>
        <v>2759.564421669269</v>
      </c>
      <c r="R34" s="81">
        <f t="shared" si="79"/>
        <v>2759.564421669269</v>
      </c>
      <c r="S34" s="81">
        <f t="shared" si="79"/>
        <v>2759.564421669269</v>
      </c>
      <c r="T34" s="81">
        <f t="shared" si="79"/>
        <v>2759.564421669269</v>
      </c>
      <c r="U34" s="81">
        <f t="shared" si="79"/>
        <v>2927.6981548944673</v>
      </c>
      <c r="V34" s="81">
        <f t="shared" si="79"/>
        <v>2927.6981548944673</v>
      </c>
      <c r="W34" s="81">
        <f t="shared" si="79"/>
        <v>2927.6981548944673</v>
      </c>
      <c r="X34" s="81">
        <f t="shared" si="79"/>
        <v>2927.6981548944673</v>
      </c>
    </row>
    <row r="35" spans="1:24" x14ac:dyDescent="0.2">
      <c r="D35" s="14"/>
      <c r="E35" s="95"/>
    </row>
    <row r="36" spans="1:24" x14ac:dyDescent="0.2">
      <c r="A36" s="10" t="s">
        <v>516</v>
      </c>
      <c r="B36" s="10"/>
      <c r="D36" s="2"/>
      <c r="E36" s="95"/>
    </row>
    <row r="37" spans="1:24" x14ac:dyDescent="0.2">
      <c r="B37" s="337" t="s">
        <v>513</v>
      </c>
      <c r="D37" s="2"/>
      <c r="E37" s="95"/>
    </row>
    <row r="38" spans="1:24" x14ac:dyDescent="0.2">
      <c r="C38" s="1" t="s">
        <v>97</v>
      </c>
      <c r="D38" s="2" t="s">
        <v>99</v>
      </c>
      <c r="E38" s="294">
        <v>1</v>
      </c>
      <c r="F38" s="29">
        <f>E38</f>
        <v>1</v>
      </c>
      <c r="G38" s="29">
        <f t="shared" ref="G38:X38" si="80">F38</f>
        <v>1</v>
      </c>
      <c r="H38" s="29">
        <f t="shared" si="80"/>
        <v>1</v>
      </c>
      <c r="I38" s="29">
        <f t="shared" si="80"/>
        <v>1</v>
      </c>
      <c r="J38" s="29">
        <f t="shared" si="80"/>
        <v>1</v>
      </c>
      <c r="K38" s="29">
        <f t="shared" si="80"/>
        <v>1</v>
      </c>
      <c r="L38" s="29">
        <f t="shared" si="80"/>
        <v>1</v>
      </c>
      <c r="M38" s="29">
        <f t="shared" si="80"/>
        <v>1</v>
      </c>
      <c r="N38" s="29">
        <f t="shared" si="80"/>
        <v>1</v>
      </c>
      <c r="O38" s="29">
        <f t="shared" si="80"/>
        <v>1</v>
      </c>
      <c r="P38" s="29">
        <f t="shared" si="80"/>
        <v>1</v>
      </c>
      <c r="Q38" s="29">
        <f t="shared" si="80"/>
        <v>1</v>
      </c>
      <c r="R38" s="29">
        <f t="shared" si="80"/>
        <v>1</v>
      </c>
      <c r="S38" s="29">
        <f t="shared" si="80"/>
        <v>1</v>
      </c>
      <c r="T38" s="29">
        <f t="shared" si="80"/>
        <v>1</v>
      </c>
      <c r="U38" s="29">
        <f t="shared" si="80"/>
        <v>1</v>
      </c>
      <c r="V38" s="29">
        <f t="shared" si="80"/>
        <v>1</v>
      </c>
      <c r="W38" s="29">
        <f t="shared" si="80"/>
        <v>1</v>
      </c>
      <c r="X38" s="29">
        <f t="shared" si="80"/>
        <v>1</v>
      </c>
    </row>
    <row r="39" spans="1:24" x14ac:dyDescent="0.2">
      <c r="C39" s="1" t="s">
        <v>26</v>
      </c>
      <c r="D39" s="2" t="s">
        <v>85</v>
      </c>
      <c r="E39" s="294">
        <v>0</v>
      </c>
      <c r="F39" s="29">
        <f>E39*(1+Окружение!E8)</f>
        <v>0</v>
      </c>
      <c r="G39" s="29">
        <f>F39*(1+Окружение!F8)</f>
        <v>0</v>
      </c>
      <c r="H39" s="29">
        <f>G39*(1+Окружение!G8)</f>
        <v>0</v>
      </c>
      <c r="I39" s="294">
        <v>85</v>
      </c>
      <c r="J39" s="29">
        <f>I39*(1)</f>
        <v>85</v>
      </c>
      <c r="K39" s="29">
        <f t="shared" ref="K39:L39" si="81">J39*(1)</f>
        <v>85</v>
      </c>
      <c r="L39" s="29">
        <f t="shared" si="81"/>
        <v>85</v>
      </c>
      <c r="M39" s="29">
        <f>L39*(1+Окружение!L8)</f>
        <v>86.409549094052579</v>
      </c>
      <c r="N39" s="29">
        <f>M39*(1)</f>
        <v>86.409549094052579</v>
      </c>
      <c r="O39" s="29">
        <f t="shared" ref="O39:P39" si="82">N39*(1)</f>
        <v>86.409549094052579</v>
      </c>
      <c r="P39" s="29">
        <f t="shared" si="82"/>
        <v>86.409549094052579</v>
      </c>
      <c r="Q39" s="29">
        <f>P39*(1+Окружение!P8)</f>
        <v>87.718837610688979</v>
      </c>
      <c r="R39" s="29">
        <f>Q39*(1)</f>
        <v>87.718837610688979</v>
      </c>
      <c r="S39" s="29">
        <f t="shared" ref="S39:T39" si="83">R39*(1)</f>
        <v>87.718837610688979</v>
      </c>
      <c r="T39" s="29">
        <f t="shared" si="83"/>
        <v>87.718837610688979</v>
      </c>
      <c r="U39" s="29">
        <f>T39*(1+Окружение!T8)</f>
        <v>89.110785106710139</v>
      </c>
      <c r="V39" s="29">
        <f>U39*(1)</f>
        <v>89.110785106710139</v>
      </c>
      <c r="W39" s="29">
        <f t="shared" ref="W39:X39" si="84">V39*(1)</f>
        <v>89.110785106710139</v>
      </c>
      <c r="X39" s="29">
        <f t="shared" si="84"/>
        <v>89.110785106710139</v>
      </c>
    </row>
    <row r="40" spans="1:24" x14ac:dyDescent="0.2">
      <c r="B40" s="337" t="s">
        <v>517</v>
      </c>
      <c r="D40" s="2"/>
      <c r="E40" s="95"/>
    </row>
    <row r="41" spans="1:24" x14ac:dyDescent="0.2">
      <c r="C41" s="1" t="s">
        <v>97</v>
      </c>
      <c r="D41" s="2" t="s">
        <v>99</v>
      </c>
      <c r="E41" s="294">
        <v>0</v>
      </c>
      <c r="F41" s="29">
        <f>E41</f>
        <v>0</v>
      </c>
      <c r="G41" s="29">
        <f t="shared" ref="G41:X41" si="85">F41</f>
        <v>0</v>
      </c>
      <c r="H41" s="29">
        <f t="shared" si="85"/>
        <v>0</v>
      </c>
      <c r="I41" s="29">
        <v>6</v>
      </c>
      <c r="J41" s="29">
        <f t="shared" si="85"/>
        <v>6</v>
      </c>
      <c r="K41" s="29">
        <f t="shared" si="85"/>
        <v>6</v>
      </c>
      <c r="L41" s="29">
        <f t="shared" si="85"/>
        <v>6</v>
      </c>
      <c r="M41" s="29">
        <f t="shared" si="85"/>
        <v>6</v>
      </c>
      <c r="N41" s="29">
        <f t="shared" si="85"/>
        <v>6</v>
      </c>
      <c r="O41" s="29">
        <f t="shared" si="85"/>
        <v>6</v>
      </c>
      <c r="P41" s="29">
        <f t="shared" si="85"/>
        <v>6</v>
      </c>
      <c r="Q41" s="29">
        <f t="shared" si="85"/>
        <v>6</v>
      </c>
      <c r="R41" s="29">
        <f t="shared" si="85"/>
        <v>6</v>
      </c>
      <c r="S41" s="29">
        <f t="shared" si="85"/>
        <v>6</v>
      </c>
      <c r="T41" s="29">
        <f t="shared" si="85"/>
        <v>6</v>
      </c>
      <c r="U41" s="29">
        <f t="shared" si="85"/>
        <v>6</v>
      </c>
      <c r="V41" s="29">
        <f t="shared" si="85"/>
        <v>6</v>
      </c>
      <c r="W41" s="29">
        <f t="shared" si="85"/>
        <v>6</v>
      </c>
      <c r="X41" s="29">
        <f t="shared" si="85"/>
        <v>6</v>
      </c>
    </row>
    <row r="42" spans="1:24" x14ac:dyDescent="0.2">
      <c r="C42" s="1" t="s">
        <v>26</v>
      </c>
      <c r="D42" s="2" t="s">
        <v>85</v>
      </c>
      <c r="E42" s="294">
        <v>0</v>
      </c>
      <c r="F42" s="29">
        <f>E42*(1+Окружение!E8)</f>
        <v>0</v>
      </c>
      <c r="G42" s="29">
        <f>F42*(1+Окружение!F8)</f>
        <v>0</v>
      </c>
      <c r="H42" s="29">
        <f>G42*(1+Окружение!G8)</f>
        <v>0</v>
      </c>
      <c r="I42" s="294">
        <v>65</v>
      </c>
      <c r="J42" s="29">
        <f>I42*(1)</f>
        <v>65</v>
      </c>
      <c r="K42" s="29">
        <f t="shared" ref="K42:L42" si="86">J42*(1)</f>
        <v>65</v>
      </c>
      <c r="L42" s="29">
        <f t="shared" si="86"/>
        <v>65</v>
      </c>
      <c r="M42" s="29">
        <f>L42*(1+Окружение!L8)</f>
        <v>66.07789048368727</v>
      </c>
      <c r="N42" s="29">
        <f>M42*(1)</f>
        <v>66.07789048368727</v>
      </c>
      <c r="O42" s="29">
        <f t="shared" ref="O42:P42" si="87">N42*(1)</f>
        <v>66.07789048368727</v>
      </c>
      <c r="P42" s="29">
        <f t="shared" si="87"/>
        <v>66.07789048368727</v>
      </c>
      <c r="Q42" s="29">
        <f>P42*(1+Окружение!P8)</f>
        <v>67.079111114056289</v>
      </c>
      <c r="R42" s="29">
        <f>Q42*(1)</f>
        <v>67.079111114056289</v>
      </c>
      <c r="S42" s="29">
        <f t="shared" ref="S42:T42" si="88">R42*(1)</f>
        <v>67.079111114056289</v>
      </c>
      <c r="T42" s="29">
        <f t="shared" si="88"/>
        <v>67.079111114056289</v>
      </c>
      <c r="U42" s="29">
        <f>T42*(1+Окружение!T8)</f>
        <v>68.143541552190115</v>
      </c>
      <c r="V42" s="29">
        <f>U42*(1)</f>
        <v>68.143541552190115</v>
      </c>
      <c r="W42" s="29">
        <f t="shared" ref="W42:X42" si="89">V42*(1)</f>
        <v>68.143541552190115</v>
      </c>
      <c r="X42" s="29">
        <f t="shared" si="89"/>
        <v>68.143541552190115</v>
      </c>
    </row>
    <row r="43" spans="1:24" x14ac:dyDescent="0.2">
      <c r="B43" s="337" t="s">
        <v>518</v>
      </c>
      <c r="D43" s="2"/>
      <c r="E43" s="95"/>
    </row>
    <row r="44" spans="1:24" x14ac:dyDescent="0.2">
      <c r="C44" s="1" t="s">
        <v>97</v>
      </c>
      <c r="D44" s="2" t="s">
        <v>99</v>
      </c>
      <c r="E44" s="294">
        <v>0</v>
      </c>
      <c r="F44" s="29">
        <f>E44</f>
        <v>0</v>
      </c>
      <c r="G44" s="29">
        <f t="shared" ref="G44:X44" si="90">F44</f>
        <v>0</v>
      </c>
      <c r="H44" s="29">
        <f t="shared" si="90"/>
        <v>0</v>
      </c>
      <c r="I44" s="29">
        <v>6</v>
      </c>
      <c r="J44" s="29">
        <f t="shared" si="90"/>
        <v>6</v>
      </c>
      <c r="K44" s="29">
        <f t="shared" si="90"/>
        <v>6</v>
      </c>
      <c r="L44" s="29">
        <f t="shared" si="90"/>
        <v>6</v>
      </c>
      <c r="M44" s="29">
        <f t="shared" si="90"/>
        <v>6</v>
      </c>
      <c r="N44" s="29">
        <f t="shared" si="90"/>
        <v>6</v>
      </c>
      <c r="O44" s="29">
        <f t="shared" si="90"/>
        <v>6</v>
      </c>
      <c r="P44" s="29">
        <f t="shared" si="90"/>
        <v>6</v>
      </c>
      <c r="Q44" s="29">
        <f t="shared" si="90"/>
        <v>6</v>
      </c>
      <c r="R44" s="29">
        <f t="shared" si="90"/>
        <v>6</v>
      </c>
      <c r="S44" s="29">
        <f t="shared" si="90"/>
        <v>6</v>
      </c>
      <c r="T44" s="29">
        <f t="shared" si="90"/>
        <v>6</v>
      </c>
      <c r="U44" s="29">
        <f t="shared" si="90"/>
        <v>6</v>
      </c>
      <c r="V44" s="29">
        <f t="shared" si="90"/>
        <v>6</v>
      </c>
      <c r="W44" s="29">
        <f t="shared" si="90"/>
        <v>6</v>
      </c>
      <c r="X44" s="29">
        <f t="shared" si="90"/>
        <v>6</v>
      </c>
    </row>
    <row r="45" spans="1:24" x14ac:dyDescent="0.2">
      <c r="C45" s="1" t="s">
        <v>26</v>
      </c>
      <c r="D45" s="2" t="s">
        <v>85</v>
      </c>
      <c r="E45" s="294">
        <v>0</v>
      </c>
      <c r="F45" s="29">
        <f>E45*(1+Окружение!E8)</f>
        <v>0</v>
      </c>
      <c r="G45" s="29">
        <f>F45*(1+Окружение!F8)</f>
        <v>0</v>
      </c>
      <c r="H45" s="29">
        <f>G45*(1+Окружение!G8)</f>
        <v>0</v>
      </c>
      <c r="I45" s="294">
        <v>65</v>
      </c>
      <c r="J45" s="29">
        <v>65</v>
      </c>
      <c r="K45" s="29">
        <f>J45*(1)</f>
        <v>65</v>
      </c>
      <c r="L45" s="29">
        <f>K45*(1)</f>
        <v>65</v>
      </c>
      <c r="M45" s="29">
        <f>L45*(1+Окружение!L8)</f>
        <v>66.07789048368727</v>
      </c>
      <c r="N45" s="29">
        <f>M45*(1)</f>
        <v>66.07789048368727</v>
      </c>
      <c r="O45" s="29">
        <f t="shared" ref="O45:P45" si="91">N45*(1)</f>
        <v>66.07789048368727</v>
      </c>
      <c r="P45" s="29">
        <f t="shared" si="91"/>
        <v>66.07789048368727</v>
      </c>
      <c r="Q45" s="29">
        <f>P45*(1+Окружение!P8)</f>
        <v>67.079111114056289</v>
      </c>
      <c r="R45" s="29">
        <f>Q45*(1)</f>
        <v>67.079111114056289</v>
      </c>
      <c r="S45" s="29">
        <f t="shared" ref="S45:T45" si="92">R45*(1)</f>
        <v>67.079111114056289</v>
      </c>
      <c r="T45" s="29">
        <f t="shared" si="92"/>
        <v>67.079111114056289</v>
      </c>
      <c r="U45" s="29">
        <f>T45*(1+Окружение!T8)</f>
        <v>68.143541552190115</v>
      </c>
      <c r="V45" s="29">
        <f>U45*(1)</f>
        <v>68.143541552190115</v>
      </c>
      <c r="W45" s="29">
        <f t="shared" ref="W45:X45" si="93">V45*(1)</f>
        <v>68.143541552190115</v>
      </c>
      <c r="X45" s="29">
        <f t="shared" si="93"/>
        <v>68.143541552190115</v>
      </c>
    </row>
    <row r="46" spans="1:24" x14ac:dyDescent="0.2">
      <c r="B46" s="28" t="s">
        <v>98</v>
      </c>
      <c r="D46" s="2" t="s">
        <v>99</v>
      </c>
      <c r="E46" s="81">
        <f>E38+E41+E44</f>
        <v>1</v>
      </c>
      <c r="F46" s="31">
        <f>F38+F41+F44</f>
        <v>1</v>
      </c>
      <c r="G46" s="31">
        <f t="shared" ref="G46:X46" si="94">G38+G41+G44</f>
        <v>1</v>
      </c>
      <c r="H46" s="31">
        <f t="shared" si="94"/>
        <v>1</v>
      </c>
      <c r="I46" s="31">
        <f t="shared" si="94"/>
        <v>13</v>
      </c>
      <c r="J46" s="31">
        <f t="shared" si="94"/>
        <v>13</v>
      </c>
      <c r="K46" s="31">
        <f t="shared" si="94"/>
        <v>13</v>
      </c>
      <c r="L46" s="31">
        <f t="shared" si="94"/>
        <v>13</v>
      </c>
      <c r="M46" s="31">
        <f t="shared" si="94"/>
        <v>13</v>
      </c>
      <c r="N46" s="31">
        <f t="shared" si="94"/>
        <v>13</v>
      </c>
      <c r="O46" s="31">
        <f t="shared" si="94"/>
        <v>13</v>
      </c>
      <c r="P46" s="31">
        <f t="shared" si="94"/>
        <v>13</v>
      </c>
      <c r="Q46" s="31">
        <f t="shared" si="94"/>
        <v>13</v>
      </c>
      <c r="R46" s="31">
        <f t="shared" si="94"/>
        <v>13</v>
      </c>
      <c r="S46" s="31">
        <f t="shared" si="94"/>
        <v>13</v>
      </c>
      <c r="T46" s="31">
        <f t="shared" si="94"/>
        <v>13</v>
      </c>
      <c r="U46" s="31">
        <f t="shared" si="94"/>
        <v>13</v>
      </c>
      <c r="V46" s="31">
        <f t="shared" si="94"/>
        <v>13</v>
      </c>
      <c r="W46" s="31">
        <f t="shared" si="94"/>
        <v>13</v>
      </c>
      <c r="X46" s="31">
        <f t="shared" si="94"/>
        <v>13</v>
      </c>
    </row>
    <row r="47" spans="1:24" x14ac:dyDescent="0.2">
      <c r="B47" s="28" t="s">
        <v>100</v>
      </c>
      <c r="D47" s="2" t="s">
        <v>85</v>
      </c>
      <c r="E47" s="81">
        <f>E38*E39*3+E41*E42*3+E44*E45*3</f>
        <v>0</v>
      </c>
      <c r="F47" s="31">
        <f t="shared" ref="F47:X47" si="95">F38*F39*3+F41*F42*3+F44*F45*3</f>
        <v>0</v>
      </c>
      <c r="G47" s="31">
        <f t="shared" si="95"/>
        <v>0</v>
      </c>
      <c r="H47" s="31">
        <f t="shared" si="95"/>
        <v>0</v>
      </c>
      <c r="I47" s="31">
        <f t="shared" si="95"/>
        <v>2595</v>
      </c>
      <c r="J47" s="31">
        <f t="shared" si="95"/>
        <v>2595</v>
      </c>
      <c r="K47" s="31">
        <f t="shared" si="95"/>
        <v>2595</v>
      </c>
      <c r="L47" s="31">
        <f t="shared" si="95"/>
        <v>2595</v>
      </c>
      <c r="M47" s="31">
        <f t="shared" si="95"/>
        <v>2638.0327046948996</v>
      </c>
      <c r="N47" s="31">
        <f t="shared" si="95"/>
        <v>2638.0327046948996</v>
      </c>
      <c r="O47" s="31">
        <f t="shared" si="95"/>
        <v>2638.0327046948996</v>
      </c>
      <c r="P47" s="31">
        <f t="shared" si="95"/>
        <v>2638.0327046948996</v>
      </c>
      <c r="Q47" s="31">
        <f t="shared" si="95"/>
        <v>2678.0045129380933</v>
      </c>
      <c r="R47" s="31">
        <f t="shared" si="95"/>
        <v>2678.0045129380933</v>
      </c>
      <c r="S47" s="31">
        <f t="shared" si="95"/>
        <v>2678.0045129380933</v>
      </c>
      <c r="T47" s="31">
        <f t="shared" si="95"/>
        <v>2678.0045129380933</v>
      </c>
      <c r="U47" s="31">
        <f t="shared" si="95"/>
        <v>2720.4998511989743</v>
      </c>
      <c r="V47" s="31">
        <f t="shared" si="95"/>
        <v>2720.4998511989743</v>
      </c>
      <c r="W47" s="31">
        <f t="shared" si="95"/>
        <v>2720.4998511989743</v>
      </c>
      <c r="X47" s="31">
        <f t="shared" si="95"/>
        <v>2720.4998511989743</v>
      </c>
    </row>
    <row r="48" spans="1:24" x14ac:dyDescent="0.2">
      <c r="D48" s="14"/>
      <c r="E48" s="95"/>
    </row>
    <row r="49" spans="1:24" x14ac:dyDescent="0.2">
      <c r="A49" s="25" t="s">
        <v>500</v>
      </c>
      <c r="B49" s="10"/>
      <c r="D49" s="14"/>
      <c r="E49" s="95"/>
    </row>
    <row r="50" spans="1:24" x14ac:dyDescent="0.2">
      <c r="B50" s="337" t="s">
        <v>513</v>
      </c>
      <c r="D50" s="2"/>
      <c r="E50" s="95"/>
    </row>
    <row r="51" spans="1:24" x14ac:dyDescent="0.2">
      <c r="C51" s="1" t="s">
        <v>97</v>
      </c>
      <c r="D51" s="2" t="s">
        <v>99</v>
      </c>
      <c r="E51" s="294">
        <v>0</v>
      </c>
      <c r="F51" s="29">
        <f>E51</f>
        <v>0</v>
      </c>
      <c r="G51" s="29">
        <f t="shared" ref="G51:X51" si="96">F51</f>
        <v>0</v>
      </c>
      <c r="H51" s="29">
        <f t="shared" si="96"/>
        <v>0</v>
      </c>
      <c r="I51" s="29">
        <v>1</v>
      </c>
      <c r="J51" s="29">
        <f t="shared" si="96"/>
        <v>1</v>
      </c>
      <c r="K51" s="29">
        <f t="shared" si="96"/>
        <v>1</v>
      </c>
      <c r="L51" s="29">
        <f t="shared" si="96"/>
        <v>1</v>
      </c>
      <c r="M51" s="29">
        <f t="shared" si="96"/>
        <v>1</v>
      </c>
      <c r="N51" s="29">
        <f t="shared" si="96"/>
        <v>1</v>
      </c>
      <c r="O51" s="29">
        <f t="shared" si="96"/>
        <v>1</v>
      </c>
      <c r="P51" s="29">
        <f t="shared" si="96"/>
        <v>1</v>
      </c>
      <c r="Q51" s="29">
        <f t="shared" si="96"/>
        <v>1</v>
      </c>
      <c r="R51" s="29">
        <f t="shared" si="96"/>
        <v>1</v>
      </c>
      <c r="S51" s="29">
        <f t="shared" si="96"/>
        <v>1</v>
      </c>
      <c r="T51" s="29">
        <f t="shared" si="96"/>
        <v>1</v>
      </c>
      <c r="U51" s="29">
        <f t="shared" si="96"/>
        <v>1</v>
      </c>
      <c r="V51" s="29">
        <f t="shared" si="96"/>
        <v>1</v>
      </c>
      <c r="W51" s="29">
        <f t="shared" si="96"/>
        <v>1</v>
      </c>
      <c r="X51" s="29">
        <f t="shared" si="96"/>
        <v>1</v>
      </c>
    </row>
    <row r="52" spans="1:24" x14ac:dyDescent="0.2">
      <c r="C52" s="1" t="s">
        <v>26</v>
      </c>
      <c r="D52" s="2" t="s">
        <v>85</v>
      </c>
      <c r="E52" s="294">
        <v>0</v>
      </c>
      <c r="F52" s="29">
        <f>E52*(1+Окружение!E8)</f>
        <v>0</v>
      </c>
      <c r="G52" s="29">
        <f>F52*(1+Окружение!F8)</f>
        <v>0</v>
      </c>
      <c r="H52" s="29">
        <f>G52*(1+Окружение!G8)</f>
        <v>0</v>
      </c>
      <c r="I52" s="294">
        <v>85</v>
      </c>
      <c r="J52" s="29">
        <f>I52*(1)</f>
        <v>85</v>
      </c>
      <c r="K52" s="29">
        <f t="shared" ref="K52:L52" si="97">J52*(1)</f>
        <v>85</v>
      </c>
      <c r="L52" s="29">
        <f t="shared" si="97"/>
        <v>85</v>
      </c>
      <c r="M52" s="29">
        <f>L52*(1+Окружение!L8)</f>
        <v>86.409549094052579</v>
      </c>
      <c r="N52" s="29">
        <f>M52*(1)</f>
        <v>86.409549094052579</v>
      </c>
      <c r="O52" s="29">
        <f t="shared" ref="O52:P52" si="98">N52*(1)</f>
        <v>86.409549094052579</v>
      </c>
      <c r="P52" s="29">
        <f t="shared" si="98"/>
        <v>86.409549094052579</v>
      </c>
      <c r="Q52" s="29">
        <f>P52*(1+Окружение!P8)</f>
        <v>87.718837610688979</v>
      </c>
      <c r="R52" s="29">
        <f>Q52*(1)</f>
        <v>87.718837610688979</v>
      </c>
      <c r="S52" s="29">
        <f t="shared" ref="S52:T52" si="99">R52*(1)</f>
        <v>87.718837610688979</v>
      </c>
      <c r="T52" s="29">
        <f t="shared" si="99"/>
        <v>87.718837610688979</v>
      </c>
      <c r="U52" s="29">
        <f>T52*(1+Окружение!T8)</f>
        <v>89.110785106710139</v>
      </c>
      <c r="V52" s="29">
        <f>U52*(1)</f>
        <v>89.110785106710139</v>
      </c>
      <c r="W52" s="29">
        <f t="shared" ref="W52:X52" si="100">V52*(1)</f>
        <v>89.110785106710139</v>
      </c>
      <c r="X52" s="29">
        <f t="shared" si="100"/>
        <v>89.110785106710139</v>
      </c>
    </row>
    <row r="53" spans="1:24" x14ac:dyDescent="0.2">
      <c r="B53" s="337" t="s">
        <v>519</v>
      </c>
      <c r="D53" s="2"/>
      <c r="E53" s="95"/>
    </row>
    <row r="54" spans="1:24" x14ac:dyDescent="0.2">
      <c r="C54" s="1" t="s">
        <v>97</v>
      </c>
      <c r="D54" s="2" t="s">
        <v>99</v>
      </c>
      <c r="E54" s="294">
        <v>0</v>
      </c>
      <c r="F54" s="29">
        <f>E54</f>
        <v>0</v>
      </c>
      <c r="G54" s="29">
        <f t="shared" ref="G54:X54" si="101">F54</f>
        <v>0</v>
      </c>
      <c r="H54" s="29">
        <f t="shared" si="101"/>
        <v>0</v>
      </c>
      <c r="I54" s="29">
        <v>6</v>
      </c>
      <c r="J54" s="29">
        <f t="shared" si="101"/>
        <v>6</v>
      </c>
      <c r="K54" s="29">
        <f t="shared" si="101"/>
        <v>6</v>
      </c>
      <c r="L54" s="29">
        <f t="shared" si="101"/>
        <v>6</v>
      </c>
      <c r="M54" s="29">
        <f t="shared" si="101"/>
        <v>6</v>
      </c>
      <c r="N54" s="29">
        <f t="shared" si="101"/>
        <v>6</v>
      </c>
      <c r="O54" s="29">
        <f t="shared" si="101"/>
        <v>6</v>
      </c>
      <c r="P54" s="29">
        <f t="shared" si="101"/>
        <v>6</v>
      </c>
      <c r="Q54" s="29">
        <f t="shared" si="101"/>
        <v>6</v>
      </c>
      <c r="R54" s="29">
        <f t="shared" si="101"/>
        <v>6</v>
      </c>
      <c r="S54" s="29">
        <f t="shared" si="101"/>
        <v>6</v>
      </c>
      <c r="T54" s="29">
        <f t="shared" si="101"/>
        <v>6</v>
      </c>
      <c r="U54" s="29">
        <f t="shared" si="101"/>
        <v>6</v>
      </c>
      <c r="V54" s="29">
        <f t="shared" si="101"/>
        <v>6</v>
      </c>
      <c r="W54" s="29">
        <f t="shared" si="101"/>
        <v>6</v>
      </c>
      <c r="X54" s="29">
        <f t="shared" si="101"/>
        <v>6</v>
      </c>
    </row>
    <row r="55" spans="1:24" x14ac:dyDescent="0.2">
      <c r="C55" s="1" t="s">
        <v>26</v>
      </c>
      <c r="D55" s="2" t="s">
        <v>85</v>
      </c>
      <c r="E55" s="294">
        <v>0</v>
      </c>
      <c r="F55" s="29">
        <f>E55*(1+Окружение!E8)</f>
        <v>0</v>
      </c>
      <c r="G55" s="29">
        <f>F55*(1+Окружение!F8)</f>
        <v>0</v>
      </c>
      <c r="H55" s="29">
        <f>G55*(1+Окружение!G8)</f>
        <v>0</v>
      </c>
      <c r="I55" s="294">
        <v>65</v>
      </c>
      <c r="J55" s="29">
        <f>I55*(1)</f>
        <v>65</v>
      </c>
      <c r="K55" s="29">
        <f t="shared" ref="K55:L55" si="102">J55*(1)</f>
        <v>65</v>
      </c>
      <c r="L55" s="29">
        <f t="shared" si="102"/>
        <v>65</v>
      </c>
      <c r="M55" s="29">
        <f>L55*(1+Окружение!L8)</f>
        <v>66.07789048368727</v>
      </c>
      <c r="N55" s="29">
        <f>M55*(1)</f>
        <v>66.07789048368727</v>
      </c>
      <c r="O55" s="29">
        <f t="shared" ref="O55:P55" si="103">N55*(1)</f>
        <v>66.07789048368727</v>
      </c>
      <c r="P55" s="29">
        <f t="shared" si="103"/>
        <v>66.07789048368727</v>
      </c>
      <c r="Q55" s="29">
        <f>P55*(1+Окружение!P8)</f>
        <v>67.079111114056289</v>
      </c>
      <c r="R55" s="29">
        <f>Q55*(1)</f>
        <v>67.079111114056289</v>
      </c>
      <c r="S55" s="29">
        <f t="shared" ref="S55:T55" si="104">R55*(1)</f>
        <v>67.079111114056289</v>
      </c>
      <c r="T55" s="29">
        <f t="shared" si="104"/>
        <v>67.079111114056289</v>
      </c>
      <c r="U55" s="29">
        <f>T55*(1+Окружение!T8)</f>
        <v>68.143541552190115</v>
      </c>
      <c r="V55" s="29">
        <f>U55*(1)</f>
        <v>68.143541552190115</v>
      </c>
      <c r="W55" s="29">
        <f t="shared" ref="W55:X55" si="105">V55*(1)</f>
        <v>68.143541552190115</v>
      </c>
      <c r="X55" s="29">
        <f t="shared" si="105"/>
        <v>68.143541552190115</v>
      </c>
    </row>
    <row r="56" spans="1:24" x14ac:dyDescent="0.2">
      <c r="B56" s="1" t="s">
        <v>520</v>
      </c>
      <c r="D56" s="2"/>
      <c r="E56" s="95"/>
    </row>
    <row r="57" spans="1:24" x14ac:dyDescent="0.2">
      <c r="C57" s="1" t="s">
        <v>97</v>
      </c>
      <c r="D57" s="2" t="s">
        <v>99</v>
      </c>
      <c r="E57" s="294">
        <v>1</v>
      </c>
      <c r="F57" s="29">
        <f>E57</f>
        <v>1</v>
      </c>
      <c r="G57" s="29">
        <f t="shared" ref="G57:X57" si="106">F57</f>
        <v>1</v>
      </c>
      <c r="H57" s="29">
        <f t="shared" si="106"/>
        <v>1</v>
      </c>
      <c r="I57" s="29">
        <v>1</v>
      </c>
      <c r="J57" s="29">
        <f t="shared" si="106"/>
        <v>1</v>
      </c>
      <c r="K57" s="29">
        <f t="shared" si="106"/>
        <v>1</v>
      </c>
      <c r="L57" s="29">
        <f t="shared" si="106"/>
        <v>1</v>
      </c>
      <c r="M57" s="29">
        <f t="shared" si="106"/>
        <v>1</v>
      </c>
      <c r="N57" s="29">
        <f t="shared" si="106"/>
        <v>1</v>
      </c>
      <c r="O57" s="29">
        <f t="shared" si="106"/>
        <v>1</v>
      </c>
      <c r="P57" s="29">
        <f t="shared" si="106"/>
        <v>1</v>
      </c>
      <c r="Q57" s="29">
        <f t="shared" si="106"/>
        <v>1</v>
      </c>
      <c r="R57" s="29">
        <f t="shared" si="106"/>
        <v>1</v>
      </c>
      <c r="S57" s="29">
        <f t="shared" si="106"/>
        <v>1</v>
      </c>
      <c r="T57" s="29">
        <f t="shared" si="106"/>
        <v>1</v>
      </c>
      <c r="U57" s="29">
        <f t="shared" si="106"/>
        <v>1</v>
      </c>
      <c r="V57" s="29">
        <f t="shared" si="106"/>
        <v>1</v>
      </c>
      <c r="W57" s="29">
        <f t="shared" si="106"/>
        <v>1</v>
      </c>
      <c r="X57" s="29">
        <f t="shared" si="106"/>
        <v>1</v>
      </c>
    </row>
    <row r="58" spans="1:24" x14ac:dyDescent="0.2">
      <c r="C58" s="1" t="s">
        <v>26</v>
      </c>
      <c r="D58" s="2" t="s">
        <v>85</v>
      </c>
      <c r="E58" s="294">
        <v>80</v>
      </c>
      <c r="F58" s="29">
        <f>E58*(1)</f>
        <v>80</v>
      </c>
      <c r="G58" s="29">
        <f t="shared" ref="G58:H58" si="107">F58*(1)</f>
        <v>80</v>
      </c>
      <c r="H58" s="29">
        <f t="shared" si="107"/>
        <v>80</v>
      </c>
      <c r="I58" s="29">
        <f>H58*(1+Окружение!H8)</f>
        <v>81.667158152453609</v>
      </c>
      <c r="J58" s="29">
        <f>I58*(1)</f>
        <v>81.667158152453609</v>
      </c>
      <c r="K58" s="29">
        <f t="shared" ref="K58:L58" si="108">J58*(1)</f>
        <v>81.667158152453609</v>
      </c>
      <c r="L58" s="29">
        <f t="shared" si="108"/>
        <v>81.667158152453609</v>
      </c>
      <c r="M58" s="29">
        <f>L58*(1+Окружение!L8)</f>
        <v>83.021438961719966</v>
      </c>
      <c r="N58" s="29">
        <f>M58*(1)</f>
        <v>83.021438961719966</v>
      </c>
      <c r="O58" s="29">
        <f t="shared" ref="O58:P58" si="109">N58*(1)</f>
        <v>83.021438961719966</v>
      </c>
      <c r="P58" s="29">
        <f t="shared" si="109"/>
        <v>83.021438961719966</v>
      </c>
      <c r="Q58" s="29">
        <f>P58*(1+Окружение!P8)</f>
        <v>84.279390401194519</v>
      </c>
      <c r="R58" s="29">
        <f>Q58*(1)</f>
        <v>84.279390401194519</v>
      </c>
      <c r="S58" s="29">
        <f>R58*(1)</f>
        <v>84.279390401194519</v>
      </c>
      <c r="T58" s="29">
        <f>S58*(1)</f>
        <v>84.279390401194519</v>
      </c>
      <c r="U58" s="29">
        <f>T58*(1+Окружение!T8)</f>
        <v>85.616759769400076</v>
      </c>
      <c r="V58" s="29">
        <f>U58*(1)</f>
        <v>85.616759769400076</v>
      </c>
      <c r="W58" s="29">
        <f t="shared" ref="W58:X58" si="110">V58*(1)</f>
        <v>85.616759769400076</v>
      </c>
      <c r="X58" s="29">
        <f t="shared" si="110"/>
        <v>85.616759769400076</v>
      </c>
    </row>
    <row r="59" spans="1:24" s="331" customFormat="1" x14ac:dyDescent="0.2">
      <c r="D59" s="335"/>
      <c r="E59" s="334"/>
    </row>
    <row r="60" spans="1:24" x14ac:dyDescent="0.2">
      <c r="B60" s="1" t="s">
        <v>521</v>
      </c>
      <c r="D60" s="2"/>
      <c r="E60" s="95"/>
    </row>
    <row r="61" spans="1:24" x14ac:dyDescent="0.2">
      <c r="C61" s="1" t="s">
        <v>97</v>
      </c>
      <c r="D61" s="2" t="s">
        <v>99</v>
      </c>
      <c r="E61" s="294">
        <v>0</v>
      </c>
      <c r="F61" s="29">
        <f>E61</f>
        <v>0</v>
      </c>
      <c r="G61" s="29">
        <f t="shared" ref="G61" si="111">F61</f>
        <v>0</v>
      </c>
      <c r="H61" s="29">
        <f t="shared" ref="H61" si="112">G61</f>
        <v>0</v>
      </c>
      <c r="I61" s="29">
        <v>2</v>
      </c>
      <c r="J61" s="29">
        <f t="shared" ref="J61" si="113">I61</f>
        <v>2</v>
      </c>
      <c r="K61" s="29">
        <f t="shared" ref="K61" si="114">J61</f>
        <v>2</v>
      </c>
      <c r="L61" s="29">
        <f t="shared" ref="L61" si="115">K61</f>
        <v>2</v>
      </c>
      <c r="M61" s="29">
        <f t="shared" ref="M61" si="116">L61</f>
        <v>2</v>
      </c>
      <c r="N61" s="29">
        <f t="shared" ref="N61" si="117">M61</f>
        <v>2</v>
      </c>
      <c r="O61" s="29">
        <f t="shared" ref="O61" si="118">N61</f>
        <v>2</v>
      </c>
      <c r="P61" s="29">
        <f t="shared" ref="P61" si="119">O61</f>
        <v>2</v>
      </c>
      <c r="Q61" s="29">
        <f t="shared" ref="Q61" si="120">P61</f>
        <v>2</v>
      </c>
      <c r="R61" s="29">
        <f t="shared" ref="R61" si="121">Q61</f>
        <v>2</v>
      </c>
      <c r="S61" s="29">
        <f t="shared" ref="S61" si="122">R61</f>
        <v>2</v>
      </c>
      <c r="T61" s="29">
        <f t="shared" ref="T61" si="123">S61</f>
        <v>2</v>
      </c>
      <c r="U61" s="29">
        <f t="shared" ref="U61" si="124">T61</f>
        <v>2</v>
      </c>
      <c r="V61" s="29">
        <f t="shared" ref="V61" si="125">U61</f>
        <v>2</v>
      </c>
      <c r="W61" s="29">
        <f t="shared" ref="W61" si="126">V61</f>
        <v>2</v>
      </c>
      <c r="X61" s="29">
        <f t="shared" ref="X61" si="127">W61</f>
        <v>2</v>
      </c>
    </row>
    <row r="62" spans="1:24" x14ac:dyDescent="0.2">
      <c r="C62" s="1" t="s">
        <v>26</v>
      </c>
      <c r="D62" s="2" t="s">
        <v>85</v>
      </c>
      <c r="E62" s="294">
        <v>0</v>
      </c>
      <c r="F62" s="29">
        <f>E62*(1+Окружение!E8)</f>
        <v>0</v>
      </c>
      <c r="G62" s="29">
        <f>F62*(1+Окружение!F8)</f>
        <v>0</v>
      </c>
      <c r="H62" s="29">
        <f>G62*(1+Окружение!G8)</f>
        <v>0</v>
      </c>
      <c r="I62" s="294">
        <v>55</v>
      </c>
      <c r="J62" s="29">
        <f>I62*(1)</f>
        <v>55</v>
      </c>
      <c r="K62" s="29">
        <f t="shared" ref="K62:L62" si="128">J62*(1)</f>
        <v>55</v>
      </c>
      <c r="L62" s="29">
        <f t="shared" si="128"/>
        <v>55</v>
      </c>
      <c r="M62" s="29">
        <f>L62*(1+Окружение!L8)</f>
        <v>55.912061178504608</v>
      </c>
      <c r="N62" s="29">
        <f>M62*(1)</f>
        <v>55.912061178504608</v>
      </c>
      <c r="O62" s="29">
        <f t="shared" ref="O62:P62" si="129">N62*(1)</f>
        <v>55.912061178504608</v>
      </c>
      <c r="P62" s="29">
        <f t="shared" si="129"/>
        <v>55.912061178504608</v>
      </c>
      <c r="Q62" s="29">
        <f>P62*(1+Окружение!P8)</f>
        <v>56.75924786573993</v>
      </c>
      <c r="R62" s="29">
        <f>Q62*(1)</f>
        <v>56.75924786573993</v>
      </c>
      <c r="S62" s="29">
        <f t="shared" ref="S62:T62" si="130">R62*(1)</f>
        <v>56.75924786573993</v>
      </c>
      <c r="T62" s="29">
        <f t="shared" si="130"/>
        <v>56.75924786573993</v>
      </c>
      <c r="U62" s="29">
        <f>T62*(1+Окружение!T8)</f>
        <v>57.659919774930088</v>
      </c>
      <c r="V62" s="29">
        <f>U62*(1)</f>
        <v>57.659919774930088</v>
      </c>
      <c r="W62" s="29">
        <f t="shared" ref="W62:X62" si="131">V62*(1)</f>
        <v>57.659919774930088</v>
      </c>
      <c r="X62" s="29">
        <f t="shared" si="131"/>
        <v>57.659919774930088</v>
      </c>
    </row>
    <row r="63" spans="1:24" s="331" customFormat="1" x14ac:dyDescent="0.2">
      <c r="D63" s="335"/>
      <c r="E63" s="334"/>
    </row>
    <row r="64" spans="1:24" x14ac:dyDescent="0.2">
      <c r="B64" s="28" t="s">
        <v>98</v>
      </c>
      <c r="D64" s="2" t="s">
        <v>99</v>
      </c>
      <c r="E64" s="31">
        <f t="shared" ref="E64:H64" si="132">E51+E54+E57+E61</f>
        <v>1</v>
      </c>
      <c r="F64" s="31">
        <f t="shared" si="132"/>
        <v>1</v>
      </c>
      <c r="G64" s="31">
        <f t="shared" si="132"/>
        <v>1</v>
      </c>
      <c r="H64" s="31">
        <f t="shared" si="132"/>
        <v>1</v>
      </c>
      <c r="I64" s="31">
        <f>I51+I54+I57+I61</f>
        <v>10</v>
      </c>
      <c r="J64" s="31">
        <f t="shared" ref="J64:V64" si="133">J51+J54+J57+J61</f>
        <v>10</v>
      </c>
      <c r="K64" s="31">
        <f t="shared" si="133"/>
        <v>10</v>
      </c>
      <c r="L64" s="31">
        <f t="shared" si="133"/>
        <v>10</v>
      </c>
      <c r="M64" s="31">
        <f t="shared" si="133"/>
        <v>10</v>
      </c>
      <c r="N64" s="31">
        <f t="shared" si="133"/>
        <v>10</v>
      </c>
      <c r="O64" s="31">
        <f t="shared" si="133"/>
        <v>10</v>
      </c>
      <c r="P64" s="31">
        <f t="shared" si="133"/>
        <v>10</v>
      </c>
      <c r="Q64" s="31">
        <f t="shared" si="133"/>
        <v>10</v>
      </c>
      <c r="R64" s="31">
        <f t="shared" si="133"/>
        <v>10</v>
      </c>
      <c r="S64" s="31">
        <f t="shared" si="133"/>
        <v>10</v>
      </c>
      <c r="T64" s="31">
        <f t="shared" si="133"/>
        <v>10</v>
      </c>
      <c r="U64" s="31">
        <f t="shared" si="133"/>
        <v>10</v>
      </c>
      <c r="V64" s="31">
        <f t="shared" si="133"/>
        <v>10</v>
      </c>
      <c r="W64" s="31">
        <f>W51+W54+W57</f>
        <v>8</v>
      </c>
      <c r="X64" s="31">
        <f>X51+X54+X57</f>
        <v>8</v>
      </c>
    </row>
    <row r="65" spans="1:24" x14ac:dyDescent="0.2">
      <c r="B65" s="28" t="s">
        <v>100</v>
      </c>
      <c r="D65" s="2" t="s">
        <v>85</v>
      </c>
      <c r="E65" s="31">
        <f>E51*E52*3+E54*E55*3+E57*E58*3+E61*E62*3</f>
        <v>240</v>
      </c>
      <c r="F65" s="31">
        <f t="shared" ref="F65:X65" si="134">F51*F52*3+F54*F55*3+F57*F58*3</f>
        <v>240</v>
      </c>
      <c r="G65" s="31">
        <f t="shared" si="134"/>
        <v>240</v>
      </c>
      <c r="H65" s="31">
        <f t="shared" si="134"/>
        <v>240</v>
      </c>
      <c r="I65" s="31">
        <f t="shared" si="134"/>
        <v>1670.0014744573609</v>
      </c>
      <c r="J65" s="31">
        <f t="shared" si="134"/>
        <v>1670.0014744573609</v>
      </c>
      <c r="K65" s="31">
        <f t="shared" si="134"/>
        <v>1670.0014744573609</v>
      </c>
      <c r="L65" s="31">
        <f t="shared" si="134"/>
        <v>1670.0014744573609</v>
      </c>
      <c r="M65" s="31">
        <f t="shared" si="134"/>
        <v>1697.6949928736885</v>
      </c>
      <c r="N65" s="31">
        <f t="shared" si="134"/>
        <v>1697.6949928736885</v>
      </c>
      <c r="O65" s="31">
        <f t="shared" si="134"/>
        <v>1697.6949928736885</v>
      </c>
      <c r="P65" s="31">
        <f t="shared" si="134"/>
        <v>1697.6949928736885</v>
      </c>
      <c r="Q65" s="31">
        <f t="shared" si="134"/>
        <v>1723.4186840886637</v>
      </c>
      <c r="R65" s="31">
        <f t="shared" si="134"/>
        <v>1723.4186840886637</v>
      </c>
      <c r="S65" s="31">
        <f t="shared" si="134"/>
        <v>1723.4186840886637</v>
      </c>
      <c r="T65" s="31">
        <f t="shared" si="134"/>
        <v>1723.4186840886637</v>
      </c>
      <c r="U65" s="31">
        <f t="shared" si="134"/>
        <v>1750.7663825677528</v>
      </c>
      <c r="V65" s="31">
        <f t="shared" si="134"/>
        <v>1750.7663825677528</v>
      </c>
      <c r="W65" s="31">
        <f t="shared" si="134"/>
        <v>1750.7663825677528</v>
      </c>
      <c r="X65" s="31">
        <f t="shared" si="134"/>
        <v>1750.7663825677528</v>
      </c>
    </row>
    <row r="66" spans="1:24" x14ac:dyDescent="0.2">
      <c r="B66" s="28"/>
      <c r="D66" s="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 x14ac:dyDescent="0.2">
      <c r="A67" s="10" t="s">
        <v>522</v>
      </c>
      <c r="B67" s="10"/>
      <c r="D67" s="2"/>
      <c r="E67" s="95"/>
    </row>
    <row r="68" spans="1:24" x14ac:dyDescent="0.2">
      <c r="B68" s="337" t="s">
        <v>523</v>
      </c>
      <c r="D68" s="2"/>
      <c r="E68" s="95"/>
    </row>
    <row r="69" spans="1:24" x14ac:dyDescent="0.2">
      <c r="C69" s="1" t="s">
        <v>97</v>
      </c>
      <c r="D69" s="2" t="s">
        <v>99</v>
      </c>
      <c r="E69" s="294">
        <v>0</v>
      </c>
      <c r="F69" s="29">
        <f>E69</f>
        <v>0</v>
      </c>
      <c r="G69" s="29">
        <f t="shared" ref="G69:X69" si="135">F69</f>
        <v>0</v>
      </c>
      <c r="H69" s="29">
        <f t="shared" si="135"/>
        <v>0</v>
      </c>
      <c r="I69" s="29">
        <v>1</v>
      </c>
      <c r="J69" s="29">
        <f t="shared" si="135"/>
        <v>1</v>
      </c>
      <c r="K69" s="29">
        <f t="shared" si="135"/>
        <v>1</v>
      </c>
      <c r="L69" s="29">
        <f t="shared" si="135"/>
        <v>1</v>
      </c>
      <c r="M69" s="29">
        <f t="shared" si="135"/>
        <v>1</v>
      </c>
      <c r="N69" s="29">
        <f t="shared" si="135"/>
        <v>1</v>
      </c>
      <c r="O69" s="29">
        <f t="shared" si="135"/>
        <v>1</v>
      </c>
      <c r="P69" s="29">
        <f t="shared" si="135"/>
        <v>1</v>
      </c>
      <c r="Q69" s="29">
        <f t="shared" si="135"/>
        <v>1</v>
      </c>
      <c r="R69" s="29">
        <f t="shared" si="135"/>
        <v>1</v>
      </c>
      <c r="S69" s="29">
        <f t="shared" si="135"/>
        <v>1</v>
      </c>
      <c r="T69" s="29">
        <f t="shared" si="135"/>
        <v>1</v>
      </c>
      <c r="U69" s="29">
        <f t="shared" si="135"/>
        <v>1</v>
      </c>
      <c r="V69" s="29">
        <f t="shared" si="135"/>
        <v>1</v>
      </c>
      <c r="W69" s="29">
        <f t="shared" si="135"/>
        <v>1</v>
      </c>
      <c r="X69" s="29">
        <f t="shared" si="135"/>
        <v>1</v>
      </c>
    </row>
    <row r="70" spans="1:24" x14ac:dyDescent="0.2">
      <c r="C70" s="1" t="s">
        <v>26</v>
      </c>
      <c r="D70" s="2" t="s">
        <v>85</v>
      </c>
      <c r="E70" s="294">
        <v>0</v>
      </c>
      <c r="F70" s="29">
        <f>E70*(1+Окружение!E8)</f>
        <v>0</v>
      </c>
      <c r="G70" s="29">
        <f>F70*(1+Окружение!F8)</f>
        <v>0</v>
      </c>
      <c r="H70" s="29">
        <f>G70*(1+Окружение!G8)</f>
        <v>0</v>
      </c>
      <c r="I70" s="294">
        <v>85</v>
      </c>
      <c r="J70" s="29">
        <f>I70*(1)</f>
        <v>85</v>
      </c>
      <c r="K70" s="29">
        <f t="shared" ref="K70:L70" si="136">J70*(1)</f>
        <v>85</v>
      </c>
      <c r="L70" s="29">
        <f t="shared" si="136"/>
        <v>85</v>
      </c>
      <c r="M70" s="29">
        <f>L70*(1+Окружение!L8)</f>
        <v>86.409549094052579</v>
      </c>
      <c r="N70" s="29">
        <f>M70*(1)</f>
        <v>86.409549094052579</v>
      </c>
      <c r="O70" s="29">
        <f t="shared" ref="O70:P70" si="137">N70*(1)</f>
        <v>86.409549094052579</v>
      </c>
      <c r="P70" s="29">
        <f t="shared" si="137"/>
        <v>86.409549094052579</v>
      </c>
      <c r="Q70" s="29">
        <f>P70*(1+Окружение!P8)</f>
        <v>87.718837610688979</v>
      </c>
      <c r="R70" s="29">
        <f>Q70*(1)</f>
        <v>87.718837610688979</v>
      </c>
      <c r="S70" s="29">
        <f t="shared" ref="S70:T70" si="138">R70*(1)</f>
        <v>87.718837610688979</v>
      </c>
      <c r="T70" s="29">
        <f t="shared" si="138"/>
        <v>87.718837610688979</v>
      </c>
      <c r="U70" s="29">
        <f>T70*(1+Окружение!T8)</f>
        <v>89.110785106710139</v>
      </c>
      <c r="V70" s="29">
        <f>U70*(1)</f>
        <v>89.110785106710139</v>
      </c>
      <c r="W70" s="29">
        <f t="shared" ref="W70:X70" si="139">V70*(1)</f>
        <v>89.110785106710139</v>
      </c>
      <c r="X70" s="29">
        <f t="shared" si="139"/>
        <v>89.110785106710139</v>
      </c>
    </row>
    <row r="71" spans="1:24" x14ac:dyDescent="0.2">
      <c r="B71" s="337" t="s">
        <v>524</v>
      </c>
      <c r="D71" s="2"/>
      <c r="E71" s="95"/>
    </row>
    <row r="72" spans="1:24" x14ac:dyDescent="0.2">
      <c r="C72" s="1" t="s">
        <v>97</v>
      </c>
      <c r="D72" s="2" t="s">
        <v>99</v>
      </c>
      <c r="E72" s="294">
        <v>0</v>
      </c>
      <c r="F72" s="29">
        <f>E72</f>
        <v>0</v>
      </c>
      <c r="G72" s="29">
        <f t="shared" ref="G72" si="140">F72</f>
        <v>0</v>
      </c>
      <c r="H72" s="29">
        <f t="shared" ref="H72" si="141">G72</f>
        <v>0</v>
      </c>
      <c r="I72" s="29">
        <v>2</v>
      </c>
      <c r="J72" s="29">
        <f t="shared" ref="J72" si="142">I72</f>
        <v>2</v>
      </c>
      <c r="K72" s="29">
        <f t="shared" ref="K72" si="143">J72</f>
        <v>2</v>
      </c>
      <c r="L72" s="29">
        <f t="shared" ref="L72" si="144">K72</f>
        <v>2</v>
      </c>
      <c r="M72" s="29">
        <f t="shared" ref="M72" si="145">L72</f>
        <v>2</v>
      </c>
      <c r="N72" s="29">
        <f t="shared" ref="N72" si="146">M72</f>
        <v>2</v>
      </c>
      <c r="O72" s="29">
        <f t="shared" ref="O72" si="147">N72</f>
        <v>2</v>
      </c>
      <c r="P72" s="29">
        <f t="shared" ref="P72" si="148">O72</f>
        <v>2</v>
      </c>
      <c r="Q72" s="29">
        <f t="shared" ref="Q72" si="149">P72</f>
        <v>2</v>
      </c>
      <c r="R72" s="29">
        <f t="shared" ref="R72" si="150">Q72</f>
        <v>2</v>
      </c>
      <c r="S72" s="29">
        <f t="shared" ref="S72" si="151">R72</f>
        <v>2</v>
      </c>
      <c r="T72" s="29">
        <f t="shared" ref="T72" si="152">S72</f>
        <v>2</v>
      </c>
      <c r="U72" s="29">
        <f t="shared" ref="U72" si="153">T72</f>
        <v>2</v>
      </c>
      <c r="V72" s="29">
        <f t="shared" ref="V72" si="154">U72</f>
        <v>2</v>
      </c>
      <c r="W72" s="29">
        <f t="shared" ref="W72" si="155">V72</f>
        <v>2</v>
      </c>
      <c r="X72" s="29">
        <f t="shared" ref="X72" si="156">W72</f>
        <v>2</v>
      </c>
    </row>
    <row r="73" spans="1:24" x14ac:dyDescent="0.2">
      <c r="C73" s="1" t="s">
        <v>26</v>
      </c>
      <c r="D73" s="2" t="s">
        <v>85</v>
      </c>
      <c r="E73" s="294">
        <v>0</v>
      </c>
      <c r="F73" s="29">
        <f>E73*(1+Окружение!E8)</f>
        <v>0</v>
      </c>
      <c r="G73" s="29">
        <f>F73*(1+Окружение!F8)</f>
        <v>0</v>
      </c>
      <c r="H73" s="29">
        <f>G73*(1+Окружение!G8)</f>
        <v>0</v>
      </c>
      <c r="I73" s="294">
        <v>60</v>
      </c>
      <c r="J73" s="29">
        <f>I73*(1)</f>
        <v>60</v>
      </c>
      <c r="K73" s="29">
        <f t="shared" ref="K73:L73" si="157">J73*(1)</f>
        <v>60</v>
      </c>
      <c r="L73" s="29">
        <f t="shared" si="157"/>
        <v>60</v>
      </c>
      <c r="M73" s="29">
        <f>L73*(1+Окружение!L8)</f>
        <v>60.994975831095942</v>
      </c>
      <c r="N73" s="29">
        <f>M73*(1)</f>
        <v>60.994975831095942</v>
      </c>
      <c r="O73" s="29">
        <f t="shared" ref="O73:P73" si="158">N73*(1)</f>
        <v>60.994975831095942</v>
      </c>
      <c r="P73" s="29">
        <f t="shared" si="158"/>
        <v>60.994975831095942</v>
      </c>
      <c r="Q73" s="29">
        <f>P73*(1+Окружение!P8)</f>
        <v>61.919179489898113</v>
      </c>
      <c r="R73" s="29">
        <f>Q73*(1)</f>
        <v>61.919179489898113</v>
      </c>
      <c r="S73" s="29">
        <f t="shared" ref="S73:T73" si="159">R73*(1)</f>
        <v>61.919179489898113</v>
      </c>
      <c r="T73" s="29">
        <f t="shared" si="159"/>
        <v>61.919179489898113</v>
      </c>
      <c r="U73" s="29">
        <f>T73*(1+Окружение!T8)</f>
        <v>62.901730663560109</v>
      </c>
      <c r="V73" s="29">
        <f>U73*(1)</f>
        <v>62.901730663560109</v>
      </c>
      <c r="W73" s="29">
        <f t="shared" ref="W73:X73" si="160">V73*(1)</f>
        <v>62.901730663560109</v>
      </c>
      <c r="X73" s="29">
        <f t="shared" si="160"/>
        <v>62.901730663560109</v>
      </c>
    </row>
    <row r="74" spans="1:24" x14ac:dyDescent="0.2">
      <c r="D74" s="14"/>
    </row>
    <row r="75" spans="1:24" x14ac:dyDescent="0.2">
      <c r="B75" s="28" t="s">
        <v>98</v>
      </c>
      <c r="D75" s="14" t="s">
        <v>99</v>
      </c>
      <c r="E75" s="31">
        <f>E69+E72</f>
        <v>0</v>
      </c>
      <c r="F75" s="31">
        <f t="shared" ref="F75:V75" si="161">F69+F72</f>
        <v>0</v>
      </c>
      <c r="G75" s="31">
        <f t="shared" si="161"/>
        <v>0</v>
      </c>
      <c r="H75" s="31">
        <f t="shared" si="161"/>
        <v>0</v>
      </c>
      <c r="I75" s="31">
        <f t="shared" si="161"/>
        <v>3</v>
      </c>
      <c r="J75" s="31">
        <f t="shared" si="161"/>
        <v>3</v>
      </c>
      <c r="K75" s="31">
        <f t="shared" si="161"/>
        <v>3</v>
      </c>
      <c r="L75" s="31">
        <f t="shared" si="161"/>
        <v>3</v>
      </c>
      <c r="M75" s="31">
        <f t="shared" si="161"/>
        <v>3</v>
      </c>
      <c r="N75" s="31">
        <f t="shared" si="161"/>
        <v>3</v>
      </c>
      <c r="O75" s="31">
        <f t="shared" si="161"/>
        <v>3</v>
      </c>
      <c r="P75" s="31">
        <f t="shared" si="161"/>
        <v>3</v>
      </c>
      <c r="Q75" s="31">
        <f t="shared" si="161"/>
        <v>3</v>
      </c>
      <c r="R75" s="31">
        <f t="shared" si="161"/>
        <v>3</v>
      </c>
      <c r="S75" s="31">
        <f t="shared" si="161"/>
        <v>3</v>
      </c>
      <c r="T75" s="31">
        <f t="shared" si="161"/>
        <v>3</v>
      </c>
      <c r="U75" s="31">
        <f t="shared" si="161"/>
        <v>3</v>
      </c>
      <c r="V75" s="31">
        <f t="shared" si="161"/>
        <v>3</v>
      </c>
      <c r="W75" s="31">
        <f t="shared" ref="W75:X75" si="162">W69+W72</f>
        <v>3</v>
      </c>
      <c r="X75" s="31">
        <f t="shared" si="162"/>
        <v>3</v>
      </c>
    </row>
    <row r="76" spans="1:24" x14ac:dyDescent="0.2">
      <c r="B76" s="28" t="s">
        <v>100</v>
      </c>
      <c r="D76" s="14" t="s">
        <v>85</v>
      </c>
      <c r="E76" s="31">
        <f>E73+E70</f>
        <v>0</v>
      </c>
      <c r="F76" s="31">
        <f t="shared" ref="F76:V76" si="163">F73+F70</f>
        <v>0</v>
      </c>
      <c r="G76" s="31">
        <f t="shared" si="163"/>
        <v>0</v>
      </c>
      <c r="H76" s="31">
        <f t="shared" si="163"/>
        <v>0</v>
      </c>
      <c r="I76" s="31">
        <f t="shared" si="163"/>
        <v>145</v>
      </c>
      <c r="J76" s="31">
        <f t="shared" si="163"/>
        <v>145</v>
      </c>
      <c r="K76" s="31">
        <f t="shared" si="163"/>
        <v>145</v>
      </c>
      <c r="L76" s="31">
        <f t="shared" si="163"/>
        <v>145</v>
      </c>
      <c r="M76" s="31">
        <f t="shared" si="163"/>
        <v>147.40452492514851</v>
      </c>
      <c r="N76" s="31">
        <f t="shared" si="163"/>
        <v>147.40452492514851</v>
      </c>
      <c r="O76" s="31">
        <f t="shared" si="163"/>
        <v>147.40452492514851</v>
      </c>
      <c r="P76" s="31">
        <f t="shared" si="163"/>
        <v>147.40452492514851</v>
      </c>
      <c r="Q76" s="31">
        <f t="shared" si="163"/>
        <v>149.63801710058709</v>
      </c>
      <c r="R76" s="31">
        <f t="shared" si="163"/>
        <v>149.63801710058709</v>
      </c>
      <c r="S76" s="31">
        <f t="shared" si="163"/>
        <v>149.63801710058709</v>
      </c>
      <c r="T76" s="31">
        <f t="shared" si="163"/>
        <v>149.63801710058709</v>
      </c>
      <c r="U76" s="31">
        <f t="shared" si="163"/>
        <v>152.01251577027026</v>
      </c>
      <c r="V76" s="31">
        <f t="shared" si="163"/>
        <v>152.01251577027026</v>
      </c>
      <c r="W76" s="31">
        <f t="shared" ref="W76:X76" si="164">W69*W70*3+W72*W73*3</f>
        <v>644.74273930149116</v>
      </c>
      <c r="X76" s="31">
        <f t="shared" si="164"/>
        <v>644.74273930149116</v>
      </c>
    </row>
    <row r="77" spans="1:24" x14ac:dyDescent="0.2">
      <c r="D77" s="14"/>
    </row>
    <row r="78" spans="1:24" x14ac:dyDescent="0.2">
      <c r="A78" s="24" t="s">
        <v>98</v>
      </c>
      <c r="D78" s="14" t="s">
        <v>99</v>
      </c>
      <c r="E78" s="31">
        <f>E33+E46+E64+E7+E75+E18</f>
        <v>12</v>
      </c>
      <c r="F78" s="31">
        <f t="shared" ref="F78:X78" si="165">F33+F46+F64+F7+F75+F18</f>
        <v>12</v>
      </c>
      <c r="G78" s="31">
        <f t="shared" si="165"/>
        <v>12</v>
      </c>
      <c r="H78" s="31">
        <f t="shared" si="165"/>
        <v>12</v>
      </c>
      <c r="I78" s="31">
        <f t="shared" si="165"/>
        <v>39</v>
      </c>
      <c r="J78" s="31">
        <f t="shared" si="165"/>
        <v>39</v>
      </c>
      <c r="K78" s="31">
        <f t="shared" si="165"/>
        <v>39</v>
      </c>
      <c r="L78" s="31">
        <f t="shared" si="165"/>
        <v>39</v>
      </c>
      <c r="M78" s="31">
        <f t="shared" si="165"/>
        <v>39</v>
      </c>
      <c r="N78" s="31">
        <f t="shared" si="165"/>
        <v>39</v>
      </c>
      <c r="O78" s="31">
        <f t="shared" si="165"/>
        <v>39</v>
      </c>
      <c r="P78" s="31">
        <f t="shared" si="165"/>
        <v>39</v>
      </c>
      <c r="Q78" s="31">
        <f t="shared" si="165"/>
        <v>39</v>
      </c>
      <c r="R78" s="31">
        <f t="shared" si="165"/>
        <v>39</v>
      </c>
      <c r="S78" s="31">
        <f t="shared" si="165"/>
        <v>39</v>
      </c>
      <c r="T78" s="31">
        <f t="shared" si="165"/>
        <v>39</v>
      </c>
      <c r="U78" s="31">
        <f t="shared" si="165"/>
        <v>39</v>
      </c>
      <c r="V78" s="31">
        <f t="shared" si="165"/>
        <v>39</v>
      </c>
      <c r="W78" s="31">
        <f t="shared" si="165"/>
        <v>37</v>
      </c>
      <c r="X78" s="31">
        <f t="shared" si="165"/>
        <v>37</v>
      </c>
    </row>
    <row r="79" spans="1:24" x14ac:dyDescent="0.2">
      <c r="A79" s="24" t="s">
        <v>235</v>
      </c>
      <c r="D79" s="14" t="s">
        <v>85</v>
      </c>
      <c r="E79" s="31">
        <f>E34+E47+E65+E8+E76</f>
        <v>2190</v>
      </c>
      <c r="F79" s="31">
        <f t="shared" ref="F79:X79" si="166">F34+F47+F65+F8+F76</f>
        <v>2204.6504092719697</v>
      </c>
      <c r="G79" s="31">
        <f t="shared" si="166"/>
        <v>2204.6504092719697</v>
      </c>
      <c r="H79" s="31">
        <f t="shared" si="166"/>
        <v>2204.6504092719697</v>
      </c>
      <c r="I79" s="31">
        <f t="shared" si="166"/>
        <v>7289.8918189267206</v>
      </c>
      <c r="J79" s="31">
        <f t="shared" si="166"/>
        <v>7289.8918189267206</v>
      </c>
      <c r="K79" s="31">
        <f t="shared" si="166"/>
        <v>7289.8918189267206</v>
      </c>
      <c r="L79" s="31">
        <f t="shared" si="166"/>
        <v>7289.8918189267206</v>
      </c>
      <c r="M79" s="31">
        <f t="shared" si="166"/>
        <v>7547.2862697536229</v>
      </c>
      <c r="N79" s="31">
        <f t="shared" si="166"/>
        <v>7547.2862697536229</v>
      </c>
      <c r="O79" s="31">
        <f t="shared" si="166"/>
        <v>7547.2862697536229</v>
      </c>
      <c r="P79" s="31">
        <f t="shared" si="166"/>
        <v>7547.2862697536229</v>
      </c>
      <c r="Q79" s="31">
        <f t="shared" si="166"/>
        <v>7791.0114804366131</v>
      </c>
      <c r="R79" s="31">
        <f t="shared" si="166"/>
        <v>7791.0114804366131</v>
      </c>
      <c r="S79" s="31">
        <f t="shared" si="166"/>
        <v>7791.0114804366131</v>
      </c>
      <c r="T79" s="31">
        <f t="shared" si="166"/>
        <v>7791.0114804366131</v>
      </c>
      <c r="U79" s="31">
        <f t="shared" si="166"/>
        <v>8062.5878289730654</v>
      </c>
      <c r="V79" s="31">
        <f t="shared" si="166"/>
        <v>8062.5878289730654</v>
      </c>
      <c r="W79" s="31">
        <f t="shared" si="166"/>
        <v>8555.3180525042862</v>
      </c>
      <c r="X79" s="31">
        <f t="shared" si="166"/>
        <v>8555.3180525042862</v>
      </c>
    </row>
    <row r="80" spans="1:24" x14ac:dyDescent="0.2">
      <c r="D80" s="14"/>
      <c r="G80" s="55">
        <f>E79+F79+G79+H79</f>
        <v>8803.9512278159091</v>
      </c>
    </row>
    <row r="81" spans="1:24" x14ac:dyDescent="0.2">
      <c r="A81" s="24" t="s">
        <v>403</v>
      </c>
      <c r="D81" s="14"/>
    </row>
    <row r="82" spans="1:24" s="95" customFormat="1" x14ac:dyDescent="0.2">
      <c r="B82" s="95" t="s">
        <v>525</v>
      </c>
      <c r="D82" s="312" t="s">
        <v>85</v>
      </c>
      <c r="E82" s="300">
        <f>E8*Окружение!D14</f>
        <v>117</v>
      </c>
      <c r="F82" s="300">
        <f>F8*Окружение!E14</f>
        <v>117</v>
      </c>
      <c r="G82" s="300">
        <f>G8*Окружение!F14</f>
        <v>117</v>
      </c>
      <c r="H82" s="300">
        <f>H8*Окружение!G14</f>
        <v>117</v>
      </c>
      <c r="I82" s="300">
        <f>I8*Окружение!H14</f>
        <v>127.062</v>
      </c>
      <c r="J82" s="300">
        <f>J8*Окружение!I14</f>
        <v>127.062</v>
      </c>
      <c r="K82" s="300">
        <f>K8*Окружение!J14</f>
        <v>127.062</v>
      </c>
      <c r="L82" s="300">
        <f>L8*Окружение!K14</f>
        <v>127.062</v>
      </c>
      <c r="M82" s="300">
        <f>M8*Окружение!L14</f>
        <v>135.70221599999999</v>
      </c>
      <c r="N82" s="300">
        <f>N8*Окружение!M14</f>
        <v>135.70221599999999</v>
      </c>
      <c r="O82" s="300">
        <f>O8*Окружение!N14</f>
        <v>135.70221599999999</v>
      </c>
      <c r="P82" s="300">
        <f>P8*Окружение!O14</f>
        <v>135.70221599999999</v>
      </c>
      <c r="Q82" s="300">
        <f>Q8*Окружение!P14</f>
        <v>144.11575339200004</v>
      </c>
      <c r="R82" s="300">
        <f>R8*Окружение!Q14</f>
        <v>144.11575339200004</v>
      </c>
      <c r="S82" s="300">
        <f>S8*Окружение!R14</f>
        <v>144.11575339200004</v>
      </c>
      <c r="T82" s="300">
        <f>T8*Окружение!S14</f>
        <v>144.11575339200004</v>
      </c>
      <c r="U82" s="300">
        <f>U8*Окружение!T14</f>
        <v>153.48327736248004</v>
      </c>
      <c r="V82" s="300">
        <f>V8*Окружение!U14</f>
        <v>153.48327736248004</v>
      </c>
      <c r="W82" s="300">
        <f>W8*Окружение!V14</f>
        <v>153.48327736248004</v>
      </c>
      <c r="X82" s="300">
        <f>X8*Окружение!W14</f>
        <v>153.48327736248004</v>
      </c>
    </row>
    <row r="83" spans="1:24" s="95" customFormat="1" x14ac:dyDescent="0.2">
      <c r="B83" s="95" t="s">
        <v>527</v>
      </c>
      <c r="D83" s="312" t="s">
        <v>85</v>
      </c>
      <c r="E83" s="300">
        <f>E19*Окружение!D14</f>
        <v>81</v>
      </c>
      <c r="F83" s="300">
        <f>F19*Окружение!E14</f>
        <v>81</v>
      </c>
      <c r="G83" s="300">
        <f>G19*Окружение!F14</f>
        <v>81</v>
      </c>
      <c r="H83" s="300">
        <f>H19*Окружение!G14</f>
        <v>81</v>
      </c>
      <c r="I83" s="300">
        <f>I19*Окружение!H14</f>
        <v>87.966000000000008</v>
      </c>
      <c r="J83" s="300">
        <f>J19*Окружение!I14</f>
        <v>87.966000000000008</v>
      </c>
      <c r="K83" s="300">
        <f>K19*Окружение!J14</f>
        <v>87.966000000000008</v>
      </c>
      <c r="L83" s="300">
        <f>L19*Окружение!K14</f>
        <v>87.966000000000008</v>
      </c>
      <c r="M83" s="300">
        <f>M19*Окружение!L14</f>
        <v>93.947688000000014</v>
      </c>
      <c r="N83" s="300">
        <f>N19*Окружение!M14</f>
        <v>93.947688000000014</v>
      </c>
      <c r="O83" s="300">
        <f>O19*Окружение!N14</f>
        <v>93.947688000000014</v>
      </c>
      <c r="P83" s="300">
        <f>P19*Окружение!O14</f>
        <v>93.947688000000014</v>
      </c>
      <c r="Q83" s="300">
        <f>Q19*Окружение!P14</f>
        <v>99.772444656000005</v>
      </c>
      <c r="R83" s="300">
        <f>R19*Окружение!Q14</f>
        <v>99.772444656000005</v>
      </c>
      <c r="S83" s="300">
        <f>S19*Окружение!R14</f>
        <v>99.772444656000005</v>
      </c>
      <c r="T83" s="300">
        <f>T19*Окружение!S14</f>
        <v>99.772444656000005</v>
      </c>
      <c r="U83" s="300">
        <f>U19*Окружение!T14</f>
        <v>106.25765355864</v>
      </c>
      <c r="V83" s="300">
        <f>V19*Окружение!U14</f>
        <v>106.25765355864</v>
      </c>
      <c r="W83" s="300">
        <f>W19*Окружение!V14</f>
        <v>106.25765355864</v>
      </c>
      <c r="X83" s="300">
        <f>X19*Окружение!W14</f>
        <v>106.25765355864</v>
      </c>
    </row>
    <row r="84" spans="1:24" s="95" customFormat="1" x14ac:dyDescent="0.2">
      <c r="B84" s="95" t="s">
        <v>526</v>
      </c>
      <c r="D84" s="312" t="s">
        <v>85</v>
      </c>
      <c r="E84" s="300">
        <f>E34*Окружение!D14</f>
        <v>468</v>
      </c>
      <c r="F84" s="300">
        <f>F34*Окружение!E14</f>
        <v>472.39512278159089</v>
      </c>
      <c r="G84" s="300">
        <f>G34*Окружение!F14</f>
        <v>472.39512278159089</v>
      </c>
      <c r="H84" s="300">
        <f>H34*Окружение!G14</f>
        <v>472.39512278159089</v>
      </c>
      <c r="I84" s="300">
        <f>I34*Окружение!H14</f>
        <v>736.90510334080773</v>
      </c>
      <c r="J84" s="300">
        <f>J34*Окружение!I14</f>
        <v>736.90510334080773</v>
      </c>
      <c r="K84" s="300">
        <f>K34*Окружение!J14</f>
        <v>736.90510334080773</v>
      </c>
      <c r="L84" s="300">
        <f>L34*Окружение!K14</f>
        <v>736.90510334080773</v>
      </c>
      <c r="M84" s="300">
        <f>M34*Окружение!L14</f>
        <v>783.54399817796582</v>
      </c>
      <c r="N84" s="300">
        <f>N34*Окружение!M14</f>
        <v>783.54399817796582</v>
      </c>
      <c r="O84" s="300">
        <f>O34*Окружение!N14</f>
        <v>783.54399817796582</v>
      </c>
      <c r="P84" s="300">
        <f>P34*Окружение!O14</f>
        <v>783.54399817796582</v>
      </c>
      <c r="Q84" s="300">
        <f>Q34*Окружение!P14</f>
        <v>827.86932650078063</v>
      </c>
      <c r="R84" s="300">
        <f>R34*Окружение!Q14</f>
        <v>827.86932650078063</v>
      </c>
      <c r="S84" s="300">
        <f>S34*Окружение!R14</f>
        <v>827.86932650078063</v>
      </c>
      <c r="T84" s="300">
        <f>T34*Окружение!S14</f>
        <v>827.86932650078063</v>
      </c>
      <c r="U84" s="300">
        <f>U34*Окружение!T14</f>
        <v>878.30944646834018</v>
      </c>
      <c r="V84" s="300">
        <f>V34*Окружение!U14</f>
        <v>878.30944646834018</v>
      </c>
      <c r="W84" s="300">
        <f>W34*Окружение!V14</f>
        <v>878.30944646834018</v>
      </c>
      <c r="X84" s="300">
        <f>X34*Окружение!W14</f>
        <v>878.30944646834018</v>
      </c>
    </row>
    <row r="85" spans="1:24" s="95" customFormat="1" x14ac:dyDescent="0.2">
      <c r="B85" s="95" t="s">
        <v>528</v>
      </c>
      <c r="D85" s="312" t="s">
        <v>85</v>
      </c>
      <c r="E85" s="300">
        <f>E47*Окружение!D14</f>
        <v>0</v>
      </c>
      <c r="F85" s="300">
        <f>F47*Окружение!E14</f>
        <v>0</v>
      </c>
      <c r="G85" s="300">
        <f>G47*Окружение!F14</f>
        <v>0</v>
      </c>
      <c r="H85" s="300">
        <f>H47*Окружение!G14</f>
        <v>0</v>
      </c>
      <c r="I85" s="300">
        <f>I47*Окружение!H14</f>
        <v>778.5</v>
      </c>
      <c r="J85" s="300">
        <f>J47*Окружение!I14</f>
        <v>778.5</v>
      </c>
      <c r="K85" s="300">
        <f>K47*Окружение!J14</f>
        <v>778.5</v>
      </c>
      <c r="L85" s="300">
        <f>L47*Окружение!K14</f>
        <v>778.5</v>
      </c>
      <c r="M85" s="300">
        <f>M47*Окружение!L14</f>
        <v>791.40981140846986</v>
      </c>
      <c r="N85" s="300">
        <f>N47*Окружение!M14</f>
        <v>791.40981140846986</v>
      </c>
      <c r="O85" s="300">
        <f>O47*Окружение!N14</f>
        <v>791.40981140846986</v>
      </c>
      <c r="P85" s="300">
        <f>P47*Окружение!O14</f>
        <v>791.40981140846986</v>
      </c>
      <c r="Q85" s="300">
        <f>Q47*Окружение!P14</f>
        <v>803.40135388142801</v>
      </c>
      <c r="R85" s="300">
        <f>R47*Окружение!Q14</f>
        <v>803.40135388142801</v>
      </c>
      <c r="S85" s="300">
        <f>S47*Окружение!R14</f>
        <v>803.40135388142801</v>
      </c>
      <c r="T85" s="300">
        <f>T47*Окружение!S14</f>
        <v>803.40135388142801</v>
      </c>
      <c r="U85" s="300">
        <f>U47*Окружение!T14</f>
        <v>816.14995535969229</v>
      </c>
      <c r="V85" s="300">
        <f>V47*Окружение!U14</f>
        <v>816.14995535969229</v>
      </c>
      <c r="W85" s="300">
        <f>W47*Окружение!V14</f>
        <v>816.14995535969229</v>
      </c>
      <c r="X85" s="300">
        <f>X47*Окружение!W14</f>
        <v>816.14995535969229</v>
      </c>
    </row>
    <row r="86" spans="1:24" s="313" customFormat="1" x14ac:dyDescent="0.2">
      <c r="B86" s="95" t="s">
        <v>501</v>
      </c>
      <c r="C86" s="95"/>
      <c r="D86" s="312" t="s">
        <v>85</v>
      </c>
      <c r="E86" s="300">
        <f>E65*Окружение!D14</f>
        <v>72</v>
      </c>
      <c r="F86" s="300">
        <f>F65*Окружение!E14</f>
        <v>72</v>
      </c>
      <c r="G86" s="300">
        <f>G65*Окружение!F14</f>
        <v>72</v>
      </c>
      <c r="H86" s="300">
        <f>H65*Окружение!G14</f>
        <v>72</v>
      </c>
      <c r="I86" s="300">
        <f>I65*Окружение!H14</f>
        <v>501.00044233720826</v>
      </c>
      <c r="J86" s="300">
        <f>J65*Окружение!I14</f>
        <v>501.00044233720826</v>
      </c>
      <c r="K86" s="300">
        <f>K65*Окружение!J14</f>
        <v>501.00044233720826</v>
      </c>
      <c r="L86" s="300">
        <f>L65*Окружение!K14</f>
        <v>501.00044233720826</v>
      </c>
      <c r="M86" s="300">
        <f>M65*Окружение!L14</f>
        <v>509.30849786210655</v>
      </c>
      <c r="N86" s="300">
        <f>N65*Окружение!M14</f>
        <v>509.30849786210655</v>
      </c>
      <c r="O86" s="300">
        <f>O65*Окружение!N14</f>
        <v>509.30849786210655</v>
      </c>
      <c r="P86" s="300">
        <f>P65*Окружение!O14</f>
        <v>509.30849786210655</v>
      </c>
      <c r="Q86" s="300">
        <f>Q65*Окружение!P14</f>
        <v>517.02560522659905</v>
      </c>
      <c r="R86" s="300">
        <f>R65*Окружение!Q14</f>
        <v>517.02560522659905</v>
      </c>
      <c r="S86" s="300">
        <f>S65*Окружение!R14</f>
        <v>517.02560522659905</v>
      </c>
      <c r="T86" s="300">
        <f>T65*Окружение!S14</f>
        <v>517.02560522659905</v>
      </c>
      <c r="U86" s="300">
        <f>U65*Окружение!T14</f>
        <v>525.22991477032576</v>
      </c>
      <c r="V86" s="300">
        <f>V65*Окружение!U14</f>
        <v>525.22991477032576</v>
      </c>
      <c r="W86" s="300">
        <f>W64*Окружение!V14</f>
        <v>2.4</v>
      </c>
      <c r="X86" s="300">
        <f>X64*Окружение!W14</f>
        <v>2.4</v>
      </c>
    </row>
    <row r="87" spans="1:24" s="313" customFormat="1" x14ac:dyDescent="0.2">
      <c r="B87" s="95" t="s">
        <v>529</v>
      </c>
      <c r="C87" s="95"/>
      <c r="D87" s="312" t="s">
        <v>85</v>
      </c>
      <c r="E87" s="300">
        <f>E76*Окружение!D14</f>
        <v>0</v>
      </c>
      <c r="F87" s="300">
        <f>F65*Окружение!E14</f>
        <v>72</v>
      </c>
      <c r="G87" s="300">
        <f>G65*Окружение!F14</f>
        <v>72</v>
      </c>
      <c r="H87" s="300">
        <f>H65*Окружение!G14</f>
        <v>72</v>
      </c>
      <c r="I87" s="300">
        <f>I65*Окружение!H14</f>
        <v>501.00044233720826</v>
      </c>
      <c r="J87" s="300">
        <f>J65*Окружение!I14</f>
        <v>501.00044233720826</v>
      </c>
      <c r="K87" s="300">
        <f>K65*Окружение!J14</f>
        <v>501.00044233720826</v>
      </c>
      <c r="L87" s="300">
        <f>L65*Окружение!K14</f>
        <v>501.00044233720826</v>
      </c>
      <c r="M87" s="300">
        <f>M65*Окружение!L14</f>
        <v>509.30849786210655</v>
      </c>
      <c r="N87" s="300">
        <f>N65*Окружение!M14</f>
        <v>509.30849786210655</v>
      </c>
      <c r="O87" s="300">
        <f>O65*Окружение!N14</f>
        <v>509.30849786210655</v>
      </c>
      <c r="P87" s="300">
        <f>P65*Окружение!O14</f>
        <v>509.30849786210655</v>
      </c>
      <c r="Q87" s="300">
        <f>Q65*Окружение!P14</f>
        <v>517.02560522659905</v>
      </c>
      <c r="R87" s="300">
        <f>R65*Окружение!Q14</f>
        <v>517.02560522659905</v>
      </c>
      <c r="S87" s="300">
        <f>S65*Окружение!R14</f>
        <v>517.02560522659905</v>
      </c>
      <c r="T87" s="300">
        <f>T65*Окружение!S14</f>
        <v>517.02560522659905</v>
      </c>
      <c r="U87" s="300">
        <f>U65*Окружение!T14</f>
        <v>525.22991477032576</v>
      </c>
      <c r="V87" s="300">
        <f>V65*Окружение!U14</f>
        <v>525.22991477032576</v>
      </c>
      <c r="W87" s="300">
        <f>W65*Окружение!V14</f>
        <v>525.22991477032576</v>
      </c>
      <c r="X87" s="300">
        <f>X65*Окружение!W14</f>
        <v>525.22991477032576</v>
      </c>
    </row>
    <row r="88" spans="1:24" s="95" customFormat="1" x14ac:dyDescent="0.2">
      <c r="B88" s="314" t="s">
        <v>402</v>
      </c>
      <c r="D88" s="312" t="s">
        <v>85</v>
      </c>
      <c r="E88" s="301">
        <f t="shared" ref="E88:X88" si="167">SUM(E82:E87)</f>
        <v>738</v>
      </c>
      <c r="F88" s="301">
        <f t="shared" si="167"/>
        <v>814.39512278159089</v>
      </c>
      <c r="G88" s="301">
        <f t="shared" si="167"/>
        <v>814.39512278159089</v>
      </c>
      <c r="H88" s="301">
        <f t="shared" si="167"/>
        <v>814.39512278159089</v>
      </c>
      <c r="I88" s="301">
        <f t="shared" si="167"/>
        <v>2732.4339880152243</v>
      </c>
      <c r="J88" s="301">
        <f t="shared" si="167"/>
        <v>2732.4339880152243</v>
      </c>
      <c r="K88" s="301">
        <f t="shared" si="167"/>
        <v>2732.4339880152243</v>
      </c>
      <c r="L88" s="301">
        <f t="shared" si="167"/>
        <v>2732.4339880152243</v>
      </c>
      <c r="M88" s="301">
        <f t="shared" si="167"/>
        <v>2823.2207093106485</v>
      </c>
      <c r="N88" s="301">
        <f t="shared" si="167"/>
        <v>2823.2207093106485</v>
      </c>
      <c r="O88" s="301">
        <f t="shared" si="167"/>
        <v>2823.2207093106485</v>
      </c>
      <c r="P88" s="301">
        <f t="shared" si="167"/>
        <v>2823.2207093106485</v>
      </c>
      <c r="Q88" s="301">
        <f t="shared" si="167"/>
        <v>2909.2100888834066</v>
      </c>
      <c r="R88" s="301">
        <f t="shared" si="167"/>
        <v>2909.2100888834066</v>
      </c>
      <c r="S88" s="301">
        <f t="shared" si="167"/>
        <v>2909.2100888834066</v>
      </c>
      <c r="T88" s="301">
        <f t="shared" si="167"/>
        <v>2909.2100888834066</v>
      </c>
      <c r="U88" s="301">
        <f t="shared" si="167"/>
        <v>3004.6601622898038</v>
      </c>
      <c r="V88" s="301">
        <f t="shared" si="167"/>
        <v>3004.6601622898038</v>
      </c>
      <c r="W88" s="301">
        <f t="shared" si="167"/>
        <v>2481.8302475194782</v>
      </c>
      <c r="X88" s="301">
        <f t="shared" si="167"/>
        <v>2481.8302475194782</v>
      </c>
    </row>
    <row r="89" spans="1:24" x14ac:dyDescent="0.2">
      <c r="B89" s="64"/>
      <c r="C89" s="64"/>
      <c r="D89" s="14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</row>
    <row r="90" spans="1:24" x14ac:dyDescent="0.2">
      <c r="A90" s="24" t="s">
        <v>404</v>
      </c>
      <c r="D90" s="14" t="s">
        <v>85</v>
      </c>
      <c r="E90" s="17">
        <f t="shared" ref="E90:X90" si="168">E79+E88</f>
        <v>2928</v>
      </c>
      <c r="F90" s="17">
        <f t="shared" si="168"/>
        <v>3019.0455320535607</v>
      </c>
      <c r="G90" s="17">
        <f t="shared" si="168"/>
        <v>3019.0455320535607</v>
      </c>
      <c r="H90" s="17">
        <f t="shared" si="168"/>
        <v>3019.0455320535607</v>
      </c>
      <c r="I90" s="17">
        <f t="shared" si="168"/>
        <v>10022.325806941944</v>
      </c>
      <c r="J90" s="17">
        <f t="shared" si="168"/>
        <v>10022.325806941944</v>
      </c>
      <c r="K90" s="17">
        <f t="shared" si="168"/>
        <v>10022.325806941944</v>
      </c>
      <c r="L90" s="17">
        <f t="shared" si="168"/>
        <v>10022.325806941944</v>
      </c>
      <c r="M90" s="17">
        <f t="shared" si="168"/>
        <v>10370.506979064272</v>
      </c>
      <c r="N90" s="17">
        <f t="shared" si="168"/>
        <v>10370.506979064272</v>
      </c>
      <c r="O90" s="17">
        <f t="shared" si="168"/>
        <v>10370.506979064272</v>
      </c>
      <c r="P90" s="17">
        <f t="shared" si="168"/>
        <v>10370.506979064272</v>
      </c>
      <c r="Q90" s="17">
        <f t="shared" si="168"/>
        <v>10700.22156932002</v>
      </c>
      <c r="R90" s="17">
        <f t="shared" si="168"/>
        <v>10700.22156932002</v>
      </c>
      <c r="S90" s="17">
        <f t="shared" si="168"/>
        <v>10700.22156932002</v>
      </c>
      <c r="T90" s="17">
        <f t="shared" si="168"/>
        <v>10700.22156932002</v>
      </c>
      <c r="U90" s="17">
        <f t="shared" si="168"/>
        <v>11067.24799126287</v>
      </c>
      <c r="V90" s="17">
        <f t="shared" si="168"/>
        <v>11067.24799126287</v>
      </c>
      <c r="W90" s="17">
        <f t="shared" si="168"/>
        <v>11037.148300023764</v>
      </c>
      <c r="X90" s="17">
        <f t="shared" si="168"/>
        <v>11037.148300023764</v>
      </c>
    </row>
    <row r="91" spans="1:24" x14ac:dyDescent="0.2">
      <c r="D91" s="14"/>
    </row>
    <row r="92" spans="1:24" x14ac:dyDescent="0.2">
      <c r="A92" s="24" t="s">
        <v>289</v>
      </c>
      <c r="D92" s="14"/>
      <c r="E92" s="315"/>
      <c r="F92" s="315"/>
      <c r="G92" s="316"/>
      <c r="H92" s="316"/>
      <c r="I92" s="316"/>
      <c r="J92" s="315">
        <f>I90+J90+K90+L90</f>
        <v>40089.303227767778</v>
      </c>
      <c r="K92" s="316"/>
      <c r="N92" s="315">
        <f>M90+N90+O90+P90</f>
        <v>41482.027916257088</v>
      </c>
      <c r="R92" s="315">
        <f>Q90+R90+S90+T90</f>
        <v>42800.886277280079</v>
      </c>
      <c r="V92" s="315">
        <f>U90+V90+W90+X90</f>
        <v>44208.792582573267</v>
      </c>
    </row>
    <row r="93" spans="1:24" x14ac:dyDescent="0.2">
      <c r="B93" s="26" t="s">
        <v>486</v>
      </c>
      <c r="D93" s="14"/>
    </row>
    <row r="94" spans="1:24" x14ac:dyDescent="0.2">
      <c r="C94" s="1" t="s">
        <v>286</v>
      </c>
      <c r="D94" s="14" t="s">
        <v>91</v>
      </c>
      <c r="E94" s="74">
        <v>0</v>
      </c>
      <c r="F94" s="78">
        <f>E94</f>
        <v>0</v>
      </c>
      <c r="G94" s="78">
        <f t="shared" ref="G94:X94" si="169">F94</f>
        <v>0</v>
      </c>
      <c r="H94" s="78">
        <f t="shared" si="169"/>
        <v>0</v>
      </c>
      <c r="I94" s="78">
        <f t="shared" si="169"/>
        <v>0</v>
      </c>
      <c r="J94" s="78">
        <f t="shared" si="169"/>
        <v>0</v>
      </c>
      <c r="K94" s="78">
        <f t="shared" si="169"/>
        <v>0</v>
      </c>
      <c r="L94" s="78">
        <f t="shared" si="169"/>
        <v>0</v>
      </c>
      <c r="M94" s="78">
        <f t="shared" si="169"/>
        <v>0</v>
      </c>
      <c r="N94" s="78">
        <f t="shared" si="169"/>
        <v>0</v>
      </c>
      <c r="O94" s="78">
        <f t="shared" si="169"/>
        <v>0</v>
      </c>
      <c r="P94" s="78">
        <f t="shared" si="169"/>
        <v>0</v>
      </c>
      <c r="Q94" s="78">
        <f t="shared" si="169"/>
        <v>0</v>
      </c>
      <c r="R94" s="78">
        <f t="shared" si="169"/>
        <v>0</v>
      </c>
      <c r="S94" s="78">
        <f t="shared" si="169"/>
        <v>0</v>
      </c>
      <c r="T94" s="78">
        <f t="shared" si="169"/>
        <v>0</v>
      </c>
      <c r="U94" s="78">
        <f t="shared" si="169"/>
        <v>0</v>
      </c>
      <c r="V94" s="78">
        <f t="shared" si="169"/>
        <v>0</v>
      </c>
      <c r="W94" s="78">
        <f t="shared" si="169"/>
        <v>0</v>
      </c>
      <c r="X94" s="78">
        <f t="shared" si="169"/>
        <v>0</v>
      </c>
    </row>
    <row r="95" spans="1:24" x14ac:dyDescent="0.2">
      <c r="C95" s="1" t="s">
        <v>287</v>
      </c>
      <c r="D95" s="14" t="s">
        <v>85</v>
      </c>
      <c r="E95" s="79">
        <f t="shared" ref="E95:X95" si="170">E34*E94</f>
        <v>0</v>
      </c>
      <c r="F95" s="79">
        <f t="shared" si="170"/>
        <v>0</v>
      </c>
      <c r="G95" s="79">
        <f t="shared" si="170"/>
        <v>0</v>
      </c>
      <c r="H95" s="79">
        <f t="shared" si="170"/>
        <v>0</v>
      </c>
      <c r="I95" s="79">
        <f t="shared" si="170"/>
        <v>0</v>
      </c>
      <c r="J95" s="79">
        <f t="shared" si="170"/>
        <v>0</v>
      </c>
      <c r="K95" s="79">
        <f t="shared" si="170"/>
        <v>0</v>
      </c>
      <c r="L95" s="79">
        <f t="shared" si="170"/>
        <v>0</v>
      </c>
      <c r="M95" s="79">
        <f t="shared" si="170"/>
        <v>0</v>
      </c>
      <c r="N95" s="79">
        <f t="shared" si="170"/>
        <v>0</v>
      </c>
      <c r="O95" s="79">
        <f t="shared" si="170"/>
        <v>0</v>
      </c>
      <c r="P95" s="79">
        <f t="shared" si="170"/>
        <v>0</v>
      </c>
      <c r="Q95" s="79">
        <f t="shared" si="170"/>
        <v>0</v>
      </c>
      <c r="R95" s="79">
        <f t="shared" si="170"/>
        <v>0</v>
      </c>
      <c r="S95" s="79">
        <f t="shared" si="170"/>
        <v>0</v>
      </c>
      <c r="T95" s="79">
        <f t="shared" si="170"/>
        <v>0</v>
      </c>
      <c r="U95" s="79">
        <f t="shared" si="170"/>
        <v>0</v>
      </c>
      <c r="V95" s="79">
        <f t="shared" si="170"/>
        <v>0</v>
      </c>
      <c r="W95" s="79">
        <f t="shared" si="170"/>
        <v>0</v>
      </c>
      <c r="X95" s="79">
        <f t="shared" si="170"/>
        <v>0</v>
      </c>
    </row>
    <row r="96" spans="1:24" x14ac:dyDescent="0.2">
      <c r="B96" s="26" t="s">
        <v>530</v>
      </c>
      <c r="D96" s="14"/>
    </row>
    <row r="97" spans="2:24" x14ac:dyDescent="0.2">
      <c r="C97" s="1" t="s">
        <v>286</v>
      </c>
      <c r="D97" s="14" t="s">
        <v>91</v>
      </c>
      <c r="E97" s="74">
        <v>0</v>
      </c>
      <c r="F97" s="78">
        <f>E97</f>
        <v>0</v>
      </c>
      <c r="G97" s="78">
        <f t="shared" ref="G97:X97" si="171">F97</f>
        <v>0</v>
      </c>
      <c r="H97" s="78">
        <f t="shared" si="171"/>
        <v>0</v>
      </c>
      <c r="I97" s="78">
        <f t="shared" si="171"/>
        <v>0</v>
      </c>
      <c r="J97" s="78">
        <f t="shared" si="171"/>
        <v>0</v>
      </c>
      <c r="K97" s="78">
        <f t="shared" si="171"/>
        <v>0</v>
      </c>
      <c r="L97" s="78">
        <f t="shared" si="171"/>
        <v>0</v>
      </c>
      <c r="M97" s="78">
        <f t="shared" si="171"/>
        <v>0</v>
      </c>
      <c r="N97" s="78">
        <f t="shared" si="171"/>
        <v>0</v>
      </c>
      <c r="O97" s="78">
        <f t="shared" si="171"/>
        <v>0</v>
      </c>
      <c r="P97" s="78">
        <f t="shared" si="171"/>
        <v>0</v>
      </c>
      <c r="Q97" s="78">
        <f t="shared" si="171"/>
        <v>0</v>
      </c>
      <c r="R97" s="78">
        <f t="shared" si="171"/>
        <v>0</v>
      </c>
      <c r="S97" s="78">
        <f t="shared" si="171"/>
        <v>0</v>
      </c>
      <c r="T97" s="78">
        <f t="shared" si="171"/>
        <v>0</v>
      </c>
      <c r="U97" s="78">
        <f t="shared" si="171"/>
        <v>0</v>
      </c>
      <c r="V97" s="78">
        <f t="shared" si="171"/>
        <v>0</v>
      </c>
      <c r="W97" s="78">
        <f t="shared" si="171"/>
        <v>0</v>
      </c>
      <c r="X97" s="78">
        <f t="shared" si="171"/>
        <v>0</v>
      </c>
    </row>
    <row r="98" spans="2:24" x14ac:dyDescent="0.2">
      <c r="C98" s="1" t="s">
        <v>287</v>
      </c>
      <c r="D98" s="14" t="s">
        <v>85</v>
      </c>
      <c r="E98" s="79">
        <f t="shared" ref="E98:X98" si="172">E47*E97</f>
        <v>0</v>
      </c>
      <c r="F98" s="79">
        <f t="shared" si="172"/>
        <v>0</v>
      </c>
      <c r="G98" s="79">
        <f t="shared" si="172"/>
        <v>0</v>
      </c>
      <c r="H98" s="79">
        <f t="shared" si="172"/>
        <v>0</v>
      </c>
      <c r="I98" s="79">
        <f t="shared" si="172"/>
        <v>0</v>
      </c>
      <c r="J98" s="79">
        <f t="shared" si="172"/>
        <v>0</v>
      </c>
      <c r="K98" s="79">
        <f t="shared" si="172"/>
        <v>0</v>
      </c>
      <c r="L98" s="79">
        <f t="shared" si="172"/>
        <v>0</v>
      </c>
      <c r="M98" s="79">
        <f t="shared" si="172"/>
        <v>0</v>
      </c>
      <c r="N98" s="79">
        <f t="shared" si="172"/>
        <v>0</v>
      </c>
      <c r="O98" s="79">
        <f t="shared" si="172"/>
        <v>0</v>
      </c>
      <c r="P98" s="79">
        <f t="shared" si="172"/>
        <v>0</v>
      </c>
      <c r="Q98" s="79">
        <f t="shared" si="172"/>
        <v>0</v>
      </c>
      <c r="R98" s="79">
        <f t="shared" si="172"/>
        <v>0</v>
      </c>
      <c r="S98" s="79">
        <f t="shared" si="172"/>
        <v>0</v>
      </c>
      <c r="T98" s="79">
        <f t="shared" si="172"/>
        <v>0</v>
      </c>
      <c r="U98" s="79">
        <f t="shared" si="172"/>
        <v>0</v>
      </c>
      <c r="V98" s="79">
        <f t="shared" si="172"/>
        <v>0</v>
      </c>
      <c r="W98" s="79">
        <f t="shared" si="172"/>
        <v>0</v>
      </c>
      <c r="X98" s="79">
        <f t="shared" si="172"/>
        <v>0</v>
      </c>
    </row>
    <row r="99" spans="2:24" x14ac:dyDescent="0.2">
      <c r="B99" s="26" t="s">
        <v>500</v>
      </c>
      <c r="D99" s="14"/>
    </row>
    <row r="100" spans="2:24" x14ac:dyDescent="0.2">
      <c r="C100" s="1" t="s">
        <v>286</v>
      </c>
      <c r="D100" s="14" t="s">
        <v>91</v>
      </c>
      <c r="E100" s="74">
        <v>0</v>
      </c>
      <c r="F100" s="78">
        <f>E100</f>
        <v>0</v>
      </c>
      <c r="G100" s="78">
        <f t="shared" ref="G100:X100" si="173">F100</f>
        <v>0</v>
      </c>
      <c r="H100" s="78">
        <f t="shared" si="173"/>
        <v>0</v>
      </c>
      <c r="I100" s="78">
        <f t="shared" si="173"/>
        <v>0</v>
      </c>
      <c r="J100" s="78">
        <f t="shared" si="173"/>
        <v>0</v>
      </c>
      <c r="K100" s="78">
        <f t="shared" si="173"/>
        <v>0</v>
      </c>
      <c r="L100" s="78">
        <f t="shared" si="173"/>
        <v>0</v>
      </c>
      <c r="M100" s="78">
        <f t="shared" si="173"/>
        <v>0</v>
      </c>
      <c r="N100" s="78">
        <f t="shared" si="173"/>
        <v>0</v>
      </c>
      <c r="O100" s="78">
        <f t="shared" si="173"/>
        <v>0</v>
      </c>
      <c r="P100" s="78">
        <f t="shared" si="173"/>
        <v>0</v>
      </c>
      <c r="Q100" s="78">
        <f t="shared" si="173"/>
        <v>0</v>
      </c>
      <c r="R100" s="78">
        <f t="shared" si="173"/>
        <v>0</v>
      </c>
      <c r="S100" s="78">
        <f t="shared" si="173"/>
        <v>0</v>
      </c>
      <c r="T100" s="78">
        <f t="shared" si="173"/>
        <v>0</v>
      </c>
      <c r="U100" s="78">
        <f t="shared" si="173"/>
        <v>0</v>
      </c>
      <c r="V100" s="78">
        <f t="shared" si="173"/>
        <v>0</v>
      </c>
      <c r="W100" s="78">
        <f t="shared" si="173"/>
        <v>0</v>
      </c>
      <c r="X100" s="78">
        <f t="shared" si="173"/>
        <v>0</v>
      </c>
    </row>
    <row r="101" spans="2:24" x14ac:dyDescent="0.2">
      <c r="C101" s="1" t="s">
        <v>287</v>
      </c>
      <c r="D101" s="14" t="s">
        <v>85</v>
      </c>
      <c r="E101" s="79">
        <f t="shared" ref="E101:X101" si="174">E65*E100</f>
        <v>0</v>
      </c>
      <c r="F101" s="79">
        <f t="shared" si="174"/>
        <v>0</v>
      </c>
      <c r="G101" s="79">
        <f t="shared" si="174"/>
        <v>0</v>
      </c>
      <c r="H101" s="79">
        <f t="shared" si="174"/>
        <v>0</v>
      </c>
      <c r="I101" s="79">
        <f t="shared" si="174"/>
        <v>0</v>
      </c>
      <c r="J101" s="79">
        <f t="shared" si="174"/>
        <v>0</v>
      </c>
      <c r="K101" s="79">
        <f t="shared" si="174"/>
        <v>0</v>
      </c>
      <c r="L101" s="79">
        <f t="shared" si="174"/>
        <v>0</v>
      </c>
      <c r="M101" s="79">
        <f t="shared" si="174"/>
        <v>0</v>
      </c>
      <c r="N101" s="79">
        <f t="shared" si="174"/>
        <v>0</v>
      </c>
      <c r="O101" s="79">
        <f t="shared" si="174"/>
        <v>0</v>
      </c>
      <c r="P101" s="79">
        <f t="shared" si="174"/>
        <v>0</v>
      </c>
      <c r="Q101" s="79">
        <f t="shared" si="174"/>
        <v>0</v>
      </c>
      <c r="R101" s="79">
        <f t="shared" si="174"/>
        <v>0</v>
      </c>
      <c r="S101" s="79">
        <f t="shared" si="174"/>
        <v>0</v>
      </c>
      <c r="T101" s="79">
        <f t="shared" si="174"/>
        <v>0</v>
      </c>
      <c r="U101" s="79">
        <f t="shared" si="174"/>
        <v>0</v>
      </c>
      <c r="V101" s="79">
        <f t="shared" si="174"/>
        <v>0</v>
      </c>
      <c r="W101" s="79">
        <f t="shared" si="174"/>
        <v>0</v>
      </c>
      <c r="X101" s="79">
        <f t="shared" si="174"/>
        <v>0</v>
      </c>
    </row>
    <row r="102" spans="2:24" s="27" customFormat="1" x14ac:dyDescent="0.2">
      <c r="B102" s="28" t="s">
        <v>288</v>
      </c>
      <c r="D102" s="14" t="s">
        <v>85</v>
      </c>
      <c r="E102" s="113">
        <f>E95+E98+E101</f>
        <v>0</v>
      </c>
      <c r="F102" s="113">
        <f t="shared" ref="F102:X102" si="175">F95+F98+F101</f>
        <v>0</v>
      </c>
      <c r="G102" s="113">
        <f t="shared" si="175"/>
        <v>0</v>
      </c>
      <c r="H102" s="113">
        <f t="shared" si="175"/>
        <v>0</v>
      </c>
      <c r="I102" s="113">
        <f t="shared" si="175"/>
        <v>0</v>
      </c>
      <c r="J102" s="113">
        <f t="shared" si="175"/>
        <v>0</v>
      </c>
      <c r="K102" s="113">
        <f t="shared" si="175"/>
        <v>0</v>
      </c>
      <c r="L102" s="113">
        <f t="shared" si="175"/>
        <v>0</v>
      </c>
      <c r="M102" s="113">
        <f t="shared" si="175"/>
        <v>0</v>
      </c>
      <c r="N102" s="113">
        <f t="shared" si="175"/>
        <v>0</v>
      </c>
      <c r="O102" s="113">
        <f t="shared" si="175"/>
        <v>0</v>
      </c>
      <c r="P102" s="113">
        <f t="shared" si="175"/>
        <v>0</v>
      </c>
      <c r="Q102" s="113">
        <f t="shared" si="175"/>
        <v>0</v>
      </c>
      <c r="R102" s="113">
        <f t="shared" si="175"/>
        <v>0</v>
      </c>
      <c r="S102" s="113">
        <f t="shared" si="175"/>
        <v>0</v>
      </c>
      <c r="T102" s="113">
        <f t="shared" si="175"/>
        <v>0</v>
      </c>
      <c r="U102" s="113">
        <f t="shared" si="175"/>
        <v>0</v>
      </c>
      <c r="V102" s="113">
        <f t="shared" si="175"/>
        <v>0</v>
      </c>
      <c r="W102" s="113">
        <f t="shared" si="175"/>
        <v>0</v>
      </c>
      <c r="X102" s="113">
        <f t="shared" si="175"/>
        <v>0</v>
      </c>
    </row>
    <row r="103" spans="2:24" x14ac:dyDescent="0.2">
      <c r="D103" s="14"/>
    </row>
    <row r="104" spans="2:24" x14ac:dyDescent="0.2">
      <c r="D104" s="14"/>
    </row>
    <row r="105" spans="2:24" x14ac:dyDescent="0.2">
      <c r="D105" s="14"/>
    </row>
    <row r="106" spans="2:24" x14ac:dyDescent="0.2">
      <c r="D106" s="14"/>
    </row>
    <row r="107" spans="2:24" x14ac:dyDescent="0.2">
      <c r="D107" s="14"/>
    </row>
    <row r="108" spans="2:24" x14ac:dyDescent="0.2">
      <c r="D108" s="14"/>
    </row>
    <row r="109" spans="2:24" x14ac:dyDescent="0.2">
      <c r="D109" s="14"/>
    </row>
    <row r="110" spans="2:24" x14ac:dyDescent="0.2">
      <c r="D110" s="14"/>
    </row>
    <row r="111" spans="2:24" x14ac:dyDescent="0.2">
      <c r="D111" s="14"/>
    </row>
    <row r="112" spans="2:24" x14ac:dyDescent="0.2">
      <c r="D112" s="14"/>
    </row>
    <row r="113" spans="4:4" x14ac:dyDescent="0.2">
      <c r="D113" s="14"/>
    </row>
    <row r="114" spans="4:4" x14ac:dyDescent="0.2">
      <c r="D114" s="14"/>
    </row>
    <row r="115" spans="4:4" x14ac:dyDescent="0.2">
      <c r="D115" s="14"/>
    </row>
    <row r="116" spans="4:4" x14ac:dyDescent="0.2">
      <c r="D116" s="14"/>
    </row>
    <row r="117" spans="4:4" x14ac:dyDescent="0.2">
      <c r="D117" s="14"/>
    </row>
    <row r="118" spans="4:4" x14ac:dyDescent="0.2">
      <c r="D118" s="14"/>
    </row>
    <row r="119" spans="4:4" x14ac:dyDescent="0.2">
      <c r="D119" s="14"/>
    </row>
    <row r="120" spans="4:4" x14ac:dyDescent="0.2">
      <c r="D120" s="14"/>
    </row>
    <row r="121" spans="4:4" x14ac:dyDescent="0.2">
      <c r="D121" s="14"/>
    </row>
    <row r="122" spans="4:4" x14ac:dyDescent="0.2">
      <c r="D122" s="14"/>
    </row>
    <row r="123" spans="4:4" x14ac:dyDescent="0.2">
      <c r="D123" s="14"/>
    </row>
    <row r="124" spans="4:4" x14ac:dyDescent="0.2">
      <c r="D124" s="14"/>
    </row>
    <row r="125" spans="4:4" x14ac:dyDescent="0.2">
      <c r="D125" s="14"/>
    </row>
    <row r="126" spans="4:4" x14ac:dyDescent="0.2">
      <c r="D126" s="14"/>
    </row>
    <row r="127" spans="4:4" x14ac:dyDescent="0.2">
      <c r="D127" s="14"/>
    </row>
    <row r="128" spans="4:4" x14ac:dyDescent="0.2">
      <c r="D128" s="14"/>
    </row>
    <row r="129" spans="4:4" x14ac:dyDescent="0.2">
      <c r="D129" s="14"/>
    </row>
  </sheetData>
  <phoneticPr fontId="0" type="noConversion"/>
  <pageMargins left="0.75" right="0.75" top="1" bottom="1" header="0.5" footer="0.5"/>
  <pageSetup paperSize="9" scale="52" orientation="landscape" r:id="rId1"/>
  <headerFooter alignWithMargins="0"/>
  <rowBreaks count="2" manualBreakCount="2">
    <brk id="47" max="23" man="1"/>
    <brk id="7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19"/>
  <sheetViews>
    <sheetView zoomScaleNormal="100" workbookViewId="0">
      <pane xSplit="4" ySplit="2" topLeftCell="E75" activePane="bottomRight" state="frozen"/>
      <selection pane="topRight" activeCell="E1" sqref="E1"/>
      <selection pane="bottomLeft" activeCell="A3" sqref="A3"/>
      <selection pane="bottomRight" activeCell="D32" sqref="D32"/>
    </sheetView>
  </sheetViews>
  <sheetFormatPr defaultRowHeight="12.75" x14ac:dyDescent="0.2"/>
  <cols>
    <col min="1" max="3" width="3.7109375" style="1" customWidth="1"/>
    <col min="4" max="4" width="41" style="1" customWidth="1"/>
    <col min="5" max="5" width="10.28515625" style="1" customWidth="1"/>
    <col min="6" max="7" width="10.85546875" style="1" bestFit="1" customWidth="1"/>
    <col min="8" max="9" width="11.85546875" style="1" bestFit="1" customWidth="1"/>
    <col min="10" max="10" width="14.42578125" style="1" bestFit="1" customWidth="1"/>
    <col min="11" max="13" width="11.85546875" style="1" bestFit="1" customWidth="1"/>
    <col min="14" max="14" width="12.5703125" style="1" customWidth="1"/>
    <col min="15" max="15" width="9.140625" style="1"/>
    <col min="16" max="16" width="13.85546875" style="1" customWidth="1"/>
    <col min="17" max="17" width="9.140625" style="1"/>
    <col min="18" max="18" width="11.42578125" style="1" customWidth="1"/>
    <col min="19" max="19" width="9.140625" style="1"/>
    <col min="20" max="20" width="12.85546875" style="1" customWidth="1"/>
    <col min="21" max="21" width="9.140625" style="1"/>
    <col min="22" max="22" width="11.42578125" style="1" customWidth="1"/>
    <col min="23" max="23" width="9.140625" style="1"/>
    <col min="24" max="24" width="12.140625" style="1" customWidth="1"/>
    <col min="25" max="16384" width="9.140625" style="1"/>
  </cols>
  <sheetData>
    <row r="1" spans="1:25" x14ac:dyDescent="0.2">
      <c r="D1"/>
    </row>
    <row r="2" spans="1:25" s="2" customFormat="1" x14ac:dyDescent="0.2">
      <c r="A2" s="11" t="s">
        <v>101</v>
      </c>
      <c r="B2" s="11"/>
      <c r="C2" s="12"/>
      <c r="D2" s="12"/>
      <c r="E2" s="2" t="s">
        <v>79</v>
      </c>
      <c r="F2" s="3" t="s">
        <v>58</v>
      </c>
      <c r="G2" s="3" t="s">
        <v>59</v>
      </c>
      <c r="H2" s="3" t="s">
        <v>60</v>
      </c>
      <c r="I2" s="3" t="s">
        <v>61</v>
      </c>
      <c r="J2" s="4" t="s">
        <v>62</v>
      </c>
      <c r="K2" s="4" t="s">
        <v>63</v>
      </c>
      <c r="L2" s="4" t="s">
        <v>64</v>
      </c>
      <c r="M2" s="4" t="s">
        <v>65</v>
      </c>
      <c r="N2" s="5" t="s">
        <v>66</v>
      </c>
      <c r="O2" s="5" t="s">
        <v>67</v>
      </c>
      <c r="P2" s="5" t="s">
        <v>68</v>
      </c>
      <c r="Q2" s="5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7" t="s">
        <v>74</v>
      </c>
      <c r="W2" s="7" t="s">
        <v>75</v>
      </c>
      <c r="X2" s="7" t="s">
        <v>76</v>
      </c>
      <c r="Y2" s="7" t="s">
        <v>77</v>
      </c>
    </row>
    <row r="4" spans="1:25" s="35" customFormat="1" x14ac:dyDescent="0.2">
      <c r="A4" s="25" t="s">
        <v>104</v>
      </c>
      <c r="B4" s="34"/>
    </row>
    <row r="5" spans="1:25" s="35" customFormat="1" x14ac:dyDescent="0.2">
      <c r="B5" s="284" t="s">
        <v>548</v>
      </c>
      <c r="C5" s="269"/>
      <c r="D5" s="269"/>
    </row>
    <row r="6" spans="1:25" s="35" customFormat="1" x14ac:dyDescent="0.2">
      <c r="B6" s="269"/>
      <c r="C6" s="270" t="s">
        <v>545</v>
      </c>
      <c r="D6" s="271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s="35" customFormat="1" x14ac:dyDescent="0.2">
      <c r="B7" s="269"/>
      <c r="C7" s="269"/>
      <c r="D7" s="269" t="s">
        <v>105</v>
      </c>
      <c r="E7" s="302" t="s">
        <v>487</v>
      </c>
      <c r="F7" s="279">
        <v>1</v>
      </c>
      <c r="G7" s="272">
        <f>F7</f>
        <v>1</v>
      </c>
      <c r="H7" s="272">
        <f t="shared" ref="H7:I7" si="0">G7</f>
        <v>1</v>
      </c>
      <c r="I7" s="272">
        <f t="shared" si="0"/>
        <v>1</v>
      </c>
      <c r="J7" s="272">
        <v>1</v>
      </c>
      <c r="K7" s="272">
        <v>0</v>
      </c>
      <c r="L7" s="272">
        <v>1</v>
      </c>
      <c r="M7" s="272">
        <v>0</v>
      </c>
      <c r="N7" s="272">
        <v>1</v>
      </c>
      <c r="O7" s="272">
        <v>0</v>
      </c>
      <c r="P7" s="272">
        <v>1</v>
      </c>
      <c r="Q7" s="272">
        <v>0</v>
      </c>
      <c r="R7" s="272">
        <v>2</v>
      </c>
      <c r="S7" s="272">
        <v>0</v>
      </c>
      <c r="T7" s="272">
        <v>2</v>
      </c>
      <c r="U7" s="272">
        <v>0</v>
      </c>
      <c r="V7" s="272">
        <v>3</v>
      </c>
      <c r="W7" s="272">
        <v>0</v>
      </c>
      <c r="X7" s="272">
        <v>3</v>
      </c>
      <c r="Y7" s="272">
        <v>0</v>
      </c>
    </row>
    <row r="8" spans="1:25" s="35" customFormat="1" x14ac:dyDescent="0.2">
      <c r="B8" s="269"/>
      <c r="C8" s="269"/>
      <c r="D8" s="269" t="s">
        <v>106</v>
      </c>
      <c r="E8" s="303" t="s">
        <v>84</v>
      </c>
      <c r="F8" s="279">
        <v>22000000</v>
      </c>
      <c r="G8" s="272">
        <v>0</v>
      </c>
      <c r="H8" s="272">
        <f t="shared" ref="H8" si="1">G8</f>
        <v>0</v>
      </c>
      <c r="I8" s="272">
        <f t="shared" ref="I8" si="2">H8</f>
        <v>0</v>
      </c>
      <c r="J8" s="272">
        <v>200000000</v>
      </c>
      <c r="K8" s="272">
        <v>0</v>
      </c>
      <c r="L8" s="324">
        <f>J8</f>
        <v>200000000</v>
      </c>
      <c r="M8" s="272">
        <v>0</v>
      </c>
      <c r="N8" s="272">
        <f>J8*(1+Окружение!L7)</f>
        <v>213600000</v>
      </c>
      <c r="O8" s="272">
        <v>0</v>
      </c>
      <c r="P8" s="324">
        <f>L8*(1+Окружение!L7)</f>
        <v>213600000</v>
      </c>
      <c r="Q8" s="272">
        <v>0</v>
      </c>
      <c r="R8" s="272">
        <f>N8*(1+Окружение!P7)</f>
        <v>226843200</v>
      </c>
      <c r="S8" s="272">
        <v>0</v>
      </c>
      <c r="T8" s="324">
        <f>P8*(1+Окружение!P7)</f>
        <v>226843200</v>
      </c>
      <c r="U8" s="272">
        <v>0</v>
      </c>
      <c r="V8" s="272">
        <f>R8*(1+Окружение!T7)</f>
        <v>241588008</v>
      </c>
      <c r="W8" s="272">
        <v>0</v>
      </c>
      <c r="X8" s="272">
        <f>R8*(1+Окружение!T7)</f>
        <v>241588008</v>
      </c>
      <c r="Y8" s="272">
        <v>0</v>
      </c>
    </row>
    <row r="9" spans="1:25" s="35" customFormat="1" hidden="1" x14ac:dyDescent="0.2">
      <c r="B9" s="269"/>
      <c r="C9" s="270" t="s">
        <v>488</v>
      </c>
      <c r="D9" s="269"/>
      <c r="E9" s="303" t="s">
        <v>84</v>
      </c>
      <c r="F9" s="30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</row>
    <row r="10" spans="1:25" s="35" customFormat="1" hidden="1" x14ac:dyDescent="0.2">
      <c r="B10" s="269"/>
      <c r="C10" s="269"/>
      <c r="D10" s="269" t="s">
        <v>105</v>
      </c>
      <c r="E10" s="303" t="s">
        <v>84</v>
      </c>
      <c r="F10" s="279">
        <v>0</v>
      </c>
      <c r="G10" s="273">
        <f>F10</f>
        <v>0</v>
      </c>
      <c r="H10" s="273">
        <f t="shared" ref="H10:X10" si="3">G10</f>
        <v>0</v>
      </c>
      <c r="I10" s="273">
        <f t="shared" si="3"/>
        <v>0</v>
      </c>
      <c r="J10" s="273">
        <f t="shared" si="3"/>
        <v>0</v>
      </c>
      <c r="K10" s="273">
        <f t="shared" si="3"/>
        <v>0</v>
      </c>
      <c r="L10" s="273">
        <f t="shared" si="3"/>
        <v>0</v>
      </c>
      <c r="M10" s="273">
        <f t="shared" si="3"/>
        <v>0</v>
      </c>
      <c r="N10" s="273">
        <f t="shared" si="3"/>
        <v>0</v>
      </c>
      <c r="O10" s="273">
        <f t="shared" si="3"/>
        <v>0</v>
      </c>
      <c r="P10" s="273">
        <f t="shared" si="3"/>
        <v>0</v>
      </c>
      <c r="Q10" s="273">
        <f t="shared" si="3"/>
        <v>0</v>
      </c>
      <c r="R10" s="273">
        <f t="shared" si="3"/>
        <v>0</v>
      </c>
      <c r="S10" s="273">
        <f t="shared" si="3"/>
        <v>0</v>
      </c>
      <c r="T10" s="273">
        <f t="shared" si="3"/>
        <v>0</v>
      </c>
      <c r="U10" s="273">
        <f t="shared" si="3"/>
        <v>0</v>
      </c>
      <c r="V10" s="273">
        <f t="shared" si="3"/>
        <v>0</v>
      </c>
      <c r="W10" s="273">
        <f t="shared" si="3"/>
        <v>0</v>
      </c>
      <c r="X10" s="273">
        <f t="shared" si="3"/>
        <v>0</v>
      </c>
      <c r="Y10" s="273">
        <f>X10</f>
        <v>0</v>
      </c>
    </row>
    <row r="11" spans="1:25" s="35" customFormat="1" hidden="1" x14ac:dyDescent="0.2">
      <c r="B11" s="269"/>
      <c r="C11" s="269"/>
      <c r="D11" s="269" t="s">
        <v>106</v>
      </c>
      <c r="E11" s="303" t="s">
        <v>84</v>
      </c>
      <c r="F11" s="279">
        <v>0</v>
      </c>
      <c r="G11" s="273">
        <f>F11*(1+Окружение!E8)</f>
        <v>0</v>
      </c>
      <c r="H11" s="273">
        <f>G11*(1+Окружение!F8)</f>
        <v>0</v>
      </c>
      <c r="I11" s="273">
        <f>H11*(1+Окружение!G8)</f>
        <v>0</v>
      </c>
      <c r="J11" s="273">
        <f>I11*(1+Окружение!H8)</f>
        <v>0</v>
      </c>
      <c r="K11" s="273">
        <f>J11*(1+Окружение!I8)</f>
        <v>0</v>
      </c>
      <c r="L11" s="273">
        <f>K11*(1+Окружение!J8)</f>
        <v>0</v>
      </c>
      <c r="M11" s="273">
        <f>L11*(1+Окружение!K8)</f>
        <v>0</v>
      </c>
      <c r="N11" s="273">
        <f>M11*(1+Окружение!L8)</f>
        <v>0</v>
      </c>
      <c r="O11" s="273">
        <f>N11*(1+Окружение!M8)</f>
        <v>0</v>
      </c>
      <c r="P11" s="273">
        <f>O11*(1+Окружение!N8)</f>
        <v>0</v>
      </c>
      <c r="Q11" s="273">
        <f>P11*(1+Окружение!O8)</f>
        <v>0</v>
      </c>
      <c r="R11" s="273">
        <f>Q11*(1+Окружение!P8)</f>
        <v>0</v>
      </c>
      <c r="S11" s="273">
        <f>R11*(1+Окружение!Q8)</f>
        <v>0</v>
      </c>
      <c r="T11" s="273">
        <f>S11*(1+Окружение!R8)</f>
        <v>0</v>
      </c>
      <c r="U11" s="273">
        <f>T11*(1+Окружение!S8)</f>
        <v>0</v>
      </c>
      <c r="V11" s="273">
        <f>U11*(1+Окружение!T8)</f>
        <v>0</v>
      </c>
      <c r="W11" s="273">
        <f>V11*(1+Окружение!U8)</f>
        <v>0</v>
      </c>
      <c r="X11" s="273">
        <f>W11*(1+Окружение!V8)</f>
        <v>0</v>
      </c>
      <c r="Y11" s="273">
        <f>X11*(1+Окружение!W8)</f>
        <v>0</v>
      </c>
    </row>
    <row r="12" spans="1:25" s="35" customFormat="1" hidden="1" x14ac:dyDescent="0.2">
      <c r="B12" s="269"/>
      <c r="C12" s="270" t="s">
        <v>489</v>
      </c>
      <c r="D12" s="271"/>
      <c r="E12" s="303" t="s">
        <v>84</v>
      </c>
      <c r="F12" s="305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</row>
    <row r="13" spans="1:25" s="35" customFormat="1" hidden="1" x14ac:dyDescent="0.2">
      <c r="B13" s="269"/>
      <c r="C13" s="269"/>
      <c r="D13" s="269" t="s">
        <v>105</v>
      </c>
      <c r="E13" s="303" t="s">
        <v>84</v>
      </c>
      <c r="F13" s="279">
        <v>0</v>
      </c>
      <c r="G13" s="273">
        <f>F13</f>
        <v>0</v>
      </c>
      <c r="H13" s="273">
        <f t="shared" ref="H13:Y13" si="4">G13</f>
        <v>0</v>
      </c>
      <c r="I13" s="273">
        <f t="shared" si="4"/>
        <v>0</v>
      </c>
      <c r="J13" s="273">
        <f t="shared" si="4"/>
        <v>0</v>
      </c>
      <c r="K13" s="273">
        <f t="shared" si="4"/>
        <v>0</v>
      </c>
      <c r="L13" s="273">
        <f t="shared" si="4"/>
        <v>0</v>
      </c>
      <c r="M13" s="273">
        <f t="shared" si="4"/>
        <v>0</v>
      </c>
      <c r="N13" s="273">
        <f t="shared" si="4"/>
        <v>0</v>
      </c>
      <c r="O13" s="273">
        <f t="shared" si="4"/>
        <v>0</v>
      </c>
      <c r="P13" s="273">
        <f t="shared" si="4"/>
        <v>0</v>
      </c>
      <c r="Q13" s="273">
        <f t="shared" si="4"/>
        <v>0</v>
      </c>
      <c r="R13" s="273">
        <f t="shared" si="4"/>
        <v>0</v>
      </c>
      <c r="S13" s="273">
        <f t="shared" si="4"/>
        <v>0</v>
      </c>
      <c r="T13" s="273">
        <f t="shared" si="4"/>
        <v>0</v>
      </c>
      <c r="U13" s="273">
        <f t="shared" si="4"/>
        <v>0</v>
      </c>
      <c r="V13" s="273">
        <f t="shared" si="4"/>
        <v>0</v>
      </c>
      <c r="W13" s="273">
        <f t="shared" si="4"/>
        <v>0</v>
      </c>
      <c r="X13" s="273">
        <f t="shared" si="4"/>
        <v>0</v>
      </c>
      <c r="Y13" s="273">
        <f t="shared" si="4"/>
        <v>0</v>
      </c>
    </row>
    <row r="14" spans="1:25" s="35" customFormat="1" hidden="1" x14ac:dyDescent="0.2">
      <c r="B14" s="269"/>
      <c r="C14" s="269"/>
      <c r="D14" s="269" t="s">
        <v>106</v>
      </c>
      <c r="E14" s="303" t="s">
        <v>84</v>
      </c>
      <c r="F14" s="307">
        <v>0</v>
      </c>
      <c r="G14" s="276">
        <f>F14*(1+Окружение!E8)</f>
        <v>0</v>
      </c>
      <c r="H14" s="276">
        <f>G14*(1+Окружение!F8)</f>
        <v>0</v>
      </c>
      <c r="I14" s="276">
        <f>H14*(1+Окружение!G8)</f>
        <v>0</v>
      </c>
      <c r="J14" s="276">
        <f>I14*(1+Окружение!H8)</f>
        <v>0</v>
      </c>
      <c r="K14" s="276">
        <f>J14*(1+Окружение!I8)</f>
        <v>0</v>
      </c>
      <c r="L14" s="276">
        <f>K14*(1+Окружение!J8)</f>
        <v>0</v>
      </c>
      <c r="M14" s="276">
        <f>L14*(1+Окружение!K8)</f>
        <v>0</v>
      </c>
      <c r="N14" s="276">
        <f>M14*(1+Окружение!L8)</f>
        <v>0</v>
      </c>
      <c r="O14" s="276">
        <f>N14*(1+Окружение!M8)</f>
        <v>0</v>
      </c>
      <c r="P14" s="276">
        <f>O14*(1+Окружение!N8)</f>
        <v>0</v>
      </c>
      <c r="Q14" s="276">
        <f>P14*(1+Окружение!O8)</f>
        <v>0</v>
      </c>
      <c r="R14" s="276">
        <f>Q14*(1+Окружение!P8)</f>
        <v>0</v>
      </c>
      <c r="S14" s="276">
        <f>R14*(1+Окружение!Q8)</f>
        <v>0</v>
      </c>
      <c r="T14" s="276">
        <f>S14*(1+Окружение!R8)</f>
        <v>0</v>
      </c>
      <c r="U14" s="276">
        <f>T14*(1+Окружение!S8)</f>
        <v>0</v>
      </c>
      <c r="V14" s="276">
        <f>U14*(1+Окружение!T8)</f>
        <v>0</v>
      </c>
      <c r="W14" s="276">
        <f>V14*(1+Окружение!U8)</f>
        <v>0</v>
      </c>
      <c r="X14" s="276">
        <f>W14*(1+Окружение!V8)</f>
        <v>0</v>
      </c>
      <c r="Y14" s="276">
        <f>X14*(1+Окружение!W8)</f>
        <v>0</v>
      </c>
    </row>
    <row r="15" spans="1:25" s="35" customFormat="1" hidden="1" x14ac:dyDescent="0.2">
      <c r="B15" s="269"/>
      <c r="C15" s="36" t="s">
        <v>490</v>
      </c>
      <c r="D15" s="269"/>
      <c r="E15" s="303" t="s">
        <v>84</v>
      </c>
      <c r="F15" s="30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</row>
    <row r="16" spans="1:25" s="35" customFormat="1" hidden="1" x14ac:dyDescent="0.2">
      <c r="B16" s="269"/>
      <c r="C16" s="269"/>
      <c r="D16" s="269" t="s">
        <v>105</v>
      </c>
      <c r="E16" s="303" t="s">
        <v>84</v>
      </c>
      <c r="F16" s="307">
        <v>0</v>
      </c>
      <c r="G16" s="276">
        <f>F16</f>
        <v>0</v>
      </c>
      <c r="H16" s="276">
        <f t="shared" ref="H16:Y16" si="5">G16</f>
        <v>0</v>
      </c>
      <c r="I16" s="276">
        <f t="shared" si="5"/>
        <v>0</v>
      </c>
      <c r="J16" s="276">
        <f t="shared" si="5"/>
        <v>0</v>
      </c>
      <c r="K16" s="276">
        <f t="shared" si="5"/>
        <v>0</v>
      </c>
      <c r="L16" s="276">
        <f t="shared" si="5"/>
        <v>0</v>
      </c>
      <c r="M16" s="276">
        <f t="shared" si="5"/>
        <v>0</v>
      </c>
      <c r="N16" s="276">
        <f t="shared" si="5"/>
        <v>0</v>
      </c>
      <c r="O16" s="276">
        <f t="shared" si="5"/>
        <v>0</v>
      </c>
      <c r="P16" s="276">
        <f t="shared" si="5"/>
        <v>0</v>
      </c>
      <c r="Q16" s="276">
        <f t="shared" si="5"/>
        <v>0</v>
      </c>
      <c r="R16" s="276">
        <f t="shared" si="5"/>
        <v>0</v>
      </c>
      <c r="S16" s="276">
        <f t="shared" si="5"/>
        <v>0</v>
      </c>
      <c r="T16" s="276">
        <f t="shared" si="5"/>
        <v>0</v>
      </c>
      <c r="U16" s="276">
        <f t="shared" si="5"/>
        <v>0</v>
      </c>
      <c r="V16" s="276">
        <f t="shared" si="5"/>
        <v>0</v>
      </c>
      <c r="W16" s="276">
        <f t="shared" si="5"/>
        <v>0</v>
      </c>
      <c r="X16" s="276">
        <f t="shared" si="5"/>
        <v>0</v>
      </c>
      <c r="Y16" s="276">
        <f t="shared" si="5"/>
        <v>0</v>
      </c>
    </row>
    <row r="17" spans="2:25" s="35" customFormat="1" hidden="1" x14ac:dyDescent="0.2">
      <c r="B17" s="269"/>
      <c r="C17" s="269"/>
      <c r="D17" s="269" t="s">
        <v>106</v>
      </c>
      <c r="E17" s="303" t="s">
        <v>84</v>
      </c>
      <c r="F17" s="307">
        <v>0</v>
      </c>
      <c r="G17" s="276">
        <f>F17*(1+Окружение!E8)</f>
        <v>0</v>
      </c>
      <c r="H17" s="276">
        <f>G17*(1+Окружение!F8)</f>
        <v>0</v>
      </c>
      <c r="I17" s="276">
        <f>H17*(1+Окружение!G8)</f>
        <v>0</v>
      </c>
      <c r="J17" s="276">
        <f>I17*(1+Окружение!H8)</f>
        <v>0</v>
      </c>
      <c r="K17" s="276">
        <f>J17*(1+Окружение!I8)</f>
        <v>0</v>
      </c>
      <c r="L17" s="276">
        <f>K17*(1+Окружение!J8)</f>
        <v>0</v>
      </c>
      <c r="M17" s="276">
        <f>L17*(1+Окружение!K8)</f>
        <v>0</v>
      </c>
      <c r="N17" s="276">
        <f>M17*(1+Окружение!L8)</f>
        <v>0</v>
      </c>
      <c r="O17" s="276">
        <f>N17*(1+Окружение!M8)</f>
        <v>0</v>
      </c>
      <c r="P17" s="276">
        <f>O17*(1+Окружение!N8)</f>
        <v>0</v>
      </c>
      <c r="Q17" s="276">
        <f>P17*(1+Окружение!O8)</f>
        <v>0</v>
      </c>
      <c r="R17" s="276">
        <f>Q17*(1+Окружение!P8)</f>
        <v>0</v>
      </c>
      <c r="S17" s="276">
        <f>R17*(1+Окружение!Q8)</f>
        <v>0</v>
      </c>
      <c r="T17" s="276">
        <f>S17*(1+Окружение!R8)</f>
        <v>0</v>
      </c>
      <c r="U17" s="276">
        <f>T17*(1+Окружение!S8)</f>
        <v>0</v>
      </c>
      <c r="V17" s="276">
        <f>U17*(1+Окружение!T8)</f>
        <v>0</v>
      </c>
      <c r="W17" s="276">
        <f>V17*(1+Окружение!U8)</f>
        <v>0</v>
      </c>
      <c r="X17" s="276">
        <f>W17*(1+Окружение!V8)</f>
        <v>0</v>
      </c>
      <c r="Y17" s="276">
        <f>X17*(1+Окружение!W8)</f>
        <v>0</v>
      </c>
    </row>
    <row r="18" spans="2:25" s="35" customFormat="1" x14ac:dyDescent="0.2">
      <c r="B18" s="269"/>
      <c r="C18" s="269"/>
      <c r="D18" s="35" t="s">
        <v>544</v>
      </c>
      <c r="E18" s="303" t="s">
        <v>84</v>
      </c>
      <c r="F18" s="307">
        <v>0</v>
      </c>
      <c r="G18" s="307">
        <f t="shared" ref="G18:Y18" si="6">G8*0.1</f>
        <v>0</v>
      </c>
      <c r="H18" s="307">
        <f t="shared" si="6"/>
        <v>0</v>
      </c>
      <c r="I18" s="307">
        <f t="shared" si="6"/>
        <v>0</v>
      </c>
      <c r="J18" s="307">
        <f t="shared" si="6"/>
        <v>20000000</v>
      </c>
      <c r="K18" s="307">
        <f t="shared" si="6"/>
        <v>0</v>
      </c>
      <c r="L18" s="307">
        <f t="shared" si="6"/>
        <v>20000000</v>
      </c>
      <c r="M18" s="307">
        <f t="shared" si="6"/>
        <v>0</v>
      </c>
      <c r="N18" s="307">
        <f t="shared" si="6"/>
        <v>21360000</v>
      </c>
      <c r="O18" s="307">
        <f t="shared" si="6"/>
        <v>0</v>
      </c>
      <c r="P18" s="307">
        <f t="shared" si="6"/>
        <v>21360000</v>
      </c>
      <c r="Q18" s="307">
        <f t="shared" si="6"/>
        <v>0</v>
      </c>
      <c r="R18" s="307">
        <f t="shared" si="6"/>
        <v>22684320</v>
      </c>
      <c r="S18" s="307">
        <f t="shared" si="6"/>
        <v>0</v>
      </c>
      <c r="T18" s="307">
        <f t="shared" si="6"/>
        <v>22684320</v>
      </c>
      <c r="U18" s="307">
        <f t="shared" si="6"/>
        <v>0</v>
      </c>
      <c r="V18" s="307">
        <f t="shared" si="6"/>
        <v>24158800.800000001</v>
      </c>
      <c r="W18" s="307">
        <f t="shared" si="6"/>
        <v>0</v>
      </c>
      <c r="X18" s="307">
        <f t="shared" si="6"/>
        <v>24158800.800000001</v>
      </c>
      <c r="Y18" s="307">
        <f t="shared" si="6"/>
        <v>0</v>
      </c>
    </row>
    <row r="19" spans="2:25" s="35" customFormat="1" x14ac:dyDescent="0.2">
      <c r="B19" s="269"/>
      <c r="C19" s="269"/>
      <c r="D19" s="269"/>
      <c r="E19" s="303"/>
      <c r="F19" s="307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</row>
    <row r="20" spans="2:25" s="35" customFormat="1" x14ac:dyDescent="0.2">
      <c r="B20" s="269"/>
      <c r="C20" s="269"/>
      <c r="D20" s="269"/>
      <c r="E20" s="303"/>
      <c r="F20" s="307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</row>
    <row r="21" spans="2:25" s="327" customFormat="1" x14ac:dyDescent="0.2">
      <c r="B21" s="328" t="s">
        <v>107</v>
      </c>
      <c r="E21" s="329" t="s">
        <v>200</v>
      </c>
      <c r="F21" s="330">
        <f t="shared" ref="F21:I21" si="7">((F8*F7+F7*F18)/1000)</f>
        <v>22000</v>
      </c>
      <c r="G21" s="330">
        <f t="shared" si="7"/>
        <v>0</v>
      </c>
      <c r="H21" s="330">
        <f t="shared" si="7"/>
        <v>0</v>
      </c>
      <c r="I21" s="330">
        <f t="shared" si="7"/>
        <v>0</v>
      </c>
      <c r="J21" s="330">
        <f>((J8*J7+J7*J18)/1000)</f>
        <v>220000</v>
      </c>
      <c r="K21" s="330">
        <f t="shared" ref="K21:Y21" si="8">((K8*K7+K7*K18)/1000)</f>
        <v>0</v>
      </c>
      <c r="L21" s="330">
        <f t="shared" si="8"/>
        <v>220000</v>
      </c>
      <c r="M21" s="330">
        <f t="shared" si="8"/>
        <v>0</v>
      </c>
      <c r="N21" s="330">
        <f>((N8*N7+N7*N18)/1000)</f>
        <v>234960</v>
      </c>
      <c r="O21" s="330">
        <f t="shared" si="8"/>
        <v>0</v>
      </c>
      <c r="P21" s="330">
        <f t="shared" si="8"/>
        <v>234960</v>
      </c>
      <c r="Q21" s="330">
        <f t="shared" si="8"/>
        <v>0</v>
      </c>
      <c r="R21" s="330">
        <f t="shared" si="8"/>
        <v>499055.04</v>
      </c>
      <c r="S21" s="330">
        <f t="shared" si="8"/>
        <v>0</v>
      </c>
      <c r="T21" s="330">
        <f t="shared" si="8"/>
        <v>499055.04</v>
      </c>
      <c r="U21" s="330">
        <f t="shared" si="8"/>
        <v>0</v>
      </c>
      <c r="V21" s="330">
        <f t="shared" si="8"/>
        <v>797240.4264</v>
      </c>
      <c r="W21" s="330">
        <f t="shared" si="8"/>
        <v>0</v>
      </c>
      <c r="X21" s="330">
        <f t="shared" si="8"/>
        <v>797240.4264</v>
      </c>
      <c r="Y21" s="330">
        <f t="shared" si="8"/>
        <v>0</v>
      </c>
    </row>
    <row r="22" spans="2:25" s="35" customFormat="1" x14ac:dyDescent="0.2">
      <c r="B22" s="43" t="s">
        <v>103</v>
      </c>
      <c r="E22" s="77" t="s">
        <v>85</v>
      </c>
      <c r="F22" s="278">
        <f>F21-F21/(1+Окружение!D13)</f>
        <v>3355.9322033898279</v>
      </c>
      <c r="G22" s="278">
        <f>G21-G21/(1+Окружение!E13)</f>
        <v>0</v>
      </c>
      <c r="H22" s="278">
        <f>H21-H21/(1+Окружение!F13)</f>
        <v>0</v>
      </c>
      <c r="I22" s="278">
        <f>I21-I21/(1+Окружение!G13)</f>
        <v>0</v>
      </c>
      <c r="J22" s="325">
        <f>J21-J21/(1+Окружение!H13)</f>
        <v>33559.322033898294</v>
      </c>
      <c r="K22" s="278">
        <f>K21-K21/(1+Окружение!I13)</f>
        <v>0</v>
      </c>
      <c r="L22" s="278">
        <f>L21-L21/(1+Окружение!J13)</f>
        <v>33559.322033898294</v>
      </c>
      <c r="M22" s="278">
        <f>M21-M21/(1+Окружение!K13)</f>
        <v>0</v>
      </c>
      <c r="N22" s="325">
        <f>N21-N21/(1+Окружение!L13)</f>
        <v>35841.355932203383</v>
      </c>
      <c r="O22" s="278">
        <f>O21-O21/(1+Окружение!M13)</f>
        <v>0</v>
      </c>
      <c r="P22" s="278">
        <f>P21-P21/(1+Окружение!N13)</f>
        <v>35841.355932203383</v>
      </c>
      <c r="Q22" s="278">
        <f>Q21-Q21/(1+Окружение!O13)</f>
        <v>0</v>
      </c>
      <c r="R22" s="278">
        <f>R21-R21/(1+Окружение!P13)</f>
        <v>76127.039999999979</v>
      </c>
      <c r="S22" s="278">
        <f>S21-S21/(1+Окружение!Q13)</f>
        <v>0</v>
      </c>
      <c r="T22" s="278">
        <f>T21-T21/(1+Окружение!R13)</f>
        <v>76127.039999999979</v>
      </c>
      <c r="U22" s="278">
        <f>U21-U21/(1+Окружение!S13)</f>
        <v>0</v>
      </c>
      <c r="V22" s="278">
        <f>V21-V21/(1+Окружение!T13)</f>
        <v>121612.94640000002</v>
      </c>
      <c r="W22" s="278">
        <f>W21-W21/(1+Окружение!U13)</f>
        <v>0</v>
      </c>
      <c r="X22" s="278">
        <f>X21-X21/(1+Окружение!V13)</f>
        <v>121612.94640000002</v>
      </c>
      <c r="Y22" s="278">
        <f>Y21-Y21/(1+Окружение!W13)</f>
        <v>0</v>
      </c>
    </row>
    <row r="23" spans="2:25" s="35" customFormat="1" x14ac:dyDescent="0.2">
      <c r="B23" s="36"/>
      <c r="E23" s="77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4">
        <f>V21+X21</f>
        <v>1594480.8528</v>
      </c>
      <c r="Y23" s="274"/>
    </row>
    <row r="24" spans="2:25" s="35" customFormat="1" x14ac:dyDescent="0.2">
      <c r="B24" s="284" t="s">
        <v>548</v>
      </c>
      <c r="E24" s="77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2:25" s="35" customFormat="1" x14ac:dyDescent="0.2">
      <c r="B25" s="36"/>
      <c r="C25" s="36" t="s">
        <v>492</v>
      </c>
      <c r="E25" s="77" t="s">
        <v>85</v>
      </c>
      <c r="F25" s="15">
        <f t="shared" ref="F25:I25" si="9">(F7*F8+F18*F7)/1000</f>
        <v>22000</v>
      </c>
      <c r="G25" s="15">
        <f t="shared" si="9"/>
        <v>0</v>
      </c>
      <c r="H25" s="15">
        <f t="shared" si="9"/>
        <v>0</v>
      </c>
      <c r="I25" s="15">
        <f t="shared" si="9"/>
        <v>0</v>
      </c>
      <c r="J25" s="15">
        <f>(J7*J8+J18*J7)/1000</f>
        <v>220000</v>
      </c>
      <c r="K25" s="15">
        <f t="shared" ref="K25:Y25" si="10">(K7*K8+K18*K7)/1000</f>
        <v>0</v>
      </c>
      <c r="L25" s="15">
        <f t="shared" si="10"/>
        <v>220000</v>
      </c>
      <c r="M25" s="15">
        <f t="shared" si="10"/>
        <v>0</v>
      </c>
      <c r="N25" s="15">
        <f t="shared" si="10"/>
        <v>234960</v>
      </c>
      <c r="O25" s="15">
        <f t="shared" si="10"/>
        <v>0</v>
      </c>
      <c r="P25" s="15">
        <f t="shared" si="10"/>
        <v>234960</v>
      </c>
      <c r="Q25" s="15">
        <f t="shared" si="10"/>
        <v>0</v>
      </c>
      <c r="R25" s="15">
        <f t="shared" si="10"/>
        <v>499055.04</v>
      </c>
      <c r="S25" s="15">
        <f t="shared" si="10"/>
        <v>0</v>
      </c>
      <c r="T25" s="15">
        <f t="shared" si="10"/>
        <v>499055.04</v>
      </c>
      <c r="U25" s="15">
        <f t="shared" si="10"/>
        <v>0</v>
      </c>
      <c r="V25" s="15">
        <f t="shared" si="10"/>
        <v>797240.4264</v>
      </c>
      <c r="W25" s="15">
        <f t="shared" si="10"/>
        <v>0</v>
      </c>
      <c r="X25" s="15">
        <f t="shared" si="10"/>
        <v>797240.4264</v>
      </c>
      <c r="Y25" s="15">
        <f t="shared" si="10"/>
        <v>0</v>
      </c>
    </row>
    <row r="26" spans="2:25" s="35" customFormat="1" x14ac:dyDescent="0.2">
      <c r="C26" s="43" t="s">
        <v>103</v>
      </c>
      <c r="E26" s="77" t="s">
        <v>85</v>
      </c>
      <c r="F26" s="46">
        <f>F25-F25/(1+Окружение!D13)</f>
        <v>3355.9322033898279</v>
      </c>
      <c r="G26" s="46">
        <f>G25-G25/(1+Окружение!E13)</f>
        <v>0</v>
      </c>
      <c r="H26" s="46">
        <f>H25-H25/(1+Окружение!F13)</f>
        <v>0</v>
      </c>
      <c r="I26" s="46">
        <f>I25-I25/(1+Окружение!G13)</f>
        <v>0</v>
      </c>
      <c r="J26" s="46">
        <f>J25-J25/(1+Окружение!H13)</f>
        <v>33559.322033898294</v>
      </c>
      <c r="K26" s="46">
        <f>K25-K25/(1+Окружение!I13)</f>
        <v>0</v>
      </c>
      <c r="L26" s="46">
        <f>L25-L25/(1+Окружение!J13)</f>
        <v>33559.322033898294</v>
      </c>
      <c r="M26" s="46">
        <f>M25-M25/(1+Окружение!K13)</f>
        <v>0</v>
      </c>
      <c r="N26" s="46">
        <f>N25-N25/(1+Окружение!L13)</f>
        <v>35841.355932203383</v>
      </c>
      <c r="O26" s="46">
        <f>O25-O25/(1+Окружение!M13)</f>
        <v>0</v>
      </c>
      <c r="P26" s="46">
        <f>P25-P25/(1+Окружение!N13)</f>
        <v>35841.355932203383</v>
      </c>
      <c r="Q26" s="46">
        <f>Q25-Q25/(1+Окружение!O13)</f>
        <v>0</v>
      </c>
      <c r="R26" s="46">
        <f>R25-R25/(1+Окружение!P13)</f>
        <v>76127.039999999979</v>
      </c>
      <c r="S26" s="46">
        <f>S25-S25/(1+Окружение!Q13)</f>
        <v>0</v>
      </c>
      <c r="T26" s="46">
        <f>T25-T25/(1+Окружение!R13)</f>
        <v>76127.039999999979</v>
      </c>
      <c r="U26" s="46">
        <f>U25-U25/(1+Окружение!S13)</f>
        <v>0</v>
      </c>
      <c r="V26" s="46">
        <f>V25-V25/(1+Окружение!T13)</f>
        <v>121612.94640000002</v>
      </c>
      <c r="W26" s="46">
        <f>W25-W25/(1+Окружение!U13)</f>
        <v>0</v>
      </c>
      <c r="X26" s="46">
        <f>X25-X25/(1+Окружение!V13)</f>
        <v>121612.94640000002</v>
      </c>
      <c r="Y26" s="46">
        <f>Y25-Y25/(1+Окружение!W13)</f>
        <v>0</v>
      </c>
    </row>
    <row r="27" spans="2:25" s="35" customFormat="1" x14ac:dyDescent="0.2">
      <c r="B27" s="36"/>
      <c r="C27" s="36" t="s">
        <v>493</v>
      </c>
      <c r="E27" s="77" t="s">
        <v>85</v>
      </c>
      <c r="F27" s="79">
        <f>(F10*F11*'Пр-во и Продажи'!E13)/1000</f>
        <v>0</v>
      </c>
      <c r="G27" s="79">
        <f>(G10*G11*'Пр-во и Продажи'!F13)/1000</f>
        <v>0</v>
      </c>
      <c r="H27" s="79">
        <f>(H10*H11*'Пр-во и Продажи'!G13)/1000</f>
        <v>0</v>
      </c>
      <c r="I27" s="79">
        <f>(I10*I11*'Пр-во и Продажи'!H13)/1000</f>
        <v>0</v>
      </c>
      <c r="J27" s="79">
        <f>(J10*J11*'Пр-во и Продажи'!I13)/1000</f>
        <v>0</v>
      </c>
      <c r="K27" s="79">
        <f>(K10*K11*'Пр-во и Продажи'!J13)/1000</f>
        <v>0</v>
      </c>
      <c r="L27" s="79">
        <f>(L10*L11*'Пр-во и Продажи'!K13)/1000</f>
        <v>0</v>
      </c>
      <c r="M27" s="79">
        <f>(M10*M11*'Пр-во и Продажи'!L13)/1000</f>
        <v>0</v>
      </c>
      <c r="N27" s="79">
        <f>(N10*N11*'Пр-во и Продажи'!M13)/1000</f>
        <v>0</v>
      </c>
      <c r="O27" s="79">
        <f>(O10*O11*'Пр-во и Продажи'!N13)/1000</f>
        <v>0</v>
      </c>
      <c r="P27" s="79">
        <f>(P10*P11*'Пр-во и Продажи'!O13)/1000</f>
        <v>0</v>
      </c>
      <c r="Q27" s="79">
        <f>(Q10*Q11*'Пр-во и Продажи'!P13)/1000</f>
        <v>0</v>
      </c>
      <c r="R27" s="79">
        <f>(R10*R11*'Пр-во и Продажи'!Q13)/1000</f>
        <v>0</v>
      </c>
      <c r="S27" s="79">
        <f>(S10*S11*'Пр-во и Продажи'!R13)/1000</f>
        <v>0</v>
      </c>
      <c r="T27" s="79">
        <f>(T10*T11*'Пр-во и Продажи'!S13)/1000</f>
        <v>0</v>
      </c>
      <c r="U27" s="79">
        <f>(U10*U11*'Пр-во и Продажи'!T13)/1000</f>
        <v>0</v>
      </c>
      <c r="V27" s="79">
        <f>(V10*V11*'Пр-во и Продажи'!U13)/1000</f>
        <v>0</v>
      </c>
      <c r="W27" s="79">
        <f>(W10*W11*'Пр-во и Продажи'!V13)/1000</f>
        <v>0</v>
      </c>
      <c r="X27" s="79">
        <f>(X10*X11*'Пр-во и Продажи'!W13)/1000</f>
        <v>0</v>
      </c>
      <c r="Y27" s="79">
        <f>(Y10*Y11*'Пр-во и Продажи'!X13)/1000</f>
        <v>0</v>
      </c>
    </row>
    <row r="28" spans="2:25" s="35" customFormat="1" x14ac:dyDescent="0.2">
      <c r="C28" s="43" t="s">
        <v>103</v>
      </c>
      <c r="E28" s="77" t="s">
        <v>85</v>
      </c>
      <c r="F28" s="46">
        <f>F27-F27/(1+Окружение!D13)</f>
        <v>0</v>
      </c>
      <c r="G28" s="46">
        <f>G27-G27/(1+Окружение!E13)</f>
        <v>0</v>
      </c>
      <c r="H28" s="46">
        <f>H27-H27/(1+Окружение!F13)</f>
        <v>0</v>
      </c>
      <c r="I28" s="46">
        <f>I27-I27/(1+Окружение!G13)</f>
        <v>0</v>
      </c>
      <c r="J28" s="46">
        <f>J27-J27/(1+Окружение!H13)</f>
        <v>0</v>
      </c>
      <c r="K28" s="46">
        <f>K27-K27/(1+Окружение!I13)</f>
        <v>0</v>
      </c>
      <c r="L28" s="46">
        <f>L27-L27/(1+Окружение!J13)</f>
        <v>0</v>
      </c>
      <c r="M28" s="46">
        <f>M27-M27/(1+Окружение!K13)</f>
        <v>0</v>
      </c>
      <c r="N28" s="46">
        <f>N27-N27/(1+Окружение!L13)</f>
        <v>0</v>
      </c>
      <c r="O28" s="46">
        <f>O27-O27/(1+Окружение!M13)</f>
        <v>0</v>
      </c>
      <c r="P28" s="46">
        <f>P27-P27/(1+Окружение!N13)</f>
        <v>0</v>
      </c>
      <c r="Q28" s="46">
        <f>Q27-Q27/(1+Окружение!O13)</f>
        <v>0</v>
      </c>
      <c r="R28" s="46">
        <f>R27-R27/(1+Окружение!P13)</f>
        <v>0</v>
      </c>
      <c r="S28" s="46">
        <f>S27-S27/(1+Окружение!Q13)</f>
        <v>0</v>
      </c>
      <c r="T28" s="46">
        <f>T27-T27/(1+Окружение!R13)</f>
        <v>0</v>
      </c>
      <c r="U28" s="46">
        <f>U27-U27/(1+Окружение!S13)</f>
        <v>0</v>
      </c>
      <c r="V28" s="46">
        <f>V27-V27/(1+Окружение!T13)</f>
        <v>0</v>
      </c>
      <c r="W28" s="46">
        <f>W27-W27/(1+Окружение!U13)</f>
        <v>0</v>
      </c>
      <c r="X28" s="46">
        <f>X27-X27/(1+Окружение!V13)</f>
        <v>0</v>
      </c>
      <c r="Y28" s="46">
        <f>Y27-Y27/(1+Окружение!W13)</f>
        <v>0</v>
      </c>
    </row>
    <row r="29" spans="2:25" s="35" customFormat="1" x14ac:dyDescent="0.2">
      <c r="B29" s="36"/>
      <c r="C29" s="36" t="s">
        <v>494</v>
      </c>
      <c r="E29" s="77" t="s">
        <v>85</v>
      </c>
      <c r="F29" s="29">
        <f>(F13*F14*'Пр-во и Продажи'!E13)/1000</f>
        <v>0</v>
      </c>
      <c r="G29" s="29">
        <f>(G13*G14*'Пр-во и Продажи'!F13)/1000</f>
        <v>0</v>
      </c>
      <c r="H29" s="29">
        <f>(H13*H14*'Пр-во и Продажи'!G13)/1000</f>
        <v>0</v>
      </c>
      <c r="I29" s="29">
        <f>(I13*I14*'Пр-во и Продажи'!H13)/1000</f>
        <v>0</v>
      </c>
      <c r="J29" s="29">
        <f>(J13*J14*'Пр-во и Продажи'!I13)/1000</f>
        <v>0</v>
      </c>
      <c r="K29" s="29">
        <f>(K13*K14*'Пр-во и Продажи'!J13)/1000</f>
        <v>0</v>
      </c>
      <c r="L29" s="29">
        <f>(L13*L14*'Пр-во и Продажи'!K13)/1000</f>
        <v>0</v>
      </c>
      <c r="M29" s="29">
        <f>(M13*M14*'Пр-во и Продажи'!L13)/1000</f>
        <v>0</v>
      </c>
      <c r="N29" s="29">
        <f>(N13*N14*'Пр-во и Продажи'!M13)/1000</f>
        <v>0</v>
      </c>
      <c r="O29" s="29">
        <f>(O13*O14*'Пр-во и Продажи'!N13)/1000</f>
        <v>0</v>
      </c>
      <c r="P29" s="29">
        <f>(P13*P14*'Пр-во и Продажи'!O13)/1000</f>
        <v>0</v>
      </c>
      <c r="Q29" s="29">
        <f>(Q13*Q14*'Пр-во и Продажи'!P13)/1000</f>
        <v>0</v>
      </c>
      <c r="R29" s="29">
        <f>(R13*R14*'Пр-во и Продажи'!Q13)/1000</f>
        <v>0</v>
      </c>
      <c r="S29" s="29">
        <f>(S13*S14*'Пр-во и Продажи'!R13)/1000</f>
        <v>0</v>
      </c>
      <c r="T29" s="29">
        <f>(T13*T14*'Пр-во и Продажи'!S13)/1000</f>
        <v>0</v>
      </c>
      <c r="U29" s="29">
        <f>(U13*U14*'Пр-во и Продажи'!T13)/1000</f>
        <v>0</v>
      </c>
      <c r="V29" s="29">
        <f>(V13*V14*'Пр-во и Продажи'!U13)/1000</f>
        <v>0</v>
      </c>
      <c r="W29" s="29">
        <f>(W13*W14*'Пр-во и Продажи'!V13)/1000</f>
        <v>0</v>
      </c>
      <c r="X29" s="29">
        <f>(X13*X14*'Пр-во и Продажи'!W13)/1000</f>
        <v>0</v>
      </c>
      <c r="Y29" s="29">
        <f>(Y13*Y14*'Пр-во и Продажи'!X13)/1000</f>
        <v>0</v>
      </c>
    </row>
    <row r="30" spans="2:25" s="35" customFormat="1" x14ac:dyDescent="0.2">
      <c r="B30" s="43"/>
      <c r="C30" s="43" t="s">
        <v>103</v>
      </c>
      <c r="E30" s="77" t="s">
        <v>85</v>
      </c>
      <c r="F30" s="46">
        <f>F29-F29/(1+Окружение!D13)</f>
        <v>0</v>
      </c>
      <c r="G30" s="46">
        <f>G29-G29/(1+Окружение!E13)</f>
        <v>0</v>
      </c>
      <c r="H30" s="46">
        <f>H29-H29/(1+Окружение!F13)</f>
        <v>0</v>
      </c>
      <c r="I30" s="46">
        <f>I29-I29/(1+Окружение!G13)</f>
        <v>0</v>
      </c>
      <c r="J30" s="46">
        <f>J29-J29/(1+Окружение!H13)</f>
        <v>0</v>
      </c>
      <c r="K30" s="46">
        <f>K29-K29/(1+Окружение!I13)</f>
        <v>0</v>
      </c>
      <c r="L30" s="46">
        <f>L29-L29/(1+Окружение!J13)</f>
        <v>0</v>
      </c>
      <c r="M30" s="46">
        <f>M29-M29/(1+Окружение!K13)</f>
        <v>0</v>
      </c>
      <c r="N30" s="46">
        <f>N29-N29/(1+Окружение!L13)</f>
        <v>0</v>
      </c>
      <c r="O30" s="46">
        <f>O29-O29/(1+Окружение!M13)</f>
        <v>0</v>
      </c>
      <c r="P30" s="46">
        <f>P29-P29/(1+Окружение!N13)</f>
        <v>0</v>
      </c>
      <c r="Q30" s="46">
        <f>Q29-Q29/(1+Окружение!O13)</f>
        <v>0</v>
      </c>
      <c r="R30" s="46">
        <f>R29-R29/(1+Окружение!P13)</f>
        <v>0</v>
      </c>
      <c r="S30" s="46">
        <f>S29-S29/(1+Окружение!Q13)</f>
        <v>0</v>
      </c>
      <c r="T30" s="46">
        <f>T29-T29/(1+Окружение!R13)</f>
        <v>0</v>
      </c>
      <c r="U30" s="46">
        <f>U29-U29/(1+Окружение!S13)</f>
        <v>0</v>
      </c>
      <c r="V30" s="46">
        <f>V29-V29/(1+Окружение!T13)</f>
        <v>0</v>
      </c>
      <c r="W30" s="46">
        <f>W29-W29/(1+Окружение!U13)</f>
        <v>0</v>
      </c>
      <c r="X30" s="46">
        <f>X29-X29/(1+Окружение!V13)</f>
        <v>0</v>
      </c>
      <c r="Y30" s="46">
        <f>Y29-Y29/(1+Окружение!W13)</f>
        <v>0</v>
      </c>
    </row>
    <row r="31" spans="2:25" s="35" customFormat="1" x14ac:dyDescent="0.2">
      <c r="B31" s="36"/>
      <c r="C31" s="36" t="s">
        <v>495</v>
      </c>
      <c r="E31" s="77" t="s">
        <v>85</v>
      </c>
      <c r="F31" s="29">
        <f>(F16*F17*'Пр-во и Продажи'!E13)/1000</f>
        <v>0</v>
      </c>
      <c r="G31" s="29">
        <f>(G16*G17*'Пр-во и Продажи'!F13)/1000</f>
        <v>0</v>
      </c>
      <c r="H31" s="29">
        <f>(H16*H17*'Пр-во и Продажи'!G13)/1000</f>
        <v>0</v>
      </c>
      <c r="I31" s="29">
        <f>(I16*I17*'Пр-во и Продажи'!H13)/1000</f>
        <v>0</v>
      </c>
      <c r="J31" s="29">
        <f>(J16*J17*'Пр-во и Продажи'!I13)/1000</f>
        <v>0</v>
      </c>
      <c r="K31" s="29">
        <f>(K16*K17*'Пр-во и Продажи'!J13)/1000</f>
        <v>0</v>
      </c>
      <c r="L31" s="29">
        <f>(L16*L17*'Пр-во и Продажи'!K13)/1000</f>
        <v>0</v>
      </c>
      <c r="M31" s="29">
        <f>(M16*M17*'Пр-во и Продажи'!L13)/1000</f>
        <v>0</v>
      </c>
      <c r="N31" s="29">
        <f>(N16*N17*'Пр-во и Продажи'!M13)/1000</f>
        <v>0</v>
      </c>
      <c r="O31" s="29">
        <f>(O16*O17*'Пр-во и Продажи'!N13)/1000</f>
        <v>0</v>
      </c>
      <c r="P31" s="29">
        <f>(P16*P17*'Пр-во и Продажи'!O13)/1000</f>
        <v>0</v>
      </c>
      <c r="Q31" s="29">
        <f>(Q16*Q17*'Пр-во и Продажи'!P13)/1000</f>
        <v>0</v>
      </c>
      <c r="R31" s="29">
        <f>(R16*R17*'Пр-во и Продажи'!Q13)/1000</f>
        <v>0</v>
      </c>
      <c r="S31" s="29">
        <f>(S16*S17*'Пр-во и Продажи'!R13)/1000</f>
        <v>0</v>
      </c>
      <c r="T31" s="29">
        <f>(T16*T17*'Пр-во и Продажи'!S13)/1000</f>
        <v>0</v>
      </c>
      <c r="U31" s="29">
        <f>(U16*U17*'Пр-во и Продажи'!T13)/1000</f>
        <v>0</v>
      </c>
      <c r="V31" s="29">
        <f>(V16*V17*'Пр-во и Продажи'!U13)/1000</f>
        <v>0</v>
      </c>
      <c r="W31" s="29">
        <f>(W16*W17*'Пр-во и Продажи'!V13)/1000</f>
        <v>0</v>
      </c>
      <c r="X31" s="29">
        <f>(X16*X17*'Пр-во и Продажи'!W13)/1000</f>
        <v>0</v>
      </c>
      <c r="Y31" s="29">
        <f>(Y16*Y17*'Пр-во и Продажи'!X13)/1000</f>
        <v>0</v>
      </c>
    </row>
    <row r="32" spans="2:25" s="35" customFormat="1" x14ac:dyDescent="0.2">
      <c r="B32" s="43"/>
      <c r="C32" s="43" t="s">
        <v>103</v>
      </c>
      <c r="E32" s="77" t="s">
        <v>85</v>
      </c>
      <c r="F32" s="46">
        <f>F31-F31/(1+Окружение!D13)</f>
        <v>0</v>
      </c>
      <c r="G32" s="46">
        <f>G31-G31/(1+Окружение!E13)</f>
        <v>0</v>
      </c>
      <c r="H32" s="46">
        <f>H31-H31/(1+Окружение!F13)</f>
        <v>0</v>
      </c>
      <c r="I32" s="46">
        <f>I31-I31/(1+Окружение!G13)</f>
        <v>0</v>
      </c>
      <c r="J32" s="46">
        <f>J31-J31/(1+Окружение!H13)</f>
        <v>0</v>
      </c>
      <c r="K32" s="46">
        <f>K31-K31/(1+Окружение!I13)</f>
        <v>0</v>
      </c>
      <c r="L32" s="46">
        <f>L31-L31/(1+Окружение!J13)</f>
        <v>0</v>
      </c>
      <c r="M32" s="46">
        <f>M31-M31/(1+Окружение!K13)</f>
        <v>0</v>
      </c>
      <c r="N32" s="46">
        <f>N31-N31/(1+Окружение!L13)</f>
        <v>0</v>
      </c>
      <c r="O32" s="46">
        <f>O31-O31/(1+Окружение!M13)</f>
        <v>0</v>
      </c>
      <c r="P32" s="46">
        <f>P31-P31/(1+Окружение!N13)</f>
        <v>0</v>
      </c>
      <c r="Q32" s="46">
        <f>Q31-Q31/(1+Окружение!O13)</f>
        <v>0</v>
      </c>
      <c r="R32" s="46">
        <f>R31-R31/(1+Окружение!P13)</f>
        <v>0</v>
      </c>
      <c r="S32" s="46">
        <f>S31-S31/(1+Окружение!Q13)</f>
        <v>0</v>
      </c>
      <c r="T32" s="46">
        <f>T31-T31/(1+Окружение!R13)</f>
        <v>0</v>
      </c>
      <c r="U32" s="46">
        <f>U31-U31/(1+Окружение!S13)</f>
        <v>0</v>
      </c>
      <c r="V32" s="46">
        <f>V31-V31/(1+Окружение!T13)</f>
        <v>0</v>
      </c>
      <c r="W32" s="46">
        <f>W31-W31/(1+Окружение!U13)</f>
        <v>0</v>
      </c>
      <c r="X32" s="46">
        <f>X31-X31/(1+Окружение!V13)</f>
        <v>0</v>
      </c>
      <c r="Y32" s="46">
        <f>Y31-Y31/(1+Окружение!W13)</f>
        <v>0</v>
      </c>
    </row>
    <row r="33" spans="1:25" s="35" customFormat="1" x14ac:dyDescent="0.2">
      <c r="B33" s="43"/>
      <c r="C33" s="43"/>
      <c r="E33" s="77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spans="1:25" s="35" customFormat="1" x14ac:dyDescent="0.2">
      <c r="A34" s="82" t="s">
        <v>456</v>
      </c>
      <c r="B34" s="36"/>
      <c r="E34" s="77"/>
      <c r="F34" s="308"/>
    </row>
    <row r="35" spans="1:25" s="35" customFormat="1" x14ac:dyDescent="0.2">
      <c r="B35" s="36" t="s">
        <v>31</v>
      </c>
      <c r="E35" s="77" t="s">
        <v>85</v>
      </c>
      <c r="F35" s="295">
        <v>0</v>
      </c>
      <c r="G35" s="29">
        <f>F35*(1+Окружение!E8)</f>
        <v>0</v>
      </c>
      <c r="H35" s="29">
        <f>G35*(1+Окружение!F8)</f>
        <v>0</v>
      </c>
      <c r="I35" s="29">
        <f>H35*(1+Окружение!G8)</f>
        <v>0</v>
      </c>
      <c r="J35" s="29">
        <f>I35*(1+Окружение!H8)</f>
        <v>0</v>
      </c>
      <c r="K35" s="29">
        <f>J35*(1+Окружение!I8)</f>
        <v>0</v>
      </c>
      <c r="L35" s="29">
        <f>K35*(1+Окружение!J8)</f>
        <v>0</v>
      </c>
      <c r="M35" s="29">
        <f>L35*(1+Окружение!K8)</f>
        <v>0</v>
      </c>
      <c r="N35" s="29">
        <f>M35*(1+Окружение!L8)</f>
        <v>0</v>
      </c>
      <c r="O35" s="29">
        <f>N35*(1+Окружение!M8)</f>
        <v>0</v>
      </c>
      <c r="P35" s="29">
        <f>O35*(1+Окружение!N8)</f>
        <v>0</v>
      </c>
      <c r="Q35" s="29">
        <f>P35*(1+Окружение!O8)</f>
        <v>0</v>
      </c>
      <c r="R35" s="29">
        <f>Q35*(1+Окружение!P8)</f>
        <v>0</v>
      </c>
      <c r="S35" s="29">
        <f>R35*(1+Окружение!Q8)</f>
        <v>0</v>
      </c>
      <c r="T35" s="29">
        <f>S35*(1+Окружение!R8)</f>
        <v>0</v>
      </c>
      <c r="U35" s="29">
        <f>T35*(1+Окружение!S8)</f>
        <v>0</v>
      </c>
      <c r="V35" s="29">
        <f>U35*(1+Окружение!T8)</f>
        <v>0</v>
      </c>
      <c r="W35" s="29">
        <f>V35*(1+Окружение!U8)</f>
        <v>0</v>
      </c>
      <c r="X35" s="29">
        <f>W35*(1+Окружение!V8)</f>
        <v>0</v>
      </c>
      <c r="Y35" s="29">
        <f>X35*(1+Окружение!W8)</f>
        <v>0</v>
      </c>
    </row>
    <row r="36" spans="1:25" s="35" customFormat="1" x14ac:dyDescent="0.2">
      <c r="B36" s="43" t="s">
        <v>103</v>
      </c>
      <c r="E36" s="77" t="s">
        <v>85</v>
      </c>
      <c r="F36" s="309">
        <f>F35-F35/(1+Окружение!D13)</f>
        <v>0</v>
      </c>
      <c r="G36" s="46">
        <f>G35-G35/(1+Окружение!E13)</f>
        <v>0</v>
      </c>
      <c r="H36" s="46">
        <f>H35-H35/(1+Окружение!F13)</f>
        <v>0</v>
      </c>
      <c r="I36" s="46">
        <f>I35-I35/(1+Окружение!G13)</f>
        <v>0</v>
      </c>
      <c r="J36" s="46">
        <f>J35-J35/(1+Окружение!H13)</f>
        <v>0</v>
      </c>
      <c r="K36" s="46">
        <f>K35-K35/(1+Окружение!I13)</f>
        <v>0</v>
      </c>
      <c r="L36" s="46">
        <f>L35-L35/(1+Окружение!J13)</f>
        <v>0</v>
      </c>
      <c r="M36" s="46">
        <f>M35-M35/(1+Окружение!K13)</f>
        <v>0</v>
      </c>
      <c r="N36" s="46">
        <f>N35-N35/(1+Окружение!L13)</f>
        <v>0</v>
      </c>
      <c r="O36" s="46">
        <f>O35-O35/(1+Окружение!M13)</f>
        <v>0</v>
      </c>
      <c r="P36" s="46">
        <f>P35-P35/(1+Окружение!N13)</f>
        <v>0</v>
      </c>
      <c r="Q36" s="46">
        <f>Q35-Q35/(1+Окружение!O13)</f>
        <v>0</v>
      </c>
      <c r="R36" s="46">
        <f>R35-R35/(1+Окружение!P13)</f>
        <v>0</v>
      </c>
      <c r="S36" s="46">
        <f>S35-S35/(1+Окружение!Q13)</f>
        <v>0</v>
      </c>
      <c r="T36" s="46">
        <f>T35-T35/(1+Окружение!R13)</f>
        <v>0</v>
      </c>
      <c r="U36" s="46">
        <f>U35-U35/(1+Окружение!S13)</f>
        <v>0</v>
      </c>
      <c r="V36" s="46">
        <f>V35-V35/(1+Окружение!T13)</f>
        <v>0</v>
      </c>
      <c r="W36" s="46">
        <f>W35-W35/(1+Окружение!U13)</f>
        <v>0</v>
      </c>
      <c r="X36" s="46">
        <f>X35-X35/(1+Окружение!V13)</f>
        <v>0</v>
      </c>
      <c r="Y36" s="46">
        <f>Y35-Y35/(1+Окружение!W13)</f>
        <v>0</v>
      </c>
    </row>
    <row r="37" spans="1:25" s="35" customFormat="1" x14ac:dyDescent="0.2">
      <c r="B37" s="36" t="s">
        <v>32</v>
      </c>
      <c r="E37" s="77" t="s">
        <v>85</v>
      </c>
      <c r="F37" s="336">
        <v>900</v>
      </c>
      <c r="G37" s="29">
        <f>F37*(1)</f>
        <v>900</v>
      </c>
      <c r="H37" s="29">
        <f>G37*(1)</f>
        <v>900</v>
      </c>
      <c r="I37" s="29">
        <f>H37*(1)</f>
        <v>900</v>
      </c>
      <c r="J37" s="29">
        <f>I37*(1+Окружение!H7)</f>
        <v>977.40000000000009</v>
      </c>
      <c r="K37" s="29">
        <f>J37*(1)</f>
        <v>977.40000000000009</v>
      </c>
      <c r="L37" s="29">
        <f t="shared" ref="L37:M37" si="11">K37*(1)</f>
        <v>977.40000000000009</v>
      </c>
      <c r="M37" s="29">
        <f t="shared" si="11"/>
        <v>977.40000000000009</v>
      </c>
      <c r="N37" s="29">
        <f>M37*(1+Окружение!L7)</f>
        <v>1043.8632000000002</v>
      </c>
      <c r="O37" s="29">
        <f>N37*(1)</f>
        <v>1043.8632000000002</v>
      </c>
      <c r="P37" s="29">
        <f>O37*(1)</f>
        <v>1043.8632000000002</v>
      </c>
      <c r="Q37" s="29">
        <f>P37*(1)</f>
        <v>1043.8632000000002</v>
      </c>
      <c r="R37" s="29">
        <f>Q37*(1+Окружение!P7)</f>
        <v>1108.5827184000002</v>
      </c>
      <c r="S37" s="29">
        <f>R37*(1)</f>
        <v>1108.5827184000002</v>
      </c>
      <c r="T37" s="29">
        <f>S37*(1)</f>
        <v>1108.5827184000002</v>
      </c>
      <c r="U37" s="29">
        <f>T37*(1)</f>
        <v>1108.5827184000002</v>
      </c>
      <c r="V37" s="29">
        <f>U37*(1+Окружение!T7)</f>
        <v>1180.6405950960002</v>
      </c>
      <c r="W37" s="29">
        <f>V37*(1)</f>
        <v>1180.6405950960002</v>
      </c>
      <c r="X37" s="29">
        <f>W37*(1)</f>
        <v>1180.6405950960002</v>
      </c>
      <c r="Y37" s="29">
        <f>X37*(1)</f>
        <v>1180.6405950960002</v>
      </c>
    </row>
    <row r="38" spans="1:25" s="35" customFormat="1" x14ac:dyDescent="0.2">
      <c r="B38" s="43" t="s">
        <v>103</v>
      </c>
      <c r="E38" s="77" t="s">
        <v>85</v>
      </c>
      <c r="F38" s="46">
        <f>F37-F37/(1+Окружение!D13)</f>
        <v>137.28813559322032</v>
      </c>
      <c r="G38" s="46">
        <f>G37-G37/(1+Окружение!E13)</f>
        <v>137.28813559322032</v>
      </c>
      <c r="H38" s="46">
        <f>H37-H37/(1+Окружение!F13)</f>
        <v>137.28813559322032</v>
      </c>
      <c r="I38" s="46">
        <f>I37-I37/(1+Окружение!G13)</f>
        <v>137.28813559322032</v>
      </c>
      <c r="J38" s="46">
        <f>J37-J37/(1+Окружение!H13)</f>
        <v>149.09491525423721</v>
      </c>
      <c r="K38" s="46">
        <f>K37-K37/(1+Окружение!I13)</f>
        <v>149.09491525423721</v>
      </c>
      <c r="L38" s="46">
        <f>L37-L37/(1+Окружение!J13)</f>
        <v>149.09491525423721</v>
      </c>
      <c r="M38" s="46">
        <f>M37-M37/(1+Окружение!K13)</f>
        <v>149.09491525423721</v>
      </c>
      <c r="N38" s="46">
        <f>N37-N37/(1+Окружение!L13)</f>
        <v>159.23336949152542</v>
      </c>
      <c r="O38" s="46">
        <f>O37-O37/(1+Окружение!M13)</f>
        <v>159.23336949152542</v>
      </c>
      <c r="P38" s="46">
        <f>P37-P37/(1+Окружение!N13)</f>
        <v>159.23336949152542</v>
      </c>
      <c r="Q38" s="46">
        <f>Q37-Q37/(1+Окружение!O13)</f>
        <v>159.23336949152542</v>
      </c>
      <c r="R38" s="46">
        <f>R37-R37/(1+Окружение!P13)</f>
        <v>169.10583839999993</v>
      </c>
      <c r="S38" s="46">
        <f>S37-S37/(1+Окружение!Q13)</f>
        <v>169.10583839999993</v>
      </c>
      <c r="T38" s="46">
        <f>T37-T37/(1+Окружение!R13)</f>
        <v>169.10583839999993</v>
      </c>
      <c r="U38" s="46">
        <f>U37-U37/(1+Окружение!S13)</f>
        <v>169.10583839999993</v>
      </c>
      <c r="V38" s="46">
        <f>V37-V37/(1+Окружение!T13)</f>
        <v>180.09771789599995</v>
      </c>
      <c r="W38" s="46">
        <f>W37-W37/(1+Окружение!U13)</f>
        <v>180.09771789599995</v>
      </c>
      <c r="X38" s="46">
        <f>X37-X37/(1+Окружение!V13)</f>
        <v>180.09771789599995</v>
      </c>
      <c r="Y38" s="46">
        <f>Y37-Y37/(1+Окружение!W13)</f>
        <v>180.09771789599995</v>
      </c>
    </row>
    <row r="39" spans="1:25" s="35" customFormat="1" x14ac:dyDescent="0.2">
      <c r="B39" s="36" t="s">
        <v>240</v>
      </c>
      <c r="E39" s="77" t="s">
        <v>85</v>
      </c>
      <c r="F39" s="30">
        <v>0</v>
      </c>
      <c r="G39" s="29">
        <f>F39*(1+Окружение!E8)</f>
        <v>0</v>
      </c>
      <c r="H39" s="29">
        <f>G39*(1+Окружение!F8)</f>
        <v>0</v>
      </c>
      <c r="I39" s="29">
        <f>H39*(1+Окружение!G8)</f>
        <v>0</v>
      </c>
      <c r="J39" s="29">
        <f>I39*(1+Окружение!H8)</f>
        <v>0</v>
      </c>
      <c r="K39" s="29">
        <f>J39*(1+Окружение!I8)</f>
        <v>0</v>
      </c>
      <c r="L39" s="29">
        <f>K39*(1+Окружение!J8)</f>
        <v>0</v>
      </c>
      <c r="M39" s="29">
        <f>L39*(1+Окружение!K8)</f>
        <v>0</v>
      </c>
      <c r="N39" s="29">
        <f>M39*(1+Окружение!L8)</f>
        <v>0</v>
      </c>
      <c r="O39" s="29">
        <f>N39*(1+Окружение!M8)</f>
        <v>0</v>
      </c>
      <c r="P39" s="29">
        <f>O39*(1+Окружение!N8)</f>
        <v>0</v>
      </c>
      <c r="Q39" s="29">
        <f>P39*(1+Окружение!O8)</f>
        <v>0</v>
      </c>
      <c r="R39" s="29">
        <f>Q39*(1+Окружение!P8)</f>
        <v>0</v>
      </c>
      <c r="S39" s="29">
        <f>R39*(1+Окружение!Q8)</f>
        <v>0</v>
      </c>
      <c r="T39" s="29">
        <f>S39*(1+Окружение!R8)</f>
        <v>0</v>
      </c>
      <c r="U39" s="29">
        <f>T39*(1+Окружение!S8)</f>
        <v>0</v>
      </c>
      <c r="V39" s="29">
        <f>U39*(1+Окружение!T8)</f>
        <v>0</v>
      </c>
      <c r="W39" s="29">
        <f>V39*(1+Окружение!U8)</f>
        <v>0</v>
      </c>
      <c r="X39" s="29">
        <f>W39*(1+Окружение!V8)</f>
        <v>0</v>
      </c>
      <c r="Y39" s="29">
        <f>X39*(1+Окружение!W8)</f>
        <v>0</v>
      </c>
    </row>
    <row r="40" spans="1:25" s="35" customFormat="1" x14ac:dyDescent="0.2">
      <c r="B40" s="43" t="s">
        <v>103</v>
      </c>
      <c r="E40" s="77" t="s">
        <v>85</v>
      </c>
      <c r="F40" s="46">
        <f>F39-F39/(1+Окружение!D13)</f>
        <v>0</v>
      </c>
      <c r="G40" s="46">
        <f>G39-G39/(1+Окружение!E13)</f>
        <v>0</v>
      </c>
      <c r="H40" s="46">
        <f>H39-H39/(1+Окружение!F13)</f>
        <v>0</v>
      </c>
      <c r="I40" s="46">
        <f>I39-I39/(1+Окружение!G13)</f>
        <v>0</v>
      </c>
      <c r="J40" s="46">
        <f>J39-J39/(1+Окружение!H13)</f>
        <v>0</v>
      </c>
      <c r="K40" s="46">
        <f>K39-K39/(1+Окружение!I13)</f>
        <v>0</v>
      </c>
      <c r="L40" s="46">
        <f>L39-L39/(1+Окружение!J13)</f>
        <v>0</v>
      </c>
      <c r="M40" s="46">
        <f>M39-M39/(1+Окружение!K13)</f>
        <v>0</v>
      </c>
      <c r="N40" s="46">
        <f>N39-N39/(1+Окружение!L13)</f>
        <v>0</v>
      </c>
      <c r="O40" s="46">
        <f>O39-O39/(1+Окружение!M13)</f>
        <v>0</v>
      </c>
      <c r="P40" s="46">
        <f>P39-P39/(1+Окружение!N13)</f>
        <v>0</v>
      </c>
      <c r="Q40" s="46">
        <f>Q39-Q39/(1+Окружение!O13)</f>
        <v>0</v>
      </c>
      <c r="R40" s="46">
        <f>R39-R39/(1+Окружение!P13)</f>
        <v>0</v>
      </c>
      <c r="S40" s="46">
        <f>S39-S39/(1+Окружение!Q13)</f>
        <v>0</v>
      </c>
      <c r="T40" s="46">
        <f>T39-T39/(1+Окружение!R13)</f>
        <v>0</v>
      </c>
      <c r="U40" s="46">
        <f>U39-U39/(1+Окружение!S13)</f>
        <v>0</v>
      </c>
      <c r="V40" s="46">
        <f>V39-V39/(1+Окружение!T13)</f>
        <v>0</v>
      </c>
      <c r="W40" s="46">
        <f>W39-W39/(1+Окружение!U13)</f>
        <v>0</v>
      </c>
      <c r="X40" s="46">
        <f>X39-X39/(1+Окружение!V13)</f>
        <v>0</v>
      </c>
      <c r="Y40" s="46">
        <f>Y39-Y39/(1+Окружение!W13)</f>
        <v>0</v>
      </c>
    </row>
    <row r="41" spans="1:25" s="35" customFormat="1" x14ac:dyDescent="0.2">
      <c r="B41" s="36" t="s">
        <v>241</v>
      </c>
      <c r="E41" s="77" t="s">
        <v>85</v>
      </c>
      <c r="F41" s="30">
        <v>0</v>
      </c>
      <c r="G41" s="29">
        <f>F41*(1+Окружение!E8)</f>
        <v>0</v>
      </c>
      <c r="H41" s="29">
        <f>G41*(1+Окружение!F8)</f>
        <v>0</v>
      </c>
      <c r="I41" s="29">
        <f>H41*(1+Окружение!G8)</f>
        <v>0</v>
      </c>
      <c r="J41" s="29">
        <f>I41*(1+Окружение!H8)</f>
        <v>0</v>
      </c>
      <c r="K41" s="29">
        <f>J41*(1+Окружение!I8)</f>
        <v>0</v>
      </c>
      <c r="L41" s="29">
        <f>K41*(1+Окружение!J8)</f>
        <v>0</v>
      </c>
      <c r="M41" s="29">
        <f>L41*(1+Окружение!K8)</f>
        <v>0</v>
      </c>
      <c r="N41" s="29">
        <f>M41*(1+Окружение!L8)</f>
        <v>0</v>
      </c>
      <c r="O41" s="29">
        <f>N41*(1+Окружение!M8)</f>
        <v>0</v>
      </c>
      <c r="P41" s="29">
        <f>O41*(1+Окружение!N8)</f>
        <v>0</v>
      </c>
      <c r="Q41" s="29">
        <f>P41*(1+Окружение!O8)</f>
        <v>0</v>
      </c>
      <c r="R41" s="29">
        <f>Q41*(1+Окружение!P8)</f>
        <v>0</v>
      </c>
      <c r="S41" s="29">
        <f>R41*(1+Окружение!Q8)</f>
        <v>0</v>
      </c>
      <c r="T41" s="29">
        <f>S41*(1+Окружение!R8)</f>
        <v>0</v>
      </c>
      <c r="U41" s="29">
        <f>T41*(1+Окружение!S8)</f>
        <v>0</v>
      </c>
      <c r="V41" s="29">
        <f>U41*(1+Окружение!T8)</f>
        <v>0</v>
      </c>
      <c r="W41" s="29">
        <f>V41*(1+Окружение!U8)</f>
        <v>0</v>
      </c>
      <c r="X41" s="29">
        <f>W41*(1+Окружение!V8)</f>
        <v>0</v>
      </c>
      <c r="Y41" s="29">
        <f>X41*(1+Окружение!W8)</f>
        <v>0</v>
      </c>
    </row>
    <row r="42" spans="1:25" s="35" customFormat="1" x14ac:dyDescent="0.2">
      <c r="B42" s="43" t="s">
        <v>103</v>
      </c>
      <c r="E42" s="77" t="s">
        <v>85</v>
      </c>
      <c r="F42" s="46">
        <f>F41-F41/(1+Окружение!D13)</f>
        <v>0</v>
      </c>
      <c r="G42" s="46">
        <f>G41-G41/(1+Окружение!E13)</f>
        <v>0</v>
      </c>
      <c r="H42" s="46">
        <f>H41-H41/(1+Окружение!F13)</f>
        <v>0</v>
      </c>
      <c r="I42" s="46">
        <f>I41-I41/(1+Окружение!G13)</f>
        <v>0</v>
      </c>
      <c r="J42" s="46">
        <f>J41-J41/(1+Окружение!H13)</f>
        <v>0</v>
      </c>
      <c r="K42" s="46">
        <f>K41-K41/(1+Окружение!I13)</f>
        <v>0</v>
      </c>
      <c r="L42" s="46">
        <f>L41-L41/(1+Окружение!J13)</f>
        <v>0</v>
      </c>
      <c r="M42" s="46">
        <f>M41-M41/(1+Окружение!K13)</f>
        <v>0</v>
      </c>
      <c r="N42" s="46">
        <f>N41-N41/(1+Окружение!L13)</f>
        <v>0</v>
      </c>
      <c r="O42" s="46">
        <f>O41-O41/(1+Окружение!M13)</f>
        <v>0</v>
      </c>
      <c r="P42" s="46">
        <f>P41-P41/(1+Окружение!N13)</f>
        <v>0</v>
      </c>
      <c r="Q42" s="46">
        <f>Q41-Q41/(1+Окружение!O13)</f>
        <v>0</v>
      </c>
      <c r="R42" s="46">
        <f>R41-R41/(1+Окружение!P13)</f>
        <v>0</v>
      </c>
      <c r="S42" s="46">
        <f>S41-S41/(1+Окружение!Q13)</f>
        <v>0</v>
      </c>
      <c r="T42" s="46">
        <f>T41-T41/(1+Окружение!R13)</f>
        <v>0</v>
      </c>
      <c r="U42" s="46">
        <f>U41-U41/(1+Окружение!S13)</f>
        <v>0</v>
      </c>
      <c r="V42" s="46">
        <f>V41-V41/(1+Окружение!T13)</f>
        <v>0</v>
      </c>
      <c r="W42" s="46">
        <f>W41-W41/(1+Окружение!U13)</f>
        <v>0</v>
      </c>
      <c r="X42" s="46">
        <f>X41-X41/(1+Окружение!V13)</f>
        <v>0</v>
      </c>
      <c r="Y42" s="46">
        <f>Y41-Y41/(1+Окружение!W13)</f>
        <v>0</v>
      </c>
    </row>
    <row r="43" spans="1:25" s="35" customFormat="1" x14ac:dyDescent="0.2">
      <c r="B43" s="39" t="s">
        <v>239</v>
      </c>
      <c r="E43" s="77" t="s">
        <v>85</v>
      </c>
      <c r="F43" s="17">
        <f>F35+F37+F39+F41</f>
        <v>900</v>
      </c>
      <c r="G43" s="17">
        <f t="shared" ref="G43:Y43" si="12">G35+G37+G39+G41</f>
        <v>900</v>
      </c>
      <c r="H43" s="17">
        <f t="shared" si="12"/>
        <v>900</v>
      </c>
      <c r="I43" s="17">
        <f t="shared" si="12"/>
        <v>900</v>
      </c>
      <c r="J43" s="17">
        <f t="shared" si="12"/>
        <v>977.40000000000009</v>
      </c>
      <c r="K43" s="17">
        <f t="shared" si="12"/>
        <v>977.40000000000009</v>
      </c>
      <c r="L43" s="17">
        <f t="shared" si="12"/>
        <v>977.40000000000009</v>
      </c>
      <c r="M43" s="17">
        <f t="shared" si="12"/>
        <v>977.40000000000009</v>
      </c>
      <c r="N43" s="17">
        <f t="shared" si="12"/>
        <v>1043.8632000000002</v>
      </c>
      <c r="O43" s="17">
        <f t="shared" si="12"/>
        <v>1043.8632000000002</v>
      </c>
      <c r="P43" s="17">
        <f t="shared" si="12"/>
        <v>1043.8632000000002</v>
      </c>
      <c r="Q43" s="17">
        <f t="shared" si="12"/>
        <v>1043.8632000000002</v>
      </c>
      <c r="R43" s="17">
        <f t="shared" si="12"/>
        <v>1108.5827184000002</v>
      </c>
      <c r="S43" s="17">
        <f t="shared" si="12"/>
        <v>1108.5827184000002</v>
      </c>
      <c r="T43" s="17">
        <f t="shared" si="12"/>
        <v>1108.5827184000002</v>
      </c>
      <c r="U43" s="17">
        <f t="shared" si="12"/>
        <v>1108.5827184000002</v>
      </c>
      <c r="V43" s="17">
        <f t="shared" si="12"/>
        <v>1180.6405950960002</v>
      </c>
      <c r="W43" s="17">
        <f t="shared" si="12"/>
        <v>1180.6405950960002</v>
      </c>
      <c r="X43" s="17">
        <f t="shared" si="12"/>
        <v>1180.6405950960002</v>
      </c>
      <c r="Y43" s="17">
        <f t="shared" si="12"/>
        <v>1180.6405950960002</v>
      </c>
    </row>
    <row r="44" spans="1:25" s="35" customFormat="1" x14ac:dyDescent="0.2">
      <c r="B44" s="43" t="s">
        <v>103</v>
      </c>
      <c r="E44" s="77" t="s">
        <v>85</v>
      </c>
      <c r="F44" s="46">
        <f>F36+F38+F40+F42</f>
        <v>137.28813559322032</v>
      </c>
      <c r="G44" s="46">
        <f t="shared" ref="G44:Y44" si="13">G36+G38+G40+G42</f>
        <v>137.28813559322032</v>
      </c>
      <c r="H44" s="46">
        <f t="shared" si="13"/>
        <v>137.28813559322032</v>
      </c>
      <c r="I44" s="46">
        <f t="shared" si="13"/>
        <v>137.28813559322032</v>
      </c>
      <c r="J44" s="46">
        <f t="shared" si="13"/>
        <v>149.09491525423721</v>
      </c>
      <c r="K44" s="46">
        <f t="shared" si="13"/>
        <v>149.09491525423721</v>
      </c>
      <c r="L44" s="46">
        <f t="shared" si="13"/>
        <v>149.09491525423721</v>
      </c>
      <c r="M44" s="46">
        <f t="shared" si="13"/>
        <v>149.09491525423721</v>
      </c>
      <c r="N44" s="46">
        <f t="shared" si="13"/>
        <v>159.23336949152542</v>
      </c>
      <c r="O44" s="46">
        <f t="shared" si="13"/>
        <v>159.23336949152542</v>
      </c>
      <c r="P44" s="46">
        <f t="shared" si="13"/>
        <v>159.23336949152542</v>
      </c>
      <c r="Q44" s="46">
        <f t="shared" si="13"/>
        <v>159.23336949152542</v>
      </c>
      <c r="R44" s="46">
        <f t="shared" si="13"/>
        <v>169.10583839999993</v>
      </c>
      <c r="S44" s="46">
        <f t="shared" si="13"/>
        <v>169.10583839999993</v>
      </c>
      <c r="T44" s="46">
        <f t="shared" si="13"/>
        <v>169.10583839999993</v>
      </c>
      <c r="U44" s="46">
        <f t="shared" si="13"/>
        <v>169.10583839999993</v>
      </c>
      <c r="V44" s="46">
        <f t="shared" si="13"/>
        <v>180.09771789599995</v>
      </c>
      <c r="W44" s="46">
        <f t="shared" si="13"/>
        <v>180.09771789599995</v>
      </c>
      <c r="X44" s="46">
        <f t="shared" si="13"/>
        <v>180.09771789599995</v>
      </c>
      <c r="Y44" s="46">
        <f t="shared" si="13"/>
        <v>180.09771789599995</v>
      </c>
    </row>
    <row r="45" spans="1:25" s="35" customFormat="1" x14ac:dyDescent="0.2">
      <c r="B45" s="39"/>
      <c r="E45" s="77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spans="1:25" s="35" customFormat="1" x14ac:dyDescent="0.2">
      <c r="A46" s="33"/>
      <c r="B46" s="39"/>
      <c r="E46" s="77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spans="1:25" s="35" customFormat="1" x14ac:dyDescent="0.2">
      <c r="A47" s="25" t="s">
        <v>242</v>
      </c>
      <c r="E47" s="77"/>
    </row>
    <row r="48" spans="1:25" s="35" customFormat="1" x14ac:dyDescent="0.2">
      <c r="B48" s="36" t="s">
        <v>546</v>
      </c>
      <c r="E48" s="77" t="s">
        <v>85</v>
      </c>
      <c r="F48" s="30">
        <v>0</v>
      </c>
      <c r="G48" s="29">
        <f>F48*(1+Окружение!E8)</f>
        <v>0</v>
      </c>
      <c r="H48" s="29">
        <v>2000</v>
      </c>
      <c r="I48" s="29">
        <v>2000</v>
      </c>
      <c r="J48" s="29">
        <f>I48*(1+Окружение!H7)</f>
        <v>2172</v>
      </c>
      <c r="K48" s="29">
        <f>J48*(1)</f>
        <v>2172</v>
      </c>
      <c r="L48" s="29">
        <f t="shared" ref="L48:M48" si="14">K48*(1)</f>
        <v>2172</v>
      </c>
      <c r="M48" s="29">
        <f t="shared" si="14"/>
        <v>2172</v>
      </c>
      <c r="N48" s="29">
        <f>M48*(1+Окружение!L7)</f>
        <v>2319.6959999999999</v>
      </c>
      <c r="O48" s="29">
        <f>N48*(1)</f>
        <v>2319.6959999999999</v>
      </c>
      <c r="P48" s="29">
        <f t="shared" ref="P48:Q48" si="15">O48*(1)</f>
        <v>2319.6959999999999</v>
      </c>
      <c r="Q48" s="29">
        <f t="shared" si="15"/>
        <v>2319.6959999999999</v>
      </c>
      <c r="R48" s="29">
        <f>Q48*(1+Окружение!P7)</f>
        <v>2463.5171519999999</v>
      </c>
      <c r="S48" s="29">
        <f>R48*(1)</f>
        <v>2463.5171519999999</v>
      </c>
      <c r="T48" s="29">
        <f t="shared" ref="T48:U48" si="16">S48*(1)</f>
        <v>2463.5171519999999</v>
      </c>
      <c r="U48" s="29">
        <f t="shared" si="16"/>
        <v>2463.5171519999999</v>
      </c>
      <c r="V48" s="29">
        <f>U48*(1+Окружение!T7)</f>
        <v>2623.6457668799999</v>
      </c>
      <c r="W48" s="29">
        <f>V48*(1)</f>
        <v>2623.6457668799999</v>
      </c>
      <c r="X48" s="29">
        <f t="shared" ref="X48:Y48" si="17">W48*(1)</f>
        <v>2623.6457668799999</v>
      </c>
      <c r="Y48" s="29">
        <f t="shared" si="17"/>
        <v>2623.6457668799999</v>
      </c>
    </row>
    <row r="49" spans="1:25" s="35" customFormat="1" x14ac:dyDescent="0.2">
      <c r="B49" s="43" t="s">
        <v>103</v>
      </c>
      <c r="E49" s="77" t="s">
        <v>85</v>
      </c>
      <c r="F49" s="46">
        <f>F48-F48/(1+Окружение!D13)</f>
        <v>0</v>
      </c>
      <c r="G49" s="46">
        <f>G48-G48/(1+Окружение!E13)</f>
        <v>0</v>
      </c>
      <c r="H49" s="46">
        <f>H48-H48/(1+Окружение!F13)</f>
        <v>305.08474576271169</v>
      </c>
      <c r="I49" s="46">
        <f>I48-I48/(1+Окружение!G13)</f>
        <v>305.08474576271169</v>
      </c>
      <c r="J49" s="46">
        <f>J48-J48/(1+Окружение!H13)</f>
        <v>331.32203389830488</v>
      </c>
      <c r="K49" s="46">
        <f>K48-K48/(1+Окружение!I13)</f>
        <v>331.32203389830488</v>
      </c>
      <c r="L49" s="46">
        <f>L48-L48/(1+Окружение!J13)</f>
        <v>331.32203389830488</v>
      </c>
      <c r="M49" s="46">
        <f>M48-M48/(1+Окружение!K13)</f>
        <v>331.32203389830488</v>
      </c>
      <c r="N49" s="46">
        <f>N48-N48/(1+Окружение!L13)</f>
        <v>353.85193220338965</v>
      </c>
      <c r="O49" s="46">
        <f>O48-O48/(1+Окружение!M13)</f>
        <v>353.85193220338965</v>
      </c>
      <c r="P49" s="46">
        <f>P48-P48/(1+Окружение!N13)</f>
        <v>353.85193220338965</v>
      </c>
      <c r="Q49" s="46">
        <f>Q48-Q48/(1+Окружение!O13)</f>
        <v>353.85193220338965</v>
      </c>
      <c r="R49" s="46">
        <f>R48-R48/(1+Окружение!P13)</f>
        <v>375.79075199999988</v>
      </c>
      <c r="S49" s="46">
        <f>S48-S48/(1+Окружение!Q13)</f>
        <v>375.79075199999988</v>
      </c>
      <c r="T49" s="46">
        <f>T48-T48/(1+Окружение!R13)</f>
        <v>375.79075199999988</v>
      </c>
      <c r="U49" s="46">
        <f>U48-U48/(1+Окружение!S13)</f>
        <v>375.79075199999988</v>
      </c>
      <c r="V49" s="46">
        <f>V48-V48/(1+Окружение!T13)</f>
        <v>400.21715087999974</v>
      </c>
      <c r="W49" s="46">
        <f>W48-W48/(1+Окружение!U13)</f>
        <v>400.21715087999974</v>
      </c>
      <c r="X49" s="46">
        <f>X48-X48/(1+Окружение!V13)</f>
        <v>400.21715087999974</v>
      </c>
      <c r="Y49" s="46">
        <f>Y48-Y48/(1+Окружение!W13)</f>
        <v>400.21715087999974</v>
      </c>
    </row>
    <row r="50" spans="1:25" s="35" customFormat="1" x14ac:dyDescent="0.2">
      <c r="B50" s="36" t="s">
        <v>124</v>
      </c>
      <c r="E50" s="77" t="s">
        <v>85</v>
      </c>
      <c r="F50" s="30">
        <v>0</v>
      </c>
      <c r="G50" s="29">
        <f>F50*(1+Окружение!E8)</f>
        <v>0</v>
      </c>
      <c r="H50" s="29">
        <f>G50*(1+Окружение!F8)</f>
        <v>0</v>
      </c>
      <c r="I50" s="29">
        <f>H50*(1+Окружение!G8)</f>
        <v>0</v>
      </c>
      <c r="J50" s="29">
        <f>I50*(1+Окружение!H8)</f>
        <v>0</v>
      </c>
      <c r="K50" s="29">
        <f>J50*(1+Окружение!I8)</f>
        <v>0</v>
      </c>
      <c r="L50" s="29">
        <f>K50*(1+Окружение!J8)</f>
        <v>0</v>
      </c>
      <c r="M50" s="29">
        <f>L50*(1+Окружение!K8)</f>
        <v>0</v>
      </c>
      <c r="N50" s="29">
        <f>M50*(1+Окружение!L8)</f>
        <v>0</v>
      </c>
      <c r="O50" s="29">
        <f>N50*(1+Окружение!M8)</f>
        <v>0</v>
      </c>
      <c r="P50" s="29">
        <f>O50*(1+Окружение!N8)</f>
        <v>0</v>
      </c>
      <c r="Q50" s="29">
        <f>P50*(1+Окружение!O8)</f>
        <v>0</v>
      </c>
      <c r="R50" s="29">
        <f>Q50*(1+Окружение!P8)</f>
        <v>0</v>
      </c>
      <c r="S50" s="29">
        <f>R50*(1+Окружение!Q8)</f>
        <v>0</v>
      </c>
      <c r="T50" s="29">
        <f>S50*(1+Окружение!R8)</f>
        <v>0</v>
      </c>
      <c r="U50" s="29">
        <f>T50*(1+Окружение!S8)</f>
        <v>0</v>
      </c>
      <c r="V50" s="29">
        <f>U50*(1+Окружение!T8)</f>
        <v>0</v>
      </c>
      <c r="W50" s="29">
        <f>V50*(1+Окружение!U8)</f>
        <v>0</v>
      </c>
      <c r="X50" s="29">
        <f>W50*(1+Окружение!V8)</f>
        <v>0</v>
      </c>
      <c r="Y50" s="29">
        <f>X50*(1+Окружение!W8)</f>
        <v>0</v>
      </c>
    </row>
    <row r="51" spans="1:25" s="35" customFormat="1" x14ac:dyDescent="0.2">
      <c r="B51" s="43" t="s">
        <v>103</v>
      </c>
      <c r="E51" s="77" t="s">
        <v>85</v>
      </c>
      <c r="F51" s="46">
        <f>F50-F50/(1+Окружение!D13)</f>
        <v>0</v>
      </c>
      <c r="G51" s="46">
        <f>G50-G50/(1+Окружение!E13)</f>
        <v>0</v>
      </c>
      <c r="H51" s="46">
        <f>H50-H50/(1+Окружение!F13)</f>
        <v>0</v>
      </c>
      <c r="I51" s="46">
        <f>I50-I50/(1+Окружение!G13)</f>
        <v>0</v>
      </c>
      <c r="J51" s="46">
        <f>J50-J50/(1+Окружение!H13)</f>
        <v>0</v>
      </c>
      <c r="K51" s="46">
        <f>K50-K50/(1+Окружение!I13)</f>
        <v>0</v>
      </c>
      <c r="L51" s="46">
        <f>L50-L50/(1+Окружение!J13)</f>
        <v>0</v>
      </c>
      <c r="M51" s="46">
        <f>M50-M50/(1+Окружение!K13)</f>
        <v>0</v>
      </c>
      <c r="N51" s="46">
        <f>N50-N50/(1+Окружение!L13)</f>
        <v>0</v>
      </c>
      <c r="O51" s="46">
        <f>O50-O50/(1+Окружение!M13)</f>
        <v>0</v>
      </c>
      <c r="P51" s="46">
        <f>P50-P50/(1+Окружение!N13)</f>
        <v>0</v>
      </c>
      <c r="Q51" s="46">
        <f>Q50-Q50/(1+Окружение!O13)</f>
        <v>0</v>
      </c>
      <c r="R51" s="46">
        <f>R50-R50/(1+Окружение!P13)</f>
        <v>0</v>
      </c>
      <c r="S51" s="46">
        <f>S50-S50/(1+Окружение!Q13)</f>
        <v>0</v>
      </c>
      <c r="T51" s="46">
        <f>T50-T50/(1+Окружение!R13)</f>
        <v>0</v>
      </c>
      <c r="U51" s="46">
        <f>U50-U50/(1+Окружение!S13)</f>
        <v>0</v>
      </c>
      <c r="V51" s="46">
        <f>V50-V50/(1+Окружение!T13)</f>
        <v>0</v>
      </c>
      <c r="W51" s="46">
        <f>W50-W50/(1+Окружение!U13)</f>
        <v>0</v>
      </c>
      <c r="X51" s="46">
        <f>X50-X50/(1+Окружение!V13)</f>
        <v>0</v>
      </c>
      <c r="Y51" s="46">
        <f>Y50-Y50/(1+Окружение!W13)</f>
        <v>0</v>
      </c>
    </row>
    <row r="52" spans="1:25" s="35" customFormat="1" x14ac:dyDescent="0.2">
      <c r="B52" s="39" t="s">
        <v>109</v>
      </c>
      <c r="E52" s="77" t="s">
        <v>85</v>
      </c>
      <c r="F52" s="17">
        <f>F48+F50</f>
        <v>0</v>
      </c>
      <c r="G52" s="17">
        <f t="shared" ref="G52:Y52" si="18">G48+G50</f>
        <v>0</v>
      </c>
      <c r="H52" s="17">
        <f t="shared" si="18"/>
        <v>2000</v>
      </c>
      <c r="I52" s="17">
        <f t="shared" si="18"/>
        <v>2000</v>
      </c>
      <c r="J52" s="17">
        <f t="shared" si="18"/>
        <v>2172</v>
      </c>
      <c r="K52" s="17">
        <f t="shared" si="18"/>
        <v>2172</v>
      </c>
      <c r="L52" s="17">
        <f t="shared" si="18"/>
        <v>2172</v>
      </c>
      <c r="M52" s="17">
        <f t="shared" si="18"/>
        <v>2172</v>
      </c>
      <c r="N52" s="17">
        <f t="shared" si="18"/>
        <v>2319.6959999999999</v>
      </c>
      <c r="O52" s="17">
        <f t="shared" si="18"/>
        <v>2319.6959999999999</v>
      </c>
      <c r="P52" s="17">
        <f t="shared" si="18"/>
        <v>2319.6959999999999</v>
      </c>
      <c r="Q52" s="17">
        <f t="shared" si="18"/>
        <v>2319.6959999999999</v>
      </c>
      <c r="R52" s="17">
        <f t="shared" si="18"/>
        <v>2463.5171519999999</v>
      </c>
      <c r="S52" s="17">
        <f t="shared" si="18"/>
        <v>2463.5171519999999</v>
      </c>
      <c r="T52" s="17">
        <f t="shared" si="18"/>
        <v>2463.5171519999999</v>
      </c>
      <c r="U52" s="17">
        <f t="shared" si="18"/>
        <v>2463.5171519999999</v>
      </c>
      <c r="V52" s="17">
        <f t="shared" si="18"/>
        <v>2623.6457668799999</v>
      </c>
      <c r="W52" s="17">
        <f t="shared" si="18"/>
        <v>2623.6457668799999</v>
      </c>
      <c r="X52" s="17">
        <f t="shared" si="18"/>
        <v>2623.6457668799999</v>
      </c>
      <c r="Y52" s="17">
        <f t="shared" si="18"/>
        <v>2623.6457668799999</v>
      </c>
    </row>
    <row r="53" spans="1:25" s="35" customFormat="1" x14ac:dyDescent="0.2">
      <c r="B53" s="43" t="s">
        <v>103</v>
      </c>
      <c r="E53" s="77" t="s">
        <v>85</v>
      </c>
      <c r="F53" s="29">
        <f>F49+F51</f>
        <v>0</v>
      </c>
      <c r="G53" s="29">
        <f t="shared" ref="G53:Y53" si="19">G49+G51</f>
        <v>0</v>
      </c>
      <c r="H53" s="29">
        <f t="shared" si="19"/>
        <v>305.08474576271169</v>
      </c>
      <c r="I53" s="29">
        <f t="shared" si="19"/>
        <v>305.08474576271169</v>
      </c>
      <c r="J53" s="29">
        <f t="shared" si="19"/>
        <v>331.32203389830488</v>
      </c>
      <c r="K53" s="29">
        <f t="shared" si="19"/>
        <v>331.32203389830488</v>
      </c>
      <c r="L53" s="29">
        <f t="shared" si="19"/>
        <v>331.32203389830488</v>
      </c>
      <c r="M53" s="29">
        <f t="shared" si="19"/>
        <v>331.32203389830488</v>
      </c>
      <c r="N53" s="29">
        <f t="shared" si="19"/>
        <v>353.85193220338965</v>
      </c>
      <c r="O53" s="29">
        <f t="shared" si="19"/>
        <v>353.85193220338965</v>
      </c>
      <c r="P53" s="29">
        <f t="shared" si="19"/>
        <v>353.85193220338965</v>
      </c>
      <c r="Q53" s="29">
        <f t="shared" si="19"/>
        <v>353.85193220338965</v>
      </c>
      <c r="R53" s="29">
        <f t="shared" si="19"/>
        <v>375.79075199999988</v>
      </c>
      <c r="S53" s="29">
        <f t="shared" si="19"/>
        <v>375.79075199999988</v>
      </c>
      <c r="T53" s="29">
        <f t="shared" si="19"/>
        <v>375.79075199999988</v>
      </c>
      <c r="U53" s="29">
        <f t="shared" si="19"/>
        <v>375.79075199999988</v>
      </c>
      <c r="V53" s="29">
        <f t="shared" si="19"/>
        <v>400.21715087999974</v>
      </c>
      <c r="W53" s="29">
        <f t="shared" si="19"/>
        <v>400.21715087999974</v>
      </c>
      <c r="X53" s="29">
        <f t="shared" si="19"/>
        <v>400.21715087999974</v>
      </c>
      <c r="Y53" s="29">
        <f t="shared" si="19"/>
        <v>400.21715087999974</v>
      </c>
    </row>
    <row r="54" spans="1:25" s="35" customFormat="1" x14ac:dyDescent="0.2">
      <c r="B54" s="36"/>
      <c r="E54" s="77"/>
    </row>
    <row r="55" spans="1:25" s="35" customFormat="1" x14ac:dyDescent="0.2">
      <c r="A55" s="33"/>
      <c r="B55" s="39"/>
      <c r="E55" s="7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s="35" customFormat="1" x14ac:dyDescent="0.2">
      <c r="A56" s="25" t="s">
        <v>125</v>
      </c>
      <c r="E56" s="77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s="35" customFormat="1" x14ac:dyDescent="0.2">
      <c r="B57" s="36" t="s">
        <v>33</v>
      </c>
      <c r="E57" s="77" t="s">
        <v>85</v>
      </c>
      <c r="F57" s="30">
        <v>0</v>
      </c>
      <c r="G57" s="29">
        <f>F57*(1+Окружение!E8)</f>
        <v>0</v>
      </c>
      <c r="H57" s="29">
        <v>625</v>
      </c>
      <c r="I57" s="29">
        <v>625</v>
      </c>
      <c r="J57" s="29">
        <f>I57*(1+Окружение!H7)</f>
        <v>678.75</v>
      </c>
      <c r="K57" s="29">
        <f>J57*(1)</f>
        <v>678.75</v>
      </c>
      <c r="L57" s="29">
        <f t="shared" ref="L57:M57" si="20">K57*(1)</f>
        <v>678.75</v>
      </c>
      <c r="M57" s="29">
        <f t="shared" si="20"/>
        <v>678.75</v>
      </c>
      <c r="N57" s="29">
        <f>M57*(1+Окружение!L7)</f>
        <v>724.90500000000009</v>
      </c>
      <c r="O57" s="29">
        <f>N57*(1)</f>
        <v>724.90500000000009</v>
      </c>
      <c r="P57" s="29">
        <f t="shared" ref="P57:Q57" si="21">O57*(1)</f>
        <v>724.90500000000009</v>
      </c>
      <c r="Q57" s="29">
        <f t="shared" si="21"/>
        <v>724.90500000000009</v>
      </c>
      <c r="R57" s="29">
        <f>Q57*(1+Окружение!P7)</f>
        <v>769.84911000000011</v>
      </c>
      <c r="S57" s="29">
        <f>R57*(1)</f>
        <v>769.84911000000011</v>
      </c>
      <c r="T57" s="29">
        <f t="shared" ref="T57:U57" si="22">S57*(1)</f>
        <v>769.84911000000011</v>
      </c>
      <c r="U57" s="29">
        <f t="shared" si="22"/>
        <v>769.84911000000011</v>
      </c>
      <c r="V57" s="29">
        <f>U57*(1+Окружение!T7)</f>
        <v>819.88930215000005</v>
      </c>
      <c r="W57" s="29">
        <f>V57*(1)</f>
        <v>819.88930215000005</v>
      </c>
      <c r="X57" s="29">
        <f t="shared" ref="X57:Y57" si="23">W57*(1)</f>
        <v>819.88930215000005</v>
      </c>
      <c r="Y57" s="29">
        <f t="shared" si="23"/>
        <v>819.88930215000005</v>
      </c>
    </row>
    <row r="58" spans="1:25" s="35" customFormat="1" x14ac:dyDescent="0.2">
      <c r="B58" s="43" t="s">
        <v>103</v>
      </c>
      <c r="E58" s="77" t="s">
        <v>85</v>
      </c>
      <c r="F58" s="46">
        <f>F57-F57/(1+Окружение!D13)</f>
        <v>0</v>
      </c>
      <c r="G58" s="46">
        <f>G57-G57/(1+Окружение!E13)</f>
        <v>0</v>
      </c>
      <c r="H58" s="46">
        <f>H57-H57/(1+Окружение!F13)</f>
        <v>95.338983050847446</v>
      </c>
      <c r="I58" s="46">
        <f>I57-I57/(1+Окружение!G13)</f>
        <v>95.338983050847446</v>
      </c>
      <c r="J58" s="46">
        <f>J57-J57/(1+Окружение!H13)</f>
        <v>103.53813559322032</v>
      </c>
      <c r="K58" s="46">
        <f>K57-K57/(1+Окружение!I13)</f>
        <v>103.53813559322032</v>
      </c>
      <c r="L58" s="46">
        <f>L57-L57/(1+Окружение!J13)</f>
        <v>103.53813559322032</v>
      </c>
      <c r="M58" s="46">
        <f>M57-M57/(1+Окружение!K13)</f>
        <v>103.53813559322032</v>
      </c>
      <c r="N58" s="46">
        <f>N57-N57/(1+Окружение!L13)</f>
        <v>110.57872881355934</v>
      </c>
      <c r="O58" s="46">
        <f>O57-O57/(1+Окружение!M13)</f>
        <v>110.57872881355934</v>
      </c>
      <c r="P58" s="46">
        <f>P57-P57/(1+Окружение!N13)</f>
        <v>110.57872881355934</v>
      </c>
      <c r="Q58" s="46">
        <f>Q57-Q57/(1+Окружение!O13)</f>
        <v>110.57872881355934</v>
      </c>
      <c r="R58" s="46">
        <f>R57-R57/(1+Окружение!P13)</f>
        <v>117.43461000000002</v>
      </c>
      <c r="S58" s="46">
        <f>S57-S57/(1+Окружение!Q13)</f>
        <v>117.43461000000002</v>
      </c>
      <c r="T58" s="46">
        <f>T57-T57/(1+Окружение!R13)</f>
        <v>117.43461000000002</v>
      </c>
      <c r="U58" s="46">
        <f>U57-U57/(1+Окружение!S13)</f>
        <v>117.43461000000002</v>
      </c>
      <c r="V58" s="46">
        <f>V57-V57/(1+Окружение!T13)</f>
        <v>125.06785964999995</v>
      </c>
      <c r="W58" s="46">
        <f>W57-W57/(1+Окружение!U13)</f>
        <v>125.06785964999995</v>
      </c>
      <c r="X58" s="46">
        <f>X57-X57/(1+Окружение!V13)</f>
        <v>125.06785964999995</v>
      </c>
      <c r="Y58" s="46">
        <f>Y57-Y57/(1+Окружение!W13)</f>
        <v>125.06785964999995</v>
      </c>
    </row>
    <row r="59" spans="1:25" s="35" customFormat="1" x14ac:dyDescent="0.2">
      <c r="B59" s="36" t="s">
        <v>126</v>
      </c>
      <c r="E59" s="77" t="s">
        <v>85</v>
      </c>
      <c r="F59" s="30">
        <v>0</v>
      </c>
      <c r="G59" s="29">
        <f>F59*(1+Окружение!E8)</f>
        <v>0</v>
      </c>
      <c r="H59" s="29">
        <f>G59*(1+Окружение!F8)</f>
        <v>0</v>
      </c>
      <c r="I59" s="29">
        <f>H59*(1+Окружение!G8)</f>
        <v>0</v>
      </c>
      <c r="J59" s="29">
        <f>I59*(1+Окружение!H8)</f>
        <v>0</v>
      </c>
      <c r="K59" s="29">
        <f>J59*(1+Окружение!I8)</f>
        <v>0</v>
      </c>
      <c r="L59" s="29">
        <f>K59*(1+Окружение!J8)</f>
        <v>0</v>
      </c>
      <c r="M59" s="29">
        <f>L59*(1+Окружение!K8)</f>
        <v>0</v>
      </c>
      <c r="N59" s="29">
        <f>M59*(1+Окружение!L8)</f>
        <v>0</v>
      </c>
      <c r="O59" s="29">
        <f>N59*(1+Окружение!M8)</f>
        <v>0</v>
      </c>
      <c r="P59" s="29">
        <f>O59*(1+Окружение!N8)</f>
        <v>0</v>
      </c>
      <c r="Q59" s="29">
        <f>P59*(1+Окружение!O8)</f>
        <v>0</v>
      </c>
      <c r="R59" s="29">
        <f>Q59*(1+Окружение!P8)</f>
        <v>0</v>
      </c>
      <c r="S59" s="29">
        <f>R59*(1+Окружение!Q8)</f>
        <v>0</v>
      </c>
      <c r="T59" s="29">
        <f>S59*(1+Окружение!R8)</f>
        <v>0</v>
      </c>
      <c r="U59" s="29">
        <f>T59*(1+Окружение!S8)</f>
        <v>0</v>
      </c>
      <c r="V59" s="29">
        <f>U59*(1+Окружение!T8)</f>
        <v>0</v>
      </c>
      <c r="W59" s="29">
        <f>V59*(1+Окружение!U8)</f>
        <v>0</v>
      </c>
      <c r="X59" s="29">
        <f>W59*(1+Окружение!V8)</f>
        <v>0</v>
      </c>
      <c r="Y59" s="29">
        <f>X59*(1+Окружение!W8)</f>
        <v>0</v>
      </c>
    </row>
    <row r="60" spans="1:25" s="35" customFormat="1" x14ac:dyDescent="0.2">
      <c r="B60" s="43" t="s">
        <v>103</v>
      </c>
      <c r="C60" s="296">
        <f>SUM(Затраты!F52:I52)-SUM(Затраты!F52:I52)</f>
        <v>0</v>
      </c>
      <c r="E60" s="77" t="s">
        <v>85</v>
      </c>
      <c r="F60" s="46">
        <f>F59-F59/(1+Окружение!D13)</f>
        <v>0</v>
      </c>
      <c r="G60" s="46">
        <f>G59-G59/(1+Окружение!E13)</f>
        <v>0</v>
      </c>
      <c r="H60" s="46">
        <f>H59-H59/(1+Окружение!F13)</f>
        <v>0</v>
      </c>
      <c r="I60" s="46">
        <f>I59-I59/(1+Окружение!G13)</f>
        <v>0</v>
      </c>
      <c r="J60" s="46">
        <f>J59-J59/(1+Окружение!H13)</f>
        <v>0</v>
      </c>
      <c r="K60" s="46">
        <f>K59-K59/(1+Окружение!I13)</f>
        <v>0</v>
      </c>
      <c r="L60" s="46">
        <f>L59-L59/(1+Окружение!J13)</f>
        <v>0</v>
      </c>
      <c r="M60" s="46">
        <f>M59-M59/(1+Окружение!K13)</f>
        <v>0</v>
      </c>
      <c r="N60" s="46">
        <f>N59-N59/(1+Окружение!L13)</f>
        <v>0</v>
      </c>
      <c r="O60" s="46">
        <f>O59-O59/(1+Окружение!M13)</f>
        <v>0</v>
      </c>
      <c r="P60" s="46">
        <f>P59-P59/(1+Окружение!N13)</f>
        <v>0</v>
      </c>
      <c r="Q60" s="46">
        <f>Q59-Q59/(1+Окружение!O13)</f>
        <v>0</v>
      </c>
      <c r="R60" s="46">
        <f>R59-R59/(1+Окружение!P13)</f>
        <v>0</v>
      </c>
      <c r="S60" s="46">
        <f>S59-S59/(1+Окружение!Q13)</f>
        <v>0</v>
      </c>
      <c r="T60" s="46">
        <f>T59-T59/(1+Окружение!R13)</f>
        <v>0</v>
      </c>
      <c r="U60" s="46">
        <f>U59-U59/(1+Окружение!S13)</f>
        <v>0</v>
      </c>
      <c r="V60" s="46">
        <f>V59-V59/(1+Окружение!T13)</f>
        <v>0</v>
      </c>
      <c r="W60" s="46">
        <f>W59-W59/(1+Окружение!U13)</f>
        <v>0</v>
      </c>
      <c r="X60" s="46">
        <f>X59-X59/(1+Окружение!V13)</f>
        <v>0</v>
      </c>
      <c r="Y60" s="46">
        <f>Y59-Y59/(1+Окружение!W13)</f>
        <v>0</v>
      </c>
    </row>
    <row r="61" spans="1:25" s="35" customFormat="1" x14ac:dyDescent="0.2">
      <c r="B61" s="36" t="s">
        <v>127</v>
      </c>
      <c r="E61" s="77" t="s">
        <v>85</v>
      </c>
      <c r="F61" s="30">
        <v>0</v>
      </c>
      <c r="G61" s="29">
        <f>F61*(1+Окружение!E8)</f>
        <v>0</v>
      </c>
      <c r="H61" s="29">
        <f>G61*(1+Окружение!F8)</f>
        <v>0</v>
      </c>
      <c r="I61" s="29">
        <f>H61*(1+Окружение!G8)</f>
        <v>0</v>
      </c>
      <c r="J61" s="29">
        <f>I61*(1+Окружение!H8)</f>
        <v>0</v>
      </c>
      <c r="K61" s="29">
        <f>J61*(1+Окружение!I8)</f>
        <v>0</v>
      </c>
      <c r="L61" s="29">
        <f>K61*(1+Окружение!J8)</f>
        <v>0</v>
      </c>
      <c r="M61" s="29">
        <f>L61*(1+Окружение!K8)</f>
        <v>0</v>
      </c>
      <c r="N61" s="29">
        <f>M61*(1+Окружение!L8)</f>
        <v>0</v>
      </c>
      <c r="O61" s="29">
        <f>N61*(1+Окружение!M8)</f>
        <v>0</v>
      </c>
      <c r="P61" s="29">
        <f>O61*(1+Окружение!N8)</f>
        <v>0</v>
      </c>
      <c r="Q61" s="29">
        <f>P61*(1+Окружение!O8)</f>
        <v>0</v>
      </c>
      <c r="R61" s="29">
        <f>Q61*(1+Окружение!P8)</f>
        <v>0</v>
      </c>
      <c r="S61" s="29">
        <f>R61*(1+Окружение!Q8)</f>
        <v>0</v>
      </c>
      <c r="T61" s="29">
        <f>S61*(1+Окружение!R8)</f>
        <v>0</v>
      </c>
      <c r="U61" s="29">
        <f>T61*(1+Окружение!S8)</f>
        <v>0</v>
      </c>
      <c r="V61" s="29">
        <f>U61*(1+Окружение!T8)</f>
        <v>0</v>
      </c>
      <c r="W61" s="29">
        <f>V61*(1+Окружение!U8)</f>
        <v>0</v>
      </c>
      <c r="X61" s="29">
        <f>W61*(1+Окружение!V8)</f>
        <v>0</v>
      </c>
      <c r="Y61" s="29">
        <f>X61*(1+Окружение!W8)</f>
        <v>0</v>
      </c>
    </row>
    <row r="62" spans="1:25" s="35" customFormat="1" x14ac:dyDescent="0.2">
      <c r="B62" s="43" t="s">
        <v>103</v>
      </c>
      <c r="E62" s="77" t="s">
        <v>85</v>
      </c>
      <c r="F62" s="46">
        <f>F61-F61/(1+Окружение!D13)</f>
        <v>0</v>
      </c>
      <c r="G62" s="46">
        <f>G61-G61/(1+Окружение!E13)</f>
        <v>0</v>
      </c>
      <c r="H62" s="46">
        <f>H61-H61/(1+Окружение!F13)</f>
        <v>0</v>
      </c>
      <c r="I62" s="46">
        <f>I61-I61/(1+Окружение!G13)</f>
        <v>0</v>
      </c>
      <c r="J62" s="46">
        <f>J61-J61/(1+Окружение!H13)</f>
        <v>0</v>
      </c>
      <c r="K62" s="46">
        <f>K61-K61/(1+Окружение!I13)</f>
        <v>0</v>
      </c>
      <c r="L62" s="46">
        <f>L61-L61/(1+Окружение!J13)</f>
        <v>0</v>
      </c>
      <c r="M62" s="46">
        <f>M61-M61/(1+Окружение!K13)</f>
        <v>0</v>
      </c>
      <c r="N62" s="46">
        <f>N61-N61/(1+Окружение!L13)</f>
        <v>0</v>
      </c>
      <c r="O62" s="46">
        <f>O61-O61/(1+Окружение!M13)</f>
        <v>0</v>
      </c>
      <c r="P62" s="46">
        <f>P61-P61/(1+Окружение!N13)</f>
        <v>0</v>
      </c>
      <c r="Q62" s="46">
        <f>Q61-Q61/(1+Окружение!O13)</f>
        <v>0</v>
      </c>
      <c r="R62" s="46">
        <f>R61-R61/(1+Окружение!P13)</f>
        <v>0</v>
      </c>
      <c r="S62" s="46">
        <f>S61-S61/(1+Окружение!Q13)</f>
        <v>0</v>
      </c>
      <c r="T62" s="46">
        <f>T61-T61/(1+Окружение!R13)</f>
        <v>0</v>
      </c>
      <c r="U62" s="46">
        <f>U61-U61/(1+Окружение!S13)</f>
        <v>0</v>
      </c>
      <c r="V62" s="46">
        <f>V61-V61/(1+Окружение!T13)</f>
        <v>0</v>
      </c>
      <c r="W62" s="46">
        <f>W61-W61/(1+Окружение!U13)</f>
        <v>0</v>
      </c>
      <c r="X62" s="46">
        <f>X61-X61/(1+Окружение!V13)</f>
        <v>0</v>
      </c>
      <c r="Y62" s="46">
        <f>Y61-Y61/(1+Окружение!W13)</f>
        <v>0</v>
      </c>
    </row>
    <row r="63" spans="1:25" s="35" customFormat="1" x14ac:dyDescent="0.2">
      <c r="A63" s="40"/>
      <c r="B63" s="39" t="s">
        <v>110</v>
      </c>
      <c r="E63" s="77" t="s">
        <v>85</v>
      </c>
      <c r="F63" s="17">
        <f>F57+F59+F61</f>
        <v>0</v>
      </c>
      <c r="G63" s="17">
        <f t="shared" ref="G63:Y63" si="24">G57+G59+G61</f>
        <v>0</v>
      </c>
      <c r="H63" s="17">
        <f t="shared" si="24"/>
        <v>625</v>
      </c>
      <c r="I63" s="17">
        <f t="shared" si="24"/>
        <v>625</v>
      </c>
      <c r="J63" s="17">
        <f t="shared" si="24"/>
        <v>678.75</v>
      </c>
      <c r="K63" s="17">
        <f t="shared" si="24"/>
        <v>678.75</v>
      </c>
      <c r="L63" s="17">
        <f t="shared" si="24"/>
        <v>678.75</v>
      </c>
      <c r="M63" s="17">
        <f t="shared" si="24"/>
        <v>678.75</v>
      </c>
      <c r="N63" s="17">
        <f t="shared" si="24"/>
        <v>724.90500000000009</v>
      </c>
      <c r="O63" s="17">
        <f t="shared" si="24"/>
        <v>724.90500000000009</v>
      </c>
      <c r="P63" s="17">
        <f t="shared" si="24"/>
        <v>724.90500000000009</v>
      </c>
      <c r="Q63" s="17">
        <f t="shared" si="24"/>
        <v>724.90500000000009</v>
      </c>
      <c r="R63" s="17">
        <f t="shared" si="24"/>
        <v>769.84911000000011</v>
      </c>
      <c r="S63" s="17">
        <f t="shared" si="24"/>
        <v>769.84911000000011</v>
      </c>
      <c r="T63" s="17">
        <f t="shared" si="24"/>
        <v>769.84911000000011</v>
      </c>
      <c r="U63" s="17">
        <f t="shared" si="24"/>
        <v>769.84911000000011</v>
      </c>
      <c r="V63" s="17">
        <f t="shared" si="24"/>
        <v>819.88930215000005</v>
      </c>
      <c r="W63" s="17">
        <f t="shared" si="24"/>
        <v>819.88930215000005</v>
      </c>
      <c r="X63" s="17">
        <f t="shared" si="24"/>
        <v>819.88930215000005</v>
      </c>
      <c r="Y63" s="17">
        <f t="shared" si="24"/>
        <v>819.88930215000005</v>
      </c>
    </row>
    <row r="64" spans="1:25" s="35" customFormat="1" x14ac:dyDescent="0.2">
      <c r="B64" s="43" t="s">
        <v>103</v>
      </c>
      <c r="E64" s="77" t="s">
        <v>85</v>
      </c>
      <c r="F64" s="46">
        <f>F58+F60+F62</f>
        <v>0</v>
      </c>
      <c r="G64" s="46">
        <f t="shared" ref="G64:Y64" si="25">G58+G60+G62</f>
        <v>0</v>
      </c>
      <c r="H64" s="46">
        <f t="shared" si="25"/>
        <v>95.338983050847446</v>
      </c>
      <c r="I64" s="46">
        <f t="shared" si="25"/>
        <v>95.338983050847446</v>
      </c>
      <c r="J64" s="46">
        <f t="shared" si="25"/>
        <v>103.53813559322032</v>
      </c>
      <c r="K64" s="46">
        <f t="shared" si="25"/>
        <v>103.53813559322032</v>
      </c>
      <c r="L64" s="46">
        <f t="shared" si="25"/>
        <v>103.53813559322032</v>
      </c>
      <c r="M64" s="46">
        <f t="shared" si="25"/>
        <v>103.53813559322032</v>
      </c>
      <c r="N64" s="46">
        <f t="shared" si="25"/>
        <v>110.57872881355934</v>
      </c>
      <c r="O64" s="46">
        <f t="shared" si="25"/>
        <v>110.57872881355934</v>
      </c>
      <c r="P64" s="46">
        <f t="shared" si="25"/>
        <v>110.57872881355934</v>
      </c>
      <c r="Q64" s="46">
        <f t="shared" si="25"/>
        <v>110.57872881355934</v>
      </c>
      <c r="R64" s="46">
        <f t="shared" si="25"/>
        <v>117.43461000000002</v>
      </c>
      <c r="S64" s="46">
        <f t="shared" si="25"/>
        <v>117.43461000000002</v>
      </c>
      <c r="T64" s="46">
        <f t="shared" si="25"/>
        <v>117.43461000000002</v>
      </c>
      <c r="U64" s="46">
        <f t="shared" si="25"/>
        <v>117.43461000000002</v>
      </c>
      <c r="V64" s="46">
        <f t="shared" si="25"/>
        <v>125.06785964999995</v>
      </c>
      <c r="W64" s="46">
        <f t="shared" si="25"/>
        <v>125.06785964999995</v>
      </c>
      <c r="X64" s="46">
        <f t="shared" si="25"/>
        <v>125.06785964999995</v>
      </c>
      <c r="Y64" s="46">
        <f t="shared" si="25"/>
        <v>125.06785964999995</v>
      </c>
    </row>
    <row r="65" spans="1:39" x14ac:dyDescent="0.2">
      <c r="B65" s="35"/>
      <c r="C65" s="35"/>
      <c r="D65" s="35"/>
      <c r="E65" s="77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x14ac:dyDescent="0.2">
      <c r="A66" s="25" t="s">
        <v>128</v>
      </c>
      <c r="B66" s="35"/>
      <c r="C66" s="35"/>
      <c r="D66" s="35"/>
      <c r="E66" s="7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1:39" x14ac:dyDescent="0.2">
      <c r="B67" s="284" t="s">
        <v>548</v>
      </c>
      <c r="E67" s="77"/>
      <c r="AA67" s="35"/>
      <c r="AB67" s="35"/>
      <c r="AC67" s="35"/>
      <c r="AD67" s="35"/>
      <c r="AE67" s="35"/>
      <c r="AF67" s="35"/>
      <c r="AG67" s="35"/>
    </row>
    <row r="68" spans="1:39" s="331" customFormat="1" x14ac:dyDescent="0.2">
      <c r="B68" s="332"/>
      <c r="C68" s="1" t="s">
        <v>405</v>
      </c>
      <c r="D68" s="1"/>
      <c r="E68" s="77" t="s">
        <v>85</v>
      </c>
      <c r="F68" s="79">
        <f>Персонал!E90</f>
        <v>2928</v>
      </c>
      <c r="G68" s="79">
        <f>Персонал!F90</f>
        <v>3019.0455320535607</v>
      </c>
      <c r="H68" s="79">
        <f>Персонал!G90</f>
        <v>3019.0455320535607</v>
      </c>
      <c r="I68" s="79">
        <f>Персонал!H90</f>
        <v>3019.0455320535607</v>
      </c>
      <c r="J68" s="79">
        <f>Персонал!I90</f>
        <v>10022.325806941944</v>
      </c>
      <c r="K68" s="79">
        <f>Персонал!J90</f>
        <v>10022.325806941944</v>
      </c>
      <c r="L68" s="79">
        <f>Персонал!K90</f>
        <v>10022.325806941944</v>
      </c>
      <c r="M68" s="79">
        <f>Персонал!L90</f>
        <v>10022.325806941944</v>
      </c>
      <c r="N68" s="79">
        <f>Персонал!M90</f>
        <v>10370.506979064272</v>
      </c>
      <c r="O68" s="79">
        <f>Персонал!N90</f>
        <v>10370.506979064272</v>
      </c>
      <c r="P68" s="79">
        <f>Персонал!O90</f>
        <v>10370.506979064272</v>
      </c>
      <c r="Q68" s="79">
        <f>Персонал!P90</f>
        <v>10370.506979064272</v>
      </c>
      <c r="R68" s="79">
        <f>Персонал!Q90</f>
        <v>10700.22156932002</v>
      </c>
      <c r="S68" s="79">
        <f>Персонал!R90</f>
        <v>10700.22156932002</v>
      </c>
      <c r="T68" s="79">
        <f>Персонал!S90</f>
        <v>10700.22156932002</v>
      </c>
      <c r="U68" s="79">
        <f>Персонал!T90</f>
        <v>10700.22156932002</v>
      </c>
      <c r="V68" s="79">
        <f>Персонал!U90</f>
        <v>11067.24799126287</v>
      </c>
      <c r="W68" s="79">
        <f>Персонал!V90</f>
        <v>11067.24799126287</v>
      </c>
      <c r="X68" s="79">
        <f>Персонал!W90</f>
        <v>11037.148300023764</v>
      </c>
      <c r="Y68" s="79">
        <f>Персонал!X90</f>
        <v>11037.148300023764</v>
      </c>
      <c r="AA68" s="35"/>
      <c r="AB68" s="35"/>
      <c r="AC68" s="35"/>
      <c r="AD68" s="35"/>
      <c r="AE68" s="35"/>
      <c r="AF68" s="35"/>
      <c r="AG68" s="35"/>
    </row>
    <row r="69" spans="1:39" s="331" customFormat="1" x14ac:dyDescent="0.2">
      <c r="C69" s="1" t="s">
        <v>129</v>
      </c>
      <c r="D69" s="1"/>
      <c r="E69" s="77" t="s">
        <v>85</v>
      </c>
      <c r="F69" s="79">
        <f>(F25-F26)</f>
        <v>18644.067796610172</v>
      </c>
      <c r="G69" s="79">
        <f t="shared" ref="G69:Y69" si="26">(G25-G26)</f>
        <v>0</v>
      </c>
      <c r="H69" s="79">
        <f t="shared" si="26"/>
        <v>0</v>
      </c>
      <c r="I69" s="79">
        <f t="shared" si="26"/>
        <v>0</v>
      </c>
      <c r="J69" s="79">
        <f t="shared" si="26"/>
        <v>186440.67796610171</v>
      </c>
      <c r="K69" s="79">
        <f t="shared" si="26"/>
        <v>0</v>
      </c>
      <c r="L69" s="79">
        <f t="shared" si="26"/>
        <v>186440.67796610171</v>
      </c>
      <c r="M69" s="79">
        <f t="shared" si="26"/>
        <v>0</v>
      </c>
      <c r="N69" s="79">
        <f t="shared" si="26"/>
        <v>199118.64406779662</v>
      </c>
      <c r="O69" s="79">
        <f t="shared" si="26"/>
        <v>0</v>
      </c>
      <c r="P69" s="79">
        <f t="shared" si="26"/>
        <v>199118.64406779662</v>
      </c>
      <c r="Q69" s="79">
        <f t="shared" si="26"/>
        <v>0</v>
      </c>
      <c r="R69" s="79">
        <f t="shared" si="26"/>
        <v>422928</v>
      </c>
      <c r="S69" s="79">
        <f t="shared" si="26"/>
        <v>0</v>
      </c>
      <c r="T69" s="79">
        <f t="shared" si="26"/>
        <v>422928</v>
      </c>
      <c r="U69" s="79">
        <f t="shared" si="26"/>
        <v>0</v>
      </c>
      <c r="V69" s="79">
        <f t="shared" si="26"/>
        <v>675627.48</v>
      </c>
      <c r="W69" s="79">
        <f t="shared" si="26"/>
        <v>0</v>
      </c>
      <c r="X69" s="79">
        <f t="shared" si="26"/>
        <v>675627.48</v>
      </c>
      <c r="Y69" s="79">
        <f t="shared" si="26"/>
        <v>0</v>
      </c>
      <c r="AA69" s="35"/>
      <c r="AB69" s="35"/>
      <c r="AC69" s="35"/>
      <c r="AD69" s="35"/>
      <c r="AE69" s="35"/>
      <c r="AF69" s="35"/>
      <c r="AG69" s="35"/>
    </row>
    <row r="70" spans="1:39" s="331" customFormat="1" x14ac:dyDescent="0.2">
      <c r="C70" s="1" t="s">
        <v>130</v>
      </c>
      <c r="D70" s="1"/>
      <c r="E70" s="77" t="s">
        <v>85</v>
      </c>
      <c r="F70" s="79">
        <f>(F43-F44)</f>
        <v>762.71186440677968</v>
      </c>
      <c r="G70" s="79">
        <f t="shared" ref="G70:Y70" si="27">(G43-G44)</f>
        <v>762.71186440677968</v>
      </c>
      <c r="H70" s="79">
        <f t="shared" si="27"/>
        <v>762.71186440677968</v>
      </c>
      <c r="I70" s="79">
        <f t="shared" si="27"/>
        <v>762.71186440677968</v>
      </c>
      <c r="J70" s="79">
        <f t="shared" si="27"/>
        <v>828.30508474576288</v>
      </c>
      <c r="K70" s="79">
        <f t="shared" si="27"/>
        <v>828.30508474576288</v>
      </c>
      <c r="L70" s="79">
        <f t="shared" si="27"/>
        <v>828.30508474576288</v>
      </c>
      <c r="M70" s="79">
        <f t="shared" si="27"/>
        <v>828.30508474576288</v>
      </c>
      <c r="N70" s="79">
        <f t="shared" si="27"/>
        <v>884.62983050847481</v>
      </c>
      <c r="O70" s="79">
        <f t="shared" si="27"/>
        <v>884.62983050847481</v>
      </c>
      <c r="P70" s="79">
        <f t="shared" si="27"/>
        <v>884.62983050847481</v>
      </c>
      <c r="Q70" s="79">
        <f t="shared" si="27"/>
        <v>884.62983050847481</v>
      </c>
      <c r="R70" s="79">
        <f t="shared" si="27"/>
        <v>939.47688000000028</v>
      </c>
      <c r="S70" s="79">
        <f t="shared" si="27"/>
        <v>939.47688000000028</v>
      </c>
      <c r="T70" s="79">
        <f t="shared" si="27"/>
        <v>939.47688000000028</v>
      </c>
      <c r="U70" s="79">
        <f t="shared" si="27"/>
        <v>939.47688000000028</v>
      </c>
      <c r="V70" s="79">
        <f t="shared" si="27"/>
        <v>1000.5428772000002</v>
      </c>
      <c r="W70" s="79">
        <f t="shared" si="27"/>
        <v>1000.5428772000002</v>
      </c>
      <c r="X70" s="79">
        <f t="shared" si="27"/>
        <v>1000.5428772000002</v>
      </c>
      <c r="Y70" s="79">
        <f t="shared" si="27"/>
        <v>1000.5428772000002</v>
      </c>
      <c r="AA70" s="35"/>
      <c r="AB70" s="35"/>
      <c r="AC70" s="35"/>
      <c r="AD70" s="35"/>
      <c r="AE70" s="35"/>
      <c r="AF70" s="35"/>
      <c r="AG70" s="35"/>
    </row>
    <row r="71" spans="1:39" s="331" customFormat="1" x14ac:dyDescent="0.2">
      <c r="C71" s="1" t="s">
        <v>131</v>
      </c>
      <c r="D71" s="1"/>
      <c r="E71" s="77" t="s">
        <v>85</v>
      </c>
      <c r="F71" s="79">
        <f>F52-F53</f>
        <v>0</v>
      </c>
      <c r="G71" s="79">
        <f t="shared" ref="G71:Y71" si="28">G52-G53</f>
        <v>0</v>
      </c>
      <c r="H71" s="79">
        <f t="shared" si="28"/>
        <v>1694.9152542372883</v>
      </c>
      <c r="I71" s="79">
        <f t="shared" si="28"/>
        <v>1694.9152542372883</v>
      </c>
      <c r="J71" s="79">
        <f t="shared" si="28"/>
        <v>1840.6779661016951</v>
      </c>
      <c r="K71" s="79">
        <f t="shared" si="28"/>
        <v>1840.6779661016951</v>
      </c>
      <c r="L71" s="79">
        <f t="shared" si="28"/>
        <v>1840.6779661016951</v>
      </c>
      <c r="M71" s="79">
        <f t="shared" si="28"/>
        <v>1840.6779661016951</v>
      </c>
      <c r="N71" s="79">
        <f t="shared" si="28"/>
        <v>1965.8440677966103</v>
      </c>
      <c r="O71" s="79">
        <f t="shared" si="28"/>
        <v>1965.8440677966103</v>
      </c>
      <c r="P71" s="79">
        <f t="shared" si="28"/>
        <v>1965.8440677966103</v>
      </c>
      <c r="Q71" s="79">
        <f t="shared" si="28"/>
        <v>1965.8440677966103</v>
      </c>
      <c r="R71" s="79">
        <f t="shared" si="28"/>
        <v>2087.7264</v>
      </c>
      <c r="S71" s="79">
        <f t="shared" si="28"/>
        <v>2087.7264</v>
      </c>
      <c r="T71" s="79">
        <f t="shared" si="28"/>
        <v>2087.7264</v>
      </c>
      <c r="U71" s="79">
        <f t="shared" si="28"/>
        <v>2087.7264</v>
      </c>
      <c r="V71" s="79">
        <f t="shared" si="28"/>
        <v>2223.4286160000001</v>
      </c>
      <c r="W71" s="79">
        <f t="shared" si="28"/>
        <v>2223.4286160000001</v>
      </c>
      <c r="X71" s="79">
        <f t="shared" si="28"/>
        <v>2223.4286160000001</v>
      </c>
      <c r="Y71" s="79">
        <f t="shared" si="28"/>
        <v>2223.4286160000001</v>
      </c>
      <c r="AA71" s="35"/>
      <c r="AB71" s="35"/>
      <c r="AC71" s="35"/>
      <c r="AD71" s="35"/>
      <c r="AE71" s="35"/>
      <c r="AF71" s="35"/>
      <c r="AG71" s="35"/>
    </row>
    <row r="72" spans="1:39" s="331" customFormat="1" x14ac:dyDescent="0.2">
      <c r="C72" s="1" t="s">
        <v>132</v>
      </c>
      <c r="D72" s="1"/>
      <c r="E72" s="77" t="s">
        <v>85</v>
      </c>
      <c r="F72" s="79">
        <f>F63-F64</f>
        <v>0</v>
      </c>
      <c r="G72" s="79">
        <f t="shared" ref="G72:Y72" si="29">G63-G64</f>
        <v>0</v>
      </c>
      <c r="H72" s="79">
        <f t="shared" si="29"/>
        <v>529.66101694915255</v>
      </c>
      <c r="I72" s="79">
        <f t="shared" si="29"/>
        <v>529.66101694915255</v>
      </c>
      <c r="J72" s="79">
        <f t="shared" si="29"/>
        <v>575.21186440677968</v>
      </c>
      <c r="K72" s="79">
        <f t="shared" si="29"/>
        <v>575.21186440677968</v>
      </c>
      <c r="L72" s="79">
        <f t="shared" si="29"/>
        <v>575.21186440677968</v>
      </c>
      <c r="M72" s="79">
        <f t="shared" si="29"/>
        <v>575.21186440677968</v>
      </c>
      <c r="N72" s="79">
        <f t="shared" si="29"/>
        <v>614.32627118644075</v>
      </c>
      <c r="O72" s="79">
        <f t="shared" si="29"/>
        <v>614.32627118644075</v>
      </c>
      <c r="P72" s="79">
        <f t="shared" si="29"/>
        <v>614.32627118644075</v>
      </c>
      <c r="Q72" s="79">
        <f t="shared" si="29"/>
        <v>614.32627118644075</v>
      </c>
      <c r="R72" s="79">
        <f t="shared" si="29"/>
        <v>652.41450000000009</v>
      </c>
      <c r="S72" s="79">
        <f t="shared" si="29"/>
        <v>652.41450000000009</v>
      </c>
      <c r="T72" s="79">
        <f t="shared" si="29"/>
        <v>652.41450000000009</v>
      </c>
      <c r="U72" s="79">
        <f t="shared" si="29"/>
        <v>652.41450000000009</v>
      </c>
      <c r="V72" s="79">
        <f t="shared" si="29"/>
        <v>694.8214425000001</v>
      </c>
      <c r="W72" s="79">
        <f t="shared" si="29"/>
        <v>694.8214425000001</v>
      </c>
      <c r="X72" s="79">
        <f t="shared" si="29"/>
        <v>694.8214425000001</v>
      </c>
      <c r="Y72" s="79">
        <f t="shared" si="29"/>
        <v>694.8214425000001</v>
      </c>
      <c r="AA72" s="35"/>
      <c r="AB72" s="35"/>
      <c r="AC72" s="35"/>
      <c r="AD72" s="35"/>
      <c r="AE72" s="35"/>
      <c r="AF72" s="35"/>
      <c r="AG72" s="35"/>
    </row>
    <row r="73" spans="1:39" s="331" customFormat="1" x14ac:dyDescent="0.2">
      <c r="C73" s="1" t="s">
        <v>117</v>
      </c>
      <c r="D73" s="1"/>
      <c r="E73" s="77" t="s">
        <v>85</v>
      </c>
      <c r="F73" s="79">
        <f>'НА и ОС'!G100+'НА и ОС'!G26</f>
        <v>52.065677966101696</v>
      </c>
      <c r="G73" s="79">
        <f>'НА и ОС'!H100+'НА и ОС'!H26</f>
        <v>52.065677966101696</v>
      </c>
      <c r="H73" s="79">
        <f>'НА и ОС'!I100+'НА и ОС'!I26</f>
        <v>52.065677966101696</v>
      </c>
      <c r="I73" s="79">
        <f>'НА и ОС'!J100+'НА и ОС'!J26</f>
        <v>52.065677966101696</v>
      </c>
      <c r="J73" s="79">
        <f>'НА и ОС'!K100+'НА и ОС'!K26</f>
        <v>52.065677966101696</v>
      </c>
      <c r="K73" s="79">
        <f>'НА и ОС'!L100+'НА и ОС'!L26</f>
        <v>52.065677966101696</v>
      </c>
      <c r="L73" s="79">
        <f>'НА и ОС'!M100+'НА и ОС'!M26</f>
        <v>52.065677966101696</v>
      </c>
      <c r="M73" s="79">
        <f>'НА и ОС'!N100+'НА и ОС'!N26</f>
        <v>52.065677966101696</v>
      </c>
      <c r="N73" s="79">
        <f>'НА и ОС'!O100+'НА и ОС'!O26</f>
        <v>52.065677966101696</v>
      </c>
      <c r="O73" s="79">
        <f>'НА и ОС'!P100+'НА и ОС'!P26</f>
        <v>52.065677966101696</v>
      </c>
      <c r="P73" s="79">
        <f>'НА и ОС'!Q100+'НА и ОС'!Q26</f>
        <v>52.065677966101696</v>
      </c>
      <c r="Q73" s="79">
        <f>'НА и ОС'!R100+'НА и ОС'!R26</f>
        <v>52.065677966101696</v>
      </c>
      <c r="R73" s="79">
        <f>'НА и ОС'!S100+'НА и ОС'!S26</f>
        <v>52.065677966101696</v>
      </c>
      <c r="S73" s="79">
        <f>'НА и ОС'!T100+'НА и ОС'!T26</f>
        <v>52.065677966101696</v>
      </c>
      <c r="T73" s="79">
        <f>'НА и ОС'!U100+'НА и ОС'!U26</f>
        <v>52.065677966101696</v>
      </c>
      <c r="U73" s="79">
        <f>'НА и ОС'!V100+'НА и ОС'!V26</f>
        <v>52.065677966101696</v>
      </c>
      <c r="V73" s="79">
        <f>'НА и ОС'!W100+'НА и ОС'!W26</f>
        <v>52.065677966101696</v>
      </c>
      <c r="W73" s="79">
        <f>'НА и ОС'!X100+'НА и ОС'!X26</f>
        <v>52.065677966101696</v>
      </c>
      <c r="X73" s="79">
        <f>'НА и ОС'!Y100+'НА и ОС'!Y26</f>
        <v>52.065677966101696</v>
      </c>
      <c r="Y73" s="79">
        <f>'НА и ОС'!Z100+'НА и ОС'!Z26</f>
        <v>52.065677966101696</v>
      </c>
      <c r="AA73" s="35"/>
      <c r="AB73" s="35"/>
      <c r="AC73" s="35"/>
      <c r="AD73" s="35"/>
      <c r="AE73" s="35"/>
      <c r="AF73" s="35"/>
      <c r="AG73" s="35"/>
    </row>
    <row r="74" spans="1:39" s="331" customFormat="1" x14ac:dyDescent="0.2">
      <c r="E74" s="77" t="s">
        <v>85</v>
      </c>
      <c r="F74" s="79">
        <f>IF('Пр-во и Продажи'!E13&gt;0,('НА и ОС'!G105*'Пр-во и Продажи'!E13/'Пр-во и Продажи'!E14)/'Пр-во и Продажи'!E13*1000,0)</f>
        <v>0</v>
      </c>
      <c r="G74" s="79">
        <f>IF('Пр-во и Продажи'!F13&gt;0,('НА и ОС'!H105*'Пр-во и Продажи'!F13/'Пр-во и Продажи'!F14)/'Пр-во и Продажи'!F13*1000,0)</f>
        <v>0</v>
      </c>
      <c r="H74" s="79"/>
      <c r="I74" s="79"/>
      <c r="J74" s="344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AA74" s="35"/>
      <c r="AB74" s="35"/>
      <c r="AC74" s="35"/>
      <c r="AD74" s="35"/>
      <c r="AE74" s="35"/>
      <c r="AF74" s="35"/>
      <c r="AG74" s="35"/>
    </row>
    <row r="75" spans="1:39" s="333" customFormat="1" x14ac:dyDescent="0.2">
      <c r="C75" s="28" t="s">
        <v>552</v>
      </c>
      <c r="E75" s="77" t="s">
        <v>85</v>
      </c>
      <c r="F75" s="113">
        <f>SUM(F68:F74)</f>
        <v>22386.845338983054</v>
      </c>
      <c r="G75" s="113">
        <f t="shared" ref="G75:Y75" si="30">SUM(G68:G74)</f>
        <v>3833.823074426442</v>
      </c>
      <c r="H75" s="113">
        <f t="shared" si="30"/>
        <v>6058.3993456128819</v>
      </c>
      <c r="I75" s="113">
        <f t="shared" si="30"/>
        <v>6058.3993456128819</v>
      </c>
      <c r="J75" s="345">
        <f t="shared" si="30"/>
        <v>199759.26436626399</v>
      </c>
      <c r="K75" s="113">
        <f t="shared" si="30"/>
        <v>13318.586400162285</v>
      </c>
      <c r="L75" s="113">
        <f t="shared" si="30"/>
        <v>199759.26436626399</v>
      </c>
      <c r="M75" s="113">
        <f t="shared" si="30"/>
        <v>13318.586400162285</v>
      </c>
      <c r="N75" s="113">
        <f t="shared" si="30"/>
        <v>213006.01689431848</v>
      </c>
      <c r="O75" s="113">
        <f t="shared" si="30"/>
        <v>13887.3728265219</v>
      </c>
      <c r="P75" s="113">
        <f t="shared" si="30"/>
        <v>213006.01689431848</v>
      </c>
      <c r="Q75" s="113">
        <f t="shared" si="30"/>
        <v>13887.3728265219</v>
      </c>
      <c r="R75" s="113">
        <f t="shared" si="30"/>
        <v>437359.90502728609</v>
      </c>
      <c r="S75" s="113">
        <f t="shared" si="30"/>
        <v>14431.905027286122</v>
      </c>
      <c r="T75" s="113">
        <f t="shared" si="30"/>
        <v>437359.90502728609</v>
      </c>
      <c r="U75" s="113">
        <f t="shared" si="30"/>
        <v>14431.905027286122</v>
      </c>
      <c r="V75" s="113">
        <f t="shared" si="30"/>
        <v>690665.58660492883</v>
      </c>
      <c r="W75" s="113">
        <f t="shared" si="30"/>
        <v>15038.106604928971</v>
      </c>
      <c r="X75" s="113">
        <f t="shared" si="30"/>
        <v>690635.48691368976</v>
      </c>
      <c r="Y75" s="113">
        <f t="shared" si="30"/>
        <v>15008.006913689866</v>
      </c>
      <c r="AA75" s="35"/>
      <c r="AB75" s="35"/>
      <c r="AC75" s="35"/>
      <c r="AD75" s="35"/>
      <c r="AE75" s="35"/>
      <c r="AF75" s="35"/>
      <c r="AG75" s="35"/>
    </row>
    <row r="76" spans="1:39" x14ac:dyDescent="0.2">
      <c r="E76" s="77"/>
      <c r="AA76" s="35"/>
      <c r="AB76" s="35"/>
      <c r="AC76" s="35"/>
      <c r="AD76" s="35"/>
      <c r="AE76" s="35"/>
      <c r="AF76" s="35"/>
      <c r="AG76" s="35"/>
    </row>
    <row r="77" spans="1:39" x14ac:dyDescent="0.2">
      <c r="A77" s="25" t="s">
        <v>330</v>
      </c>
      <c r="E77" s="77"/>
      <c r="AA77" s="35"/>
      <c r="AB77" s="35"/>
      <c r="AC77" s="35"/>
      <c r="AD77" s="35"/>
      <c r="AE77" s="35"/>
      <c r="AF77" s="35"/>
      <c r="AG77" s="35"/>
    </row>
    <row r="78" spans="1:39" x14ac:dyDescent="0.2">
      <c r="B78" s="284" t="s">
        <v>548</v>
      </c>
      <c r="E78" s="77"/>
      <c r="AA78" s="35"/>
      <c r="AB78" s="35"/>
      <c r="AC78" s="35"/>
      <c r="AD78" s="35"/>
      <c r="AE78" s="35"/>
      <c r="AF78" s="35"/>
      <c r="AG78" s="35"/>
    </row>
    <row r="79" spans="1:39" x14ac:dyDescent="0.2">
      <c r="C79" s="1" t="s">
        <v>243</v>
      </c>
      <c r="E79" s="77" t="s">
        <v>91</v>
      </c>
      <c r="F79" s="74">
        <v>0</v>
      </c>
      <c r="G79" s="78">
        <f t="shared" ref="G79:Y79" si="31">F79</f>
        <v>0</v>
      </c>
      <c r="H79" s="78">
        <f t="shared" si="31"/>
        <v>0</v>
      </c>
      <c r="I79" s="78">
        <f t="shared" si="31"/>
        <v>0</v>
      </c>
      <c r="J79" s="78">
        <f t="shared" si="31"/>
        <v>0</v>
      </c>
      <c r="K79" s="78">
        <f t="shared" si="31"/>
        <v>0</v>
      </c>
      <c r="L79" s="78">
        <f t="shared" si="31"/>
        <v>0</v>
      </c>
      <c r="M79" s="78">
        <f t="shared" si="31"/>
        <v>0</v>
      </c>
      <c r="N79" s="78">
        <f t="shared" si="31"/>
        <v>0</v>
      </c>
      <c r="O79" s="78">
        <f t="shared" si="31"/>
        <v>0</v>
      </c>
      <c r="P79" s="78">
        <f t="shared" si="31"/>
        <v>0</v>
      </c>
      <c r="Q79" s="78">
        <f t="shared" si="31"/>
        <v>0</v>
      </c>
      <c r="R79" s="78">
        <f t="shared" si="31"/>
        <v>0</v>
      </c>
      <c r="S79" s="78">
        <f t="shared" si="31"/>
        <v>0</v>
      </c>
      <c r="T79" s="78">
        <f t="shared" si="31"/>
        <v>0</v>
      </c>
      <c r="U79" s="78">
        <f t="shared" si="31"/>
        <v>0</v>
      </c>
      <c r="V79" s="78">
        <f t="shared" si="31"/>
        <v>0</v>
      </c>
      <c r="W79" s="78">
        <f t="shared" si="31"/>
        <v>0</v>
      </c>
      <c r="X79" s="78">
        <f t="shared" si="31"/>
        <v>0</v>
      </c>
      <c r="Y79" s="78">
        <f t="shared" si="31"/>
        <v>0</v>
      </c>
      <c r="AA79" s="35"/>
      <c r="AB79" s="35"/>
      <c r="AC79" s="35"/>
      <c r="AD79" s="35"/>
      <c r="AE79" s="35"/>
      <c r="AF79" s="35"/>
      <c r="AG79" s="35"/>
    </row>
    <row r="80" spans="1:39" x14ac:dyDescent="0.2">
      <c r="C80" s="1" t="s">
        <v>244</v>
      </c>
      <c r="E80" s="77" t="s">
        <v>91</v>
      </c>
      <c r="F80" s="74">
        <v>0</v>
      </c>
      <c r="G80" s="78">
        <f t="shared" ref="G80:Y80" si="32">F80</f>
        <v>0</v>
      </c>
      <c r="H80" s="78">
        <f t="shared" si="32"/>
        <v>0</v>
      </c>
      <c r="I80" s="78">
        <f t="shared" si="32"/>
        <v>0</v>
      </c>
      <c r="J80" s="78">
        <f t="shared" si="32"/>
        <v>0</v>
      </c>
      <c r="K80" s="78">
        <f t="shared" si="32"/>
        <v>0</v>
      </c>
      <c r="L80" s="78">
        <f t="shared" si="32"/>
        <v>0</v>
      </c>
      <c r="M80" s="78">
        <f t="shared" si="32"/>
        <v>0</v>
      </c>
      <c r="N80" s="78">
        <f t="shared" si="32"/>
        <v>0</v>
      </c>
      <c r="O80" s="78">
        <f t="shared" si="32"/>
        <v>0</v>
      </c>
      <c r="P80" s="78">
        <f t="shared" si="32"/>
        <v>0</v>
      </c>
      <c r="Q80" s="78">
        <f t="shared" si="32"/>
        <v>0</v>
      </c>
      <c r="R80" s="78">
        <f t="shared" si="32"/>
        <v>0</v>
      </c>
      <c r="S80" s="78">
        <f t="shared" si="32"/>
        <v>0</v>
      </c>
      <c r="T80" s="78">
        <f t="shared" si="32"/>
        <v>0</v>
      </c>
      <c r="U80" s="78">
        <f t="shared" si="32"/>
        <v>0</v>
      </c>
      <c r="V80" s="78">
        <f t="shared" si="32"/>
        <v>0</v>
      </c>
      <c r="W80" s="78">
        <f t="shared" si="32"/>
        <v>0</v>
      </c>
      <c r="X80" s="78">
        <f t="shared" si="32"/>
        <v>0</v>
      </c>
      <c r="Y80" s="78">
        <f t="shared" si="32"/>
        <v>0</v>
      </c>
      <c r="AA80" s="35"/>
      <c r="AB80" s="35"/>
      <c r="AC80" s="35"/>
      <c r="AD80" s="35"/>
      <c r="AE80" s="35"/>
      <c r="AF80" s="35"/>
      <c r="AG80" s="35"/>
    </row>
    <row r="81" spans="2:33" x14ac:dyDescent="0.2">
      <c r="C81" s="1" t="s">
        <v>245</v>
      </c>
      <c r="E81" s="77" t="s">
        <v>91</v>
      </c>
      <c r="F81" s="74">
        <v>0</v>
      </c>
      <c r="G81" s="78">
        <f t="shared" ref="G81:Y81" si="33">F81</f>
        <v>0</v>
      </c>
      <c r="H81" s="78">
        <f t="shared" si="33"/>
        <v>0</v>
      </c>
      <c r="I81" s="78">
        <f t="shared" si="33"/>
        <v>0</v>
      </c>
      <c r="J81" s="78">
        <f t="shared" si="33"/>
        <v>0</v>
      </c>
      <c r="K81" s="78">
        <f t="shared" si="33"/>
        <v>0</v>
      </c>
      <c r="L81" s="78">
        <f t="shared" si="33"/>
        <v>0</v>
      </c>
      <c r="M81" s="78">
        <f t="shared" si="33"/>
        <v>0</v>
      </c>
      <c r="N81" s="78">
        <f t="shared" si="33"/>
        <v>0</v>
      </c>
      <c r="O81" s="78">
        <f t="shared" si="33"/>
        <v>0</v>
      </c>
      <c r="P81" s="78">
        <f t="shared" si="33"/>
        <v>0</v>
      </c>
      <c r="Q81" s="78">
        <f t="shared" si="33"/>
        <v>0</v>
      </c>
      <c r="R81" s="78">
        <f t="shared" si="33"/>
        <v>0</v>
      </c>
      <c r="S81" s="78">
        <f t="shared" si="33"/>
        <v>0</v>
      </c>
      <c r="T81" s="78">
        <f t="shared" si="33"/>
        <v>0</v>
      </c>
      <c r="U81" s="78">
        <f t="shared" si="33"/>
        <v>0</v>
      </c>
      <c r="V81" s="78">
        <f t="shared" si="33"/>
        <v>0</v>
      </c>
      <c r="W81" s="78">
        <f t="shared" si="33"/>
        <v>0</v>
      </c>
      <c r="X81" s="78">
        <f t="shared" si="33"/>
        <v>0</v>
      </c>
      <c r="Y81" s="78">
        <f t="shared" si="33"/>
        <v>0</v>
      </c>
      <c r="AA81" s="35"/>
      <c r="AB81" s="35"/>
      <c r="AC81" s="35"/>
      <c r="AD81" s="35"/>
      <c r="AE81" s="35"/>
      <c r="AF81" s="35"/>
      <c r="AG81" s="35"/>
    </row>
    <row r="82" spans="2:33" x14ac:dyDescent="0.2">
      <c r="C82" s="1" t="s">
        <v>246</v>
      </c>
      <c r="E82" s="77" t="s">
        <v>91</v>
      </c>
      <c r="F82" s="74">
        <v>0</v>
      </c>
      <c r="G82" s="78">
        <f t="shared" ref="G82:Y82" si="34">F82</f>
        <v>0</v>
      </c>
      <c r="H82" s="78">
        <f t="shared" si="34"/>
        <v>0</v>
      </c>
      <c r="I82" s="78">
        <f t="shared" si="34"/>
        <v>0</v>
      </c>
      <c r="J82" s="78">
        <f t="shared" si="34"/>
        <v>0</v>
      </c>
      <c r="K82" s="78">
        <f t="shared" si="34"/>
        <v>0</v>
      </c>
      <c r="L82" s="78">
        <f t="shared" si="34"/>
        <v>0</v>
      </c>
      <c r="M82" s="78">
        <f t="shared" si="34"/>
        <v>0</v>
      </c>
      <c r="N82" s="78">
        <f t="shared" si="34"/>
        <v>0</v>
      </c>
      <c r="O82" s="78">
        <f t="shared" si="34"/>
        <v>0</v>
      </c>
      <c r="P82" s="78">
        <f t="shared" si="34"/>
        <v>0</v>
      </c>
      <c r="Q82" s="78">
        <f t="shared" si="34"/>
        <v>0</v>
      </c>
      <c r="R82" s="78">
        <f t="shared" si="34"/>
        <v>0</v>
      </c>
      <c r="S82" s="78">
        <f t="shared" si="34"/>
        <v>0</v>
      </c>
      <c r="T82" s="78">
        <f t="shared" si="34"/>
        <v>0</v>
      </c>
      <c r="U82" s="78">
        <f t="shared" si="34"/>
        <v>0</v>
      </c>
      <c r="V82" s="78">
        <f t="shared" si="34"/>
        <v>0</v>
      </c>
      <c r="W82" s="78">
        <f t="shared" si="34"/>
        <v>0</v>
      </c>
      <c r="X82" s="78">
        <f t="shared" si="34"/>
        <v>0</v>
      </c>
      <c r="Y82" s="78">
        <f t="shared" si="34"/>
        <v>0</v>
      </c>
      <c r="AA82" s="35"/>
      <c r="AB82" s="35"/>
      <c r="AC82" s="35"/>
      <c r="AD82" s="35"/>
      <c r="AE82" s="35"/>
      <c r="AF82" s="35"/>
      <c r="AG82" s="35"/>
    </row>
    <row r="83" spans="2:33" x14ac:dyDescent="0.2">
      <c r="C83" s="1" t="s">
        <v>272</v>
      </c>
      <c r="E83" s="77" t="s">
        <v>85</v>
      </c>
      <c r="F83" s="79">
        <f t="shared" ref="F83:Y83" si="35">F25*F79</f>
        <v>0</v>
      </c>
      <c r="G83" s="79">
        <f t="shared" si="35"/>
        <v>0</v>
      </c>
      <c r="H83" s="79">
        <f t="shared" si="35"/>
        <v>0</v>
      </c>
      <c r="I83" s="79">
        <f t="shared" si="35"/>
        <v>0</v>
      </c>
      <c r="J83" s="79">
        <f t="shared" si="35"/>
        <v>0</v>
      </c>
      <c r="K83" s="79">
        <f t="shared" si="35"/>
        <v>0</v>
      </c>
      <c r="L83" s="79">
        <f t="shared" si="35"/>
        <v>0</v>
      </c>
      <c r="M83" s="79">
        <f t="shared" si="35"/>
        <v>0</v>
      </c>
      <c r="N83" s="79">
        <f t="shared" si="35"/>
        <v>0</v>
      </c>
      <c r="O83" s="79">
        <f t="shared" si="35"/>
        <v>0</v>
      </c>
      <c r="P83" s="79">
        <f t="shared" si="35"/>
        <v>0</v>
      </c>
      <c r="Q83" s="79">
        <f t="shared" si="35"/>
        <v>0</v>
      </c>
      <c r="R83" s="79">
        <f t="shared" si="35"/>
        <v>0</v>
      </c>
      <c r="S83" s="79">
        <f t="shared" si="35"/>
        <v>0</v>
      </c>
      <c r="T83" s="79">
        <f t="shared" si="35"/>
        <v>0</v>
      </c>
      <c r="U83" s="79">
        <f t="shared" si="35"/>
        <v>0</v>
      </c>
      <c r="V83" s="79">
        <f t="shared" si="35"/>
        <v>0</v>
      </c>
      <c r="W83" s="79">
        <f t="shared" si="35"/>
        <v>0</v>
      </c>
      <c r="X83" s="79">
        <f t="shared" si="35"/>
        <v>0</v>
      </c>
      <c r="Y83" s="79">
        <f t="shared" si="35"/>
        <v>0</v>
      </c>
      <c r="AA83" s="35"/>
      <c r="AB83" s="35"/>
      <c r="AC83" s="35"/>
      <c r="AD83" s="35"/>
      <c r="AE83" s="35"/>
      <c r="AF83" s="35"/>
      <c r="AG83" s="35"/>
    </row>
    <row r="84" spans="2:33" x14ac:dyDescent="0.2">
      <c r="C84" s="1" t="s">
        <v>273</v>
      </c>
      <c r="E84" s="77" t="s">
        <v>85</v>
      </c>
      <c r="F84" s="79">
        <f t="shared" ref="F84:Y84" si="36">F27*F80</f>
        <v>0</v>
      </c>
      <c r="G84" s="79">
        <f t="shared" si="36"/>
        <v>0</v>
      </c>
      <c r="H84" s="79">
        <f t="shared" si="36"/>
        <v>0</v>
      </c>
      <c r="I84" s="79">
        <f t="shared" si="36"/>
        <v>0</v>
      </c>
      <c r="J84" s="79">
        <f t="shared" si="36"/>
        <v>0</v>
      </c>
      <c r="K84" s="79">
        <f t="shared" si="36"/>
        <v>0</v>
      </c>
      <c r="L84" s="79">
        <f t="shared" si="36"/>
        <v>0</v>
      </c>
      <c r="M84" s="79">
        <f t="shared" si="36"/>
        <v>0</v>
      </c>
      <c r="N84" s="79">
        <f t="shared" si="36"/>
        <v>0</v>
      </c>
      <c r="O84" s="79">
        <f t="shared" si="36"/>
        <v>0</v>
      </c>
      <c r="P84" s="79">
        <f t="shared" si="36"/>
        <v>0</v>
      </c>
      <c r="Q84" s="79">
        <f t="shared" si="36"/>
        <v>0</v>
      </c>
      <c r="R84" s="79">
        <f t="shared" si="36"/>
        <v>0</v>
      </c>
      <c r="S84" s="79">
        <f t="shared" si="36"/>
        <v>0</v>
      </c>
      <c r="T84" s="79">
        <f t="shared" si="36"/>
        <v>0</v>
      </c>
      <c r="U84" s="79">
        <f t="shared" si="36"/>
        <v>0</v>
      </c>
      <c r="V84" s="79">
        <f t="shared" si="36"/>
        <v>0</v>
      </c>
      <c r="W84" s="79">
        <f t="shared" si="36"/>
        <v>0</v>
      </c>
      <c r="X84" s="79">
        <f t="shared" si="36"/>
        <v>0</v>
      </c>
      <c r="Y84" s="79">
        <f t="shared" si="36"/>
        <v>0</v>
      </c>
      <c r="AA84" s="35"/>
      <c r="AB84" s="35"/>
      <c r="AC84" s="35"/>
      <c r="AD84" s="35"/>
      <c r="AE84" s="35"/>
      <c r="AF84" s="35"/>
      <c r="AG84" s="35"/>
    </row>
    <row r="85" spans="2:33" x14ac:dyDescent="0.2">
      <c r="C85" s="1" t="s">
        <v>274</v>
      </c>
      <c r="E85" s="77" t="s">
        <v>85</v>
      </c>
      <c r="F85" s="79">
        <f t="shared" ref="F85:Y85" si="37">F29*F81</f>
        <v>0</v>
      </c>
      <c r="G85" s="79">
        <f t="shared" si="37"/>
        <v>0</v>
      </c>
      <c r="H85" s="79">
        <f t="shared" si="37"/>
        <v>0</v>
      </c>
      <c r="I85" s="79">
        <f t="shared" si="37"/>
        <v>0</v>
      </c>
      <c r="J85" s="79">
        <f t="shared" si="37"/>
        <v>0</v>
      </c>
      <c r="K85" s="79">
        <f t="shared" si="37"/>
        <v>0</v>
      </c>
      <c r="L85" s="79">
        <f t="shared" si="37"/>
        <v>0</v>
      </c>
      <c r="M85" s="79">
        <f t="shared" si="37"/>
        <v>0</v>
      </c>
      <c r="N85" s="79">
        <f t="shared" si="37"/>
        <v>0</v>
      </c>
      <c r="O85" s="79">
        <f t="shared" si="37"/>
        <v>0</v>
      </c>
      <c r="P85" s="79">
        <f t="shared" si="37"/>
        <v>0</v>
      </c>
      <c r="Q85" s="79">
        <f t="shared" si="37"/>
        <v>0</v>
      </c>
      <c r="R85" s="79">
        <f t="shared" si="37"/>
        <v>0</v>
      </c>
      <c r="S85" s="79">
        <f t="shared" si="37"/>
        <v>0</v>
      </c>
      <c r="T85" s="79">
        <f t="shared" si="37"/>
        <v>0</v>
      </c>
      <c r="U85" s="79">
        <f t="shared" si="37"/>
        <v>0</v>
      </c>
      <c r="V85" s="79">
        <f t="shared" si="37"/>
        <v>0</v>
      </c>
      <c r="W85" s="79">
        <f t="shared" si="37"/>
        <v>0</v>
      </c>
      <c r="X85" s="79">
        <f t="shared" si="37"/>
        <v>0</v>
      </c>
      <c r="Y85" s="79">
        <f t="shared" si="37"/>
        <v>0</v>
      </c>
      <c r="AA85" s="35"/>
      <c r="AB85" s="35"/>
      <c r="AC85" s="35"/>
      <c r="AD85" s="35"/>
      <c r="AE85" s="35"/>
      <c r="AF85" s="35"/>
      <c r="AG85" s="35"/>
    </row>
    <row r="86" spans="2:33" x14ac:dyDescent="0.2">
      <c r="C86" s="1" t="s">
        <v>275</v>
      </c>
      <c r="E86" s="77" t="s">
        <v>85</v>
      </c>
      <c r="F86" s="79">
        <f t="shared" ref="F86:Y86" si="38">F31*F82</f>
        <v>0</v>
      </c>
      <c r="G86" s="79">
        <f t="shared" si="38"/>
        <v>0</v>
      </c>
      <c r="H86" s="79">
        <f t="shared" si="38"/>
        <v>0</v>
      </c>
      <c r="I86" s="79">
        <f t="shared" si="38"/>
        <v>0</v>
      </c>
      <c r="J86" s="79">
        <f t="shared" si="38"/>
        <v>0</v>
      </c>
      <c r="K86" s="79">
        <f t="shared" si="38"/>
        <v>0</v>
      </c>
      <c r="L86" s="79">
        <f t="shared" si="38"/>
        <v>0</v>
      </c>
      <c r="M86" s="79">
        <f t="shared" si="38"/>
        <v>0</v>
      </c>
      <c r="N86" s="79">
        <f t="shared" si="38"/>
        <v>0</v>
      </c>
      <c r="O86" s="79">
        <f t="shared" si="38"/>
        <v>0</v>
      </c>
      <c r="P86" s="79">
        <f t="shared" si="38"/>
        <v>0</v>
      </c>
      <c r="Q86" s="79">
        <f t="shared" si="38"/>
        <v>0</v>
      </c>
      <c r="R86" s="79">
        <f t="shared" si="38"/>
        <v>0</v>
      </c>
      <c r="S86" s="79">
        <f t="shared" si="38"/>
        <v>0</v>
      </c>
      <c r="T86" s="79">
        <f t="shared" si="38"/>
        <v>0</v>
      </c>
      <c r="U86" s="79">
        <f t="shared" si="38"/>
        <v>0</v>
      </c>
      <c r="V86" s="79">
        <f t="shared" si="38"/>
        <v>0</v>
      </c>
      <c r="W86" s="79">
        <f t="shared" si="38"/>
        <v>0</v>
      </c>
      <c r="X86" s="79">
        <f t="shared" si="38"/>
        <v>0</v>
      </c>
      <c r="Y86" s="79">
        <f t="shared" si="38"/>
        <v>0</v>
      </c>
    </row>
    <row r="87" spans="2:33" s="27" customFormat="1" x14ac:dyDescent="0.2">
      <c r="C87" s="28" t="s">
        <v>491</v>
      </c>
      <c r="E87" s="77" t="s">
        <v>85</v>
      </c>
      <c r="F87" s="113">
        <f>SUM(F83:F86)</f>
        <v>0</v>
      </c>
      <c r="G87" s="113">
        <f t="shared" ref="G87:Y87" si="39">SUM(G83:G86)</f>
        <v>0</v>
      </c>
      <c r="H87" s="113">
        <f t="shared" si="39"/>
        <v>0</v>
      </c>
      <c r="I87" s="113">
        <f t="shared" si="39"/>
        <v>0</v>
      </c>
      <c r="J87" s="113">
        <f t="shared" si="39"/>
        <v>0</v>
      </c>
      <c r="K87" s="113">
        <f t="shared" si="39"/>
        <v>0</v>
      </c>
      <c r="L87" s="113">
        <f t="shared" si="39"/>
        <v>0</v>
      </c>
      <c r="M87" s="113">
        <f t="shared" si="39"/>
        <v>0</v>
      </c>
      <c r="N87" s="113">
        <f t="shared" si="39"/>
        <v>0</v>
      </c>
      <c r="O87" s="113">
        <f t="shared" si="39"/>
        <v>0</v>
      </c>
      <c r="P87" s="113">
        <f t="shared" si="39"/>
        <v>0</v>
      </c>
      <c r="Q87" s="113">
        <f t="shared" si="39"/>
        <v>0</v>
      </c>
      <c r="R87" s="113">
        <f t="shared" si="39"/>
        <v>0</v>
      </c>
      <c r="S87" s="113">
        <f t="shared" si="39"/>
        <v>0</v>
      </c>
      <c r="T87" s="113">
        <f t="shared" si="39"/>
        <v>0</v>
      </c>
      <c r="U87" s="113">
        <f t="shared" si="39"/>
        <v>0</v>
      </c>
      <c r="V87" s="113">
        <f t="shared" si="39"/>
        <v>0</v>
      </c>
      <c r="W87" s="113">
        <f t="shared" si="39"/>
        <v>0</v>
      </c>
      <c r="X87" s="113">
        <f t="shared" si="39"/>
        <v>0</v>
      </c>
      <c r="Y87" s="113">
        <f t="shared" si="39"/>
        <v>0</v>
      </c>
    </row>
    <row r="88" spans="2:33" x14ac:dyDescent="0.2">
      <c r="B88" s="36" t="s">
        <v>326</v>
      </c>
      <c r="C88" s="28"/>
      <c r="D88" s="27"/>
      <c r="E88" s="77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</row>
    <row r="89" spans="2:33" x14ac:dyDescent="0.2">
      <c r="C89" s="1" t="s">
        <v>247</v>
      </c>
      <c r="D89" s="27"/>
      <c r="E89" s="77" t="s">
        <v>91</v>
      </c>
      <c r="F89" s="78">
        <v>1</v>
      </c>
      <c r="G89" s="78">
        <f t="shared" ref="G89:Y89" si="40">F89</f>
        <v>1</v>
      </c>
      <c r="H89" s="78">
        <f t="shared" si="40"/>
        <v>1</v>
      </c>
      <c r="I89" s="78">
        <f t="shared" si="40"/>
        <v>1</v>
      </c>
      <c r="J89" s="78">
        <f t="shared" si="40"/>
        <v>1</v>
      </c>
      <c r="K89" s="78">
        <f t="shared" si="40"/>
        <v>1</v>
      </c>
      <c r="L89" s="78">
        <f t="shared" si="40"/>
        <v>1</v>
      </c>
      <c r="M89" s="78">
        <f t="shared" si="40"/>
        <v>1</v>
      </c>
      <c r="N89" s="78">
        <f t="shared" si="40"/>
        <v>1</v>
      </c>
      <c r="O89" s="78">
        <f t="shared" si="40"/>
        <v>1</v>
      </c>
      <c r="P89" s="78">
        <f t="shared" si="40"/>
        <v>1</v>
      </c>
      <c r="Q89" s="78">
        <f t="shared" si="40"/>
        <v>1</v>
      </c>
      <c r="R89" s="78">
        <f t="shared" si="40"/>
        <v>1</v>
      </c>
      <c r="S89" s="78">
        <f t="shared" si="40"/>
        <v>1</v>
      </c>
      <c r="T89" s="78">
        <f t="shared" si="40"/>
        <v>1</v>
      </c>
      <c r="U89" s="78">
        <f t="shared" si="40"/>
        <v>1</v>
      </c>
      <c r="V89" s="78">
        <f t="shared" si="40"/>
        <v>1</v>
      </c>
      <c r="W89" s="78">
        <f t="shared" si="40"/>
        <v>1</v>
      </c>
      <c r="X89" s="78">
        <f t="shared" si="40"/>
        <v>1</v>
      </c>
      <c r="Y89" s="78">
        <f t="shared" si="40"/>
        <v>1</v>
      </c>
    </row>
    <row r="90" spans="2:33" x14ac:dyDescent="0.2">
      <c r="C90" s="1" t="s">
        <v>327</v>
      </c>
      <c r="D90" s="27"/>
      <c r="E90" s="77" t="s">
        <v>85</v>
      </c>
      <c r="F90" s="135">
        <f t="shared" ref="F90:Y90" si="41">F89*F43</f>
        <v>900</v>
      </c>
      <c r="G90" s="135">
        <f t="shared" si="41"/>
        <v>900</v>
      </c>
      <c r="H90" s="135">
        <f t="shared" si="41"/>
        <v>900</v>
      </c>
      <c r="I90" s="135">
        <f t="shared" si="41"/>
        <v>900</v>
      </c>
      <c r="J90" s="135">
        <f t="shared" si="41"/>
        <v>977.40000000000009</v>
      </c>
      <c r="K90" s="135">
        <f t="shared" si="41"/>
        <v>977.40000000000009</v>
      </c>
      <c r="L90" s="135">
        <f t="shared" si="41"/>
        <v>977.40000000000009</v>
      </c>
      <c r="M90" s="135">
        <f t="shared" si="41"/>
        <v>977.40000000000009</v>
      </c>
      <c r="N90" s="135">
        <f t="shared" si="41"/>
        <v>1043.8632000000002</v>
      </c>
      <c r="O90" s="135">
        <f t="shared" si="41"/>
        <v>1043.8632000000002</v>
      </c>
      <c r="P90" s="135">
        <f t="shared" si="41"/>
        <v>1043.8632000000002</v>
      </c>
      <c r="Q90" s="135">
        <f t="shared" si="41"/>
        <v>1043.8632000000002</v>
      </c>
      <c r="R90" s="135">
        <f t="shared" si="41"/>
        <v>1108.5827184000002</v>
      </c>
      <c r="S90" s="135">
        <f t="shared" si="41"/>
        <v>1108.5827184000002</v>
      </c>
      <c r="T90" s="135">
        <f t="shared" si="41"/>
        <v>1108.5827184000002</v>
      </c>
      <c r="U90" s="135">
        <f t="shared" si="41"/>
        <v>1108.5827184000002</v>
      </c>
      <c r="V90" s="135">
        <f t="shared" si="41"/>
        <v>1180.6405950960002</v>
      </c>
      <c r="W90" s="135">
        <f t="shared" si="41"/>
        <v>1180.6405950960002</v>
      </c>
      <c r="X90" s="135">
        <f t="shared" si="41"/>
        <v>1180.6405950960002</v>
      </c>
      <c r="Y90" s="135">
        <f t="shared" si="41"/>
        <v>1180.6405950960002</v>
      </c>
    </row>
    <row r="91" spans="2:33" x14ac:dyDescent="0.2">
      <c r="B91" s="36" t="s">
        <v>328</v>
      </c>
      <c r="C91" s="28"/>
      <c r="D91" s="27"/>
      <c r="E91" s="77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</row>
    <row r="92" spans="2:33" x14ac:dyDescent="0.2">
      <c r="C92" s="1" t="s">
        <v>248</v>
      </c>
      <c r="D92" s="27"/>
      <c r="E92" s="77" t="s">
        <v>91</v>
      </c>
      <c r="F92" s="108">
        <v>1</v>
      </c>
      <c r="G92" s="109">
        <f t="shared" ref="G92:Y92" si="42">F92</f>
        <v>1</v>
      </c>
      <c r="H92" s="109">
        <f t="shared" si="42"/>
        <v>1</v>
      </c>
      <c r="I92" s="109">
        <f t="shared" si="42"/>
        <v>1</v>
      </c>
      <c r="J92" s="109">
        <f t="shared" si="42"/>
        <v>1</v>
      </c>
      <c r="K92" s="109">
        <f t="shared" si="42"/>
        <v>1</v>
      </c>
      <c r="L92" s="109">
        <f t="shared" si="42"/>
        <v>1</v>
      </c>
      <c r="M92" s="109">
        <f t="shared" si="42"/>
        <v>1</v>
      </c>
      <c r="N92" s="109">
        <f t="shared" si="42"/>
        <v>1</v>
      </c>
      <c r="O92" s="109">
        <f t="shared" si="42"/>
        <v>1</v>
      </c>
      <c r="P92" s="109">
        <f t="shared" si="42"/>
        <v>1</v>
      </c>
      <c r="Q92" s="109">
        <f t="shared" si="42"/>
        <v>1</v>
      </c>
      <c r="R92" s="109">
        <f t="shared" si="42"/>
        <v>1</v>
      </c>
      <c r="S92" s="109">
        <f t="shared" si="42"/>
        <v>1</v>
      </c>
      <c r="T92" s="109">
        <f t="shared" si="42"/>
        <v>1</v>
      </c>
      <c r="U92" s="109">
        <f t="shared" si="42"/>
        <v>1</v>
      </c>
      <c r="V92" s="109">
        <f t="shared" si="42"/>
        <v>1</v>
      </c>
      <c r="W92" s="109">
        <f t="shared" si="42"/>
        <v>1</v>
      </c>
      <c r="X92" s="109">
        <f t="shared" si="42"/>
        <v>1</v>
      </c>
      <c r="Y92" s="109">
        <f t="shared" si="42"/>
        <v>1</v>
      </c>
    </row>
    <row r="93" spans="2:33" x14ac:dyDescent="0.2">
      <c r="C93" s="1" t="s">
        <v>329</v>
      </c>
      <c r="D93" s="27"/>
      <c r="E93" s="77" t="s">
        <v>85</v>
      </c>
      <c r="F93" s="135">
        <f t="shared" ref="F93:Y93" si="43">F52*F92</f>
        <v>0</v>
      </c>
      <c r="G93" s="135">
        <f t="shared" si="43"/>
        <v>0</v>
      </c>
      <c r="H93" s="135">
        <f t="shared" si="43"/>
        <v>2000</v>
      </c>
      <c r="I93" s="135">
        <f t="shared" si="43"/>
        <v>2000</v>
      </c>
      <c r="J93" s="135">
        <f t="shared" si="43"/>
        <v>2172</v>
      </c>
      <c r="K93" s="135">
        <f t="shared" si="43"/>
        <v>2172</v>
      </c>
      <c r="L93" s="135">
        <f t="shared" si="43"/>
        <v>2172</v>
      </c>
      <c r="M93" s="135">
        <f t="shared" si="43"/>
        <v>2172</v>
      </c>
      <c r="N93" s="135">
        <f t="shared" si="43"/>
        <v>2319.6959999999999</v>
      </c>
      <c r="O93" s="135">
        <f t="shared" si="43"/>
        <v>2319.6959999999999</v>
      </c>
      <c r="P93" s="135">
        <f t="shared" si="43"/>
        <v>2319.6959999999999</v>
      </c>
      <c r="Q93" s="135">
        <f t="shared" si="43"/>
        <v>2319.6959999999999</v>
      </c>
      <c r="R93" s="135">
        <f t="shared" si="43"/>
        <v>2463.5171519999999</v>
      </c>
      <c r="S93" s="135">
        <f t="shared" si="43"/>
        <v>2463.5171519999999</v>
      </c>
      <c r="T93" s="135">
        <f t="shared" si="43"/>
        <v>2463.5171519999999</v>
      </c>
      <c r="U93" s="135">
        <f t="shared" si="43"/>
        <v>2463.5171519999999</v>
      </c>
      <c r="V93" s="135">
        <f t="shared" si="43"/>
        <v>2623.6457668799999</v>
      </c>
      <c r="W93" s="135">
        <f t="shared" si="43"/>
        <v>2623.6457668799999</v>
      </c>
      <c r="X93" s="135">
        <f t="shared" si="43"/>
        <v>2623.6457668799999</v>
      </c>
      <c r="Y93" s="135">
        <f t="shared" si="43"/>
        <v>2623.6457668799999</v>
      </c>
    </row>
    <row r="94" spans="2:33" x14ac:dyDescent="0.2">
      <c r="B94" s="36" t="s">
        <v>108</v>
      </c>
      <c r="C94" s="28"/>
      <c r="D94" s="27"/>
      <c r="E94" s="77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</row>
    <row r="95" spans="2:33" x14ac:dyDescent="0.2">
      <c r="C95" s="1" t="s">
        <v>249</v>
      </c>
      <c r="D95" s="27"/>
      <c r="E95" s="77" t="s">
        <v>91</v>
      </c>
      <c r="F95" s="108">
        <v>1</v>
      </c>
      <c r="G95" s="109">
        <f t="shared" ref="G95:Y95" si="44">F95</f>
        <v>1</v>
      </c>
      <c r="H95" s="109">
        <f t="shared" si="44"/>
        <v>1</v>
      </c>
      <c r="I95" s="109">
        <f t="shared" si="44"/>
        <v>1</v>
      </c>
      <c r="J95" s="109">
        <f t="shared" si="44"/>
        <v>1</v>
      </c>
      <c r="K95" s="109">
        <f t="shared" si="44"/>
        <v>1</v>
      </c>
      <c r="L95" s="109">
        <f t="shared" si="44"/>
        <v>1</v>
      </c>
      <c r="M95" s="109">
        <f t="shared" si="44"/>
        <v>1</v>
      </c>
      <c r="N95" s="109">
        <f t="shared" si="44"/>
        <v>1</v>
      </c>
      <c r="O95" s="109">
        <f t="shared" si="44"/>
        <v>1</v>
      </c>
      <c r="P95" s="109">
        <f t="shared" si="44"/>
        <v>1</v>
      </c>
      <c r="Q95" s="109">
        <f t="shared" si="44"/>
        <v>1</v>
      </c>
      <c r="R95" s="109">
        <f t="shared" si="44"/>
        <v>1</v>
      </c>
      <c r="S95" s="109">
        <f t="shared" si="44"/>
        <v>1</v>
      </c>
      <c r="T95" s="109">
        <f t="shared" si="44"/>
        <v>1</v>
      </c>
      <c r="U95" s="109">
        <f t="shared" si="44"/>
        <v>1</v>
      </c>
      <c r="V95" s="109">
        <f t="shared" si="44"/>
        <v>1</v>
      </c>
      <c r="W95" s="109">
        <f t="shared" si="44"/>
        <v>1</v>
      </c>
      <c r="X95" s="109">
        <f t="shared" si="44"/>
        <v>1</v>
      </c>
      <c r="Y95" s="109">
        <f t="shared" si="44"/>
        <v>1</v>
      </c>
    </row>
    <row r="96" spans="2:33" x14ac:dyDescent="0.2">
      <c r="C96" s="1" t="s">
        <v>331</v>
      </c>
      <c r="D96" s="27"/>
      <c r="E96" s="77" t="s">
        <v>85</v>
      </c>
      <c r="F96" s="79">
        <f t="shared" ref="F96:Y96" si="45">F63*F95</f>
        <v>0</v>
      </c>
      <c r="G96" s="79">
        <f t="shared" si="45"/>
        <v>0</v>
      </c>
      <c r="H96" s="79">
        <f t="shared" si="45"/>
        <v>625</v>
      </c>
      <c r="I96" s="79">
        <f t="shared" si="45"/>
        <v>625</v>
      </c>
      <c r="J96" s="79">
        <f t="shared" si="45"/>
        <v>678.75</v>
      </c>
      <c r="K96" s="79">
        <f t="shared" si="45"/>
        <v>678.75</v>
      </c>
      <c r="L96" s="79">
        <f t="shared" si="45"/>
        <v>678.75</v>
      </c>
      <c r="M96" s="79">
        <f t="shared" si="45"/>
        <v>678.75</v>
      </c>
      <c r="N96" s="79">
        <f t="shared" si="45"/>
        <v>724.90500000000009</v>
      </c>
      <c r="O96" s="79">
        <f t="shared" si="45"/>
        <v>724.90500000000009</v>
      </c>
      <c r="P96" s="79">
        <f t="shared" si="45"/>
        <v>724.90500000000009</v>
      </c>
      <c r="Q96" s="79">
        <f t="shared" si="45"/>
        <v>724.90500000000009</v>
      </c>
      <c r="R96" s="79">
        <f t="shared" si="45"/>
        <v>769.84911000000011</v>
      </c>
      <c r="S96" s="79">
        <f t="shared" si="45"/>
        <v>769.84911000000011</v>
      </c>
      <c r="T96" s="79">
        <f t="shared" si="45"/>
        <v>769.84911000000011</v>
      </c>
      <c r="U96" s="79">
        <f t="shared" si="45"/>
        <v>769.84911000000011</v>
      </c>
      <c r="V96" s="79">
        <f t="shared" si="45"/>
        <v>819.88930215000005</v>
      </c>
      <c r="W96" s="79">
        <f t="shared" si="45"/>
        <v>819.88930215000005</v>
      </c>
      <c r="X96" s="79">
        <f t="shared" si="45"/>
        <v>819.88930215000005</v>
      </c>
      <c r="Y96" s="79">
        <f t="shared" si="45"/>
        <v>819.88930215000005</v>
      </c>
    </row>
    <row r="97" spans="1:25" x14ac:dyDescent="0.2">
      <c r="B97" s="27" t="s">
        <v>271</v>
      </c>
      <c r="E97" s="77" t="s">
        <v>85</v>
      </c>
      <c r="F97" s="113">
        <f>F87+F90+F93+F96</f>
        <v>900</v>
      </c>
      <c r="G97" s="113">
        <f t="shared" ref="G97:Y97" si="46">G87+G90+G93+G96</f>
        <v>900</v>
      </c>
      <c r="H97" s="113">
        <f t="shared" si="46"/>
        <v>3525</v>
      </c>
      <c r="I97" s="113">
        <f t="shared" si="46"/>
        <v>3525</v>
      </c>
      <c r="J97" s="113">
        <f t="shared" si="46"/>
        <v>3828.15</v>
      </c>
      <c r="K97" s="113">
        <f t="shared" si="46"/>
        <v>3828.15</v>
      </c>
      <c r="L97" s="113">
        <f t="shared" si="46"/>
        <v>3828.15</v>
      </c>
      <c r="M97" s="113">
        <f t="shared" si="46"/>
        <v>3828.15</v>
      </c>
      <c r="N97" s="113">
        <f t="shared" si="46"/>
        <v>4088.4642000000003</v>
      </c>
      <c r="O97" s="113">
        <f t="shared" si="46"/>
        <v>4088.4642000000003</v>
      </c>
      <c r="P97" s="113">
        <f t="shared" si="46"/>
        <v>4088.4642000000003</v>
      </c>
      <c r="Q97" s="113">
        <f t="shared" si="46"/>
        <v>4088.4642000000003</v>
      </c>
      <c r="R97" s="113">
        <f t="shared" si="46"/>
        <v>4341.9489804000004</v>
      </c>
      <c r="S97" s="113">
        <f t="shared" si="46"/>
        <v>4341.9489804000004</v>
      </c>
      <c r="T97" s="113">
        <f t="shared" si="46"/>
        <v>4341.9489804000004</v>
      </c>
      <c r="U97" s="113">
        <f t="shared" si="46"/>
        <v>4341.9489804000004</v>
      </c>
      <c r="V97" s="113">
        <f t="shared" si="46"/>
        <v>4624.1756641259999</v>
      </c>
      <c r="W97" s="113">
        <f t="shared" si="46"/>
        <v>4624.1756641259999</v>
      </c>
      <c r="X97" s="113">
        <f t="shared" si="46"/>
        <v>4624.1756641259999</v>
      </c>
      <c r="Y97" s="113">
        <f t="shared" si="46"/>
        <v>4624.1756641259999</v>
      </c>
    </row>
    <row r="99" spans="1:25" x14ac:dyDescent="0.2">
      <c r="A99" s="25" t="s">
        <v>195</v>
      </c>
      <c r="E99" s="77"/>
    </row>
    <row r="100" spans="1:25" x14ac:dyDescent="0.2">
      <c r="B100" s="284" t="s">
        <v>548</v>
      </c>
      <c r="E100" s="77"/>
    </row>
    <row r="101" spans="1:25" x14ac:dyDescent="0.2">
      <c r="C101" s="1" t="s">
        <v>243</v>
      </c>
      <c r="E101" s="77" t="s">
        <v>91</v>
      </c>
      <c r="F101" s="74">
        <v>0</v>
      </c>
      <c r="G101" s="78">
        <f>F101</f>
        <v>0</v>
      </c>
      <c r="H101" s="78">
        <f t="shared" ref="H101:Y101" si="47">G101</f>
        <v>0</v>
      </c>
      <c r="I101" s="78">
        <f t="shared" si="47"/>
        <v>0</v>
      </c>
      <c r="J101" s="78">
        <f t="shared" si="47"/>
        <v>0</v>
      </c>
      <c r="K101" s="78">
        <f t="shared" si="47"/>
        <v>0</v>
      </c>
      <c r="L101" s="78">
        <f t="shared" si="47"/>
        <v>0</v>
      </c>
      <c r="M101" s="78">
        <f t="shared" si="47"/>
        <v>0</v>
      </c>
      <c r="N101" s="78">
        <f t="shared" si="47"/>
        <v>0</v>
      </c>
      <c r="O101" s="78">
        <f t="shared" si="47"/>
        <v>0</v>
      </c>
      <c r="P101" s="78">
        <f t="shared" si="47"/>
        <v>0</v>
      </c>
      <c r="Q101" s="78">
        <f t="shared" si="47"/>
        <v>0</v>
      </c>
      <c r="R101" s="78">
        <f t="shared" si="47"/>
        <v>0</v>
      </c>
      <c r="S101" s="78">
        <f t="shared" si="47"/>
        <v>0</v>
      </c>
      <c r="T101" s="78">
        <f t="shared" si="47"/>
        <v>0</v>
      </c>
      <c r="U101" s="78">
        <f t="shared" si="47"/>
        <v>0</v>
      </c>
      <c r="V101" s="78">
        <f t="shared" si="47"/>
        <v>0</v>
      </c>
      <c r="W101" s="78">
        <f t="shared" si="47"/>
        <v>0</v>
      </c>
      <c r="X101" s="78">
        <f t="shared" si="47"/>
        <v>0</v>
      </c>
      <c r="Y101" s="78">
        <f t="shared" si="47"/>
        <v>0</v>
      </c>
    </row>
    <row r="102" spans="1:25" x14ac:dyDescent="0.2">
      <c r="C102" s="1" t="s">
        <v>244</v>
      </c>
      <c r="E102" s="77" t="s">
        <v>91</v>
      </c>
      <c r="F102" s="74">
        <v>0</v>
      </c>
      <c r="G102" s="78">
        <f>F102</f>
        <v>0</v>
      </c>
      <c r="H102" s="78">
        <f t="shared" ref="H102:Y102" si="48">G102</f>
        <v>0</v>
      </c>
      <c r="I102" s="78">
        <f t="shared" si="48"/>
        <v>0</v>
      </c>
      <c r="J102" s="78">
        <f t="shared" si="48"/>
        <v>0</v>
      </c>
      <c r="K102" s="78">
        <f t="shared" si="48"/>
        <v>0</v>
      </c>
      <c r="L102" s="78">
        <f t="shared" si="48"/>
        <v>0</v>
      </c>
      <c r="M102" s="78">
        <f t="shared" si="48"/>
        <v>0</v>
      </c>
      <c r="N102" s="78">
        <f t="shared" si="48"/>
        <v>0</v>
      </c>
      <c r="O102" s="78">
        <f t="shared" si="48"/>
        <v>0</v>
      </c>
      <c r="P102" s="78">
        <f t="shared" si="48"/>
        <v>0</v>
      </c>
      <c r="Q102" s="78">
        <f t="shared" si="48"/>
        <v>0</v>
      </c>
      <c r="R102" s="78">
        <f t="shared" si="48"/>
        <v>0</v>
      </c>
      <c r="S102" s="78">
        <f t="shared" si="48"/>
        <v>0</v>
      </c>
      <c r="T102" s="78">
        <f t="shared" si="48"/>
        <v>0</v>
      </c>
      <c r="U102" s="78">
        <f t="shared" si="48"/>
        <v>0</v>
      </c>
      <c r="V102" s="78">
        <f t="shared" si="48"/>
        <v>0</v>
      </c>
      <c r="W102" s="78">
        <f t="shared" si="48"/>
        <v>0</v>
      </c>
      <c r="X102" s="78">
        <f t="shared" si="48"/>
        <v>0</v>
      </c>
      <c r="Y102" s="78">
        <f t="shared" si="48"/>
        <v>0</v>
      </c>
    </row>
    <row r="103" spans="1:25" x14ac:dyDescent="0.2">
      <c r="C103" s="1" t="s">
        <v>245</v>
      </c>
      <c r="E103" s="77" t="s">
        <v>91</v>
      </c>
      <c r="F103" s="74">
        <v>0</v>
      </c>
      <c r="G103" s="78">
        <f>F103</f>
        <v>0</v>
      </c>
      <c r="H103" s="78">
        <f t="shared" ref="H103:Y103" si="49">G103</f>
        <v>0</v>
      </c>
      <c r="I103" s="78">
        <f t="shared" si="49"/>
        <v>0</v>
      </c>
      <c r="J103" s="78">
        <f t="shared" si="49"/>
        <v>0</v>
      </c>
      <c r="K103" s="78">
        <f t="shared" si="49"/>
        <v>0</v>
      </c>
      <c r="L103" s="78">
        <f t="shared" si="49"/>
        <v>0</v>
      </c>
      <c r="M103" s="78">
        <f t="shared" si="49"/>
        <v>0</v>
      </c>
      <c r="N103" s="78">
        <f t="shared" si="49"/>
        <v>0</v>
      </c>
      <c r="O103" s="78">
        <f t="shared" si="49"/>
        <v>0</v>
      </c>
      <c r="P103" s="78">
        <f t="shared" si="49"/>
        <v>0</v>
      </c>
      <c r="Q103" s="78">
        <f t="shared" si="49"/>
        <v>0</v>
      </c>
      <c r="R103" s="78">
        <f t="shared" si="49"/>
        <v>0</v>
      </c>
      <c r="S103" s="78">
        <f t="shared" si="49"/>
        <v>0</v>
      </c>
      <c r="T103" s="78">
        <f t="shared" si="49"/>
        <v>0</v>
      </c>
      <c r="U103" s="78">
        <f t="shared" si="49"/>
        <v>0</v>
      </c>
      <c r="V103" s="78">
        <f t="shared" si="49"/>
        <v>0</v>
      </c>
      <c r="W103" s="78">
        <f t="shared" si="49"/>
        <v>0</v>
      </c>
      <c r="X103" s="78">
        <f t="shared" si="49"/>
        <v>0</v>
      </c>
      <c r="Y103" s="78">
        <f t="shared" si="49"/>
        <v>0</v>
      </c>
    </row>
    <row r="104" spans="1:25" x14ac:dyDescent="0.2">
      <c r="C104" s="1" t="s">
        <v>246</v>
      </c>
      <c r="E104" s="77" t="s">
        <v>91</v>
      </c>
      <c r="F104" s="74">
        <v>0</v>
      </c>
      <c r="G104" s="78">
        <f>F104</f>
        <v>0</v>
      </c>
      <c r="H104" s="78">
        <f t="shared" ref="H104:Y104" si="50">G104</f>
        <v>0</v>
      </c>
      <c r="I104" s="78">
        <f t="shared" si="50"/>
        <v>0</v>
      </c>
      <c r="J104" s="78">
        <f t="shared" si="50"/>
        <v>0</v>
      </c>
      <c r="K104" s="78">
        <f t="shared" si="50"/>
        <v>0</v>
      </c>
      <c r="L104" s="78">
        <f t="shared" si="50"/>
        <v>0</v>
      </c>
      <c r="M104" s="78">
        <f t="shared" si="50"/>
        <v>0</v>
      </c>
      <c r="N104" s="78">
        <f t="shared" si="50"/>
        <v>0</v>
      </c>
      <c r="O104" s="78">
        <f t="shared" si="50"/>
        <v>0</v>
      </c>
      <c r="P104" s="78">
        <f t="shared" si="50"/>
        <v>0</v>
      </c>
      <c r="Q104" s="78">
        <f t="shared" si="50"/>
        <v>0</v>
      </c>
      <c r="R104" s="78">
        <f t="shared" si="50"/>
        <v>0</v>
      </c>
      <c r="S104" s="78">
        <f t="shared" si="50"/>
        <v>0</v>
      </c>
      <c r="T104" s="78">
        <f t="shared" si="50"/>
        <v>0</v>
      </c>
      <c r="U104" s="78">
        <f t="shared" si="50"/>
        <v>0</v>
      </c>
      <c r="V104" s="78">
        <f t="shared" si="50"/>
        <v>0</v>
      </c>
      <c r="W104" s="78">
        <f t="shared" si="50"/>
        <v>0</v>
      </c>
      <c r="X104" s="78">
        <f t="shared" si="50"/>
        <v>0</v>
      </c>
      <c r="Y104" s="78">
        <f t="shared" si="50"/>
        <v>0</v>
      </c>
    </row>
    <row r="105" spans="1:25" x14ac:dyDescent="0.2">
      <c r="C105" s="1" t="s">
        <v>332</v>
      </c>
      <c r="E105" s="77" t="s">
        <v>85</v>
      </c>
      <c r="F105" s="79">
        <f t="shared" ref="F105:Y105" si="51">F25*F101</f>
        <v>0</v>
      </c>
      <c r="G105" s="79">
        <f t="shared" si="51"/>
        <v>0</v>
      </c>
      <c r="H105" s="79">
        <f t="shared" si="51"/>
        <v>0</v>
      </c>
      <c r="I105" s="79">
        <f t="shared" si="51"/>
        <v>0</v>
      </c>
      <c r="J105" s="79">
        <f t="shared" si="51"/>
        <v>0</v>
      </c>
      <c r="K105" s="79">
        <f t="shared" si="51"/>
        <v>0</v>
      </c>
      <c r="L105" s="79">
        <f t="shared" si="51"/>
        <v>0</v>
      </c>
      <c r="M105" s="79">
        <f t="shared" si="51"/>
        <v>0</v>
      </c>
      <c r="N105" s="79">
        <f t="shared" si="51"/>
        <v>0</v>
      </c>
      <c r="O105" s="79">
        <f t="shared" si="51"/>
        <v>0</v>
      </c>
      <c r="P105" s="79">
        <f t="shared" si="51"/>
        <v>0</v>
      </c>
      <c r="Q105" s="79">
        <f t="shared" si="51"/>
        <v>0</v>
      </c>
      <c r="R105" s="79">
        <f t="shared" si="51"/>
        <v>0</v>
      </c>
      <c r="S105" s="79">
        <f t="shared" si="51"/>
        <v>0</v>
      </c>
      <c r="T105" s="79">
        <f t="shared" si="51"/>
        <v>0</v>
      </c>
      <c r="U105" s="79">
        <f t="shared" si="51"/>
        <v>0</v>
      </c>
      <c r="V105" s="79">
        <f t="shared" si="51"/>
        <v>0</v>
      </c>
      <c r="W105" s="79">
        <f t="shared" si="51"/>
        <v>0</v>
      </c>
      <c r="X105" s="79">
        <f t="shared" si="51"/>
        <v>0</v>
      </c>
      <c r="Y105" s="79">
        <f t="shared" si="51"/>
        <v>0</v>
      </c>
    </row>
    <row r="106" spans="1:25" x14ac:dyDescent="0.2">
      <c r="C106" s="1" t="s">
        <v>333</v>
      </c>
      <c r="E106" s="77" t="s">
        <v>85</v>
      </c>
      <c r="F106" s="79">
        <f t="shared" ref="F106:Y106" si="52">F27*F102</f>
        <v>0</v>
      </c>
      <c r="G106" s="79">
        <f t="shared" si="52"/>
        <v>0</v>
      </c>
      <c r="H106" s="79">
        <f t="shared" si="52"/>
        <v>0</v>
      </c>
      <c r="I106" s="79">
        <f t="shared" si="52"/>
        <v>0</v>
      </c>
      <c r="J106" s="79">
        <f t="shared" si="52"/>
        <v>0</v>
      </c>
      <c r="K106" s="79">
        <f t="shared" si="52"/>
        <v>0</v>
      </c>
      <c r="L106" s="79">
        <f t="shared" si="52"/>
        <v>0</v>
      </c>
      <c r="M106" s="79">
        <f t="shared" si="52"/>
        <v>0</v>
      </c>
      <c r="N106" s="79">
        <f t="shared" si="52"/>
        <v>0</v>
      </c>
      <c r="O106" s="79">
        <f t="shared" si="52"/>
        <v>0</v>
      </c>
      <c r="P106" s="79">
        <f t="shared" si="52"/>
        <v>0</v>
      </c>
      <c r="Q106" s="79">
        <f t="shared" si="52"/>
        <v>0</v>
      </c>
      <c r="R106" s="79">
        <f t="shared" si="52"/>
        <v>0</v>
      </c>
      <c r="S106" s="79">
        <f t="shared" si="52"/>
        <v>0</v>
      </c>
      <c r="T106" s="79">
        <f t="shared" si="52"/>
        <v>0</v>
      </c>
      <c r="U106" s="79">
        <f t="shared" si="52"/>
        <v>0</v>
      </c>
      <c r="V106" s="79">
        <f t="shared" si="52"/>
        <v>0</v>
      </c>
      <c r="W106" s="79">
        <f t="shared" si="52"/>
        <v>0</v>
      </c>
      <c r="X106" s="79">
        <f t="shared" si="52"/>
        <v>0</v>
      </c>
      <c r="Y106" s="79">
        <f t="shared" si="52"/>
        <v>0</v>
      </c>
    </row>
    <row r="107" spans="1:25" x14ac:dyDescent="0.2">
      <c r="C107" s="1" t="s">
        <v>334</v>
      </c>
      <c r="E107" s="77" t="s">
        <v>85</v>
      </c>
      <c r="F107" s="79">
        <f t="shared" ref="F107:Y107" si="53">F29*F103</f>
        <v>0</v>
      </c>
      <c r="G107" s="79">
        <f t="shared" si="53"/>
        <v>0</v>
      </c>
      <c r="H107" s="79">
        <f t="shared" si="53"/>
        <v>0</v>
      </c>
      <c r="I107" s="79">
        <f t="shared" si="53"/>
        <v>0</v>
      </c>
      <c r="J107" s="79">
        <f t="shared" si="53"/>
        <v>0</v>
      </c>
      <c r="K107" s="79">
        <f t="shared" si="53"/>
        <v>0</v>
      </c>
      <c r="L107" s="79">
        <f t="shared" si="53"/>
        <v>0</v>
      </c>
      <c r="M107" s="79">
        <f t="shared" si="53"/>
        <v>0</v>
      </c>
      <c r="N107" s="79">
        <f t="shared" si="53"/>
        <v>0</v>
      </c>
      <c r="O107" s="79">
        <f t="shared" si="53"/>
        <v>0</v>
      </c>
      <c r="P107" s="79">
        <f t="shared" si="53"/>
        <v>0</v>
      </c>
      <c r="Q107" s="79">
        <f t="shared" si="53"/>
        <v>0</v>
      </c>
      <c r="R107" s="79">
        <f t="shared" si="53"/>
        <v>0</v>
      </c>
      <c r="S107" s="79">
        <f t="shared" si="53"/>
        <v>0</v>
      </c>
      <c r="T107" s="79">
        <f t="shared" si="53"/>
        <v>0</v>
      </c>
      <c r="U107" s="79">
        <f t="shared" si="53"/>
        <v>0</v>
      </c>
      <c r="V107" s="79">
        <f t="shared" si="53"/>
        <v>0</v>
      </c>
      <c r="W107" s="79">
        <f t="shared" si="53"/>
        <v>0</v>
      </c>
      <c r="X107" s="79">
        <f t="shared" si="53"/>
        <v>0</v>
      </c>
      <c r="Y107" s="79">
        <f t="shared" si="53"/>
        <v>0</v>
      </c>
    </row>
    <row r="108" spans="1:25" x14ac:dyDescent="0.2">
      <c r="C108" s="1" t="s">
        <v>335</v>
      </c>
      <c r="E108" s="77" t="s">
        <v>85</v>
      </c>
      <c r="F108" s="79">
        <f t="shared" ref="F108:Y108" si="54">F31*F104</f>
        <v>0</v>
      </c>
      <c r="G108" s="79">
        <f t="shared" si="54"/>
        <v>0</v>
      </c>
      <c r="H108" s="79">
        <f t="shared" si="54"/>
        <v>0</v>
      </c>
      <c r="I108" s="79">
        <f t="shared" si="54"/>
        <v>0</v>
      </c>
      <c r="J108" s="79">
        <f t="shared" si="54"/>
        <v>0</v>
      </c>
      <c r="K108" s="79">
        <f t="shared" si="54"/>
        <v>0</v>
      </c>
      <c r="L108" s="79">
        <f t="shared" si="54"/>
        <v>0</v>
      </c>
      <c r="M108" s="79">
        <f t="shared" si="54"/>
        <v>0</v>
      </c>
      <c r="N108" s="79">
        <f t="shared" si="54"/>
        <v>0</v>
      </c>
      <c r="O108" s="79">
        <f t="shared" si="54"/>
        <v>0</v>
      </c>
      <c r="P108" s="79">
        <f t="shared" si="54"/>
        <v>0</v>
      </c>
      <c r="Q108" s="79">
        <f t="shared" si="54"/>
        <v>0</v>
      </c>
      <c r="R108" s="79">
        <f t="shared" si="54"/>
        <v>0</v>
      </c>
      <c r="S108" s="79">
        <f t="shared" si="54"/>
        <v>0</v>
      </c>
      <c r="T108" s="79">
        <f t="shared" si="54"/>
        <v>0</v>
      </c>
      <c r="U108" s="79">
        <f t="shared" si="54"/>
        <v>0</v>
      </c>
      <c r="V108" s="79">
        <f t="shared" si="54"/>
        <v>0</v>
      </c>
      <c r="W108" s="79">
        <f t="shared" si="54"/>
        <v>0</v>
      </c>
      <c r="X108" s="79">
        <f t="shared" si="54"/>
        <v>0</v>
      </c>
      <c r="Y108" s="79">
        <f t="shared" si="54"/>
        <v>0</v>
      </c>
    </row>
    <row r="109" spans="1:25" x14ac:dyDescent="0.2">
      <c r="A109" s="27"/>
      <c r="B109" s="27"/>
      <c r="C109" s="28" t="s">
        <v>502</v>
      </c>
      <c r="D109" s="27"/>
      <c r="E109" s="77" t="s">
        <v>85</v>
      </c>
      <c r="F109" s="113">
        <f t="shared" ref="F109:Y109" si="55">SUM(F105:F108)</f>
        <v>0</v>
      </c>
      <c r="G109" s="113">
        <f t="shared" si="55"/>
        <v>0</v>
      </c>
      <c r="H109" s="113">
        <f t="shared" si="55"/>
        <v>0</v>
      </c>
      <c r="I109" s="113">
        <f t="shared" si="55"/>
        <v>0</v>
      </c>
      <c r="J109" s="113">
        <f t="shared" si="55"/>
        <v>0</v>
      </c>
      <c r="K109" s="113">
        <f t="shared" si="55"/>
        <v>0</v>
      </c>
      <c r="L109" s="113">
        <f t="shared" si="55"/>
        <v>0</v>
      </c>
      <c r="M109" s="113">
        <f t="shared" si="55"/>
        <v>0</v>
      </c>
      <c r="N109" s="113">
        <f t="shared" si="55"/>
        <v>0</v>
      </c>
      <c r="O109" s="113">
        <f t="shared" si="55"/>
        <v>0</v>
      </c>
      <c r="P109" s="113">
        <f t="shared" si="55"/>
        <v>0</v>
      </c>
      <c r="Q109" s="113">
        <f t="shared" si="55"/>
        <v>0</v>
      </c>
      <c r="R109" s="113">
        <f t="shared" si="55"/>
        <v>0</v>
      </c>
      <c r="S109" s="113">
        <f t="shared" si="55"/>
        <v>0</v>
      </c>
      <c r="T109" s="113">
        <f t="shared" si="55"/>
        <v>0</v>
      </c>
      <c r="U109" s="113">
        <f t="shared" si="55"/>
        <v>0</v>
      </c>
      <c r="V109" s="113">
        <f t="shared" si="55"/>
        <v>0</v>
      </c>
      <c r="W109" s="113">
        <f t="shared" si="55"/>
        <v>0</v>
      </c>
      <c r="X109" s="113">
        <f t="shared" si="55"/>
        <v>0</v>
      </c>
      <c r="Y109" s="113">
        <f t="shared" si="55"/>
        <v>0</v>
      </c>
    </row>
    <row r="110" spans="1:25" x14ac:dyDescent="0.2">
      <c r="B110" s="36" t="s">
        <v>326</v>
      </c>
      <c r="C110" s="28"/>
      <c r="D110" s="27"/>
      <c r="E110" s="77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</row>
    <row r="111" spans="1:25" x14ac:dyDescent="0.2">
      <c r="C111" s="1" t="s">
        <v>247</v>
      </c>
      <c r="D111" s="27"/>
      <c r="E111" s="77" t="s">
        <v>91</v>
      </c>
      <c r="F111" s="108">
        <v>0</v>
      </c>
      <c r="G111" s="109">
        <f t="shared" ref="G111:Y111" si="56">F111</f>
        <v>0</v>
      </c>
      <c r="H111" s="109">
        <f t="shared" si="56"/>
        <v>0</v>
      </c>
      <c r="I111" s="109">
        <f t="shared" si="56"/>
        <v>0</v>
      </c>
      <c r="J111" s="109">
        <f t="shared" si="56"/>
        <v>0</v>
      </c>
      <c r="K111" s="109">
        <f t="shared" si="56"/>
        <v>0</v>
      </c>
      <c r="L111" s="109">
        <f t="shared" si="56"/>
        <v>0</v>
      </c>
      <c r="M111" s="109">
        <f t="shared" si="56"/>
        <v>0</v>
      </c>
      <c r="N111" s="109">
        <f t="shared" si="56"/>
        <v>0</v>
      </c>
      <c r="O111" s="109">
        <f t="shared" si="56"/>
        <v>0</v>
      </c>
      <c r="P111" s="109">
        <f t="shared" si="56"/>
        <v>0</v>
      </c>
      <c r="Q111" s="109">
        <f t="shared" si="56"/>
        <v>0</v>
      </c>
      <c r="R111" s="109">
        <f t="shared" si="56"/>
        <v>0</v>
      </c>
      <c r="S111" s="109">
        <f t="shared" si="56"/>
        <v>0</v>
      </c>
      <c r="T111" s="109">
        <f t="shared" si="56"/>
        <v>0</v>
      </c>
      <c r="U111" s="109">
        <f t="shared" si="56"/>
        <v>0</v>
      </c>
      <c r="V111" s="109">
        <f t="shared" si="56"/>
        <v>0</v>
      </c>
      <c r="W111" s="109">
        <f t="shared" si="56"/>
        <v>0</v>
      </c>
      <c r="X111" s="109">
        <f t="shared" si="56"/>
        <v>0</v>
      </c>
      <c r="Y111" s="109">
        <f t="shared" si="56"/>
        <v>0</v>
      </c>
    </row>
    <row r="112" spans="1:25" x14ac:dyDescent="0.2">
      <c r="C112" s="1" t="s">
        <v>336</v>
      </c>
      <c r="D112" s="27"/>
      <c r="E112" s="77" t="s">
        <v>85</v>
      </c>
      <c r="F112" s="135">
        <f t="shared" ref="F112:Y112" si="57">F111*F43</f>
        <v>0</v>
      </c>
      <c r="G112" s="135">
        <f t="shared" si="57"/>
        <v>0</v>
      </c>
      <c r="H112" s="135">
        <f t="shared" si="57"/>
        <v>0</v>
      </c>
      <c r="I112" s="135">
        <f t="shared" si="57"/>
        <v>0</v>
      </c>
      <c r="J112" s="135">
        <f t="shared" si="57"/>
        <v>0</v>
      </c>
      <c r="K112" s="135">
        <f t="shared" si="57"/>
        <v>0</v>
      </c>
      <c r="L112" s="135">
        <f t="shared" si="57"/>
        <v>0</v>
      </c>
      <c r="M112" s="135">
        <f t="shared" si="57"/>
        <v>0</v>
      </c>
      <c r="N112" s="135">
        <f t="shared" si="57"/>
        <v>0</v>
      </c>
      <c r="O112" s="135">
        <f t="shared" si="57"/>
        <v>0</v>
      </c>
      <c r="P112" s="135">
        <f t="shared" si="57"/>
        <v>0</v>
      </c>
      <c r="Q112" s="135">
        <f t="shared" si="57"/>
        <v>0</v>
      </c>
      <c r="R112" s="135">
        <f t="shared" si="57"/>
        <v>0</v>
      </c>
      <c r="S112" s="135">
        <f t="shared" si="57"/>
        <v>0</v>
      </c>
      <c r="T112" s="135">
        <f t="shared" si="57"/>
        <v>0</v>
      </c>
      <c r="U112" s="135">
        <f t="shared" si="57"/>
        <v>0</v>
      </c>
      <c r="V112" s="135">
        <f t="shared" si="57"/>
        <v>0</v>
      </c>
      <c r="W112" s="135">
        <f t="shared" si="57"/>
        <v>0</v>
      </c>
      <c r="X112" s="135">
        <f t="shared" si="57"/>
        <v>0</v>
      </c>
      <c r="Y112" s="135">
        <f t="shared" si="57"/>
        <v>0</v>
      </c>
    </row>
    <row r="113" spans="2:25" x14ac:dyDescent="0.2">
      <c r="B113" s="36" t="s">
        <v>328</v>
      </c>
      <c r="C113" s="28"/>
      <c r="D113" s="27"/>
      <c r="E113" s="77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</row>
    <row r="114" spans="2:25" x14ac:dyDescent="0.2">
      <c r="C114" s="1" t="s">
        <v>248</v>
      </c>
      <c r="D114" s="27"/>
      <c r="E114" s="77" t="s">
        <v>91</v>
      </c>
      <c r="F114" s="108">
        <v>0</v>
      </c>
      <c r="G114" s="109">
        <f t="shared" ref="G114:Y114" si="58">F114</f>
        <v>0</v>
      </c>
      <c r="H114" s="109">
        <f t="shared" si="58"/>
        <v>0</v>
      </c>
      <c r="I114" s="109">
        <f t="shared" si="58"/>
        <v>0</v>
      </c>
      <c r="J114" s="109">
        <f t="shared" si="58"/>
        <v>0</v>
      </c>
      <c r="K114" s="109">
        <f t="shared" si="58"/>
        <v>0</v>
      </c>
      <c r="L114" s="109">
        <f t="shared" si="58"/>
        <v>0</v>
      </c>
      <c r="M114" s="109">
        <f t="shared" si="58"/>
        <v>0</v>
      </c>
      <c r="N114" s="109">
        <f t="shared" si="58"/>
        <v>0</v>
      </c>
      <c r="O114" s="109">
        <f t="shared" si="58"/>
        <v>0</v>
      </c>
      <c r="P114" s="109">
        <f t="shared" si="58"/>
        <v>0</v>
      </c>
      <c r="Q114" s="109">
        <f t="shared" si="58"/>
        <v>0</v>
      </c>
      <c r="R114" s="109">
        <f t="shared" si="58"/>
        <v>0</v>
      </c>
      <c r="S114" s="109">
        <f t="shared" si="58"/>
        <v>0</v>
      </c>
      <c r="T114" s="109">
        <f t="shared" si="58"/>
        <v>0</v>
      </c>
      <c r="U114" s="109">
        <f t="shared" si="58"/>
        <v>0</v>
      </c>
      <c r="V114" s="109">
        <f t="shared" si="58"/>
        <v>0</v>
      </c>
      <c r="W114" s="109">
        <f t="shared" si="58"/>
        <v>0</v>
      </c>
      <c r="X114" s="109">
        <f t="shared" si="58"/>
        <v>0</v>
      </c>
      <c r="Y114" s="109">
        <f t="shared" si="58"/>
        <v>0</v>
      </c>
    </row>
    <row r="115" spans="2:25" x14ac:dyDescent="0.2">
      <c r="C115" s="1" t="s">
        <v>337</v>
      </c>
      <c r="D115" s="27"/>
      <c r="E115" s="77" t="s">
        <v>85</v>
      </c>
      <c r="F115" s="135">
        <f t="shared" ref="F115:Y115" si="59">F114*F52</f>
        <v>0</v>
      </c>
      <c r="G115" s="135">
        <f t="shared" si="59"/>
        <v>0</v>
      </c>
      <c r="H115" s="135">
        <f t="shared" si="59"/>
        <v>0</v>
      </c>
      <c r="I115" s="135">
        <f t="shared" si="59"/>
        <v>0</v>
      </c>
      <c r="J115" s="135">
        <f t="shared" si="59"/>
        <v>0</v>
      </c>
      <c r="K115" s="135">
        <f t="shared" si="59"/>
        <v>0</v>
      </c>
      <c r="L115" s="135">
        <f t="shared" si="59"/>
        <v>0</v>
      </c>
      <c r="M115" s="135">
        <f t="shared" si="59"/>
        <v>0</v>
      </c>
      <c r="N115" s="135">
        <f t="shared" si="59"/>
        <v>0</v>
      </c>
      <c r="O115" s="135">
        <f t="shared" si="59"/>
        <v>0</v>
      </c>
      <c r="P115" s="135">
        <f t="shared" si="59"/>
        <v>0</v>
      </c>
      <c r="Q115" s="135">
        <f t="shared" si="59"/>
        <v>0</v>
      </c>
      <c r="R115" s="135">
        <f t="shared" si="59"/>
        <v>0</v>
      </c>
      <c r="S115" s="135">
        <f t="shared" si="59"/>
        <v>0</v>
      </c>
      <c r="T115" s="135">
        <f t="shared" si="59"/>
        <v>0</v>
      </c>
      <c r="U115" s="135">
        <f t="shared" si="59"/>
        <v>0</v>
      </c>
      <c r="V115" s="135">
        <f t="shared" si="59"/>
        <v>0</v>
      </c>
      <c r="W115" s="135">
        <f t="shared" si="59"/>
        <v>0</v>
      </c>
      <c r="X115" s="135">
        <f t="shared" si="59"/>
        <v>0</v>
      </c>
      <c r="Y115" s="135">
        <f t="shared" si="59"/>
        <v>0</v>
      </c>
    </row>
    <row r="116" spans="2:25" x14ac:dyDescent="0.2">
      <c r="B116" s="36" t="s">
        <v>108</v>
      </c>
      <c r="C116" s="28"/>
      <c r="D116" s="27"/>
      <c r="E116" s="77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</row>
    <row r="117" spans="2:25" x14ac:dyDescent="0.2">
      <c r="C117" s="1" t="s">
        <v>249</v>
      </c>
      <c r="D117" s="27"/>
      <c r="E117" s="77" t="s">
        <v>91</v>
      </c>
      <c r="F117" s="108">
        <v>0</v>
      </c>
      <c r="G117" s="109">
        <f t="shared" ref="G117:Y117" si="60">F117</f>
        <v>0</v>
      </c>
      <c r="H117" s="109">
        <f t="shared" si="60"/>
        <v>0</v>
      </c>
      <c r="I117" s="109">
        <f t="shared" si="60"/>
        <v>0</v>
      </c>
      <c r="J117" s="109">
        <f t="shared" si="60"/>
        <v>0</v>
      </c>
      <c r="K117" s="109">
        <f t="shared" si="60"/>
        <v>0</v>
      </c>
      <c r="L117" s="109">
        <f t="shared" si="60"/>
        <v>0</v>
      </c>
      <c r="M117" s="109">
        <f t="shared" si="60"/>
        <v>0</v>
      </c>
      <c r="N117" s="109">
        <f t="shared" si="60"/>
        <v>0</v>
      </c>
      <c r="O117" s="109">
        <f t="shared" si="60"/>
        <v>0</v>
      </c>
      <c r="P117" s="109">
        <f t="shared" si="60"/>
        <v>0</v>
      </c>
      <c r="Q117" s="109">
        <f t="shared" si="60"/>
        <v>0</v>
      </c>
      <c r="R117" s="109">
        <f t="shared" si="60"/>
        <v>0</v>
      </c>
      <c r="S117" s="109">
        <f t="shared" si="60"/>
        <v>0</v>
      </c>
      <c r="T117" s="109">
        <f t="shared" si="60"/>
        <v>0</v>
      </c>
      <c r="U117" s="109">
        <f t="shared" si="60"/>
        <v>0</v>
      </c>
      <c r="V117" s="109">
        <f t="shared" si="60"/>
        <v>0</v>
      </c>
      <c r="W117" s="109">
        <f t="shared" si="60"/>
        <v>0</v>
      </c>
      <c r="X117" s="109">
        <f t="shared" si="60"/>
        <v>0</v>
      </c>
      <c r="Y117" s="109">
        <f t="shared" si="60"/>
        <v>0</v>
      </c>
    </row>
    <row r="118" spans="2:25" x14ac:dyDescent="0.2">
      <c r="C118" s="1" t="s">
        <v>338</v>
      </c>
      <c r="D118" s="27"/>
      <c r="E118" s="77" t="s">
        <v>85</v>
      </c>
      <c r="F118" s="135">
        <f t="shared" ref="F118:Y118" si="61">F117*F63</f>
        <v>0</v>
      </c>
      <c r="G118" s="135">
        <f t="shared" si="61"/>
        <v>0</v>
      </c>
      <c r="H118" s="135">
        <f t="shared" si="61"/>
        <v>0</v>
      </c>
      <c r="I118" s="135">
        <f t="shared" si="61"/>
        <v>0</v>
      </c>
      <c r="J118" s="135">
        <f t="shared" si="61"/>
        <v>0</v>
      </c>
      <c r="K118" s="135">
        <f t="shared" si="61"/>
        <v>0</v>
      </c>
      <c r="L118" s="135">
        <f t="shared" si="61"/>
        <v>0</v>
      </c>
      <c r="M118" s="135">
        <f t="shared" si="61"/>
        <v>0</v>
      </c>
      <c r="N118" s="135">
        <f t="shared" si="61"/>
        <v>0</v>
      </c>
      <c r="O118" s="135">
        <f t="shared" si="61"/>
        <v>0</v>
      </c>
      <c r="P118" s="135">
        <f t="shared" si="61"/>
        <v>0</v>
      </c>
      <c r="Q118" s="135">
        <f t="shared" si="61"/>
        <v>0</v>
      </c>
      <c r="R118" s="135">
        <f t="shared" si="61"/>
        <v>0</v>
      </c>
      <c r="S118" s="135">
        <f t="shared" si="61"/>
        <v>0</v>
      </c>
      <c r="T118" s="135">
        <f t="shared" si="61"/>
        <v>0</v>
      </c>
      <c r="U118" s="135">
        <f t="shared" si="61"/>
        <v>0</v>
      </c>
      <c r="V118" s="135">
        <f t="shared" si="61"/>
        <v>0</v>
      </c>
      <c r="W118" s="135">
        <f t="shared" si="61"/>
        <v>0</v>
      </c>
      <c r="X118" s="135">
        <f t="shared" si="61"/>
        <v>0</v>
      </c>
      <c r="Y118" s="135">
        <f t="shared" si="61"/>
        <v>0</v>
      </c>
    </row>
    <row r="119" spans="2:25" x14ac:dyDescent="0.2">
      <c r="B119" s="27" t="s">
        <v>196</v>
      </c>
      <c r="E119" s="77" t="s">
        <v>85</v>
      </c>
      <c r="F119" s="113">
        <f>F109+F112+F115+F118</f>
        <v>0</v>
      </c>
      <c r="G119" s="113">
        <f t="shared" ref="G119:Y119" si="62">G109+G112+G115+G118</f>
        <v>0</v>
      </c>
      <c r="H119" s="113">
        <f t="shared" si="62"/>
        <v>0</v>
      </c>
      <c r="I119" s="113">
        <f t="shared" si="62"/>
        <v>0</v>
      </c>
      <c r="J119" s="113">
        <f t="shared" si="62"/>
        <v>0</v>
      </c>
      <c r="K119" s="113">
        <f t="shared" si="62"/>
        <v>0</v>
      </c>
      <c r="L119" s="113">
        <f t="shared" si="62"/>
        <v>0</v>
      </c>
      <c r="M119" s="113">
        <f t="shared" si="62"/>
        <v>0</v>
      </c>
      <c r="N119" s="113">
        <f t="shared" si="62"/>
        <v>0</v>
      </c>
      <c r="O119" s="113">
        <f t="shared" si="62"/>
        <v>0</v>
      </c>
      <c r="P119" s="113">
        <f t="shared" si="62"/>
        <v>0</v>
      </c>
      <c r="Q119" s="113">
        <f t="shared" si="62"/>
        <v>0</v>
      </c>
      <c r="R119" s="113">
        <f t="shared" si="62"/>
        <v>0</v>
      </c>
      <c r="S119" s="113">
        <f t="shared" si="62"/>
        <v>0</v>
      </c>
      <c r="T119" s="113">
        <f t="shared" si="62"/>
        <v>0</v>
      </c>
      <c r="U119" s="113">
        <f t="shared" si="62"/>
        <v>0</v>
      </c>
      <c r="V119" s="113">
        <f t="shared" si="62"/>
        <v>0</v>
      </c>
      <c r="W119" s="113">
        <f t="shared" si="62"/>
        <v>0</v>
      </c>
      <c r="X119" s="113">
        <f t="shared" si="62"/>
        <v>0</v>
      </c>
      <c r="Y119" s="113">
        <f t="shared" si="62"/>
        <v>0</v>
      </c>
    </row>
  </sheetData>
  <phoneticPr fontId="0" type="noConversion"/>
  <pageMargins left="0.75" right="0.75" top="1" bottom="1" header="0.5" footer="0.5"/>
  <pageSetup paperSize="9" scale="49" orientation="landscape" r:id="rId1"/>
  <headerFooter alignWithMargins="0"/>
  <rowBreaks count="1" manualBreakCount="1">
    <brk id="64" max="16383" man="1"/>
  </rowBreaks>
  <colBreaks count="1" manualBreakCount="1">
    <brk id="25" max="1048575" man="1"/>
  </colBreaks>
  <ignoredErrors>
    <ignoredError sqref="F31 F29 F27 G27:K27 L27:Y27 G39:Y39 G41:Y41 G50:Y50 G59:Y59 G61:Y61 G29:K29 L29:Y31 G31:K32 G36:Y36 G38:Y38 G40:Y40 G49:Y49 G58:Y58 G60:Y60" formula="1"/>
    <ignoredError sqref="G87:Q87 R87:Y8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08"/>
  <sheetViews>
    <sheetView topLeftCell="A23" zoomScale="85" zoomScaleNormal="85" workbookViewId="0">
      <selection activeCell="G28" sqref="G28"/>
    </sheetView>
  </sheetViews>
  <sheetFormatPr defaultRowHeight="12.75" x14ac:dyDescent="0.2"/>
  <cols>
    <col min="1" max="1" width="3.7109375" style="1" customWidth="1"/>
    <col min="2" max="2" width="5.42578125" style="1" customWidth="1"/>
    <col min="3" max="3" width="3.7109375" style="1" customWidth="1"/>
    <col min="4" max="4" width="27.85546875" style="1" customWidth="1"/>
    <col min="5" max="5" width="8" style="1" customWidth="1"/>
    <col min="6" max="6" width="9" style="1" customWidth="1"/>
    <col min="7" max="7" width="11.7109375" style="1" bestFit="1" customWidth="1"/>
    <col min="8" max="26" width="11.42578125" style="1" bestFit="1" customWidth="1"/>
    <col min="27" max="27" width="9.7109375" style="97" bestFit="1" customWidth="1"/>
    <col min="28" max="28" width="9.140625" style="102" customWidth="1"/>
    <col min="29" max="29" width="9.140625" style="90" customWidth="1"/>
    <col min="30" max="16384" width="9.140625" style="1"/>
  </cols>
  <sheetData>
    <row r="1" spans="1:29" x14ac:dyDescent="0.2">
      <c r="D1"/>
    </row>
    <row r="2" spans="1:29" s="2" customFormat="1" x14ac:dyDescent="0.2">
      <c r="A2" s="11" t="s">
        <v>269</v>
      </c>
      <c r="B2" s="11"/>
      <c r="C2" s="12"/>
      <c r="D2" s="12"/>
      <c r="E2" s="2" t="s">
        <v>112</v>
      </c>
      <c r="F2" s="2" t="s">
        <v>79</v>
      </c>
      <c r="G2" s="3" t="s">
        <v>58</v>
      </c>
      <c r="H2" s="3" t="s">
        <v>59</v>
      </c>
      <c r="I2" s="3" t="s">
        <v>60</v>
      </c>
      <c r="J2" s="3" t="s">
        <v>61</v>
      </c>
      <c r="K2" s="4" t="s">
        <v>62</v>
      </c>
      <c r="L2" s="4" t="s">
        <v>63</v>
      </c>
      <c r="M2" s="4" t="s">
        <v>64</v>
      </c>
      <c r="N2" s="4" t="s">
        <v>65</v>
      </c>
      <c r="O2" s="5" t="s">
        <v>66</v>
      </c>
      <c r="P2" s="5" t="s">
        <v>67</v>
      </c>
      <c r="Q2" s="5" t="s">
        <v>68</v>
      </c>
      <c r="R2" s="5" t="s">
        <v>69</v>
      </c>
      <c r="S2" s="6" t="s">
        <v>70</v>
      </c>
      <c r="T2" s="6" t="s">
        <v>71</v>
      </c>
      <c r="U2" s="6" t="s">
        <v>72</v>
      </c>
      <c r="V2" s="6" t="s">
        <v>73</v>
      </c>
      <c r="W2" s="7" t="s">
        <v>74</v>
      </c>
      <c r="X2" s="7" t="s">
        <v>75</v>
      </c>
      <c r="Y2" s="7" t="s">
        <v>76</v>
      </c>
      <c r="Z2" s="7" t="s">
        <v>77</v>
      </c>
      <c r="AA2" s="97" t="s">
        <v>78</v>
      </c>
      <c r="AB2" s="98" t="s">
        <v>324</v>
      </c>
      <c r="AC2" s="91"/>
    </row>
    <row r="4" spans="1:29" s="35" customFormat="1" x14ac:dyDescent="0.2">
      <c r="A4" s="40" t="s">
        <v>268</v>
      </c>
      <c r="B4" s="3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99"/>
      <c r="AB4" s="100"/>
      <c r="AC4" s="105"/>
    </row>
    <row r="5" spans="1:29" s="35" customFormat="1" x14ac:dyDescent="0.2">
      <c r="B5" s="26" t="s">
        <v>531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99"/>
      <c r="AB5" s="100"/>
      <c r="AC5" s="105"/>
    </row>
    <row r="6" spans="1:29" s="35" customFormat="1" x14ac:dyDescent="0.2">
      <c r="B6" s="36"/>
      <c r="C6" s="35" t="s">
        <v>270</v>
      </c>
      <c r="E6" s="30">
        <v>1765</v>
      </c>
      <c r="F6" s="77" t="s">
        <v>85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99"/>
      <c r="AB6" s="100"/>
      <c r="AC6" s="105"/>
    </row>
    <row r="7" spans="1:29" s="35" customFormat="1" x14ac:dyDescent="0.2">
      <c r="B7" s="36"/>
      <c r="C7" s="43" t="s">
        <v>103</v>
      </c>
      <c r="E7" s="29">
        <f>E6-E6/(1+Окружение!D13)</f>
        <v>269.23728813559319</v>
      </c>
      <c r="F7" s="77" t="s">
        <v>85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99"/>
      <c r="AB7" s="100"/>
      <c r="AC7" s="105"/>
    </row>
    <row r="8" spans="1:29" s="35" customFormat="1" x14ac:dyDescent="0.2">
      <c r="B8" s="36"/>
      <c r="C8" s="35" t="s">
        <v>374</v>
      </c>
      <c r="F8" s="77"/>
      <c r="G8" s="47">
        <v>1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101">
        <f>SUM(G8:Z8)</f>
        <v>1</v>
      </c>
      <c r="AB8" s="100" t="b">
        <f>AA8=100%</f>
        <v>1</v>
      </c>
      <c r="AC8" s="105"/>
    </row>
    <row r="9" spans="1:29" x14ac:dyDescent="0.2">
      <c r="B9" s="36"/>
      <c r="C9" s="1" t="s">
        <v>115</v>
      </c>
      <c r="D9" s="35"/>
      <c r="E9" s="47">
        <v>0.05</v>
      </c>
      <c r="F9" s="77" t="s">
        <v>91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99"/>
    </row>
    <row r="10" spans="1:29" x14ac:dyDescent="0.2">
      <c r="B10" s="36"/>
      <c r="D10" s="35"/>
      <c r="E10" s="35"/>
      <c r="F10" s="7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99"/>
    </row>
    <row r="11" spans="1:29" x14ac:dyDescent="0.2">
      <c r="B11" s="36"/>
      <c r="C11" s="1" t="s">
        <v>375</v>
      </c>
      <c r="D11" s="35"/>
      <c r="E11" s="35"/>
      <c r="F11" s="77" t="s">
        <v>85</v>
      </c>
      <c r="G11" s="79">
        <f>$E6*G8</f>
        <v>1765</v>
      </c>
      <c r="H11" s="79">
        <f t="shared" ref="H11:Y11" si="0">$E6*H8</f>
        <v>0</v>
      </c>
      <c r="I11" s="79">
        <f t="shared" si="0"/>
        <v>0</v>
      </c>
      <c r="J11" s="79">
        <f t="shared" si="0"/>
        <v>0</v>
      </c>
      <c r="K11" s="79">
        <f t="shared" si="0"/>
        <v>0</v>
      </c>
      <c r="L11" s="79">
        <f t="shared" si="0"/>
        <v>0</v>
      </c>
      <c r="M11" s="79">
        <f t="shared" si="0"/>
        <v>0</v>
      </c>
      <c r="N11" s="79">
        <f t="shared" si="0"/>
        <v>0</v>
      </c>
      <c r="O11" s="79">
        <f t="shared" si="0"/>
        <v>0</v>
      </c>
      <c r="P11" s="79">
        <f t="shared" si="0"/>
        <v>0</v>
      </c>
      <c r="Q11" s="79">
        <f t="shared" si="0"/>
        <v>0</v>
      </c>
      <c r="R11" s="79">
        <f t="shared" si="0"/>
        <v>0</v>
      </c>
      <c r="S11" s="79">
        <f t="shared" si="0"/>
        <v>0</v>
      </c>
      <c r="T11" s="79">
        <f t="shared" si="0"/>
        <v>0</v>
      </c>
      <c r="U11" s="79">
        <f t="shared" si="0"/>
        <v>0</v>
      </c>
      <c r="V11" s="79">
        <f t="shared" si="0"/>
        <v>0</v>
      </c>
      <c r="W11" s="79">
        <f t="shared" si="0"/>
        <v>0</v>
      </c>
      <c r="X11" s="79">
        <f t="shared" si="0"/>
        <v>0</v>
      </c>
      <c r="Y11" s="79">
        <f t="shared" si="0"/>
        <v>0</v>
      </c>
      <c r="Z11" s="79">
        <f>$E6*Z8</f>
        <v>0</v>
      </c>
      <c r="AA11" s="99">
        <f>SUM(G11:Z11)</f>
        <v>1765</v>
      </c>
      <c r="AB11" s="100" t="b">
        <f>AA11=E6</f>
        <v>1</v>
      </c>
    </row>
    <row r="12" spans="1:29" x14ac:dyDescent="0.2">
      <c r="B12" s="36"/>
      <c r="C12" s="43" t="s">
        <v>103</v>
      </c>
      <c r="D12" s="35"/>
      <c r="E12" s="35"/>
      <c r="F12" s="77" t="s">
        <v>85</v>
      </c>
      <c r="G12" s="79">
        <f>$E7*G8</f>
        <v>269.23728813559319</v>
      </c>
      <c r="H12" s="79">
        <f t="shared" ref="H12:Z12" si="1">$E7*H8</f>
        <v>0</v>
      </c>
      <c r="I12" s="79">
        <f>$E7*I8</f>
        <v>0</v>
      </c>
      <c r="J12" s="79">
        <f t="shared" si="1"/>
        <v>0</v>
      </c>
      <c r="K12" s="79">
        <f t="shared" si="1"/>
        <v>0</v>
      </c>
      <c r="L12" s="79">
        <f t="shared" si="1"/>
        <v>0</v>
      </c>
      <c r="M12" s="79">
        <f t="shared" si="1"/>
        <v>0</v>
      </c>
      <c r="N12" s="79">
        <f t="shared" si="1"/>
        <v>0</v>
      </c>
      <c r="O12" s="79">
        <f t="shared" si="1"/>
        <v>0</v>
      </c>
      <c r="P12" s="79">
        <f t="shared" si="1"/>
        <v>0</v>
      </c>
      <c r="Q12" s="79">
        <f t="shared" si="1"/>
        <v>0</v>
      </c>
      <c r="R12" s="79">
        <f t="shared" si="1"/>
        <v>0</v>
      </c>
      <c r="S12" s="79">
        <f t="shared" si="1"/>
        <v>0</v>
      </c>
      <c r="T12" s="79">
        <f t="shared" si="1"/>
        <v>0</v>
      </c>
      <c r="U12" s="79">
        <f t="shared" si="1"/>
        <v>0</v>
      </c>
      <c r="V12" s="79">
        <f t="shared" si="1"/>
        <v>0</v>
      </c>
      <c r="W12" s="79">
        <f t="shared" si="1"/>
        <v>0</v>
      </c>
      <c r="X12" s="79">
        <f t="shared" si="1"/>
        <v>0</v>
      </c>
      <c r="Y12" s="79">
        <f t="shared" si="1"/>
        <v>0</v>
      </c>
      <c r="Z12" s="79">
        <f t="shared" si="1"/>
        <v>0</v>
      </c>
      <c r="AA12" s="103">
        <f>SUM(G12:Z12)</f>
        <v>269.23728813559319</v>
      </c>
      <c r="AB12" s="100" t="b">
        <f>AA12=E7</f>
        <v>1</v>
      </c>
    </row>
    <row r="13" spans="1:29" x14ac:dyDescent="0.2">
      <c r="B13" s="36"/>
      <c r="C13" s="35" t="s">
        <v>376</v>
      </c>
      <c r="D13" s="35"/>
      <c r="E13" s="35"/>
      <c r="F13" s="77" t="s">
        <v>85</v>
      </c>
      <c r="G13" s="79">
        <f>G11-G12</f>
        <v>1495.7627118644068</v>
      </c>
      <c r="H13" s="79">
        <f>G13+(H11-H12)</f>
        <v>1495.7627118644068</v>
      </c>
      <c r="I13" s="79">
        <f>H13+(I11-I12)</f>
        <v>1495.7627118644068</v>
      </c>
      <c r="J13" s="79">
        <f>I13+(J11-J12)</f>
        <v>1495.7627118644068</v>
      </c>
      <c r="K13" s="79">
        <f>J13+(K11-K12)</f>
        <v>1495.7627118644068</v>
      </c>
      <c r="L13" s="79">
        <f>K13+(L11-L12)</f>
        <v>1495.7627118644068</v>
      </c>
      <c r="M13" s="79">
        <f t="shared" ref="M13:Z13" si="2">L13+(M11-M12)</f>
        <v>1495.7627118644068</v>
      </c>
      <c r="N13" s="79">
        <f t="shared" si="2"/>
        <v>1495.7627118644068</v>
      </c>
      <c r="O13" s="79">
        <f t="shared" si="2"/>
        <v>1495.7627118644068</v>
      </c>
      <c r="P13" s="79">
        <f t="shared" si="2"/>
        <v>1495.7627118644068</v>
      </c>
      <c r="Q13" s="79">
        <f t="shared" si="2"/>
        <v>1495.7627118644068</v>
      </c>
      <c r="R13" s="79">
        <f t="shared" si="2"/>
        <v>1495.7627118644068</v>
      </c>
      <c r="S13" s="79">
        <f t="shared" si="2"/>
        <v>1495.7627118644068</v>
      </c>
      <c r="T13" s="79">
        <f t="shared" si="2"/>
        <v>1495.7627118644068</v>
      </c>
      <c r="U13" s="79">
        <f t="shared" si="2"/>
        <v>1495.7627118644068</v>
      </c>
      <c r="V13" s="79">
        <f t="shared" si="2"/>
        <v>1495.7627118644068</v>
      </c>
      <c r="W13" s="79">
        <f t="shared" si="2"/>
        <v>1495.7627118644068</v>
      </c>
      <c r="X13" s="79">
        <f t="shared" si="2"/>
        <v>1495.7627118644068</v>
      </c>
      <c r="Y13" s="79">
        <f t="shared" si="2"/>
        <v>1495.7627118644068</v>
      </c>
      <c r="Z13" s="79">
        <f t="shared" si="2"/>
        <v>1495.7627118644068</v>
      </c>
      <c r="AA13" s="103"/>
      <c r="AB13" s="100"/>
    </row>
    <row r="14" spans="1:29" x14ac:dyDescent="0.2">
      <c r="B14" s="36"/>
      <c r="C14" s="1" t="s">
        <v>186</v>
      </c>
      <c r="D14" s="35"/>
      <c r="E14" s="35"/>
      <c r="F14" s="77" t="s">
        <v>85</v>
      </c>
      <c r="G14" s="79">
        <f>IF(G13&lt;($E$6-$E$7),G13,0)</f>
        <v>0</v>
      </c>
      <c r="H14" s="79">
        <f>IF(H13&lt;($E$6-$E$7),H13,0)</f>
        <v>0</v>
      </c>
      <c r="I14" s="79">
        <f t="shared" ref="I14:Z14" si="3">IF(I13&lt;($E$6-$E$7),I13,0)</f>
        <v>0</v>
      </c>
      <c r="J14" s="79">
        <f t="shared" si="3"/>
        <v>0</v>
      </c>
      <c r="K14" s="79">
        <f t="shared" si="3"/>
        <v>0</v>
      </c>
      <c r="L14" s="79">
        <f t="shared" si="3"/>
        <v>0</v>
      </c>
      <c r="M14" s="79">
        <f t="shared" si="3"/>
        <v>0</v>
      </c>
      <c r="N14" s="79">
        <f t="shared" si="3"/>
        <v>0</v>
      </c>
      <c r="O14" s="79">
        <f t="shared" si="3"/>
        <v>0</v>
      </c>
      <c r="P14" s="79">
        <f t="shared" si="3"/>
        <v>0</v>
      </c>
      <c r="Q14" s="79">
        <f t="shared" si="3"/>
        <v>0</v>
      </c>
      <c r="R14" s="79">
        <f t="shared" si="3"/>
        <v>0</v>
      </c>
      <c r="S14" s="79">
        <f t="shared" si="3"/>
        <v>0</v>
      </c>
      <c r="T14" s="79">
        <f t="shared" si="3"/>
        <v>0</v>
      </c>
      <c r="U14" s="79">
        <f t="shared" si="3"/>
        <v>0</v>
      </c>
      <c r="V14" s="79">
        <f t="shared" si="3"/>
        <v>0</v>
      </c>
      <c r="W14" s="79">
        <f t="shared" si="3"/>
        <v>0</v>
      </c>
      <c r="X14" s="79">
        <f t="shared" si="3"/>
        <v>0</v>
      </c>
      <c r="Y14" s="79">
        <f t="shared" si="3"/>
        <v>0</v>
      </c>
      <c r="Z14" s="79">
        <f t="shared" si="3"/>
        <v>0</v>
      </c>
      <c r="AA14" s="103"/>
      <c r="AB14" s="100"/>
    </row>
    <row r="15" spans="1:29" x14ac:dyDescent="0.2">
      <c r="B15" s="36"/>
      <c r="C15" s="1" t="s">
        <v>197</v>
      </c>
      <c r="D15" s="35"/>
      <c r="E15" s="35"/>
      <c r="F15" s="77" t="s">
        <v>85</v>
      </c>
      <c r="G15" s="79">
        <f>IF(G13=($E$6-$E$7),($E$6-$E$7),0)</f>
        <v>1495.7627118644068</v>
      </c>
      <c r="H15" s="79">
        <f t="shared" ref="H15:Z15" si="4">IF(H13=($E$6-$E$7),($E$6-$E$7),0)</f>
        <v>1495.7627118644068</v>
      </c>
      <c r="I15" s="79">
        <f>IF(I13=($E$6-$E$7),($E$6-$E$7),0)</f>
        <v>1495.7627118644068</v>
      </c>
      <c r="J15" s="79">
        <f t="shared" si="4"/>
        <v>1495.7627118644068</v>
      </c>
      <c r="K15" s="79">
        <f t="shared" si="4"/>
        <v>1495.7627118644068</v>
      </c>
      <c r="L15" s="79">
        <f t="shared" si="4"/>
        <v>1495.7627118644068</v>
      </c>
      <c r="M15" s="79">
        <f t="shared" si="4"/>
        <v>1495.7627118644068</v>
      </c>
      <c r="N15" s="79">
        <f t="shared" si="4"/>
        <v>1495.7627118644068</v>
      </c>
      <c r="O15" s="79">
        <f t="shared" si="4"/>
        <v>1495.7627118644068</v>
      </c>
      <c r="P15" s="79">
        <f t="shared" si="4"/>
        <v>1495.7627118644068</v>
      </c>
      <c r="Q15" s="79">
        <f t="shared" si="4"/>
        <v>1495.7627118644068</v>
      </c>
      <c r="R15" s="79">
        <f t="shared" si="4"/>
        <v>1495.7627118644068</v>
      </c>
      <c r="S15" s="79">
        <f t="shared" si="4"/>
        <v>1495.7627118644068</v>
      </c>
      <c r="T15" s="79">
        <f t="shared" si="4"/>
        <v>1495.7627118644068</v>
      </c>
      <c r="U15" s="79">
        <f t="shared" si="4"/>
        <v>1495.7627118644068</v>
      </c>
      <c r="V15" s="79">
        <f t="shared" si="4"/>
        <v>1495.7627118644068</v>
      </c>
      <c r="W15" s="79">
        <f t="shared" si="4"/>
        <v>1495.7627118644068</v>
      </c>
      <c r="X15" s="79">
        <f t="shared" si="4"/>
        <v>1495.7627118644068</v>
      </c>
      <c r="Y15" s="79">
        <f>IF(Y13=($E$6-$E$7),($E$6-$E$7),0)</f>
        <v>1495.7627118644068</v>
      </c>
      <c r="Z15" s="79">
        <f t="shared" si="4"/>
        <v>1495.7627118644068</v>
      </c>
      <c r="AA15" s="103"/>
    </row>
    <row r="16" spans="1:29" hidden="1" x14ac:dyDescent="0.2">
      <c r="B16" s="36"/>
      <c r="C16" s="90" t="s">
        <v>322</v>
      </c>
      <c r="D16" s="35"/>
      <c r="E16" s="35"/>
      <c r="F16" s="77" t="s">
        <v>85</v>
      </c>
      <c r="G16" s="92">
        <f>G15*$E$9/4</f>
        <v>18.697033898305087</v>
      </c>
      <c r="H16" s="92">
        <f t="shared" ref="H16:Z16" si="5">H15*$E$9/4</f>
        <v>18.697033898305087</v>
      </c>
      <c r="I16" s="92">
        <f t="shared" si="5"/>
        <v>18.697033898305087</v>
      </c>
      <c r="J16" s="92">
        <f t="shared" si="5"/>
        <v>18.697033898305087</v>
      </c>
      <c r="K16" s="92">
        <f t="shared" si="5"/>
        <v>18.697033898305087</v>
      </c>
      <c r="L16" s="92">
        <f t="shared" si="5"/>
        <v>18.697033898305087</v>
      </c>
      <c r="M16" s="92">
        <f t="shared" si="5"/>
        <v>18.697033898305087</v>
      </c>
      <c r="N16" s="92">
        <f t="shared" si="5"/>
        <v>18.697033898305087</v>
      </c>
      <c r="O16" s="92">
        <f t="shared" si="5"/>
        <v>18.697033898305087</v>
      </c>
      <c r="P16" s="92">
        <f t="shared" si="5"/>
        <v>18.697033898305087</v>
      </c>
      <c r="Q16" s="92">
        <f t="shared" si="5"/>
        <v>18.697033898305087</v>
      </c>
      <c r="R16" s="92">
        <f t="shared" si="5"/>
        <v>18.697033898305087</v>
      </c>
      <c r="S16" s="92">
        <f t="shared" si="5"/>
        <v>18.697033898305087</v>
      </c>
      <c r="T16" s="92">
        <f t="shared" si="5"/>
        <v>18.697033898305087</v>
      </c>
      <c r="U16" s="92">
        <f t="shared" si="5"/>
        <v>18.697033898305087</v>
      </c>
      <c r="V16" s="92">
        <f t="shared" si="5"/>
        <v>18.697033898305087</v>
      </c>
      <c r="W16" s="92">
        <f t="shared" si="5"/>
        <v>18.697033898305087</v>
      </c>
      <c r="X16" s="92">
        <f t="shared" si="5"/>
        <v>18.697033898305087</v>
      </c>
      <c r="Y16" s="92">
        <f t="shared" si="5"/>
        <v>18.697033898305087</v>
      </c>
      <c r="Z16" s="92">
        <f t="shared" si="5"/>
        <v>18.697033898305087</v>
      </c>
      <c r="AA16" s="103"/>
    </row>
    <row r="17" spans="1:29" s="63" customFormat="1" x14ac:dyDescent="0.2">
      <c r="B17" s="36"/>
      <c r="C17" s="1" t="s">
        <v>117</v>
      </c>
      <c r="D17" s="35"/>
      <c r="E17" s="35"/>
      <c r="F17" s="77" t="s">
        <v>85</v>
      </c>
      <c r="G17" s="79">
        <f>IF(AND(G15&gt;0,SUM(G16)&lt;=($E$6-$E$7)),G15*$E$9/4,0)</f>
        <v>18.697033898305087</v>
      </c>
      <c r="H17" s="79">
        <f>IF(AND(H15&gt;0,SUM($G16:H16)&lt;=($E$6-$E$7)),H15*$E$9/4,0)</f>
        <v>18.697033898305087</v>
      </c>
      <c r="I17" s="79">
        <f>IF(AND(I15&gt;0,SUM($G16:I16)&lt;=($E$6-$E$7)),I15*$E$9/4,0)</f>
        <v>18.697033898305087</v>
      </c>
      <c r="J17" s="79">
        <f>IF(AND(J15&gt;0,SUM($G16:J16)&lt;=($E$6-$E$7)),J15*$E$9/4,0)</f>
        <v>18.697033898305087</v>
      </c>
      <c r="K17" s="79">
        <f>IF(AND(K15&gt;0,SUM($G16:K16)&lt;=($E$6-$E$7)),K15*$E$9/4,0)</f>
        <v>18.697033898305087</v>
      </c>
      <c r="L17" s="79">
        <f>IF(AND(L15&gt;0,SUM($G16:L16)&lt;=($E$6-$E$7)),L15*$E$9/4,0)</f>
        <v>18.697033898305087</v>
      </c>
      <c r="M17" s="79">
        <f>IF(AND(M15&gt;0,SUM($G16:M16)&lt;=($E$6-$E$7)),M15*$E$9/4,0)</f>
        <v>18.697033898305087</v>
      </c>
      <c r="N17" s="79">
        <f>IF(AND(N15&gt;0,SUM($G16:N16)&lt;=($E$6-$E$7)),N15*$E$9/4,0)</f>
        <v>18.697033898305087</v>
      </c>
      <c r="O17" s="79">
        <f>IF(AND(O15&gt;0,SUM($G16:O16)&lt;=($E$6-$E$7)),O15*$E$9/4,0)</f>
        <v>18.697033898305087</v>
      </c>
      <c r="P17" s="79">
        <f>IF(AND(P15&gt;0,SUM($G16:P16)&lt;=($E$6-$E$7)),P15*$E$9/4,0)</f>
        <v>18.697033898305087</v>
      </c>
      <c r="Q17" s="79">
        <f>IF(AND(Q15&gt;0,SUM($G16:Q16)&lt;=($E$6-$E$7)),Q15*$E$9/4,0)</f>
        <v>18.697033898305087</v>
      </c>
      <c r="R17" s="79">
        <f>IF(AND(R15&gt;0,SUM($G16:R16)&lt;=($E$6-$E$7)),R15*$E$9/4,0)</f>
        <v>18.697033898305087</v>
      </c>
      <c r="S17" s="79">
        <f>IF(AND(S15&gt;0,SUM($G16:S16)&lt;=($E$6-$E$7)),S15*$E$9/4,0)</f>
        <v>18.697033898305087</v>
      </c>
      <c r="T17" s="79">
        <f>IF(AND(T15&gt;0,SUM($G16:T16)&lt;=($E$6-$E$7)),T15*$E$9/4,0)</f>
        <v>18.697033898305087</v>
      </c>
      <c r="U17" s="79">
        <f>IF(AND(U15&gt;0,SUM($G16:U16)&lt;=($E$6-$E$7)),U15*$E$9/4,0)</f>
        <v>18.697033898305087</v>
      </c>
      <c r="V17" s="79">
        <f>IF(AND(V15&gt;0,SUM($G16:V16)&lt;=($E$6-$E$7)),V15*$E$9/4,0)</f>
        <v>18.697033898305087</v>
      </c>
      <c r="W17" s="79">
        <f>IF(AND(W15&gt;0,SUM($G16:W16)&lt;=($E$6-$E$7)),W15*$E$9/4,0)</f>
        <v>18.697033898305087</v>
      </c>
      <c r="X17" s="79">
        <f>IF(AND(X15&gt;0,SUM($G16:X16)&lt;=($E$6-$E$7)),X15*$E$9/4,0)</f>
        <v>18.697033898305087</v>
      </c>
      <c r="Y17" s="79">
        <f>IF(AND(Y15&gt;0,SUM($G16:Y16)&lt;=($E$6-$E$7)),Y15*$E$9/4,0)</f>
        <v>18.697033898305087</v>
      </c>
      <c r="Z17" s="79">
        <f>IF(AND(Z15&gt;0,SUM($G16:Z16)&lt;=($E$6-$E$7)),Z15*$E$9/4,0)</f>
        <v>18.697033898305087</v>
      </c>
      <c r="AA17" s="103">
        <f>SUM(G17:Z17)</f>
        <v>373.94067796610182</v>
      </c>
      <c r="AB17" s="102"/>
      <c r="AC17" s="90"/>
    </row>
    <row r="18" spans="1:29" s="63" customFormat="1" x14ac:dyDescent="0.2">
      <c r="B18" s="36"/>
      <c r="C18" s="1" t="s">
        <v>119</v>
      </c>
      <c r="D18" s="35"/>
      <c r="E18" s="35"/>
      <c r="F18" s="77" t="s">
        <v>85</v>
      </c>
      <c r="G18" s="79">
        <f>G17</f>
        <v>18.697033898305087</v>
      </c>
      <c r="H18" s="79">
        <f>G18+H17</f>
        <v>37.394067796610173</v>
      </c>
      <c r="I18" s="79">
        <f t="shared" ref="I18:Y18" si="6">H18+I17</f>
        <v>56.09110169491526</v>
      </c>
      <c r="J18" s="79">
        <f t="shared" si="6"/>
        <v>74.788135593220346</v>
      </c>
      <c r="K18" s="79">
        <f t="shared" si="6"/>
        <v>93.485169491525426</v>
      </c>
      <c r="L18" s="79">
        <f t="shared" si="6"/>
        <v>112.18220338983051</v>
      </c>
      <c r="M18" s="79">
        <f t="shared" si="6"/>
        <v>130.87923728813558</v>
      </c>
      <c r="N18" s="79">
        <f t="shared" si="6"/>
        <v>149.57627118644066</v>
      </c>
      <c r="O18" s="79">
        <f t="shared" si="6"/>
        <v>168.27330508474574</v>
      </c>
      <c r="P18" s="79">
        <f t="shared" si="6"/>
        <v>186.97033898305082</v>
      </c>
      <c r="Q18" s="79">
        <f t="shared" si="6"/>
        <v>205.6673728813559</v>
      </c>
      <c r="R18" s="79">
        <f t="shared" si="6"/>
        <v>224.36440677966098</v>
      </c>
      <c r="S18" s="79">
        <f t="shared" si="6"/>
        <v>243.06144067796606</v>
      </c>
      <c r="T18" s="79">
        <f t="shared" si="6"/>
        <v>261.75847457627117</v>
      </c>
      <c r="U18" s="79">
        <f t="shared" si="6"/>
        <v>280.45550847457628</v>
      </c>
      <c r="V18" s="79">
        <f t="shared" si="6"/>
        <v>299.15254237288138</v>
      </c>
      <c r="W18" s="79">
        <f t="shared" si="6"/>
        <v>317.84957627118649</v>
      </c>
      <c r="X18" s="79">
        <f t="shared" si="6"/>
        <v>336.5466101694916</v>
      </c>
      <c r="Y18" s="79">
        <f t="shared" si="6"/>
        <v>355.24364406779671</v>
      </c>
      <c r="Z18" s="79">
        <f>Y18+Z17</f>
        <v>373.94067796610182</v>
      </c>
      <c r="AA18" s="99"/>
      <c r="AB18" s="102"/>
      <c r="AC18" s="90"/>
    </row>
    <row r="19" spans="1:29" s="63" customFormat="1" x14ac:dyDescent="0.2">
      <c r="B19" s="36"/>
      <c r="C19" s="63" t="s">
        <v>198</v>
      </c>
      <c r="D19" s="35"/>
      <c r="E19" s="35"/>
      <c r="F19" s="77" t="s">
        <v>85</v>
      </c>
      <c r="G19" s="93">
        <v>0</v>
      </c>
      <c r="H19" s="93">
        <f t="shared" ref="H19:Z19" si="7">H15-H18</f>
        <v>1458.3686440677966</v>
      </c>
      <c r="I19" s="93">
        <f t="shared" si="7"/>
        <v>1439.6716101694915</v>
      </c>
      <c r="J19" s="93">
        <f t="shared" si="7"/>
        <v>1420.9745762711864</v>
      </c>
      <c r="K19" s="93">
        <f t="shared" si="7"/>
        <v>1402.2775423728813</v>
      </c>
      <c r="L19" s="93">
        <f t="shared" si="7"/>
        <v>1383.5805084745764</v>
      </c>
      <c r="M19" s="93">
        <f t="shared" si="7"/>
        <v>1364.8834745762713</v>
      </c>
      <c r="N19" s="93">
        <f t="shared" si="7"/>
        <v>1346.1864406779662</v>
      </c>
      <c r="O19" s="93">
        <f t="shared" si="7"/>
        <v>1327.4894067796611</v>
      </c>
      <c r="P19" s="93">
        <f t="shared" si="7"/>
        <v>1308.792372881356</v>
      </c>
      <c r="Q19" s="93">
        <f t="shared" si="7"/>
        <v>1290.0953389830509</v>
      </c>
      <c r="R19" s="93">
        <f t="shared" si="7"/>
        <v>1271.3983050847457</v>
      </c>
      <c r="S19" s="93">
        <f t="shared" si="7"/>
        <v>1252.7012711864409</v>
      </c>
      <c r="T19" s="93">
        <f t="shared" si="7"/>
        <v>1234.0042372881358</v>
      </c>
      <c r="U19" s="93">
        <f t="shared" si="7"/>
        <v>1215.3072033898306</v>
      </c>
      <c r="V19" s="93">
        <f t="shared" si="7"/>
        <v>1196.6101694915255</v>
      </c>
      <c r="W19" s="93">
        <f t="shared" si="7"/>
        <v>1177.9131355932204</v>
      </c>
      <c r="X19" s="93">
        <f t="shared" si="7"/>
        <v>1159.2161016949153</v>
      </c>
      <c r="Y19" s="93">
        <f t="shared" si="7"/>
        <v>1140.5190677966102</v>
      </c>
      <c r="Z19" s="93">
        <f t="shared" si="7"/>
        <v>1121.8220338983051</v>
      </c>
      <c r="AA19" s="99"/>
      <c r="AB19" s="102"/>
      <c r="AC19" s="90"/>
    </row>
    <row r="20" spans="1:29" x14ac:dyDescent="0.2">
      <c r="B20" s="36"/>
      <c r="D20" s="35"/>
      <c r="E20" s="35"/>
      <c r="F20" s="7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99"/>
    </row>
    <row r="21" spans="1:29" x14ac:dyDescent="0.2">
      <c r="B21" s="27" t="s">
        <v>78</v>
      </c>
      <c r="C21" s="35"/>
      <c r="D21" s="35"/>
      <c r="E21" s="35"/>
      <c r="F21" s="77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9" x14ac:dyDescent="0.2">
      <c r="C22" s="27" t="s">
        <v>375</v>
      </c>
      <c r="F22" s="77" t="s">
        <v>85</v>
      </c>
      <c r="G22" s="15">
        <f>G11</f>
        <v>1765</v>
      </c>
      <c r="H22" s="15">
        <f t="shared" ref="H22:Z22" si="8">H11</f>
        <v>0</v>
      </c>
      <c r="I22" s="15">
        <f t="shared" si="8"/>
        <v>0</v>
      </c>
      <c r="J22" s="15">
        <f t="shared" si="8"/>
        <v>0</v>
      </c>
      <c r="K22" s="15">
        <f t="shared" si="8"/>
        <v>0</v>
      </c>
      <c r="L22" s="15">
        <f t="shared" si="8"/>
        <v>0</v>
      </c>
      <c r="M22" s="15">
        <f t="shared" si="8"/>
        <v>0</v>
      </c>
      <c r="N22" s="15">
        <f t="shared" si="8"/>
        <v>0</v>
      </c>
      <c r="O22" s="15">
        <f t="shared" si="8"/>
        <v>0</v>
      </c>
      <c r="P22" s="15">
        <f t="shared" si="8"/>
        <v>0</v>
      </c>
      <c r="Q22" s="15">
        <f t="shared" si="8"/>
        <v>0</v>
      </c>
      <c r="R22" s="15">
        <f t="shared" si="8"/>
        <v>0</v>
      </c>
      <c r="S22" s="15">
        <f t="shared" si="8"/>
        <v>0</v>
      </c>
      <c r="T22" s="15">
        <f t="shared" si="8"/>
        <v>0</v>
      </c>
      <c r="U22" s="15">
        <f t="shared" si="8"/>
        <v>0</v>
      </c>
      <c r="V22" s="15">
        <f t="shared" si="8"/>
        <v>0</v>
      </c>
      <c r="W22" s="15">
        <f t="shared" si="8"/>
        <v>0</v>
      </c>
      <c r="X22" s="15">
        <f t="shared" si="8"/>
        <v>0</v>
      </c>
      <c r="Y22" s="15">
        <f t="shared" si="8"/>
        <v>0</v>
      </c>
      <c r="Z22" s="15">
        <f t="shared" si="8"/>
        <v>0</v>
      </c>
    </row>
    <row r="23" spans="1:29" x14ac:dyDescent="0.2">
      <c r="C23" s="1" t="s">
        <v>103</v>
      </c>
      <c r="F23" s="77" t="s">
        <v>85</v>
      </c>
      <c r="G23" s="15">
        <f>G12</f>
        <v>269.23728813559319</v>
      </c>
      <c r="H23" s="15">
        <f t="shared" ref="H23:Z23" si="9">H12</f>
        <v>0</v>
      </c>
      <c r="I23" s="15">
        <f t="shared" si="9"/>
        <v>0</v>
      </c>
      <c r="J23" s="15">
        <f t="shared" si="9"/>
        <v>0</v>
      </c>
      <c r="K23" s="15">
        <f t="shared" si="9"/>
        <v>0</v>
      </c>
      <c r="L23" s="15">
        <f t="shared" si="9"/>
        <v>0</v>
      </c>
      <c r="M23" s="15">
        <f t="shared" si="9"/>
        <v>0</v>
      </c>
      <c r="N23" s="15">
        <f t="shared" si="9"/>
        <v>0</v>
      </c>
      <c r="O23" s="15">
        <f t="shared" si="9"/>
        <v>0</v>
      </c>
      <c r="P23" s="15">
        <f t="shared" si="9"/>
        <v>0</v>
      </c>
      <c r="Q23" s="15">
        <f t="shared" si="9"/>
        <v>0</v>
      </c>
      <c r="R23" s="15">
        <f t="shared" si="9"/>
        <v>0</v>
      </c>
      <c r="S23" s="15">
        <f t="shared" si="9"/>
        <v>0</v>
      </c>
      <c r="T23" s="15">
        <f t="shared" si="9"/>
        <v>0</v>
      </c>
      <c r="U23" s="15">
        <f t="shared" si="9"/>
        <v>0</v>
      </c>
      <c r="V23" s="15">
        <f t="shared" si="9"/>
        <v>0</v>
      </c>
      <c r="W23" s="15">
        <f t="shared" si="9"/>
        <v>0</v>
      </c>
      <c r="X23" s="15">
        <f t="shared" si="9"/>
        <v>0</v>
      </c>
      <c r="Y23" s="15">
        <f t="shared" si="9"/>
        <v>0</v>
      </c>
      <c r="Z23" s="15">
        <f t="shared" si="9"/>
        <v>0</v>
      </c>
    </row>
    <row r="24" spans="1:29" x14ac:dyDescent="0.2">
      <c r="C24" s="1" t="s">
        <v>186</v>
      </c>
      <c r="F24" s="77" t="s">
        <v>85</v>
      </c>
      <c r="G24" s="15">
        <f>G14</f>
        <v>0</v>
      </c>
      <c r="H24" s="15">
        <f t="shared" ref="H24:Z24" si="10">H14</f>
        <v>0</v>
      </c>
      <c r="I24" s="15">
        <f t="shared" si="10"/>
        <v>0</v>
      </c>
      <c r="J24" s="15">
        <f t="shared" si="10"/>
        <v>0</v>
      </c>
      <c r="K24" s="15">
        <f t="shared" si="10"/>
        <v>0</v>
      </c>
      <c r="L24" s="15">
        <f t="shared" si="10"/>
        <v>0</v>
      </c>
      <c r="M24" s="15">
        <f t="shared" si="10"/>
        <v>0</v>
      </c>
      <c r="N24" s="15">
        <f t="shared" si="10"/>
        <v>0</v>
      </c>
      <c r="O24" s="15">
        <f t="shared" si="10"/>
        <v>0</v>
      </c>
      <c r="P24" s="15">
        <f t="shared" si="10"/>
        <v>0</v>
      </c>
      <c r="Q24" s="15">
        <f t="shared" si="10"/>
        <v>0</v>
      </c>
      <c r="R24" s="15">
        <f t="shared" si="10"/>
        <v>0</v>
      </c>
      <c r="S24" s="15">
        <f t="shared" si="10"/>
        <v>0</v>
      </c>
      <c r="T24" s="15">
        <f t="shared" si="10"/>
        <v>0</v>
      </c>
      <c r="U24" s="15">
        <f t="shared" si="10"/>
        <v>0</v>
      </c>
      <c r="V24" s="15">
        <f t="shared" si="10"/>
        <v>0</v>
      </c>
      <c r="W24" s="15">
        <f t="shared" si="10"/>
        <v>0</v>
      </c>
      <c r="X24" s="15">
        <f t="shared" si="10"/>
        <v>0</v>
      </c>
      <c r="Y24" s="15">
        <f t="shared" si="10"/>
        <v>0</v>
      </c>
      <c r="Z24" s="15">
        <f t="shared" si="10"/>
        <v>0</v>
      </c>
    </row>
    <row r="25" spans="1:29" x14ac:dyDescent="0.2">
      <c r="C25" s="27" t="s">
        <v>197</v>
      </c>
      <c r="F25" s="77" t="s">
        <v>85</v>
      </c>
      <c r="G25" s="15">
        <f>G15</f>
        <v>1495.7627118644068</v>
      </c>
      <c r="H25" s="15">
        <f t="shared" ref="H25:Z25" si="11">H15</f>
        <v>1495.7627118644068</v>
      </c>
      <c r="I25" s="15">
        <f t="shared" si="11"/>
        <v>1495.7627118644068</v>
      </c>
      <c r="J25" s="15">
        <f t="shared" si="11"/>
        <v>1495.7627118644068</v>
      </c>
      <c r="K25" s="15">
        <f t="shared" si="11"/>
        <v>1495.7627118644068</v>
      </c>
      <c r="L25" s="15">
        <f t="shared" si="11"/>
        <v>1495.7627118644068</v>
      </c>
      <c r="M25" s="15">
        <f t="shared" si="11"/>
        <v>1495.7627118644068</v>
      </c>
      <c r="N25" s="15">
        <f t="shared" si="11"/>
        <v>1495.7627118644068</v>
      </c>
      <c r="O25" s="15">
        <f t="shared" si="11"/>
        <v>1495.7627118644068</v>
      </c>
      <c r="P25" s="15">
        <f t="shared" si="11"/>
        <v>1495.7627118644068</v>
      </c>
      <c r="Q25" s="15">
        <f t="shared" si="11"/>
        <v>1495.7627118644068</v>
      </c>
      <c r="R25" s="15">
        <f t="shared" si="11"/>
        <v>1495.7627118644068</v>
      </c>
      <c r="S25" s="15">
        <f t="shared" si="11"/>
        <v>1495.7627118644068</v>
      </c>
      <c r="T25" s="15">
        <f t="shared" si="11"/>
        <v>1495.7627118644068</v>
      </c>
      <c r="U25" s="15">
        <f t="shared" si="11"/>
        <v>1495.7627118644068</v>
      </c>
      <c r="V25" s="15">
        <f t="shared" si="11"/>
        <v>1495.7627118644068</v>
      </c>
      <c r="W25" s="15">
        <f t="shared" si="11"/>
        <v>1495.7627118644068</v>
      </c>
      <c r="X25" s="15">
        <f t="shared" si="11"/>
        <v>1495.7627118644068</v>
      </c>
      <c r="Y25" s="15">
        <f t="shared" si="11"/>
        <v>1495.7627118644068</v>
      </c>
      <c r="Z25" s="15">
        <f t="shared" si="11"/>
        <v>1495.7627118644068</v>
      </c>
    </row>
    <row r="26" spans="1:29" x14ac:dyDescent="0.2">
      <c r="C26" s="27" t="s">
        <v>117</v>
      </c>
      <c r="F26" s="77" t="s">
        <v>85</v>
      </c>
      <c r="G26" s="15">
        <f>G17</f>
        <v>18.697033898305087</v>
      </c>
      <c r="H26" s="15">
        <f t="shared" ref="H26:Z26" si="12">H17</f>
        <v>18.697033898305087</v>
      </c>
      <c r="I26" s="15">
        <f t="shared" si="12"/>
        <v>18.697033898305087</v>
      </c>
      <c r="J26" s="15">
        <f t="shared" si="12"/>
        <v>18.697033898305087</v>
      </c>
      <c r="K26" s="15">
        <f t="shared" si="12"/>
        <v>18.697033898305087</v>
      </c>
      <c r="L26" s="15">
        <f t="shared" si="12"/>
        <v>18.697033898305087</v>
      </c>
      <c r="M26" s="15">
        <f t="shared" si="12"/>
        <v>18.697033898305087</v>
      </c>
      <c r="N26" s="15">
        <f t="shared" si="12"/>
        <v>18.697033898305087</v>
      </c>
      <c r="O26" s="15">
        <f t="shared" si="12"/>
        <v>18.697033898305087</v>
      </c>
      <c r="P26" s="15">
        <f t="shared" si="12"/>
        <v>18.697033898305087</v>
      </c>
      <c r="Q26" s="15">
        <f t="shared" si="12"/>
        <v>18.697033898305087</v>
      </c>
      <c r="R26" s="15">
        <f t="shared" si="12"/>
        <v>18.697033898305087</v>
      </c>
      <c r="S26" s="15">
        <f t="shared" si="12"/>
        <v>18.697033898305087</v>
      </c>
      <c r="T26" s="15">
        <f t="shared" si="12"/>
        <v>18.697033898305087</v>
      </c>
      <c r="U26" s="15">
        <f t="shared" si="12"/>
        <v>18.697033898305087</v>
      </c>
      <c r="V26" s="15">
        <f t="shared" si="12"/>
        <v>18.697033898305087</v>
      </c>
      <c r="W26" s="15">
        <f t="shared" si="12"/>
        <v>18.697033898305087</v>
      </c>
      <c r="X26" s="15">
        <f t="shared" si="12"/>
        <v>18.697033898305087</v>
      </c>
      <c r="Y26" s="15">
        <f t="shared" si="12"/>
        <v>18.697033898305087</v>
      </c>
      <c r="Z26" s="15">
        <f t="shared" si="12"/>
        <v>18.697033898305087</v>
      </c>
    </row>
    <row r="27" spans="1:29" x14ac:dyDescent="0.2">
      <c r="C27" s="27" t="s">
        <v>119</v>
      </c>
      <c r="F27" s="77" t="s">
        <v>85</v>
      </c>
      <c r="G27" s="15">
        <f>G18</f>
        <v>18.697033898305087</v>
      </c>
      <c r="H27" s="15">
        <f t="shared" ref="H27:Z27" si="13">H18</f>
        <v>37.394067796610173</v>
      </c>
      <c r="I27" s="15">
        <f t="shared" si="13"/>
        <v>56.09110169491526</v>
      </c>
      <c r="J27" s="15">
        <f t="shared" si="13"/>
        <v>74.788135593220346</v>
      </c>
      <c r="K27" s="15">
        <f t="shared" si="13"/>
        <v>93.485169491525426</v>
      </c>
      <c r="L27" s="15">
        <f t="shared" si="13"/>
        <v>112.18220338983051</v>
      </c>
      <c r="M27" s="15">
        <f t="shared" si="13"/>
        <v>130.87923728813558</v>
      </c>
      <c r="N27" s="15">
        <f t="shared" si="13"/>
        <v>149.57627118644066</v>
      </c>
      <c r="O27" s="15">
        <f t="shared" si="13"/>
        <v>168.27330508474574</v>
      </c>
      <c r="P27" s="15">
        <f t="shared" si="13"/>
        <v>186.97033898305082</v>
      </c>
      <c r="Q27" s="15">
        <f t="shared" si="13"/>
        <v>205.6673728813559</v>
      </c>
      <c r="R27" s="15">
        <f t="shared" si="13"/>
        <v>224.36440677966098</v>
      </c>
      <c r="S27" s="15">
        <f t="shared" si="13"/>
        <v>243.06144067796606</v>
      </c>
      <c r="T27" s="15">
        <f t="shared" si="13"/>
        <v>261.75847457627117</v>
      </c>
      <c r="U27" s="15">
        <f t="shared" si="13"/>
        <v>280.45550847457628</v>
      </c>
      <c r="V27" s="15">
        <f t="shared" si="13"/>
        <v>299.15254237288138</v>
      </c>
      <c r="W27" s="15">
        <f t="shared" si="13"/>
        <v>317.84957627118649</v>
      </c>
      <c r="X27" s="15">
        <f t="shared" si="13"/>
        <v>336.5466101694916</v>
      </c>
      <c r="Y27" s="15">
        <f t="shared" si="13"/>
        <v>355.24364406779671</v>
      </c>
      <c r="Z27" s="15">
        <f t="shared" si="13"/>
        <v>373.94067796610182</v>
      </c>
    </row>
    <row r="28" spans="1:29" x14ac:dyDescent="0.2">
      <c r="C28" s="27" t="s">
        <v>118</v>
      </c>
      <c r="F28" s="77" t="s">
        <v>85</v>
      </c>
      <c r="G28" s="15">
        <f>G25-G27</f>
        <v>1477.0656779661017</v>
      </c>
      <c r="H28" s="15">
        <f>H25-H27</f>
        <v>1458.3686440677966</v>
      </c>
      <c r="I28" s="15">
        <f t="shared" ref="I28:Z28" si="14">I25-I27</f>
        <v>1439.6716101694915</v>
      </c>
      <c r="J28" s="15">
        <f t="shared" si="14"/>
        <v>1420.9745762711864</v>
      </c>
      <c r="K28" s="15">
        <f t="shared" si="14"/>
        <v>1402.2775423728813</v>
      </c>
      <c r="L28" s="15">
        <f t="shared" si="14"/>
        <v>1383.5805084745764</v>
      </c>
      <c r="M28" s="15">
        <f t="shared" si="14"/>
        <v>1364.8834745762713</v>
      </c>
      <c r="N28" s="15">
        <f t="shared" si="14"/>
        <v>1346.1864406779662</v>
      </c>
      <c r="O28" s="15">
        <f t="shared" si="14"/>
        <v>1327.4894067796611</v>
      </c>
      <c r="P28" s="15">
        <f t="shared" si="14"/>
        <v>1308.792372881356</v>
      </c>
      <c r="Q28" s="15">
        <f t="shared" si="14"/>
        <v>1290.0953389830509</v>
      </c>
      <c r="R28" s="15">
        <f t="shared" si="14"/>
        <v>1271.3983050847457</v>
      </c>
      <c r="S28" s="15">
        <f t="shared" si="14"/>
        <v>1252.7012711864409</v>
      </c>
      <c r="T28" s="15">
        <f t="shared" si="14"/>
        <v>1234.0042372881358</v>
      </c>
      <c r="U28" s="15">
        <f t="shared" si="14"/>
        <v>1215.3072033898306</v>
      </c>
      <c r="V28" s="15">
        <f t="shared" si="14"/>
        <v>1196.6101694915255</v>
      </c>
      <c r="W28" s="15">
        <f t="shared" si="14"/>
        <v>1177.9131355932204</v>
      </c>
      <c r="X28" s="15">
        <f t="shared" si="14"/>
        <v>1159.2161016949153</v>
      </c>
      <c r="Y28" s="15">
        <f t="shared" si="14"/>
        <v>1140.5190677966102</v>
      </c>
      <c r="Z28" s="15">
        <f t="shared" si="14"/>
        <v>1121.8220338983051</v>
      </c>
    </row>
    <row r="29" spans="1:29" x14ac:dyDescent="0.2">
      <c r="F29" s="77"/>
    </row>
    <row r="30" spans="1:29" x14ac:dyDescent="0.2">
      <c r="A30" s="40" t="s">
        <v>111</v>
      </c>
      <c r="F30" s="77"/>
    </row>
    <row r="31" spans="1:29" s="35" customFormat="1" x14ac:dyDescent="0.2">
      <c r="B31" s="26" t="s">
        <v>532</v>
      </c>
      <c r="F31" s="7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99"/>
      <c r="AB31" s="100"/>
      <c r="AC31" s="105"/>
    </row>
    <row r="32" spans="1:29" s="35" customFormat="1" x14ac:dyDescent="0.2">
      <c r="C32" s="35" t="s">
        <v>113</v>
      </c>
      <c r="E32" s="30">
        <f>50*31</f>
        <v>1550</v>
      </c>
      <c r="F32" s="77" t="s">
        <v>85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99"/>
      <c r="AB32" s="100"/>
      <c r="AC32" s="105"/>
    </row>
    <row r="33" spans="2:29" s="35" customFormat="1" x14ac:dyDescent="0.2">
      <c r="C33" s="43" t="s">
        <v>103</v>
      </c>
      <c r="E33" s="29">
        <f>E32-E32/(1+Окружение!D13)</f>
        <v>236.4406779661017</v>
      </c>
      <c r="F33" s="77" t="s">
        <v>85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99"/>
      <c r="AB33" s="100"/>
      <c r="AC33" s="105"/>
    </row>
    <row r="34" spans="2:29" s="35" customFormat="1" x14ac:dyDescent="0.2">
      <c r="C34" s="35" t="s">
        <v>114</v>
      </c>
      <c r="F34" s="77"/>
      <c r="G34" s="346">
        <v>1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101">
        <f>SUM(G34:Z34)</f>
        <v>1</v>
      </c>
      <c r="AB34" s="100" t="b">
        <f>AA34=100%</f>
        <v>1</v>
      </c>
      <c r="AC34" s="105"/>
    </row>
    <row r="35" spans="2:29" s="35" customFormat="1" x14ac:dyDescent="0.2">
      <c r="C35" s="1" t="s">
        <v>115</v>
      </c>
      <c r="E35" s="47">
        <v>0.05</v>
      </c>
      <c r="F35" s="77" t="s">
        <v>91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99"/>
      <c r="AB35" s="102"/>
      <c r="AC35" s="105"/>
    </row>
    <row r="36" spans="2:29" x14ac:dyDescent="0.2">
      <c r="D36" s="35"/>
      <c r="E36" s="35"/>
      <c r="F36" s="7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2:29" x14ac:dyDescent="0.2">
      <c r="C37" s="1" t="s">
        <v>116</v>
      </c>
      <c r="D37" s="35"/>
      <c r="E37" s="35"/>
      <c r="F37" s="77" t="s">
        <v>85</v>
      </c>
      <c r="G37" s="79">
        <f>$E32*G34</f>
        <v>1550</v>
      </c>
      <c r="H37" s="79">
        <f t="shared" ref="H37:Z37" si="15">$E32*H34</f>
        <v>0</v>
      </c>
      <c r="I37" s="79">
        <f t="shared" si="15"/>
        <v>0</v>
      </c>
      <c r="J37" s="79">
        <f t="shared" si="15"/>
        <v>0</v>
      </c>
      <c r="K37" s="79">
        <f t="shared" si="15"/>
        <v>0</v>
      </c>
      <c r="L37" s="79">
        <f t="shared" si="15"/>
        <v>0</v>
      </c>
      <c r="M37" s="79">
        <f t="shared" si="15"/>
        <v>0</v>
      </c>
      <c r="N37" s="79">
        <f t="shared" si="15"/>
        <v>0</v>
      </c>
      <c r="O37" s="79">
        <f t="shared" si="15"/>
        <v>0</v>
      </c>
      <c r="P37" s="79">
        <f t="shared" si="15"/>
        <v>0</v>
      </c>
      <c r="Q37" s="79">
        <f t="shared" si="15"/>
        <v>0</v>
      </c>
      <c r="R37" s="79">
        <f t="shared" si="15"/>
        <v>0</v>
      </c>
      <c r="S37" s="79">
        <f t="shared" si="15"/>
        <v>0</v>
      </c>
      <c r="T37" s="79">
        <f t="shared" si="15"/>
        <v>0</v>
      </c>
      <c r="U37" s="79">
        <f t="shared" si="15"/>
        <v>0</v>
      </c>
      <c r="V37" s="79">
        <f t="shared" si="15"/>
        <v>0</v>
      </c>
      <c r="W37" s="79">
        <f t="shared" si="15"/>
        <v>0</v>
      </c>
      <c r="X37" s="79">
        <f t="shared" si="15"/>
        <v>0</v>
      </c>
      <c r="Y37" s="79">
        <f t="shared" si="15"/>
        <v>0</v>
      </c>
      <c r="Z37" s="79">
        <f t="shared" si="15"/>
        <v>0</v>
      </c>
      <c r="AA37" s="97">
        <f>SUM(G37:Z37)</f>
        <v>1550</v>
      </c>
      <c r="AB37" s="100" t="b">
        <f>AA37=E32</f>
        <v>1</v>
      </c>
    </row>
    <row r="38" spans="2:29" x14ac:dyDescent="0.2">
      <c r="C38" s="43" t="s">
        <v>103</v>
      </c>
      <c r="D38" s="35"/>
      <c r="E38" s="35"/>
      <c r="F38" s="77" t="s">
        <v>85</v>
      </c>
      <c r="G38" s="79">
        <f>$E33*G34</f>
        <v>236.4406779661017</v>
      </c>
      <c r="H38" s="79">
        <f t="shared" ref="H38:Z38" si="16">$E33*H34</f>
        <v>0</v>
      </c>
      <c r="I38" s="79">
        <f t="shared" si="16"/>
        <v>0</v>
      </c>
      <c r="J38" s="79">
        <f t="shared" si="16"/>
        <v>0</v>
      </c>
      <c r="K38" s="79">
        <f t="shared" si="16"/>
        <v>0</v>
      </c>
      <c r="L38" s="79">
        <f t="shared" si="16"/>
        <v>0</v>
      </c>
      <c r="M38" s="79">
        <f t="shared" si="16"/>
        <v>0</v>
      </c>
      <c r="N38" s="79">
        <f t="shared" si="16"/>
        <v>0</v>
      </c>
      <c r="O38" s="79">
        <f t="shared" si="16"/>
        <v>0</v>
      </c>
      <c r="P38" s="79">
        <f t="shared" si="16"/>
        <v>0</v>
      </c>
      <c r="Q38" s="79">
        <f t="shared" si="16"/>
        <v>0</v>
      </c>
      <c r="R38" s="79">
        <f t="shared" si="16"/>
        <v>0</v>
      </c>
      <c r="S38" s="79">
        <f t="shared" si="16"/>
        <v>0</v>
      </c>
      <c r="T38" s="79">
        <f t="shared" si="16"/>
        <v>0</v>
      </c>
      <c r="U38" s="79">
        <f t="shared" si="16"/>
        <v>0</v>
      </c>
      <c r="V38" s="79">
        <f t="shared" si="16"/>
        <v>0</v>
      </c>
      <c r="W38" s="79">
        <f t="shared" si="16"/>
        <v>0</v>
      </c>
      <c r="X38" s="79">
        <f t="shared" si="16"/>
        <v>0</v>
      </c>
      <c r="Y38" s="79">
        <f t="shared" si="16"/>
        <v>0</v>
      </c>
      <c r="Z38" s="79">
        <f t="shared" si="16"/>
        <v>0</v>
      </c>
      <c r="AA38" s="104">
        <f>SUM(G38:Z38)</f>
        <v>236.4406779661017</v>
      </c>
      <c r="AB38" s="100" t="b">
        <f>AA38=E33</f>
        <v>1</v>
      </c>
    </row>
    <row r="39" spans="2:29" x14ac:dyDescent="0.2">
      <c r="C39" s="35" t="s">
        <v>199</v>
      </c>
      <c r="D39" s="35"/>
      <c r="E39" s="35"/>
      <c r="F39" s="77" t="s">
        <v>85</v>
      </c>
      <c r="G39" s="79">
        <f>G37-G38</f>
        <v>1313.5593220338983</v>
      </c>
      <c r="H39" s="79">
        <f>G39+H37-H38</f>
        <v>1313.5593220338983</v>
      </c>
      <c r="I39" s="79">
        <f t="shared" ref="I39:Z39" si="17">H39+I37-I38</f>
        <v>1313.5593220338983</v>
      </c>
      <c r="J39" s="79">
        <f t="shared" si="17"/>
        <v>1313.5593220338983</v>
      </c>
      <c r="K39" s="79">
        <f t="shared" si="17"/>
        <v>1313.5593220338983</v>
      </c>
      <c r="L39" s="79">
        <f t="shared" si="17"/>
        <v>1313.5593220338983</v>
      </c>
      <c r="M39" s="79">
        <f t="shared" si="17"/>
        <v>1313.5593220338983</v>
      </c>
      <c r="N39" s="79">
        <f t="shared" si="17"/>
        <v>1313.5593220338983</v>
      </c>
      <c r="O39" s="79">
        <f t="shared" si="17"/>
        <v>1313.5593220338983</v>
      </c>
      <c r="P39" s="79">
        <f t="shared" si="17"/>
        <v>1313.5593220338983</v>
      </c>
      <c r="Q39" s="79">
        <f t="shared" si="17"/>
        <v>1313.5593220338983</v>
      </c>
      <c r="R39" s="79">
        <f t="shared" si="17"/>
        <v>1313.5593220338983</v>
      </c>
      <c r="S39" s="79">
        <f t="shared" si="17"/>
        <v>1313.5593220338983</v>
      </c>
      <c r="T39" s="79">
        <f t="shared" si="17"/>
        <v>1313.5593220338983</v>
      </c>
      <c r="U39" s="79">
        <f t="shared" si="17"/>
        <v>1313.5593220338983</v>
      </c>
      <c r="V39" s="79">
        <f t="shared" si="17"/>
        <v>1313.5593220338983</v>
      </c>
      <c r="W39" s="79">
        <f t="shared" si="17"/>
        <v>1313.5593220338983</v>
      </c>
      <c r="X39" s="79">
        <f t="shared" si="17"/>
        <v>1313.5593220338983</v>
      </c>
      <c r="Y39" s="79">
        <f t="shared" si="17"/>
        <v>1313.5593220338983</v>
      </c>
      <c r="Z39" s="79">
        <f t="shared" si="17"/>
        <v>1313.5593220338983</v>
      </c>
      <c r="AA39" s="104"/>
      <c r="AB39" s="100"/>
    </row>
    <row r="40" spans="2:29" x14ac:dyDescent="0.2">
      <c r="C40" s="1" t="s">
        <v>186</v>
      </c>
      <c r="D40" s="35"/>
      <c r="E40" s="35"/>
      <c r="F40" s="77" t="s">
        <v>85</v>
      </c>
      <c r="G40" s="79">
        <f>IF(G39&lt;($E$32-$E$33),G39,0)</f>
        <v>0</v>
      </c>
      <c r="H40" s="79">
        <f t="shared" ref="H40:Z40" si="18">IF(H39&lt;($E$32-$E$33),H39,0)</f>
        <v>0</v>
      </c>
      <c r="I40" s="79">
        <f t="shared" si="18"/>
        <v>0</v>
      </c>
      <c r="J40" s="79">
        <f t="shared" si="18"/>
        <v>0</v>
      </c>
      <c r="K40" s="79">
        <f t="shared" si="18"/>
        <v>0</v>
      </c>
      <c r="L40" s="79">
        <f t="shared" si="18"/>
        <v>0</v>
      </c>
      <c r="M40" s="79">
        <f t="shared" si="18"/>
        <v>0</v>
      </c>
      <c r="N40" s="79">
        <f t="shared" si="18"/>
        <v>0</v>
      </c>
      <c r="O40" s="79">
        <f t="shared" si="18"/>
        <v>0</v>
      </c>
      <c r="P40" s="79">
        <f t="shared" si="18"/>
        <v>0</v>
      </c>
      <c r="Q40" s="79">
        <f t="shared" si="18"/>
        <v>0</v>
      </c>
      <c r="R40" s="79">
        <f t="shared" si="18"/>
        <v>0</v>
      </c>
      <c r="S40" s="79">
        <f t="shared" si="18"/>
        <v>0</v>
      </c>
      <c r="T40" s="79">
        <f t="shared" si="18"/>
        <v>0</v>
      </c>
      <c r="U40" s="79">
        <f t="shared" si="18"/>
        <v>0</v>
      </c>
      <c r="V40" s="79">
        <f t="shared" si="18"/>
        <v>0</v>
      </c>
      <c r="W40" s="79">
        <f t="shared" si="18"/>
        <v>0</v>
      </c>
      <c r="X40" s="79">
        <f t="shared" si="18"/>
        <v>0</v>
      </c>
      <c r="Y40" s="79">
        <f t="shared" si="18"/>
        <v>0</v>
      </c>
      <c r="Z40" s="79">
        <f t="shared" si="18"/>
        <v>0</v>
      </c>
    </row>
    <row r="41" spans="2:29" x14ac:dyDescent="0.2">
      <c r="B41" s="63"/>
      <c r="C41" s="1" t="s">
        <v>197</v>
      </c>
      <c r="D41" s="35"/>
      <c r="E41" s="35"/>
      <c r="F41" s="77" t="s">
        <v>85</v>
      </c>
      <c r="G41" s="79">
        <f>IF(G39=($E$32-$E$33),($E$32-$E$33),0)</f>
        <v>1313.5593220338983</v>
      </c>
      <c r="H41" s="79">
        <f t="shared" ref="H41:Z41" si="19">IF(H39=($E$32-$E$33),($E$32-$E$33),0)</f>
        <v>1313.5593220338983</v>
      </c>
      <c r="I41" s="79">
        <f t="shared" si="19"/>
        <v>1313.5593220338983</v>
      </c>
      <c r="J41" s="79">
        <f t="shared" si="19"/>
        <v>1313.5593220338983</v>
      </c>
      <c r="K41" s="79">
        <f t="shared" si="19"/>
        <v>1313.5593220338983</v>
      </c>
      <c r="L41" s="79">
        <f t="shared" si="19"/>
        <v>1313.5593220338983</v>
      </c>
      <c r="M41" s="79">
        <f t="shared" si="19"/>
        <v>1313.5593220338983</v>
      </c>
      <c r="N41" s="79">
        <f t="shared" si="19"/>
        <v>1313.5593220338983</v>
      </c>
      <c r="O41" s="79">
        <f t="shared" si="19"/>
        <v>1313.5593220338983</v>
      </c>
      <c r="P41" s="79">
        <f t="shared" si="19"/>
        <v>1313.5593220338983</v>
      </c>
      <c r="Q41" s="79">
        <f t="shared" si="19"/>
        <v>1313.5593220338983</v>
      </c>
      <c r="R41" s="79">
        <f t="shared" si="19"/>
        <v>1313.5593220338983</v>
      </c>
      <c r="S41" s="79">
        <f t="shared" si="19"/>
        <v>1313.5593220338983</v>
      </c>
      <c r="T41" s="79">
        <f t="shared" si="19"/>
        <v>1313.5593220338983</v>
      </c>
      <c r="U41" s="79">
        <f t="shared" si="19"/>
        <v>1313.5593220338983</v>
      </c>
      <c r="V41" s="79">
        <f t="shared" si="19"/>
        <v>1313.5593220338983</v>
      </c>
      <c r="W41" s="79">
        <f t="shared" si="19"/>
        <v>1313.5593220338983</v>
      </c>
      <c r="X41" s="79">
        <f t="shared" si="19"/>
        <v>1313.5593220338983</v>
      </c>
      <c r="Y41" s="79">
        <f t="shared" si="19"/>
        <v>1313.5593220338983</v>
      </c>
      <c r="Z41" s="79">
        <f t="shared" si="19"/>
        <v>1313.5593220338983</v>
      </c>
      <c r="AA41" s="104"/>
    </row>
    <row r="42" spans="2:29" s="63" customFormat="1" hidden="1" x14ac:dyDescent="0.2">
      <c r="C42" s="90" t="s">
        <v>322</v>
      </c>
      <c r="D42" s="35"/>
      <c r="E42" s="35"/>
      <c r="F42" s="77" t="s">
        <v>85</v>
      </c>
      <c r="G42" s="92">
        <f>G41*$E$35/4</f>
        <v>16.41949152542373</v>
      </c>
      <c r="H42" s="92">
        <f t="shared" ref="H42:Z42" si="20">H41*$E$35/4</f>
        <v>16.41949152542373</v>
      </c>
      <c r="I42" s="92">
        <f t="shared" si="20"/>
        <v>16.41949152542373</v>
      </c>
      <c r="J42" s="92">
        <f t="shared" si="20"/>
        <v>16.41949152542373</v>
      </c>
      <c r="K42" s="92">
        <f t="shared" si="20"/>
        <v>16.41949152542373</v>
      </c>
      <c r="L42" s="92">
        <f t="shared" si="20"/>
        <v>16.41949152542373</v>
      </c>
      <c r="M42" s="92">
        <f t="shared" si="20"/>
        <v>16.41949152542373</v>
      </c>
      <c r="N42" s="92">
        <f t="shared" si="20"/>
        <v>16.41949152542373</v>
      </c>
      <c r="O42" s="92">
        <f t="shared" si="20"/>
        <v>16.41949152542373</v>
      </c>
      <c r="P42" s="92">
        <f t="shared" si="20"/>
        <v>16.41949152542373</v>
      </c>
      <c r="Q42" s="92">
        <f t="shared" si="20"/>
        <v>16.41949152542373</v>
      </c>
      <c r="R42" s="92">
        <f t="shared" si="20"/>
        <v>16.41949152542373</v>
      </c>
      <c r="S42" s="92">
        <f t="shared" si="20"/>
        <v>16.41949152542373</v>
      </c>
      <c r="T42" s="92">
        <f t="shared" si="20"/>
        <v>16.41949152542373</v>
      </c>
      <c r="U42" s="92">
        <f t="shared" si="20"/>
        <v>16.41949152542373</v>
      </c>
      <c r="V42" s="92">
        <f t="shared" si="20"/>
        <v>16.41949152542373</v>
      </c>
      <c r="W42" s="92">
        <f t="shared" si="20"/>
        <v>16.41949152542373</v>
      </c>
      <c r="X42" s="92">
        <f t="shared" si="20"/>
        <v>16.41949152542373</v>
      </c>
      <c r="Y42" s="92">
        <f t="shared" si="20"/>
        <v>16.41949152542373</v>
      </c>
      <c r="Z42" s="92">
        <f t="shared" si="20"/>
        <v>16.41949152542373</v>
      </c>
      <c r="AA42" s="104"/>
      <c r="AB42" s="102"/>
      <c r="AC42" s="90"/>
    </row>
    <row r="43" spans="2:29" x14ac:dyDescent="0.2">
      <c r="C43" s="1" t="s">
        <v>117</v>
      </c>
      <c r="D43" s="35"/>
      <c r="E43" s="35"/>
      <c r="F43" s="77" t="s">
        <v>85</v>
      </c>
      <c r="G43" s="79">
        <f>IF(AND(G41&gt;0,SUM(G42)&lt;=($E$32-$E$33)),G41*$E$35/4,0)</f>
        <v>16.41949152542373</v>
      </c>
      <c r="H43" s="79">
        <f>IF(AND(H41&gt;0,SUM($G42:H42)&lt;=($E$32-$E$33)),H41*$E$35/4,0)</f>
        <v>16.41949152542373</v>
      </c>
      <c r="I43" s="79">
        <f>IF(AND(I41&gt;0,SUM($G42:I42)&lt;=($E$32-$E$33)),I41*$E$35/4,0)</f>
        <v>16.41949152542373</v>
      </c>
      <c r="J43" s="79">
        <f>IF(AND(J41&gt;0,SUM($G42:J42)&lt;=($E$32-$E$33)),J41*$E$35/4,0)</f>
        <v>16.41949152542373</v>
      </c>
      <c r="K43" s="79">
        <f>IF(AND(K41&gt;0,SUM($G42:K42)&lt;=($E$32-$E$33)),K41*$E$35/4,0)</f>
        <v>16.41949152542373</v>
      </c>
      <c r="L43" s="79">
        <f>IF(AND(L41&gt;0,SUM($G42:L42)&lt;=($E$32-$E$33)),L41*$E$35/4,0)</f>
        <v>16.41949152542373</v>
      </c>
      <c r="M43" s="79">
        <f>IF(AND(M41&gt;0,SUM($G42:M42)&lt;=($E$32-$E$33)),M41*$E$35/4,0)</f>
        <v>16.41949152542373</v>
      </c>
      <c r="N43" s="79">
        <f>IF(AND(N41&gt;0,SUM($G42:N42)&lt;=($E$32-$E$33)),N41*$E$35/4,0)</f>
        <v>16.41949152542373</v>
      </c>
      <c r="O43" s="79">
        <f>IF(AND(O41&gt;0,SUM($G42:O42)&lt;=($E$32-$E$33)),O41*$E$35/4,0)</f>
        <v>16.41949152542373</v>
      </c>
      <c r="P43" s="79">
        <f>IF(AND(P41&gt;0,SUM($G42:P42)&lt;=($E$32-$E$33)),P41*$E$35/4,0)</f>
        <v>16.41949152542373</v>
      </c>
      <c r="Q43" s="79">
        <f>IF(AND(Q41&gt;0,SUM($G42:Q42)&lt;=($E$32-$E$33)),Q41*$E$35/4,0)</f>
        <v>16.41949152542373</v>
      </c>
      <c r="R43" s="79">
        <f>IF(AND(R41&gt;0,SUM($G42:R42)&lt;=($E$32-$E$33)),R41*$E$35/4,0)</f>
        <v>16.41949152542373</v>
      </c>
      <c r="S43" s="79">
        <f>IF(AND(S41&gt;0,SUM($G42:S42)&lt;=($E$32-$E$33)),S41*$E$35/4,0)</f>
        <v>16.41949152542373</v>
      </c>
      <c r="T43" s="79">
        <f>IF(AND(T41&gt;0,SUM($G42:T42)&lt;=($E$32-$E$33)),T41*$E$35/4,0)</f>
        <v>16.41949152542373</v>
      </c>
      <c r="U43" s="79">
        <f>IF(AND(U41&gt;0,SUM($G42:U42)&lt;=($E$32-$E$33)),U41*$E$35/4,0)</f>
        <v>16.41949152542373</v>
      </c>
      <c r="V43" s="79">
        <f>IF(AND(V41&gt;0,SUM($G42:V42)&lt;=($E$32-$E$33)),V41*$E$35/4,0)</f>
        <v>16.41949152542373</v>
      </c>
      <c r="W43" s="79">
        <f>IF(AND(W41&gt;0,SUM($G42:W42)&lt;=($E$32-$E$33)),W41*$E$35/4,0)</f>
        <v>16.41949152542373</v>
      </c>
      <c r="X43" s="79">
        <f>IF(AND(X41&gt;0,SUM($G42:X42)&lt;=($E$32-$E$33)),X41*$E$35/4,0)</f>
        <v>16.41949152542373</v>
      </c>
      <c r="Y43" s="79">
        <f>IF(AND(Y41&gt;0,SUM($G42:Y42)&lt;=($E$32-$E$33)),Y41*$E$35/4,0)</f>
        <v>16.41949152542373</v>
      </c>
      <c r="Z43" s="79">
        <f>IF(AND(Z41&gt;0,SUM($G42:Z42)&lt;=($E$32-$E$33)),Z41*$E$35/4,0)</f>
        <v>16.41949152542373</v>
      </c>
      <c r="AA43" s="104">
        <f>SUM(G43:Z43)</f>
        <v>328.38983050847452</v>
      </c>
    </row>
    <row r="44" spans="2:29" x14ac:dyDescent="0.2">
      <c r="C44" s="1" t="s">
        <v>119</v>
      </c>
      <c r="D44" s="35"/>
      <c r="E44" s="35"/>
      <c r="F44" s="77" t="s">
        <v>85</v>
      </c>
      <c r="G44" s="79">
        <f>G43</f>
        <v>16.41949152542373</v>
      </c>
      <c r="H44" s="79">
        <f>G44+H43</f>
        <v>32.83898305084746</v>
      </c>
      <c r="I44" s="79">
        <f t="shared" ref="I44:Z44" si="21">H44+I43</f>
        <v>49.25847457627119</v>
      </c>
      <c r="J44" s="79">
        <f t="shared" si="21"/>
        <v>65.677966101694921</v>
      </c>
      <c r="K44" s="79">
        <f t="shared" si="21"/>
        <v>82.097457627118644</v>
      </c>
      <c r="L44" s="79">
        <f t="shared" si="21"/>
        <v>98.516949152542367</v>
      </c>
      <c r="M44" s="79">
        <f t="shared" si="21"/>
        <v>114.93644067796609</v>
      </c>
      <c r="N44" s="79">
        <f t="shared" si="21"/>
        <v>131.35593220338981</v>
      </c>
      <c r="O44" s="79">
        <f t="shared" si="21"/>
        <v>147.77542372881354</v>
      </c>
      <c r="P44" s="79">
        <f t="shared" si="21"/>
        <v>164.19491525423726</v>
      </c>
      <c r="Q44" s="79">
        <f t="shared" si="21"/>
        <v>180.61440677966098</v>
      </c>
      <c r="R44" s="79">
        <f t="shared" si="21"/>
        <v>197.0338983050847</v>
      </c>
      <c r="S44" s="79">
        <f t="shared" si="21"/>
        <v>213.45338983050843</v>
      </c>
      <c r="T44" s="79">
        <f t="shared" si="21"/>
        <v>229.87288135593215</v>
      </c>
      <c r="U44" s="79">
        <f t="shared" si="21"/>
        <v>246.29237288135587</v>
      </c>
      <c r="V44" s="79">
        <f t="shared" si="21"/>
        <v>262.71186440677963</v>
      </c>
      <c r="W44" s="79">
        <f t="shared" si="21"/>
        <v>279.13135593220335</v>
      </c>
      <c r="X44" s="79">
        <f t="shared" si="21"/>
        <v>295.55084745762707</v>
      </c>
      <c r="Y44" s="79">
        <f t="shared" si="21"/>
        <v>311.97033898305079</v>
      </c>
      <c r="Z44" s="79">
        <f t="shared" si="21"/>
        <v>328.38983050847452</v>
      </c>
      <c r="AA44" s="104"/>
    </row>
    <row r="45" spans="2:29" x14ac:dyDescent="0.2">
      <c r="C45" s="63" t="s">
        <v>198</v>
      </c>
      <c r="D45" s="35"/>
      <c r="E45" s="35"/>
      <c r="F45" s="77" t="s">
        <v>85</v>
      </c>
      <c r="G45" s="93">
        <f>G41-G44</f>
        <v>1297.1398305084745</v>
      </c>
      <c r="H45" s="93">
        <f t="shared" ref="H45:Z45" si="22">H41-H44</f>
        <v>1280.7203389830509</v>
      </c>
      <c r="I45" s="93">
        <f t="shared" si="22"/>
        <v>1264.300847457627</v>
      </c>
      <c r="J45" s="93">
        <f t="shared" si="22"/>
        <v>1247.8813559322034</v>
      </c>
      <c r="K45" s="93">
        <f t="shared" si="22"/>
        <v>1231.4618644067796</v>
      </c>
      <c r="L45" s="93">
        <f t="shared" si="22"/>
        <v>1215.042372881356</v>
      </c>
      <c r="M45" s="93">
        <f t="shared" si="22"/>
        <v>1198.6228813559321</v>
      </c>
      <c r="N45" s="93">
        <f t="shared" si="22"/>
        <v>1182.2033898305085</v>
      </c>
      <c r="O45" s="93">
        <f t="shared" si="22"/>
        <v>1165.7838983050847</v>
      </c>
      <c r="P45" s="93">
        <f t="shared" si="22"/>
        <v>1149.3644067796611</v>
      </c>
      <c r="Q45" s="93">
        <f t="shared" si="22"/>
        <v>1132.9449152542372</v>
      </c>
      <c r="R45" s="93">
        <f t="shared" si="22"/>
        <v>1116.5254237288136</v>
      </c>
      <c r="S45" s="93">
        <f t="shared" si="22"/>
        <v>1100.1059322033898</v>
      </c>
      <c r="T45" s="93">
        <f t="shared" si="22"/>
        <v>1083.6864406779662</v>
      </c>
      <c r="U45" s="93">
        <f t="shared" si="22"/>
        <v>1067.2669491525423</v>
      </c>
      <c r="V45" s="93">
        <f t="shared" si="22"/>
        <v>1050.8474576271187</v>
      </c>
      <c r="W45" s="93">
        <f t="shared" si="22"/>
        <v>1034.4279661016949</v>
      </c>
      <c r="X45" s="93">
        <f t="shared" si="22"/>
        <v>1018.0084745762713</v>
      </c>
      <c r="Y45" s="93">
        <f t="shared" si="22"/>
        <v>1001.5889830508474</v>
      </c>
      <c r="Z45" s="93">
        <f t="shared" si="22"/>
        <v>985.16949152542384</v>
      </c>
    </row>
    <row r="46" spans="2:29" x14ac:dyDescent="0.2">
      <c r="C46" s="35"/>
      <c r="D46" s="35"/>
      <c r="E46" s="35"/>
      <c r="F46" s="77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2:29" x14ac:dyDescent="0.2">
      <c r="B47" s="94" t="s">
        <v>533</v>
      </c>
      <c r="C47" s="35"/>
      <c r="D47" s="35"/>
      <c r="E47" s="35"/>
      <c r="F47" s="7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99"/>
    </row>
    <row r="48" spans="2:29" x14ac:dyDescent="0.2">
      <c r="B48" s="35"/>
      <c r="C48" s="35" t="s">
        <v>113</v>
      </c>
      <c r="D48" s="35"/>
      <c r="E48" s="30">
        <f>200*8</f>
        <v>1600</v>
      </c>
      <c r="F48" s="77" t="s">
        <v>85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99"/>
    </row>
    <row r="49" spans="1:29" x14ac:dyDescent="0.2">
      <c r="B49" s="35"/>
      <c r="C49" s="43" t="s">
        <v>103</v>
      </c>
      <c r="D49" s="35"/>
      <c r="E49" s="29">
        <f>E48-E48/(1+Окружение!D13)</f>
        <v>244.06779661016935</v>
      </c>
      <c r="F49" s="77" t="s">
        <v>85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99"/>
    </row>
    <row r="50" spans="1:29" x14ac:dyDescent="0.2">
      <c r="B50" s="35"/>
      <c r="C50" s="35" t="s">
        <v>114</v>
      </c>
      <c r="D50" s="35"/>
      <c r="E50" s="35"/>
      <c r="F50" s="77"/>
      <c r="G50" s="347">
        <v>1</v>
      </c>
      <c r="H50" s="47">
        <v>0</v>
      </c>
      <c r="I50" s="47">
        <v>0</v>
      </c>
      <c r="J50" s="47">
        <v>0</v>
      </c>
      <c r="K50" s="47">
        <v>0</v>
      </c>
      <c r="L50" s="47">
        <v>0</v>
      </c>
      <c r="M50" s="47">
        <v>0</v>
      </c>
      <c r="N50" s="47">
        <v>0</v>
      </c>
      <c r="O50" s="47">
        <v>0</v>
      </c>
      <c r="P50" s="47">
        <v>0</v>
      </c>
      <c r="Q50" s="47">
        <v>0</v>
      </c>
      <c r="R50" s="47"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101">
        <f>SUM(G50:Z50)</f>
        <v>1</v>
      </c>
      <c r="AB50" s="100" t="b">
        <f>AA50=100%</f>
        <v>1</v>
      </c>
    </row>
    <row r="51" spans="1:29" x14ac:dyDescent="0.2">
      <c r="B51" s="35"/>
      <c r="C51" s="1" t="s">
        <v>115</v>
      </c>
      <c r="D51" s="35"/>
      <c r="E51" s="47">
        <v>0.05</v>
      </c>
      <c r="F51" s="77" t="s">
        <v>91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99"/>
    </row>
    <row r="52" spans="1:29" x14ac:dyDescent="0.2">
      <c r="D52" s="35"/>
      <c r="E52" s="35"/>
      <c r="F52" s="7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9" x14ac:dyDescent="0.2">
      <c r="C53" s="1" t="s">
        <v>116</v>
      </c>
      <c r="D53" s="35"/>
      <c r="E53" s="35"/>
      <c r="F53" s="77" t="s">
        <v>85</v>
      </c>
      <c r="G53" s="79">
        <f t="shared" ref="G53:Z53" si="23">$E48*G50</f>
        <v>1600</v>
      </c>
      <c r="H53" s="79">
        <f t="shared" si="23"/>
        <v>0</v>
      </c>
      <c r="I53" s="79">
        <f t="shared" si="23"/>
        <v>0</v>
      </c>
      <c r="J53" s="79">
        <f t="shared" si="23"/>
        <v>0</v>
      </c>
      <c r="K53" s="79">
        <f t="shared" si="23"/>
        <v>0</v>
      </c>
      <c r="L53" s="79">
        <f t="shared" si="23"/>
        <v>0</v>
      </c>
      <c r="M53" s="79">
        <f t="shared" si="23"/>
        <v>0</v>
      </c>
      <c r="N53" s="79">
        <f t="shared" si="23"/>
        <v>0</v>
      </c>
      <c r="O53" s="79">
        <f t="shared" si="23"/>
        <v>0</v>
      </c>
      <c r="P53" s="79">
        <f t="shared" si="23"/>
        <v>0</v>
      </c>
      <c r="Q53" s="79">
        <f t="shared" si="23"/>
        <v>0</v>
      </c>
      <c r="R53" s="79">
        <f t="shared" si="23"/>
        <v>0</v>
      </c>
      <c r="S53" s="79">
        <f t="shared" si="23"/>
        <v>0</v>
      </c>
      <c r="T53" s="79">
        <f t="shared" si="23"/>
        <v>0</v>
      </c>
      <c r="U53" s="79">
        <f t="shared" si="23"/>
        <v>0</v>
      </c>
      <c r="V53" s="79">
        <f t="shared" si="23"/>
        <v>0</v>
      </c>
      <c r="W53" s="79">
        <f t="shared" si="23"/>
        <v>0</v>
      </c>
      <c r="X53" s="79">
        <f t="shared" si="23"/>
        <v>0</v>
      </c>
      <c r="Y53" s="79">
        <f t="shared" si="23"/>
        <v>0</v>
      </c>
      <c r="Z53" s="79">
        <f t="shared" si="23"/>
        <v>0</v>
      </c>
      <c r="AA53" s="97">
        <f>SUM(G53:Z53)</f>
        <v>1600</v>
      </c>
      <c r="AB53" s="100" t="b">
        <f>AA53=E48</f>
        <v>1</v>
      </c>
    </row>
    <row r="54" spans="1:29" x14ac:dyDescent="0.2">
      <c r="C54" s="43" t="s">
        <v>103</v>
      </c>
      <c r="D54" s="35"/>
      <c r="E54" s="35"/>
      <c r="F54" s="77" t="s">
        <v>85</v>
      </c>
      <c r="G54" s="79">
        <f>$E49*G50</f>
        <v>244.06779661016935</v>
      </c>
      <c r="H54" s="79">
        <f t="shared" ref="H54:Z54" si="24">$E49*H50</f>
        <v>0</v>
      </c>
      <c r="I54" s="79">
        <f t="shared" si="24"/>
        <v>0</v>
      </c>
      <c r="J54" s="79">
        <f t="shared" si="24"/>
        <v>0</v>
      </c>
      <c r="K54" s="79">
        <f t="shared" si="24"/>
        <v>0</v>
      </c>
      <c r="L54" s="79">
        <f t="shared" si="24"/>
        <v>0</v>
      </c>
      <c r="M54" s="79">
        <f t="shared" si="24"/>
        <v>0</v>
      </c>
      <c r="N54" s="79">
        <f t="shared" si="24"/>
        <v>0</v>
      </c>
      <c r="O54" s="79">
        <f t="shared" si="24"/>
        <v>0</v>
      </c>
      <c r="P54" s="79">
        <f t="shared" si="24"/>
        <v>0</v>
      </c>
      <c r="Q54" s="79">
        <f t="shared" si="24"/>
        <v>0</v>
      </c>
      <c r="R54" s="79">
        <f t="shared" si="24"/>
        <v>0</v>
      </c>
      <c r="S54" s="79">
        <f t="shared" si="24"/>
        <v>0</v>
      </c>
      <c r="T54" s="79">
        <f t="shared" si="24"/>
        <v>0</v>
      </c>
      <c r="U54" s="79">
        <f t="shared" si="24"/>
        <v>0</v>
      </c>
      <c r="V54" s="79">
        <f t="shared" si="24"/>
        <v>0</v>
      </c>
      <c r="W54" s="79">
        <f t="shared" si="24"/>
        <v>0</v>
      </c>
      <c r="X54" s="79">
        <f t="shared" si="24"/>
        <v>0</v>
      </c>
      <c r="Y54" s="79">
        <f t="shared" si="24"/>
        <v>0</v>
      </c>
      <c r="Z54" s="79">
        <f t="shared" si="24"/>
        <v>0</v>
      </c>
      <c r="AA54" s="104">
        <f>SUM(G54:Z54)</f>
        <v>244.06779661016935</v>
      </c>
      <c r="AB54" s="100" t="b">
        <f>AA54=E49</f>
        <v>1</v>
      </c>
    </row>
    <row r="55" spans="1:29" x14ac:dyDescent="0.2">
      <c r="C55" s="35" t="s">
        <v>199</v>
      </c>
      <c r="D55" s="35"/>
      <c r="E55" s="35"/>
      <c r="F55" s="77" t="s">
        <v>85</v>
      </c>
      <c r="G55" s="79">
        <f>G53-G54</f>
        <v>1355.9322033898306</v>
      </c>
      <c r="H55" s="79">
        <f>G55+H53-H54</f>
        <v>1355.9322033898306</v>
      </c>
      <c r="I55" s="79">
        <f t="shared" ref="I55:Z55" si="25">H55+I53-I54</f>
        <v>1355.9322033898306</v>
      </c>
      <c r="J55" s="79">
        <f t="shared" si="25"/>
        <v>1355.9322033898306</v>
      </c>
      <c r="K55" s="79">
        <f t="shared" si="25"/>
        <v>1355.9322033898306</v>
      </c>
      <c r="L55" s="79">
        <f t="shared" si="25"/>
        <v>1355.9322033898306</v>
      </c>
      <c r="M55" s="79">
        <f t="shared" si="25"/>
        <v>1355.9322033898306</v>
      </c>
      <c r="N55" s="79">
        <f t="shared" si="25"/>
        <v>1355.9322033898306</v>
      </c>
      <c r="O55" s="79">
        <f t="shared" si="25"/>
        <v>1355.9322033898306</v>
      </c>
      <c r="P55" s="79">
        <f t="shared" si="25"/>
        <v>1355.9322033898306</v>
      </c>
      <c r="Q55" s="79">
        <f t="shared" si="25"/>
        <v>1355.9322033898306</v>
      </c>
      <c r="R55" s="79">
        <f t="shared" si="25"/>
        <v>1355.9322033898306</v>
      </c>
      <c r="S55" s="79">
        <f t="shared" si="25"/>
        <v>1355.9322033898306</v>
      </c>
      <c r="T55" s="79">
        <f t="shared" si="25"/>
        <v>1355.9322033898306</v>
      </c>
      <c r="U55" s="79">
        <f t="shared" si="25"/>
        <v>1355.9322033898306</v>
      </c>
      <c r="V55" s="79">
        <f t="shared" si="25"/>
        <v>1355.9322033898306</v>
      </c>
      <c r="W55" s="79">
        <f t="shared" si="25"/>
        <v>1355.9322033898306</v>
      </c>
      <c r="X55" s="79">
        <f t="shared" si="25"/>
        <v>1355.9322033898306</v>
      </c>
      <c r="Y55" s="79">
        <f t="shared" si="25"/>
        <v>1355.9322033898306</v>
      </c>
      <c r="Z55" s="79">
        <f t="shared" si="25"/>
        <v>1355.9322033898306</v>
      </c>
      <c r="AA55" s="104"/>
      <c r="AB55" s="100"/>
    </row>
    <row r="56" spans="1:29" x14ac:dyDescent="0.2">
      <c r="C56" s="1" t="s">
        <v>186</v>
      </c>
      <c r="D56" s="35"/>
      <c r="E56" s="35"/>
      <c r="F56" s="77" t="s">
        <v>85</v>
      </c>
      <c r="G56" s="79">
        <f>IF(G55&lt;($E$48-$E$49),G55,0)</f>
        <v>0</v>
      </c>
      <c r="H56" s="79">
        <f t="shared" ref="H56:Z56" si="26">IF(H55&lt;($E$48-$E$49),H55,0)</f>
        <v>0</v>
      </c>
      <c r="I56" s="79">
        <f t="shared" si="26"/>
        <v>0</v>
      </c>
      <c r="J56" s="79">
        <f t="shared" si="26"/>
        <v>0</v>
      </c>
      <c r="K56" s="79">
        <f t="shared" si="26"/>
        <v>0</v>
      </c>
      <c r="L56" s="79">
        <f t="shared" si="26"/>
        <v>0</v>
      </c>
      <c r="M56" s="79">
        <f t="shared" si="26"/>
        <v>0</v>
      </c>
      <c r="N56" s="79">
        <f t="shared" si="26"/>
        <v>0</v>
      </c>
      <c r="O56" s="79">
        <f t="shared" si="26"/>
        <v>0</v>
      </c>
      <c r="P56" s="79">
        <f t="shared" si="26"/>
        <v>0</v>
      </c>
      <c r="Q56" s="79">
        <f t="shared" si="26"/>
        <v>0</v>
      </c>
      <c r="R56" s="79">
        <f t="shared" si="26"/>
        <v>0</v>
      </c>
      <c r="S56" s="79">
        <f t="shared" si="26"/>
        <v>0</v>
      </c>
      <c r="T56" s="79">
        <f t="shared" si="26"/>
        <v>0</v>
      </c>
      <c r="U56" s="79">
        <f t="shared" si="26"/>
        <v>0</v>
      </c>
      <c r="V56" s="79">
        <f t="shared" si="26"/>
        <v>0</v>
      </c>
      <c r="W56" s="79">
        <f t="shared" si="26"/>
        <v>0</v>
      </c>
      <c r="X56" s="79">
        <f t="shared" si="26"/>
        <v>0</v>
      </c>
      <c r="Y56" s="79">
        <f t="shared" si="26"/>
        <v>0</v>
      </c>
      <c r="Z56" s="79">
        <f t="shared" si="26"/>
        <v>0</v>
      </c>
    </row>
    <row r="57" spans="1:29" x14ac:dyDescent="0.2">
      <c r="C57" s="1" t="s">
        <v>197</v>
      </c>
      <c r="D57" s="35"/>
      <c r="E57" s="35"/>
      <c r="F57" s="77" t="s">
        <v>85</v>
      </c>
      <c r="G57" s="79">
        <f>IF(G55=($E$48-$E$49),($E$48-$E$49),0)</f>
        <v>1355.9322033898306</v>
      </c>
      <c r="H57" s="79">
        <f t="shared" ref="H57:Z57" si="27">IF(H55=($E$48-$E$49),($E$48-$E$49),0)</f>
        <v>1355.9322033898306</v>
      </c>
      <c r="I57" s="79">
        <f t="shared" si="27"/>
        <v>1355.9322033898306</v>
      </c>
      <c r="J57" s="79">
        <f t="shared" si="27"/>
        <v>1355.9322033898306</v>
      </c>
      <c r="K57" s="79">
        <f t="shared" si="27"/>
        <v>1355.9322033898306</v>
      </c>
      <c r="L57" s="79">
        <f t="shared" si="27"/>
        <v>1355.9322033898306</v>
      </c>
      <c r="M57" s="79">
        <f t="shared" si="27"/>
        <v>1355.9322033898306</v>
      </c>
      <c r="N57" s="79">
        <f t="shared" si="27"/>
        <v>1355.9322033898306</v>
      </c>
      <c r="O57" s="79">
        <f t="shared" si="27"/>
        <v>1355.9322033898306</v>
      </c>
      <c r="P57" s="79">
        <f t="shared" si="27"/>
        <v>1355.9322033898306</v>
      </c>
      <c r="Q57" s="79">
        <f t="shared" si="27"/>
        <v>1355.9322033898306</v>
      </c>
      <c r="R57" s="79">
        <f t="shared" si="27"/>
        <v>1355.9322033898306</v>
      </c>
      <c r="S57" s="79">
        <f t="shared" si="27"/>
        <v>1355.9322033898306</v>
      </c>
      <c r="T57" s="79">
        <f t="shared" si="27"/>
        <v>1355.9322033898306</v>
      </c>
      <c r="U57" s="79">
        <f t="shared" si="27"/>
        <v>1355.9322033898306</v>
      </c>
      <c r="V57" s="79">
        <f t="shared" si="27"/>
        <v>1355.9322033898306</v>
      </c>
      <c r="W57" s="79">
        <f t="shared" si="27"/>
        <v>1355.9322033898306</v>
      </c>
      <c r="X57" s="79">
        <f t="shared" si="27"/>
        <v>1355.9322033898306</v>
      </c>
      <c r="Y57" s="79">
        <f t="shared" si="27"/>
        <v>1355.9322033898306</v>
      </c>
      <c r="Z57" s="79">
        <f t="shared" si="27"/>
        <v>1355.9322033898306</v>
      </c>
      <c r="AA57" s="104"/>
    </row>
    <row r="58" spans="1:29" hidden="1" x14ac:dyDescent="0.2">
      <c r="B58" s="63"/>
      <c r="C58" s="90" t="s">
        <v>322</v>
      </c>
      <c r="D58" s="35"/>
      <c r="E58" s="35"/>
      <c r="F58" s="77" t="s">
        <v>85</v>
      </c>
      <c r="G58" s="92">
        <f>G57*$E$51/4</f>
        <v>16.949152542372882</v>
      </c>
      <c r="H58" s="92">
        <f t="shared" ref="H58:Z58" si="28">H57*$E$51/4</f>
        <v>16.949152542372882</v>
      </c>
      <c r="I58" s="92">
        <f t="shared" si="28"/>
        <v>16.949152542372882</v>
      </c>
      <c r="J58" s="92">
        <f t="shared" si="28"/>
        <v>16.949152542372882</v>
      </c>
      <c r="K58" s="92">
        <f t="shared" si="28"/>
        <v>16.949152542372882</v>
      </c>
      <c r="L58" s="92">
        <f t="shared" si="28"/>
        <v>16.949152542372882</v>
      </c>
      <c r="M58" s="92">
        <f t="shared" si="28"/>
        <v>16.949152542372882</v>
      </c>
      <c r="N58" s="92">
        <f t="shared" si="28"/>
        <v>16.949152542372882</v>
      </c>
      <c r="O58" s="92">
        <f t="shared" si="28"/>
        <v>16.949152542372882</v>
      </c>
      <c r="P58" s="92">
        <f t="shared" si="28"/>
        <v>16.949152542372882</v>
      </c>
      <c r="Q58" s="92">
        <f t="shared" si="28"/>
        <v>16.949152542372882</v>
      </c>
      <c r="R58" s="92">
        <f t="shared" si="28"/>
        <v>16.949152542372882</v>
      </c>
      <c r="S58" s="92">
        <f t="shared" si="28"/>
        <v>16.949152542372882</v>
      </c>
      <c r="T58" s="92">
        <f t="shared" si="28"/>
        <v>16.949152542372882</v>
      </c>
      <c r="U58" s="92">
        <f t="shared" si="28"/>
        <v>16.949152542372882</v>
      </c>
      <c r="V58" s="92">
        <f t="shared" si="28"/>
        <v>16.949152542372882</v>
      </c>
      <c r="W58" s="92">
        <f t="shared" si="28"/>
        <v>16.949152542372882</v>
      </c>
      <c r="X58" s="92">
        <f t="shared" si="28"/>
        <v>16.949152542372882</v>
      </c>
      <c r="Y58" s="92">
        <f t="shared" si="28"/>
        <v>16.949152542372882</v>
      </c>
      <c r="Z58" s="92">
        <f t="shared" si="28"/>
        <v>16.949152542372882</v>
      </c>
      <c r="AA58" s="104"/>
    </row>
    <row r="59" spans="1:29" x14ac:dyDescent="0.2">
      <c r="C59" s="1" t="s">
        <v>117</v>
      </c>
      <c r="D59" s="35"/>
      <c r="E59" s="35"/>
      <c r="F59" s="77" t="s">
        <v>85</v>
      </c>
      <c r="G59" s="79">
        <f>IF(AND(G57&gt;0,SUM(G58)&lt;=($E$48-$E$49)),G57*$E$51/4,0)</f>
        <v>16.949152542372882</v>
      </c>
      <c r="H59" s="79">
        <f>IF(AND(H57&gt;0,SUM($G58:H58)&lt;=($E$48-$E$49)),H57*$E$51/4,0)</f>
        <v>16.949152542372882</v>
      </c>
      <c r="I59" s="79">
        <f>IF(AND(I57&gt;0,SUM($G58:I58)&lt;=($E$48-$E$49)),I57*$E$51/4,0)</f>
        <v>16.949152542372882</v>
      </c>
      <c r="J59" s="79">
        <f>IF(AND(J57&gt;0,SUM($G58:J58)&lt;=($E$48-$E$49)),J57*$E$51/4,0)</f>
        <v>16.949152542372882</v>
      </c>
      <c r="K59" s="79">
        <f>IF(AND(K57&gt;0,SUM($G58:K58)&lt;=($E$48-$E$49)),K57*$E$51/4,0)</f>
        <v>16.949152542372882</v>
      </c>
      <c r="L59" s="79">
        <f>IF(AND(L57&gt;0,SUM($G58:L58)&lt;=($E$48-$E$49)),L57*$E$51/4,0)</f>
        <v>16.949152542372882</v>
      </c>
      <c r="M59" s="79">
        <f>IF(AND(M57&gt;0,SUM($G58:M58)&lt;=($E$48-$E$49)),M57*$E$51/4,0)</f>
        <v>16.949152542372882</v>
      </c>
      <c r="N59" s="79">
        <f>IF(AND(N57&gt;0,SUM($G58:N58)&lt;=($E$48-$E$49)),N57*$E$51/4,0)</f>
        <v>16.949152542372882</v>
      </c>
      <c r="O59" s="79">
        <f>IF(AND(O57&gt;0,SUM($G58:O58)&lt;=($E$48-$E$49)),O57*$E$51/4,0)</f>
        <v>16.949152542372882</v>
      </c>
      <c r="P59" s="79">
        <f>IF(AND(P57&gt;0,SUM($G58:P58)&lt;=($E$48-$E$49)),P57*$E$51/4,0)</f>
        <v>16.949152542372882</v>
      </c>
      <c r="Q59" s="79">
        <f>IF(AND(Q57&gt;0,SUM($G58:Q58)&lt;=($E$48-$E$49)),Q57*$E$51/4,0)</f>
        <v>16.949152542372882</v>
      </c>
      <c r="R59" s="79">
        <f>IF(AND(R57&gt;0,SUM($G58:R58)&lt;=($E$48-$E$49)),R57*$E$51/4,0)</f>
        <v>16.949152542372882</v>
      </c>
      <c r="S59" s="79">
        <f>IF(AND(S57&gt;0,SUM($G58:S58)&lt;=($E$48-$E$49)),S57*$E$51/4,0)</f>
        <v>16.949152542372882</v>
      </c>
      <c r="T59" s="79">
        <f>IF(AND(T57&gt;0,SUM($G58:T58)&lt;=($E$48-$E$49)),T57*$E$51/4,0)</f>
        <v>16.949152542372882</v>
      </c>
      <c r="U59" s="79">
        <f>IF(AND(U57&gt;0,SUM($G58:U58)&lt;=($E$48-$E$49)),U57*$E$51/4,0)</f>
        <v>16.949152542372882</v>
      </c>
      <c r="V59" s="79">
        <f>IF(AND(V57&gt;0,SUM($G58:V58)&lt;=($E$48-$E$49)),V57*$E$51/4,0)</f>
        <v>16.949152542372882</v>
      </c>
      <c r="W59" s="79">
        <f>IF(AND(W57&gt;0,SUM($G58:W58)&lt;=($E$48-$E$49)),W57*$E$51/4,0)</f>
        <v>16.949152542372882</v>
      </c>
      <c r="X59" s="79">
        <f>IF(AND(X57&gt;0,SUM($G58:X58)&lt;=($E$48-$E$49)),X57*$E$51/4,0)</f>
        <v>16.949152542372882</v>
      </c>
      <c r="Y59" s="79">
        <f>IF(AND(Y57&gt;0,SUM($G58:Y58)&lt;=($E$48-$E$49)),Y57*$E$51/4,0)</f>
        <v>16.949152542372882</v>
      </c>
      <c r="Z59" s="79">
        <f>IF(AND(Z57&gt;0,SUM($G58:Z58)&lt;=($E$48-$E$49)),Z57*$E$51/4,0)</f>
        <v>16.949152542372882</v>
      </c>
      <c r="AA59" s="104">
        <f>SUM(G59:Z59)</f>
        <v>338.98305084745755</v>
      </c>
    </row>
    <row r="60" spans="1:29" x14ac:dyDescent="0.2">
      <c r="C60" s="1" t="s">
        <v>119</v>
      </c>
      <c r="D60" s="35"/>
      <c r="E60" s="35"/>
      <c r="F60" s="77" t="s">
        <v>85</v>
      </c>
      <c r="G60" s="79">
        <f>G59</f>
        <v>16.949152542372882</v>
      </c>
      <c r="H60" s="79">
        <f>G60+H59</f>
        <v>33.898305084745765</v>
      </c>
      <c r="I60" s="79">
        <f t="shared" ref="I60:Z60" si="29">H60+I59</f>
        <v>50.847457627118644</v>
      </c>
      <c r="J60" s="79">
        <f t="shared" si="29"/>
        <v>67.79661016949153</v>
      </c>
      <c r="K60" s="79">
        <f t="shared" si="29"/>
        <v>84.745762711864415</v>
      </c>
      <c r="L60" s="79">
        <f t="shared" si="29"/>
        <v>101.6949152542373</v>
      </c>
      <c r="M60" s="79">
        <f t="shared" si="29"/>
        <v>118.64406779661019</v>
      </c>
      <c r="N60" s="79">
        <f t="shared" si="29"/>
        <v>135.59322033898306</v>
      </c>
      <c r="O60" s="79">
        <f t="shared" si="29"/>
        <v>152.54237288135593</v>
      </c>
      <c r="P60" s="79">
        <f t="shared" si="29"/>
        <v>169.4915254237288</v>
      </c>
      <c r="Q60" s="79">
        <f t="shared" si="29"/>
        <v>186.44067796610167</v>
      </c>
      <c r="R60" s="79">
        <f t="shared" si="29"/>
        <v>203.38983050847455</v>
      </c>
      <c r="S60" s="79">
        <f t="shared" si="29"/>
        <v>220.33898305084742</v>
      </c>
      <c r="T60" s="79">
        <f t="shared" si="29"/>
        <v>237.28813559322029</v>
      </c>
      <c r="U60" s="79">
        <f t="shared" si="29"/>
        <v>254.23728813559316</v>
      </c>
      <c r="V60" s="79">
        <f t="shared" si="29"/>
        <v>271.18644067796606</v>
      </c>
      <c r="W60" s="79">
        <f t="shared" si="29"/>
        <v>288.13559322033893</v>
      </c>
      <c r="X60" s="79">
        <f t="shared" si="29"/>
        <v>305.0847457627118</v>
      </c>
      <c r="Y60" s="79">
        <f t="shared" si="29"/>
        <v>322.03389830508468</v>
      </c>
      <c r="Z60" s="79">
        <f t="shared" si="29"/>
        <v>338.98305084745755</v>
      </c>
      <c r="AA60" s="104"/>
    </row>
    <row r="61" spans="1:29" x14ac:dyDescent="0.2">
      <c r="C61" s="63" t="s">
        <v>198</v>
      </c>
      <c r="D61" s="35"/>
      <c r="E61" s="35"/>
      <c r="F61" s="77" t="s">
        <v>85</v>
      </c>
      <c r="G61" s="93">
        <f>G57-G60</f>
        <v>1338.9830508474577</v>
      </c>
      <c r="H61" s="93">
        <f t="shared" ref="H61:Z61" si="30">H57-H60</f>
        <v>1322.0338983050849</v>
      </c>
      <c r="I61" s="93">
        <f t="shared" si="30"/>
        <v>1305.0847457627119</v>
      </c>
      <c r="J61" s="93">
        <f t="shared" si="30"/>
        <v>1288.1355932203392</v>
      </c>
      <c r="K61" s="93">
        <f t="shared" si="30"/>
        <v>1271.1864406779662</v>
      </c>
      <c r="L61" s="93">
        <f t="shared" si="30"/>
        <v>1254.2372881355934</v>
      </c>
      <c r="M61" s="93">
        <f t="shared" si="30"/>
        <v>1237.2881355932204</v>
      </c>
      <c r="N61" s="93">
        <f t="shared" si="30"/>
        <v>1220.3389830508477</v>
      </c>
      <c r="O61" s="93">
        <f t="shared" si="30"/>
        <v>1203.3898305084747</v>
      </c>
      <c r="P61" s="93">
        <f t="shared" si="30"/>
        <v>1186.4406779661019</v>
      </c>
      <c r="Q61" s="93">
        <f t="shared" si="30"/>
        <v>1169.4915254237289</v>
      </c>
      <c r="R61" s="93">
        <f t="shared" si="30"/>
        <v>1152.5423728813562</v>
      </c>
      <c r="S61" s="93">
        <f t="shared" si="30"/>
        <v>1135.5932203389832</v>
      </c>
      <c r="T61" s="93">
        <f t="shared" si="30"/>
        <v>1118.6440677966104</v>
      </c>
      <c r="U61" s="93">
        <f t="shared" si="30"/>
        <v>1101.6949152542375</v>
      </c>
      <c r="V61" s="93">
        <f t="shared" si="30"/>
        <v>1084.7457627118647</v>
      </c>
      <c r="W61" s="93">
        <f t="shared" si="30"/>
        <v>1067.7966101694917</v>
      </c>
      <c r="X61" s="93">
        <f t="shared" si="30"/>
        <v>1050.8474576271187</v>
      </c>
      <c r="Y61" s="93">
        <f t="shared" si="30"/>
        <v>1033.898305084746</v>
      </c>
      <c r="Z61" s="93">
        <f t="shared" si="30"/>
        <v>1016.9491525423731</v>
      </c>
    </row>
    <row r="62" spans="1:29" x14ac:dyDescent="0.2">
      <c r="F62" s="77"/>
    </row>
    <row r="63" spans="1:29" hidden="1" x14ac:dyDescent="0.2">
      <c r="A63" s="95"/>
      <c r="B63" s="94" t="s">
        <v>496</v>
      </c>
      <c r="F63" s="77"/>
    </row>
    <row r="64" spans="1:29" s="35" customFormat="1" hidden="1" x14ac:dyDescent="0.2">
      <c r="C64" s="35" t="s">
        <v>113</v>
      </c>
      <c r="E64" s="30">
        <v>0</v>
      </c>
      <c r="F64" s="77" t="s">
        <v>85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99"/>
      <c r="AB64" s="102"/>
      <c r="AC64" s="105"/>
    </row>
    <row r="65" spans="2:29" s="35" customFormat="1" hidden="1" x14ac:dyDescent="0.2">
      <c r="C65" s="43" t="s">
        <v>103</v>
      </c>
      <c r="E65" s="29">
        <f>E64-E64/(1+Окружение!D13)</f>
        <v>0</v>
      </c>
      <c r="F65" s="77" t="s">
        <v>85</v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99"/>
      <c r="AB65" s="102"/>
      <c r="AC65" s="105"/>
    </row>
    <row r="66" spans="2:29" s="35" customFormat="1" hidden="1" x14ac:dyDescent="0.2">
      <c r="C66" s="35" t="s">
        <v>114</v>
      </c>
      <c r="F66" s="77"/>
      <c r="G66" s="47">
        <v>0.05</v>
      </c>
      <c r="H66" s="47">
        <v>0.05</v>
      </c>
      <c r="I66" s="47">
        <v>0.05</v>
      </c>
      <c r="J66" s="47">
        <v>0.05</v>
      </c>
      <c r="K66" s="47">
        <v>0.1</v>
      </c>
      <c r="L66" s="47">
        <v>0.1</v>
      </c>
      <c r="M66" s="47">
        <v>0.1</v>
      </c>
      <c r="N66" s="47">
        <v>0.1</v>
      </c>
      <c r="O66" s="47">
        <v>0.1</v>
      </c>
      <c r="P66" s="47">
        <v>0.1</v>
      </c>
      <c r="Q66" s="47">
        <v>0.1</v>
      </c>
      <c r="R66" s="47">
        <v>0.1</v>
      </c>
      <c r="S66" s="47">
        <v>0</v>
      </c>
      <c r="T66" s="47">
        <v>0</v>
      </c>
      <c r="U66" s="47">
        <v>0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101">
        <f>SUM(G66:Z66)</f>
        <v>0.99999999999999989</v>
      </c>
      <c r="AB66" s="100" t="b">
        <f>AA66=100%</f>
        <v>1</v>
      </c>
      <c r="AC66" s="105"/>
    </row>
    <row r="67" spans="2:29" s="35" customFormat="1" hidden="1" x14ac:dyDescent="0.2">
      <c r="C67" s="1" t="s">
        <v>115</v>
      </c>
      <c r="E67" s="47">
        <v>0.05</v>
      </c>
      <c r="F67" s="77" t="s">
        <v>91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99"/>
      <c r="AB67" s="102"/>
      <c r="AC67" s="105"/>
    </row>
    <row r="68" spans="2:29" s="35" customFormat="1" hidden="1" x14ac:dyDescent="0.2">
      <c r="C68" s="1"/>
      <c r="F68" s="7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97"/>
      <c r="AB68" s="102"/>
      <c r="AC68" s="105"/>
    </row>
    <row r="69" spans="2:29" s="35" customFormat="1" hidden="1" x14ac:dyDescent="0.2">
      <c r="C69" s="1" t="s">
        <v>116</v>
      </c>
      <c r="F69" s="77" t="s">
        <v>85</v>
      </c>
      <c r="G69" s="79">
        <f>$E64*G66</f>
        <v>0</v>
      </c>
      <c r="H69" s="79">
        <f t="shared" ref="H69:Z69" si="31">$E64*H66</f>
        <v>0</v>
      </c>
      <c r="I69" s="79">
        <f t="shared" si="31"/>
        <v>0</v>
      </c>
      <c r="J69" s="79">
        <f t="shared" si="31"/>
        <v>0</v>
      </c>
      <c r="K69" s="79">
        <f t="shared" si="31"/>
        <v>0</v>
      </c>
      <c r="L69" s="79">
        <f t="shared" si="31"/>
        <v>0</v>
      </c>
      <c r="M69" s="79">
        <f t="shared" si="31"/>
        <v>0</v>
      </c>
      <c r="N69" s="79">
        <f t="shared" si="31"/>
        <v>0</v>
      </c>
      <c r="O69" s="79">
        <f t="shared" si="31"/>
        <v>0</v>
      </c>
      <c r="P69" s="79">
        <f t="shared" si="31"/>
        <v>0</v>
      </c>
      <c r="Q69" s="79">
        <f t="shared" si="31"/>
        <v>0</v>
      </c>
      <c r="R69" s="79">
        <f t="shared" si="31"/>
        <v>0</v>
      </c>
      <c r="S69" s="79">
        <f t="shared" si="31"/>
        <v>0</v>
      </c>
      <c r="T69" s="79">
        <f t="shared" si="31"/>
        <v>0</v>
      </c>
      <c r="U69" s="79">
        <f t="shared" si="31"/>
        <v>0</v>
      </c>
      <c r="V69" s="79">
        <f t="shared" si="31"/>
        <v>0</v>
      </c>
      <c r="W69" s="79">
        <f t="shared" si="31"/>
        <v>0</v>
      </c>
      <c r="X69" s="79">
        <f t="shared" si="31"/>
        <v>0</v>
      </c>
      <c r="Y69" s="79">
        <f t="shared" si="31"/>
        <v>0</v>
      </c>
      <c r="Z69" s="79">
        <f t="shared" si="31"/>
        <v>0</v>
      </c>
      <c r="AA69" s="97">
        <f>SUM(G69:Z69)</f>
        <v>0</v>
      </c>
      <c r="AB69" s="100" t="b">
        <f>AA69=E64</f>
        <v>1</v>
      </c>
      <c r="AC69" s="105"/>
    </row>
    <row r="70" spans="2:29" s="35" customFormat="1" hidden="1" x14ac:dyDescent="0.2">
      <c r="C70" s="43" t="s">
        <v>103</v>
      </c>
      <c r="F70" s="77" t="s">
        <v>85</v>
      </c>
      <c r="G70" s="79">
        <f>$E65*G66</f>
        <v>0</v>
      </c>
      <c r="H70" s="79">
        <f t="shared" ref="H70:Z70" si="32">$E65*H66</f>
        <v>0</v>
      </c>
      <c r="I70" s="79">
        <f t="shared" si="32"/>
        <v>0</v>
      </c>
      <c r="J70" s="79">
        <f t="shared" si="32"/>
        <v>0</v>
      </c>
      <c r="K70" s="79">
        <f t="shared" si="32"/>
        <v>0</v>
      </c>
      <c r="L70" s="79">
        <f t="shared" si="32"/>
        <v>0</v>
      </c>
      <c r="M70" s="79">
        <f t="shared" si="32"/>
        <v>0</v>
      </c>
      <c r="N70" s="79">
        <f t="shared" si="32"/>
        <v>0</v>
      </c>
      <c r="O70" s="79">
        <f t="shared" si="32"/>
        <v>0</v>
      </c>
      <c r="P70" s="79">
        <f t="shared" si="32"/>
        <v>0</v>
      </c>
      <c r="Q70" s="79">
        <f t="shared" si="32"/>
        <v>0</v>
      </c>
      <c r="R70" s="79">
        <f t="shared" si="32"/>
        <v>0</v>
      </c>
      <c r="S70" s="79">
        <f t="shared" si="32"/>
        <v>0</v>
      </c>
      <c r="T70" s="79">
        <f t="shared" si="32"/>
        <v>0</v>
      </c>
      <c r="U70" s="79">
        <f t="shared" si="32"/>
        <v>0</v>
      </c>
      <c r="V70" s="79">
        <f t="shared" si="32"/>
        <v>0</v>
      </c>
      <c r="W70" s="79">
        <f t="shared" si="32"/>
        <v>0</v>
      </c>
      <c r="X70" s="79">
        <f t="shared" si="32"/>
        <v>0</v>
      </c>
      <c r="Y70" s="79">
        <f t="shared" si="32"/>
        <v>0</v>
      </c>
      <c r="Z70" s="79">
        <f t="shared" si="32"/>
        <v>0</v>
      </c>
      <c r="AA70" s="104">
        <f>SUM(G70:Z70)</f>
        <v>0</v>
      </c>
      <c r="AB70" s="100" t="b">
        <f>AA70=E65</f>
        <v>1</v>
      </c>
      <c r="AC70" s="105"/>
    </row>
    <row r="71" spans="2:29" s="35" customFormat="1" hidden="1" x14ac:dyDescent="0.2">
      <c r="C71" s="35" t="s">
        <v>199</v>
      </c>
      <c r="F71" s="77" t="s">
        <v>85</v>
      </c>
      <c r="G71" s="79">
        <f>G69-G70</f>
        <v>0</v>
      </c>
      <c r="H71" s="79">
        <f>G71+H69-H70</f>
        <v>0</v>
      </c>
      <c r="I71" s="79">
        <f t="shared" ref="I71:Z71" si="33">H71+I69-I70</f>
        <v>0</v>
      </c>
      <c r="J71" s="79">
        <f t="shared" si="33"/>
        <v>0</v>
      </c>
      <c r="K71" s="79">
        <f t="shared" si="33"/>
        <v>0</v>
      </c>
      <c r="L71" s="79">
        <f t="shared" si="33"/>
        <v>0</v>
      </c>
      <c r="M71" s="79">
        <f t="shared" si="33"/>
        <v>0</v>
      </c>
      <c r="N71" s="79">
        <f t="shared" si="33"/>
        <v>0</v>
      </c>
      <c r="O71" s="79">
        <f t="shared" si="33"/>
        <v>0</v>
      </c>
      <c r="P71" s="79">
        <f t="shared" si="33"/>
        <v>0</v>
      </c>
      <c r="Q71" s="79">
        <f t="shared" si="33"/>
        <v>0</v>
      </c>
      <c r="R71" s="79">
        <f t="shared" si="33"/>
        <v>0</v>
      </c>
      <c r="S71" s="79">
        <f t="shared" si="33"/>
        <v>0</v>
      </c>
      <c r="T71" s="79">
        <f t="shared" si="33"/>
        <v>0</v>
      </c>
      <c r="U71" s="79">
        <f t="shared" si="33"/>
        <v>0</v>
      </c>
      <c r="V71" s="79">
        <f t="shared" si="33"/>
        <v>0</v>
      </c>
      <c r="W71" s="79">
        <f t="shared" si="33"/>
        <v>0</v>
      </c>
      <c r="X71" s="79">
        <f t="shared" si="33"/>
        <v>0</v>
      </c>
      <c r="Y71" s="79">
        <f t="shared" si="33"/>
        <v>0</v>
      </c>
      <c r="Z71" s="79">
        <f t="shared" si="33"/>
        <v>0</v>
      </c>
      <c r="AA71" s="104"/>
      <c r="AB71" s="100"/>
      <c r="AC71" s="105"/>
    </row>
    <row r="72" spans="2:29" s="35" customFormat="1" hidden="1" x14ac:dyDescent="0.2">
      <c r="C72" s="1" t="s">
        <v>186</v>
      </c>
      <c r="F72" s="77" t="s">
        <v>85</v>
      </c>
      <c r="G72" s="79">
        <f>IF(G71&lt;($E$64-$E$65),G71,0)</f>
        <v>0</v>
      </c>
      <c r="H72" s="79">
        <f t="shared" ref="H72:Z72" si="34">IF(H71&lt;($E$64-$E$65),H71,0)</f>
        <v>0</v>
      </c>
      <c r="I72" s="79">
        <f t="shared" si="34"/>
        <v>0</v>
      </c>
      <c r="J72" s="79">
        <f t="shared" si="34"/>
        <v>0</v>
      </c>
      <c r="K72" s="79">
        <f t="shared" si="34"/>
        <v>0</v>
      </c>
      <c r="L72" s="79">
        <f t="shared" si="34"/>
        <v>0</v>
      </c>
      <c r="M72" s="79">
        <f t="shared" si="34"/>
        <v>0</v>
      </c>
      <c r="N72" s="79">
        <f t="shared" si="34"/>
        <v>0</v>
      </c>
      <c r="O72" s="79">
        <f t="shared" si="34"/>
        <v>0</v>
      </c>
      <c r="P72" s="79">
        <f t="shared" si="34"/>
        <v>0</v>
      </c>
      <c r="Q72" s="79">
        <f t="shared" si="34"/>
        <v>0</v>
      </c>
      <c r="R72" s="79">
        <f t="shared" si="34"/>
        <v>0</v>
      </c>
      <c r="S72" s="79">
        <f t="shared" si="34"/>
        <v>0</v>
      </c>
      <c r="T72" s="79">
        <f t="shared" si="34"/>
        <v>0</v>
      </c>
      <c r="U72" s="79">
        <f t="shared" si="34"/>
        <v>0</v>
      </c>
      <c r="V72" s="79">
        <f t="shared" si="34"/>
        <v>0</v>
      </c>
      <c r="W72" s="79">
        <f t="shared" si="34"/>
        <v>0</v>
      </c>
      <c r="X72" s="79">
        <f t="shared" si="34"/>
        <v>0</v>
      </c>
      <c r="Y72" s="79">
        <f t="shared" si="34"/>
        <v>0</v>
      </c>
      <c r="Z72" s="79">
        <f t="shared" si="34"/>
        <v>0</v>
      </c>
      <c r="AA72" s="97"/>
      <c r="AB72" s="102"/>
      <c r="AC72" s="105"/>
    </row>
    <row r="73" spans="2:29" s="35" customFormat="1" hidden="1" x14ac:dyDescent="0.2">
      <c r="C73" s="1" t="s">
        <v>197</v>
      </c>
      <c r="F73" s="77" t="s">
        <v>85</v>
      </c>
      <c r="G73" s="79">
        <f>IF(G71=($E$64-$E$65),($E$64-$E$65),0)</f>
        <v>0</v>
      </c>
      <c r="H73" s="79">
        <f t="shared" ref="H73:Z73" si="35">IF(H71=($E$64-$E$65),($E$64-$E$65),0)</f>
        <v>0</v>
      </c>
      <c r="I73" s="79">
        <f t="shared" si="35"/>
        <v>0</v>
      </c>
      <c r="J73" s="79">
        <f t="shared" si="35"/>
        <v>0</v>
      </c>
      <c r="K73" s="79">
        <f t="shared" si="35"/>
        <v>0</v>
      </c>
      <c r="L73" s="79">
        <f t="shared" si="35"/>
        <v>0</v>
      </c>
      <c r="M73" s="79">
        <f t="shared" si="35"/>
        <v>0</v>
      </c>
      <c r="N73" s="79">
        <f t="shared" si="35"/>
        <v>0</v>
      </c>
      <c r="O73" s="79">
        <f t="shared" si="35"/>
        <v>0</v>
      </c>
      <c r="P73" s="79">
        <f t="shared" si="35"/>
        <v>0</v>
      </c>
      <c r="Q73" s="79">
        <f t="shared" si="35"/>
        <v>0</v>
      </c>
      <c r="R73" s="79">
        <f t="shared" si="35"/>
        <v>0</v>
      </c>
      <c r="S73" s="79">
        <f t="shared" si="35"/>
        <v>0</v>
      </c>
      <c r="T73" s="79">
        <f t="shared" si="35"/>
        <v>0</v>
      </c>
      <c r="U73" s="79">
        <f t="shared" si="35"/>
        <v>0</v>
      </c>
      <c r="V73" s="79">
        <f t="shared" si="35"/>
        <v>0</v>
      </c>
      <c r="W73" s="79">
        <f t="shared" si="35"/>
        <v>0</v>
      </c>
      <c r="X73" s="79">
        <f t="shared" si="35"/>
        <v>0</v>
      </c>
      <c r="Y73" s="79">
        <f t="shared" si="35"/>
        <v>0</v>
      </c>
      <c r="Z73" s="79">
        <f t="shared" si="35"/>
        <v>0</v>
      </c>
      <c r="AA73" s="104"/>
      <c r="AB73" s="102"/>
      <c r="AC73" s="105"/>
    </row>
    <row r="74" spans="2:29" s="35" customFormat="1" hidden="1" x14ac:dyDescent="0.2">
      <c r="C74" s="90" t="s">
        <v>322</v>
      </c>
      <c r="F74" s="77" t="s">
        <v>85</v>
      </c>
      <c r="G74" s="92">
        <f>G73*$E$67/4</f>
        <v>0</v>
      </c>
      <c r="H74" s="92">
        <f t="shared" ref="H74:Z74" si="36">H73*$E$67/4</f>
        <v>0</v>
      </c>
      <c r="I74" s="92">
        <f t="shared" si="36"/>
        <v>0</v>
      </c>
      <c r="J74" s="92">
        <f t="shared" si="36"/>
        <v>0</v>
      </c>
      <c r="K74" s="92">
        <f t="shared" si="36"/>
        <v>0</v>
      </c>
      <c r="L74" s="92">
        <f t="shared" si="36"/>
        <v>0</v>
      </c>
      <c r="M74" s="92">
        <f t="shared" si="36"/>
        <v>0</v>
      </c>
      <c r="N74" s="92">
        <f t="shared" si="36"/>
        <v>0</v>
      </c>
      <c r="O74" s="92">
        <f t="shared" si="36"/>
        <v>0</v>
      </c>
      <c r="P74" s="92">
        <f t="shared" si="36"/>
        <v>0</v>
      </c>
      <c r="Q74" s="92">
        <f t="shared" si="36"/>
        <v>0</v>
      </c>
      <c r="R74" s="92">
        <f t="shared" si="36"/>
        <v>0</v>
      </c>
      <c r="S74" s="92">
        <f t="shared" si="36"/>
        <v>0</v>
      </c>
      <c r="T74" s="92">
        <f t="shared" si="36"/>
        <v>0</v>
      </c>
      <c r="U74" s="92">
        <f t="shared" si="36"/>
        <v>0</v>
      </c>
      <c r="V74" s="92">
        <f t="shared" si="36"/>
        <v>0</v>
      </c>
      <c r="W74" s="92">
        <f t="shared" si="36"/>
        <v>0</v>
      </c>
      <c r="X74" s="92">
        <f t="shared" si="36"/>
        <v>0</v>
      </c>
      <c r="Y74" s="92">
        <f t="shared" si="36"/>
        <v>0</v>
      </c>
      <c r="Z74" s="92">
        <f t="shared" si="36"/>
        <v>0</v>
      </c>
      <c r="AA74" s="104"/>
      <c r="AB74" s="102"/>
      <c r="AC74" s="105"/>
    </row>
    <row r="75" spans="2:29" s="35" customFormat="1" hidden="1" x14ac:dyDescent="0.2">
      <c r="C75" s="1" t="s">
        <v>117</v>
      </c>
      <c r="F75" s="77" t="s">
        <v>85</v>
      </c>
      <c r="G75" s="79">
        <f>IF(AND(G73&gt;0,SUM(G74)&lt;=($E$64-$E$65)),G73*$E$67/4,0)</f>
        <v>0</v>
      </c>
      <c r="H75" s="79">
        <f>IF(AND(H73&gt;0,SUM($G74:H74)&lt;=($E$64-$E$65)),H73*$E$67/4,0)</f>
        <v>0</v>
      </c>
      <c r="I75" s="79">
        <f>IF(AND(I73&gt;0,SUM($G74:I74)&lt;=($E$64-$E$65)),I73*$E$67/4,0)</f>
        <v>0</v>
      </c>
      <c r="J75" s="79">
        <f>IF(AND(J73&gt;0,SUM($G74:J74)&lt;=($E$64-$E$65)),J73*$E$67/4,0)</f>
        <v>0</v>
      </c>
      <c r="K75" s="79">
        <f>IF(AND(K73&gt;0,SUM($G74:K74)&lt;=($E$64-$E$65)),K73*$E$67/4,0)</f>
        <v>0</v>
      </c>
      <c r="L75" s="79">
        <f>IF(AND(L73&gt;0,SUM($G74:L74)&lt;=($E$64-$E$65)),L73*$E$67/4,0)</f>
        <v>0</v>
      </c>
      <c r="M75" s="79">
        <f>IF(AND(M73&gt;0,SUM($G74:M74)&lt;=($E$64-$E$65)),M73*$E$67/4,0)</f>
        <v>0</v>
      </c>
      <c r="N75" s="79">
        <f>IF(AND(N73&gt;0,SUM($G74:N74)&lt;=($E$64-$E$65)),N73*$E$67/4,0)</f>
        <v>0</v>
      </c>
      <c r="O75" s="79">
        <f>IF(AND(O73&gt;0,SUM($G74:O74)&lt;=($E$64-$E$65)),O73*$E$67/4,0)</f>
        <v>0</v>
      </c>
      <c r="P75" s="79">
        <f>IF(AND(P73&gt;0,SUM($G74:P74)&lt;=($E$64-$E$65)),P73*$E$67/4,0)</f>
        <v>0</v>
      </c>
      <c r="Q75" s="79">
        <f>IF(AND(Q73&gt;0,SUM($G74:Q74)&lt;=($E$64-$E$65)),Q73*$E$67/4,0)</f>
        <v>0</v>
      </c>
      <c r="R75" s="79">
        <f>IF(AND(R73&gt;0,SUM($G74:R74)&lt;=($E$64-$E$65)),R73*$E$67/4,0)</f>
        <v>0</v>
      </c>
      <c r="S75" s="79">
        <f>IF(AND(S73&gt;0,SUM($G74:S74)&lt;=($E$64-$E$65)),S73*$E$67/4,0)</f>
        <v>0</v>
      </c>
      <c r="T75" s="79">
        <f>IF(AND(T73&gt;0,SUM($G74:T74)&lt;=($E$64-$E$65)),T73*$E$67/4,0)</f>
        <v>0</v>
      </c>
      <c r="U75" s="79">
        <f>IF(AND(U73&gt;0,SUM($G74:U74)&lt;=($E$64-$E$65)),U73*$E$67/4,0)</f>
        <v>0</v>
      </c>
      <c r="V75" s="79">
        <f>IF(AND(V73&gt;0,SUM($G74:V74)&lt;=($E$64-$E$65)),V73*$E$67/4,0)</f>
        <v>0</v>
      </c>
      <c r="W75" s="79">
        <f>IF(AND(W73&gt;0,SUM($G74:W74)&lt;=($E$64-$E$65)),W73*$E$67/4,0)</f>
        <v>0</v>
      </c>
      <c r="X75" s="79">
        <f>IF(AND(X73&gt;0,SUM($G74:X74)&lt;=($E$64-$E$65)),X73*$E$67/4,0)</f>
        <v>0</v>
      </c>
      <c r="Y75" s="79">
        <f>IF(AND(Y73&gt;0,SUM($G74:Y74)&lt;=($E$64-$E$65)),Y73*$E$67/4,0)</f>
        <v>0</v>
      </c>
      <c r="Z75" s="79">
        <f>IF(AND(Z73&gt;0,SUM($G74:Z74)&lt;=($E$64-$E$65)),Z73*$E$67/4,0)</f>
        <v>0</v>
      </c>
      <c r="AA75" s="104">
        <f>SUM(G75:Z75)</f>
        <v>0</v>
      </c>
      <c r="AB75" s="102"/>
      <c r="AC75" s="105"/>
    </row>
    <row r="76" spans="2:29" s="35" customFormat="1" hidden="1" x14ac:dyDescent="0.2">
      <c r="C76" s="1" t="s">
        <v>119</v>
      </c>
      <c r="F76" s="77" t="s">
        <v>85</v>
      </c>
      <c r="G76" s="79">
        <f>G75</f>
        <v>0</v>
      </c>
      <c r="H76" s="79">
        <f>G76+H75</f>
        <v>0</v>
      </c>
      <c r="I76" s="79">
        <f t="shared" ref="I76:Z76" si="37">H76+I75</f>
        <v>0</v>
      </c>
      <c r="J76" s="79">
        <f t="shared" si="37"/>
        <v>0</v>
      </c>
      <c r="K76" s="79">
        <f t="shared" si="37"/>
        <v>0</v>
      </c>
      <c r="L76" s="79">
        <f t="shared" si="37"/>
        <v>0</v>
      </c>
      <c r="M76" s="79">
        <f t="shared" si="37"/>
        <v>0</v>
      </c>
      <c r="N76" s="79">
        <f t="shared" si="37"/>
        <v>0</v>
      </c>
      <c r="O76" s="79">
        <f t="shared" si="37"/>
        <v>0</v>
      </c>
      <c r="P76" s="79">
        <f t="shared" si="37"/>
        <v>0</v>
      </c>
      <c r="Q76" s="79">
        <f t="shared" si="37"/>
        <v>0</v>
      </c>
      <c r="R76" s="79">
        <f t="shared" si="37"/>
        <v>0</v>
      </c>
      <c r="S76" s="79">
        <f t="shared" si="37"/>
        <v>0</v>
      </c>
      <c r="T76" s="79">
        <f t="shared" si="37"/>
        <v>0</v>
      </c>
      <c r="U76" s="79">
        <f t="shared" si="37"/>
        <v>0</v>
      </c>
      <c r="V76" s="79">
        <f t="shared" si="37"/>
        <v>0</v>
      </c>
      <c r="W76" s="79">
        <f t="shared" si="37"/>
        <v>0</v>
      </c>
      <c r="X76" s="79">
        <f t="shared" si="37"/>
        <v>0</v>
      </c>
      <c r="Y76" s="79">
        <f t="shared" si="37"/>
        <v>0</v>
      </c>
      <c r="Z76" s="79">
        <f t="shared" si="37"/>
        <v>0</v>
      </c>
      <c r="AA76" s="104"/>
      <c r="AB76" s="102"/>
      <c r="AC76" s="105"/>
    </row>
    <row r="77" spans="2:29" s="35" customFormat="1" hidden="1" x14ac:dyDescent="0.2">
      <c r="C77" s="63" t="s">
        <v>198</v>
      </c>
      <c r="F77" s="77" t="s">
        <v>85</v>
      </c>
      <c r="G77" s="93">
        <f>G73-G76</f>
        <v>0</v>
      </c>
      <c r="H77" s="93">
        <f t="shared" ref="H77:Z77" si="38">H73-H76</f>
        <v>0</v>
      </c>
      <c r="I77" s="93">
        <f t="shared" si="38"/>
        <v>0</v>
      </c>
      <c r="J77" s="93">
        <f t="shared" si="38"/>
        <v>0</v>
      </c>
      <c r="K77" s="93">
        <f t="shared" si="38"/>
        <v>0</v>
      </c>
      <c r="L77" s="93">
        <f t="shared" si="38"/>
        <v>0</v>
      </c>
      <c r="M77" s="93">
        <f t="shared" si="38"/>
        <v>0</v>
      </c>
      <c r="N77" s="93">
        <f t="shared" si="38"/>
        <v>0</v>
      </c>
      <c r="O77" s="93">
        <f t="shared" si="38"/>
        <v>0</v>
      </c>
      <c r="P77" s="93">
        <f t="shared" si="38"/>
        <v>0</v>
      </c>
      <c r="Q77" s="93">
        <f t="shared" si="38"/>
        <v>0</v>
      </c>
      <c r="R77" s="93">
        <f t="shared" si="38"/>
        <v>0</v>
      </c>
      <c r="S77" s="93">
        <f t="shared" si="38"/>
        <v>0</v>
      </c>
      <c r="T77" s="93">
        <f t="shared" si="38"/>
        <v>0</v>
      </c>
      <c r="U77" s="93">
        <f t="shared" si="38"/>
        <v>0</v>
      </c>
      <c r="V77" s="93">
        <f t="shared" si="38"/>
        <v>0</v>
      </c>
      <c r="W77" s="93">
        <f t="shared" si="38"/>
        <v>0</v>
      </c>
      <c r="X77" s="93">
        <f t="shared" si="38"/>
        <v>0</v>
      </c>
      <c r="Y77" s="93">
        <f t="shared" si="38"/>
        <v>0</v>
      </c>
      <c r="Z77" s="93">
        <f t="shared" si="38"/>
        <v>0</v>
      </c>
      <c r="AA77" s="97"/>
      <c r="AB77" s="102"/>
      <c r="AC77" s="105"/>
    </row>
    <row r="78" spans="2:29" hidden="1" x14ac:dyDescent="0.2">
      <c r="F78" s="77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2:29" hidden="1" x14ac:dyDescent="0.2">
      <c r="B79" s="94" t="s">
        <v>497</v>
      </c>
      <c r="F79" s="77"/>
    </row>
    <row r="80" spans="2:29" hidden="1" x14ac:dyDescent="0.2">
      <c r="C80" s="35" t="s">
        <v>113</v>
      </c>
      <c r="D80" s="35"/>
      <c r="E80" s="30">
        <v>0</v>
      </c>
      <c r="F80" s="77" t="s">
        <v>85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99"/>
    </row>
    <row r="81" spans="2:29" hidden="1" x14ac:dyDescent="0.2">
      <c r="C81" s="43" t="s">
        <v>103</v>
      </c>
      <c r="D81" s="35"/>
      <c r="E81" s="29">
        <f>E80-E80/(1+Окружение!D13)</f>
        <v>0</v>
      </c>
      <c r="F81" s="77" t="s">
        <v>85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99"/>
    </row>
    <row r="82" spans="2:29" hidden="1" x14ac:dyDescent="0.2">
      <c r="C82" s="35" t="s">
        <v>114</v>
      </c>
      <c r="D82" s="35"/>
      <c r="E82" s="35"/>
      <c r="F82" s="77"/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7">
        <v>0</v>
      </c>
      <c r="R82" s="47">
        <v>0</v>
      </c>
      <c r="S82" s="47">
        <v>0</v>
      </c>
      <c r="T82" s="47">
        <v>0</v>
      </c>
      <c r="U82" s="47">
        <v>0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101">
        <f>SUM(G82:Z82)</f>
        <v>0</v>
      </c>
      <c r="AB82" s="100" t="b">
        <f>AA82=100%</f>
        <v>0</v>
      </c>
    </row>
    <row r="83" spans="2:29" hidden="1" x14ac:dyDescent="0.2">
      <c r="C83" s="1" t="s">
        <v>115</v>
      </c>
      <c r="D83" s="35"/>
      <c r="E83" s="47">
        <v>0</v>
      </c>
      <c r="F83" s="77" t="s">
        <v>91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99"/>
    </row>
    <row r="84" spans="2:29" hidden="1" x14ac:dyDescent="0.2">
      <c r="D84" s="35"/>
      <c r="E84" s="35"/>
      <c r="F84" s="7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2:29" s="35" customFormat="1" hidden="1" x14ac:dyDescent="0.2">
      <c r="C85" s="1" t="s">
        <v>116</v>
      </c>
      <c r="F85" s="77" t="s">
        <v>85</v>
      </c>
      <c r="G85" s="79">
        <f>$E80*G82</f>
        <v>0</v>
      </c>
      <c r="H85" s="79">
        <f t="shared" ref="H85:Z85" si="39">$E80*H82</f>
        <v>0</v>
      </c>
      <c r="I85" s="79">
        <f t="shared" si="39"/>
        <v>0</v>
      </c>
      <c r="J85" s="79">
        <f t="shared" si="39"/>
        <v>0</v>
      </c>
      <c r="K85" s="79">
        <f t="shared" si="39"/>
        <v>0</v>
      </c>
      <c r="L85" s="79">
        <f t="shared" si="39"/>
        <v>0</v>
      </c>
      <c r="M85" s="79">
        <f t="shared" si="39"/>
        <v>0</v>
      </c>
      <c r="N85" s="79">
        <f t="shared" si="39"/>
        <v>0</v>
      </c>
      <c r="O85" s="79">
        <f t="shared" si="39"/>
        <v>0</v>
      </c>
      <c r="P85" s="79">
        <f t="shared" si="39"/>
        <v>0</v>
      </c>
      <c r="Q85" s="79">
        <f t="shared" si="39"/>
        <v>0</v>
      </c>
      <c r="R85" s="79">
        <f t="shared" si="39"/>
        <v>0</v>
      </c>
      <c r="S85" s="79">
        <f t="shared" si="39"/>
        <v>0</v>
      </c>
      <c r="T85" s="79">
        <f t="shared" si="39"/>
        <v>0</v>
      </c>
      <c r="U85" s="79">
        <f t="shared" si="39"/>
        <v>0</v>
      </c>
      <c r="V85" s="79">
        <f t="shared" si="39"/>
        <v>0</v>
      </c>
      <c r="W85" s="79">
        <f t="shared" si="39"/>
        <v>0</v>
      </c>
      <c r="X85" s="79">
        <f t="shared" si="39"/>
        <v>0</v>
      </c>
      <c r="Y85" s="79">
        <f t="shared" si="39"/>
        <v>0</v>
      </c>
      <c r="Z85" s="79">
        <f t="shared" si="39"/>
        <v>0</v>
      </c>
      <c r="AA85" s="97">
        <f>SUM(G85:Z85)</f>
        <v>0</v>
      </c>
      <c r="AB85" s="100" t="b">
        <f>AA85=E80</f>
        <v>1</v>
      </c>
      <c r="AC85" s="105"/>
    </row>
    <row r="86" spans="2:29" hidden="1" x14ac:dyDescent="0.2">
      <c r="C86" s="43" t="s">
        <v>103</v>
      </c>
      <c r="D86" s="35"/>
      <c r="E86" s="35"/>
      <c r="F86" s="77" t="s">
        <v>85</v>
      </c>
      <c r="G86" s="79">
        <f>$E81*G82</f>
        <v>0</v>
      </c>
      <c r="H86" s="79">
        <f t="shared" ref="H86:Z86" si="40">$E81*H82</f>
        <v>0</v>
      </c>
      <c r="I86" s="79">
        <f t="shared" si="40"/>
        <v>0</v>
      </c>
      <c r="J86" s="79">
        <f t="shared" si="40"/>
        <v>0</v>
      </c>
      <c r="K86" s="79">
        <f t="shared" si="40"/>
        <v>0</v>
      </c>
      <c r="L86" s="79">
        <f t="shared" si="40"/>
        <v>0</v>
      </c>
      <c r="M86" s="79">
        <f t="shared" si="40"/>
        <v>0</v>
      </c>
      <c r="N86" s="79">
        <f t="shared" si="40"/>
        <v>0</v>
      </c>
      <c r="O86" s="79">
        <f t="shared" si="40"/>
        <v>0</v>
      </c>
      <c r="P86" s="79">
        <f t="shared" si="40"/>
        <v>0</v>
      </c>
      <c r="Q86" s="79">
        <f t="shared" si="40"/>
        <v>0</v>
      </c>
      <c r="R86" s="79">
        <f t="shared" si="40"/>
        <v>0</v>
      </c>
      <c r="S86" s="79">
        <f t="shared" si="40"/>
        <v>0</v>
      </c>
      <c r="T86" s="79">
        <f t="shared" si="40"/>
        <v>0</v>
      </c>
      <c r="U86" s="79">
        <f t="shared" si="40"/>
        <v>0</v>
      </c>
      <c r="V86" s="79">
        <f t="shared" si="40"/>
        <v>0</v>
      </c>
      <c r="W86" s="79">
        <f t="shared" si="40"/>
        <v>0</v>
      </c>
      <c r="X86" s="79">
        <f t="shared" si="40"/>
        <v>0</v>
      </c>
      <c r="Y86" s="79">
        <f t="shared" si="40"/>
        <v>0</v>
      </c>
      <c r="Z86" s="79">
        <f t="shared" si="40"/>
        <v>0</v>
      </c>
      <c r="AA86" s="104">
        <f>SUM(G86:Z86)</f>
        <v>0</v>
      </c>
      <c r="AB86" s="100" t="b">
        <f>AA86=E81</f>
        <v>1</v>
      </c>
    </row>
    <row r="87" spans="2:29" hidden="1" x14ac:dyDescent="0.2">
      <c r="C87" s="35" t="s">
        <v>199</v>
      </c>
      <c r="D87" s="35"/>
      <c r="E87" s="35"/>
      <c r="F87" s="77" t="s">
        <v>85</v>
      </c>
      <c r="G87" s="79">
        <f>G85-G86</f>
        <v>0</v>
      </c>
      <c r="H87" s="79">
        <f>G87+H85-H86</f>
        <v>0</v>
      </c>
      <c r="I87" s="79">
        <f t="shared" ref="I87:Z87" si="41">H87+I85-I86</f>
        <v>0</v>
      </c>
      <c r="J87" s="79">
        <f t="shared" si="41"/>
        <v>0</v>
      </c>
      <c r="K87" s="79">
        <f t="shared" si="41"/>
        <v>0</v>
      </c>
      <c r="L87" s="79">
        <f t="shared" si="41"/>
        <v>0</v>
      </c>
      <c r="M87" s="79">
        <f t="shared" si="41"/>
        <v>0</v>
      </c>
      <c r="N87" s="79">
        <f t="shared" si="41"/>
        <v>0</v>
      </c>
      <c r="O87" s="79">
        <f t="shared" si="41"/>
        <v>0</v>
      </c>
      <c r="P87" s="79">
        <f t="shared" si="41"/>
        <v>0</v>
      </c>
      <c r="Q87" s="79">
        <f t="shared" si="41"/>
        <v>0</v>
      </c>
      <c r="R87" s="79">
        <f t="shared" si="41"/>
        <v>0</v>
      </c>
      <c r="S87" s="79">
        <f t="shared" si="41"/>
        <v>0</v>
      </c>
      <c r="T87" s="79">
        <f t="shared" si="41"/>
        <v>0</v>
      </c>
      <c r="U87" s="79">
        <f t="shared" si="41"/>
        <v>0</v>
      </c>
      <c r="V87" s="79">
        <f t="shared" si="41"/>
        <v>0</v>
      </c>
      <c r="W87" s="79">
        <f t="shared" si="41"/>
        <v>0</v>
      </c>
      <c r="X87" s="79">
        <f t="shared" si="41"/>
        <v>0</v>
      </c>
      <c r="Y87" s="79">
        <f t="shared" si="41"/>
        <v>0</v>
      </c>
      <c r="Z87" s="79">
        <f t="shared" si="41"/>
        <v>0</v>
      </c>
      <c r="AA87" s="104"/>
      <c r="AB87" s="100"/>
    </row>
    <row r="88" spans="2:29" hidden="1" x14ac:dyDescent="0.2">
      <c r="C88" s="1" t="s">
        <v>186</v>
      </c>
      <c r="D88" s="35"/>
      <c r="E88" s="35"/>
      <c r="F88" s="77" t="s">
        <v>85</v>
      </c>
      <c r="G88" s="79">
        <f>IF(G87&lt;($E$80-$E$81),G87,0)</f>
        <v>0</v>
      </c>
      <c r="H88" s="79">
        <f t="shared" ref="H88:Z88" si="42">IF(H87&lt;($E$80-$E$81),H87,0)</f>
        <v>0</v>
      </c>
      <c r="I88" s="79">
        <f t="shared" si="42"/>
        <v>0</v>
      </c>
      <c r="J88" s="79">
        <f t="shared" si="42"/>
        <v>0</v>
      </c>
      <c r="K88" s="79">
        <f t="shared" si="42"/>
        <v>0</v>
      </c>
      <c r="L88" s="79">
        <f t="shared" si="42"/>
        <v>0</v>
      </c>
      <c r="M88" s="79">
        <f t="shared" si="42"/>
        <v>0</v>
      </c>
      <c r="N88" s="79">
        <f t="shared" si="42"/>
        <v>0</v>
      </c>
      <c r="O88" s="79">
        <f t="shared" si="42"/>
        <v>0</v>
      </c>
      <c r="P88" s="79">
        <f t="shared" si="42"/>
        <v>0</v>
      </c>
      <c r="Q88" s="79">
        <f t="shared" si="42"/>
        <v>0</v>
      </c>
      <c r="R88" s="79">
        <f t="shared" si="42"/>
        <v>0</v>
      </c>
      <c r="S88" s="79">
        <f t="shared" si="42"/>
        <v>0</v>
      </c>
      <c r="T88" s="79">
        <f t="shared" si="42"/>
        <v>0</v>
      </c>
      <c r="U88" s="79">
        <f t="shared" si="42"/>
        <v>0</v>
      </c>
      <c r="V88" s="79">
        <f t="shared" si="42"/>
        <v>0</v>
      </c>
      <c r="W88" s="79">
        <f t="shared" si="42"/>
        <v>0</v>
      </c>
      <c r="X88" s="79">
        <f t="shared" si="42"/>
        <v>0</v>
      </c>
      <c r="Y88" s="79">
        <f t="shared" si="42"/>
        <v>0</v>
      </c>
      <c r="Z88" s="79">
        <f t="shared" si="42"/>
        <v>0</v>
      </c>
    </row>
    <row r="89" spans="2:29" hidden="1" x14ac:dyDescent="0.2">
      <c r="C89" s="1" t="s">
        <v>197</v>
      </c>
      <c r="D89" s="35"/>
      <c r="E89" s="35"/>
      <c r="F89" s="77" t="s">
        <v>85</v>
      </c>
      <c r="G89" s="79">
        <f>IF(G87=($E$80-$E$81),($E$80-$E$81),0)</f>
        <v>0</v>
      </c>
      <c r="H89" s="79">
        <f t="shared" ref="H89:Z89" si="43">IF(H87=($E$80-$E$81),($E$80-$E$81),0)</f>
        <v>0</v>
      </c>
      <c r="I89" s="79">
        <f t="shared" si="43"/>
        <v>0</v>
      </c>
      <c r="J89" s="79">
        <f t="shared" si="43"/>
        <v>0</v>
      </c>
      <c r="K89" s="79">
        <f t="shared" si="43"/>
        <v>0</v>
      </c>
      <c r="L89" s="79">
        <f t="shared" si="43"/>
        <v>0</v>
      </c>
      <c r="M89" s="79">
        <f t="shared" si="43"/>
        <v>0</v>
      </c>
      <c r="N89" s="79">
        <f t="shared" si="43"/>
        <v>0</v>
      </c>
      <c r="O89" s="79">
        <f t="shared" si="43"/>
        <v>0</v>
      </c>
      <c r="P89" s="79">
        <f t="shared" si="43"/>
        <v>0</v>
      </c>
      <c r="Q89" s="79">
        <f t="shared" si="43"/>
        <v>0</v>
      </c>
      <c r="R89" s="79">
        <f t="shared" si="43"/>
        <v>0</v>
      </c>
      <c r="S89" s="79">
        <f t="shared" si="43"/>
        <v>0</v>
      </c>
      <c r="T89" s="79">
        <f t="shared" si="43"/>
        <v>0</v>
      </c>
      <c r="U89" s="79">
        <f t="shared" si="43"/>
        <v>0</v>
      </c>
      <c r="V89" s="79">
        <f t="shared" si="43"/>
        <v>0</v>
      </c>
      <c r="W89" s="79">
        <f t="shared" si="43"/>
        <v>0</v>
      </c>
      <c r="X89" s="79">
        <f t="shared" si="43"/>
        <v>0</v>
      </c>
      <c r="Y89" s="79">
        <f t="shared" si="43"/>
        <v>0</v>
      </c>
      <c r="Z89" s="79">
        <f t="shared" si="43"/>
        <v>0</v>
      </c>
      <c r="AA89" s="104"/>
    </row>
    <row r="90" spans="2:29" hidden="1" x14ac:dyDescent="0.2">
      <c r="C90" s="90" t="s">
        <v>322</v>
      </c>
      <c r="D90" s="35"/>
      <c r="E90" s="35"/>
      <c r="F90" s="77" t="s">
        <v>85</v>
      </c>
      <c r="G90" s="92">
        <f>G89*$E$83/4</f>
        <v>0</v>
      </c>
      <c r="H90" s="92">
        <f t="shared" ref="H90:Z90" si="44">H89*$E$83/4</f>
        <v>0</v>
      </c>
      <c r="I90" s="92">
        <f t="shared" si="44"/>
        <v>0</v>
      </c>
      <c r="J90" s="92">
        <f t="shared" si="44"/>
        <v>0</v>
      </c>
      <c r="K90" s="92">
        <f t="shared" si="44"/>
        <v>0</v>
      </c>
      <c r="L90" s="92">
        <f t="shared" si="44"/>
        <v>0</v>
      </c>
      <c r="M90" s="92">
        <f t="shared" si="44"/>
        <v>0</v>
      </c>
      <c r="N90" s="92">
        <f t="shared" si="44"/>
        <v>0</v>
      </c>
      <c r="O90" s="92">
        <f t="shared" si="44"/>
        <v>0</v>
      </c>
      <c r="P90" s="92">
        <f t="shared" si="44"/>
        <v>0</v>
      </c>
      <c r="Q90" s="92">
        <f t="shared" si="44"/>
        <v>0</v>
      </c>
      <c r="R90" s="92">
        <f t="shared" si="44"/>
        <v>0</v>
      </c>
      <c r="S90" s="92">
        <f t="shared" si="44"/>
        <v>0</v>
      </c>
      <c r="T90" s="92">
        <f t="shared" si="44"/>
        <v>0</v>
      </c>
      <c r="U90" s="92">
        <f t="shared" si="44"/>
        <v>0</v>
      </c>
      <c r="V90" s="92">
        <f t="shared" si="44"/>
        <v>0</v>
      </c>
      <c r="W90" s="92">
        <f t="shared" si="44"/>
        <v>0</v>
      </c>
      <c r="X90" s="92">
        <f t="shared" si="44"/>
        <v>0</v>
      </c>
      <c r="Y90" s="92">
        <f t="shared" si="44"/>
        <v>0</v>
      </c>
      <c r="Z90" s="92">
        <f t="shared" si="44"/>
        <v>0</v>
      </c>
      <c r="AA90" s="104"/>
    </row>
    <row r="91" spans="2:29" hidden="1" x14ac:dyDescent="0.2">
      <c r="C91" s="1" t="s">
        <v>117</v>
      </c>
      <c r="D91" s="35"/>
      <c r="E91" s="35"/>
      <c r="F91" s="77" t="s">
        <v>85</v>
      </c>
      <c r="G91" s="79">
        <f>IF(AND(G89&gt;0,SUM(G90)&lt;=($E$80-$E$81)),G89*$E$83/4,0)</f>
        <v>0</v>
      </c>
      <c r="H91" s="79">
        <f>IF(AND(H89&gt;0,SUM($G90:H90)&lt;=($E$80-$E$81)),H89*$E$83/4,0)</f>
        <v>0</v>
      </c>
      <c r="I91" s="79">
        <f>IF(AND(I89&gt;0,SUM($G90:I90)&lt;=($E$80-$E$81)),I89*$E$83/4,0)</f>
        <v>0</v>
      </c>
      <c r="J91" s="79">
        <f>IF(AND(J89&gt;0,SUM($G90:J90)&lt;=($E$80-$E$81)),J89*$E$83/4,0)</f>
        <v>0</v>
      </c>
      <c r="K91" s="79">
        <f>IF(AND(K89&gt;0,SUM($G90:K90)&lt;=($E$80-$E$81)),K89*$E$83/4,0)</f>
        <v>0</v>
      </c>
      <c r="L91" s="79">
        <f>IF(AND(L89&gt;0,SUM($G90:L90)&lt;=($E$80-$E$81)),L89*$E$83/4,0)</f>
        <v>0</v>
      </c>
      <c r="M91" s="79">
        <f>IF(AND(M89&gt;0,SUM($G90:M90)&lt;=($E$80-$E$81)),M89*$E$83/4,0)</f>
        <v>0</v>
      </c>
      <c r="N91" s="79">
        <f>IF(AND(N89&gt;0,SUM($G90:N90)&lt;=($E$80-$E$81)),N89*$E$83/4,0)</f>
        <v>0</v>
      </c>
      <c r="O91" s="79">
        <f>IF(AND(O89&gt;0,SUM($G90:O90)&lt;=($E$80-$E$81)),O89*$E$83/4,0)</f>
        <v>0</v>
      </c>
      <c r="P91" s="79">
        <f>IF(AND(P89&gt;0,SUM($G90:P90)&lt;=($E$80-$E$81)),P89*$E$83/4,0)</f>
        <v>0</v>
      </c>
      <c r="Q91" s="79">
        <f>IF(AND(Q89&gt;0,SUM($G90:Q90)&lt;=($E$80-$E$81)),Q89*$E$83/4,0)</f>
        <v>0</v>
      </c>
      <c r="R91" s="79">
        <f>IF(AND(R89&gt;0,SUM($G90:R90)&lt;=($E$80-$E$81)),R89*$E$83/4,0)</f>
        <v>0</v>
      </c>
      <c r="S91" s="79">
        <f>IF(AND(S89&gt;0,SUM($G90:S90)&lt;=($E$80-$E$81)),S89*$E$83/4,0)</f>
        <v>0</v>
      </c>
      <c r="T91" s="79">
        <f>IF(AND(T89&gt;0,SUM($G90:T90)&lt;=($E$80-$E$81)),T89*$E$83/4,0)</f>
        <v>0</v>
      </c>
      <c r="U91" s="79">
        <f>IF(AND(U89&gt;0,SUM($G90:U90)&lt;=($E$80-$E$81)),U89*$E$83/4,0)</f>
        <v>0</v>
      </c>
      <c r="V91" s="79">
        <f>IF(AND(V89&gt;0,SUM($G90:V90)&lt;=($E$80-$E$81)),V89*$E$83/4,0)</f>
        <v>0</v>
      </c>
      <c r="W91" s="79">
        <f>IF(AND(W89&gt;0,SUM($G90:W90)&lt;=($E$80-$E$81)),W89*$E$83/4,0)</f>
        <v>0</v>
      </c>
      <c r="X91" s="79">
        <f>IF(AND(X89&gt;0,SUM($G90:X90)&lt;=($E$80-$E$81)),X89*$E$83/4,0)</f>
        <v>0</v>
      </c>
      <c r="Y91" s="79">
        <f>IF(AND(Y89&gt;0,SUM($G90:Y90)&lt;=($E$80-$E$81)),Y89*$E$83/4,0)</f>
        <v>0</v>
      </c>
      <c r="Z91" s="79">
        <f>IF(AND(Z89&gt;0,SUM($G90:Z90)&lt;=($E$80-$E$81)),Z89*$E$83/4,0)</f>
        <v>0</v>
      </c>
      <c r="AA91" s="104">
        <f>SUM(G91:Z91)</f>
        <v>0</v>
      </c>
    </row>
    <row r="92" spans="2:29" hidden="1" x14ac:dyDescent="0.2">
      <c r="C92" s="1" t="s">
        <v>119</v>
      </c>
      <c r="D92" s="35"/>
      <c r="E92" s="35"/>
      <c r="F92" s="77" t="s">
        <v>85</v>
      </c>
      <c r="G92" s="79">
        <f>G91</f>
        <v>0</v>
      </c>
      <c r="H92" s="79">
        <f>G92+H91</f>
        <v>0</v>
      </c>
      <c r="I92" s="79">
        <f t="shared" ref="I92:Z92" si="45">H92+I91</f>
        <v>0</v>
      </c>
      <c r="J92" s="79">
        <f t="shared" si="45"/>
        <v>0</v>
      </c>
      <c r="K92" s="79">
        <f t="shared" si="45"/>
        <v>0</v>
      </c>
      <c r="L92" s="79">
        <f t="shared" si="45"/>
        <v>0</v>
      </c>
      <c r="M92" s="79">
        <f t="shared" si="45"/>
        <v>0</v>
      </c>
      <c r="N92" s="79">
        <f t="shared" si="45"/>
        <v>0</v>
      </c>
      <c r="O92" s="79">
        <f t="shared" si="45"/>
        <v>0</v>
      </c>
      <c r="P92" s="79">
        <f t="shared" si="45"/>
        <v>0</v>
      </c>
      <c r="Q92" s="79">
        <f t="shared" si="45"/>
        <v>0</v>
      </c>
      <c r="R92" s="79">
        <f t="shared" si="45"/>
        <v>0</v>
      </c>
      <c r="S92" s="79">
        <f t="shared" si="45"/>
        <v>0</v>
      </c>
      <c r="T92" s="79">
        <f t="shared" si="45"/>
        <v>0</v>
      </c>
      <c r="U92" s="79">
        <f t="shared" si="45"/>
        <v>0</v>
      </c>
      <c r="V92" s="79">
        <f t="shared" si="45"/>
        <v>0</v>
      </c>
      <c r="W92" s="79">
        <f t="shared" si="45"/>
        <v>0</v>
      </c>
      <c r="X92" s="79">
        <f t="shared" si="45"/>
        <v>0</v>
      </c>
      <c r="Y92" s="79">
        <f t="shared" si="45"/>
        <v>0</v>
      </c>
      <c r="Z92" s="79">
        <f t="shared" si="45"/>
        <v>0</v>
      </c>
      <c r="AA92" s="104"/>
    </row>
    <row r="93" spans="2:29" hidden="1" x14ac:dyDescent="0.2">
      <c r="C93" s="63" t="s">
        <v>198</v>
      </c>
      <c r="D93" s="35"/>
      <c r="E93" s="35"/>
      <c r="F93" s="77" t="s">
        <v>85</v>
      </c>
      <c r="G93" s="93">
        <f>G89-G92</f>
        <v>0</v>
      </c>
      <c r="H93" s="93">
        <f t="shared" ref="H93:Z93" si="46">H89-H92</f>
        <v>0</v>
      </c>
      <c r="I93" s="93">
        <f t="shared" si="46"/>
        <v>0</v>
      </c>
      <c r="J93" s="93">
        <f t="shared" si="46"/>
        <v>0</v>
      </c>
      <c r="K93" s="93">
        <f t="shared" si="46"/>
        <v>0</v>
      </c>
      <c r="L93" s="93">
        <f t="shared" si="46"/>
        <v>0</v>
      </c>
      <c r="M93" s="93">
        <f t="shared" si="46"/>
        <v>0</v>
      </c>
      <c r="N93" s="93">
        <f t="shared" si="46"/>
        <v>0</v>
      </c>
      <c r="O93" s="93">
        <f t="shared" si="46"/>
        <v>0</v>
      </c>
      <c r="P93" s="93">
        <f t="shared" si="46"/>
        <v>0</v>
      </c>
      <c r="Q93" s="93">
        <f t="shared" si="46"/>
        <v>0</v>
      </c>
      <c r="R93" s="93">
        <f t="shared" si="46"/>
        <v>0</v>
      </c>
      <c r="S93" s="93">
        <f t="shared" si="46"/>
        <v>0</v>
      </c>
      <c r="T93" s="93">
        <f t="shared" si="46"/>
        <v>0</v>
      </c>
      <c r="U93" s="93">
        <f t="shared" si="46"/>
        <v>0</v>
      </c>
      <c r="V93" s="93">
        <f t="shared" si="46"/>
        <v>0</v>
      </c>
      <c r="W93" s="93">
        <f t="shared" si="46"/>
        <v>0</v>
      </c>
      <c r="X93" s="93">
        <f t="shared" si="46"/>
        <v>0</v>
      </c>
      <c r="Y93" s="93">
        <f t="shared" si="46"/>
        <v>0</v>
      </c>
      <c r="Z93" s="93">
        <f t="shared" si="46"/>
        <v>0</v>
      </c>
    </row>
    <row r="94" spans="2:29" hidden="1" x14ac:dyDescent="0.2">
      <c r="B94" s="94"/>
      <c r="F94" s="77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C94" s="102"/>
    </row>
    <row r="95" spans="2:29" s="35" customFormat="1" x14ac:dyDescent="0.2">
      <c r="B95" s="27" t="s">
        <v>78</v>
      </c>
      <c r="F95" s="77"/>
      <c r="AA95" s="99"/>
      <c r="AB95" s="100"/>
      <c r="AC95" s="105"/>
    </row>
    <row r="96" spans="2:29" x14ac:dyDescent="0.2">
      <c r="C96" s="27" t="s">
        <v>116</v>
      </c>
      <c r="F96" s="77" t="s">
        <v>85</v>
      </c>
      <c r="G96" s="15">
        <f>G37+G53+G69+G85</f>
        <v>3150</v>
      </c>
      <c r="H96" s="15">
        <f t="shared" ref="H96:Z96" si="47">H37+H53+H69+H85</f>
        <v>0</v>
      </c>
      <c r="I96" s="15">
        <f t="shared" si="47"/>
        <v>0</v>
      </c>
      <c r="J96" s="15">
        <f t="shared" si="47"/>
        <v>0</v>
      </c>
      <c r="K96" s="15">
        <f t="shared" si="47"/>
        <v>0</v>
      </c>
      <c r="L96" s="15">
        <f t="shared" si="47"/>
        <v>0</v>
      </c>
      <c r="M96" s="15">
        <f t="shared" si="47"/>
        <v>0</v>
      </c>
      <c r="N96" s="15">
        <f t="shared" si="47"/>
        <v>0</v>
      </c>
      <c r="O96" s="15">
        <f t="shared" si="47"/>
        <v>0</v>
      </c>
      <c r="P96" s="15">
        <f t="shared" si="47"/>
        <v>0</v>
      </c>
      <c r="Q96" s="15">
        <f t="shared" si="47"/>
        <v>0</v>
      </c>
      <c r="R96" s="15">
        <f t="shared" si="47"/>
        <v>0</v>
      </c>
      <c r="S96" s="15">
        <f t="shared" si="47"/>
        <v>0</v>
      </c>
      <c r="T96" s="15">
        <f t="shared" si="47"/>
        <v>0</v>
      </c>
      <c r="U96" s="15">
        <f t="shared" si="47"/>
        <v>0</v>
      </c>
      <c r="V96" s="15">
        <f t="shared" si="47"/>
        <v>0</v>
      </c>
      <c r="W96" s="15">
        <f t="shared" si="47"/>
        <v>0</v>
      </c>
      <c r="X96" s="15">
        <f t="shared" si="47"/>
        <v>0</v>
      </c>
      <c r="Y96" s="15">
        <f t="shared" si="47"/>
        <v>0</v>
      </c>
      <c r="Z96" s="15">
        <f t="shared" si="47"/>
        <v>0</v>
      </c>
      <c r="AA96" s="104">
        <f>SUM(G96:Z96)</f>
        <v>3150</v>
      </c>
      <c r="AB96" s="102" t="b">
        <f>AA96=(E32+E48+E64+E80)</f>
        <v>1</v>
      </c>
    </row>
    <row r="97" spans="3:29" x14ac:dyDescent="0.2">
      <c r="C97" s="1" t="s">
        <v>103</v>
      </c>
      <c r="F97" s="77" t="s">
        <v>85</v>
      </c>
      <c r="G97" s="15">
        <f>G38+G54+G70+G86</f>
        <v>480.50847457627106</v>
      </c>
      <c r="H97" s="15">
        <f t="shared" ref="H97:Z97" si="48">H38+H54+H70+H86</f>
        <v>0</v>
      </c>
      <c r="I97" s="15">
        <f t="shared" si="48"/>
        <v>0</v>
      </c>
      <c r="J97" s="15">
        <f t="shared" si="48"/>
        <v>0</v>
      </c>
      <c r="K97" s="15">
        <f t="shared" si="48"/>
        <v>0</v>
      </c>
      <c r="L97" s="15">
        <f t="shared" si="48"/>
        <v>0</v>
      </c>
      <c r="M97" s="15">
        <f t="shared" si="48"/>
        <v>0</v>
      </c>
      <c r="N97" s="15">
        <f t="shared" si="48"/>
        <v>0</v>
      </c>
      <c r="O97" s="15">
        <f t="shared" si="48"/>
        <v>0</v>
      </c>
      <c r="P97" s="15">
        <f t="shared" si="48"/>
        <v>0</v>
      </c>
      <c r="Q97" s="15">
        <f t="shared" si="48"/>
        <v>0</v>
      </c>
      <c r="R97" s="15">
        <f t="shared" si="48"/>
        <v>0</v>
      </c>
      <c r="S97" s="15">
        <f t="shared" si="48"/>
        <v>0</v>
      </c>
      <c r="T97" s="15">
        <f t="shared" si="48"/>
        <v>0</v>
      </c>
      <c r="U97" s="15">
        <f t="shared" si="48"/>
        <v>0</v>
      </c>
      <c r="V97" s="15">
        <f t="shared" si="48"/>
        <v>0</v>
      </c>
      <c r="W97" s="15">
        <f t="shared" si="48"/>
        <v>0</v>
      </c>
      <c r="X97" s="15">
        <f t="shared" si="48"/>
        <v>0</v>
      </c>
      <c r="Y97" s="15">
        <f t="shared" si="48"/>
        <v>0</v>
      </c>
      <c r="Z97" s="15">
        <f t="shared" si="48"/>
        <v>0</v>
      </c>
      <c r="AA97" s="104">
        <f>SUM(G97:Z97)</f>
        <v>480.50847457627106</v>
      </c>
      <c r="AB97" s="102" t="b">
        <f>AA97=(E33+E49+E65+E81)</f>
        <v>1</v>
      </c>
    </row>
    <row r="98" spans="3:29" x14ac:dyDescent="0.2">
      <c r="C98" s="1" t="s">
        <v>186</v>
      </c>
      <c r="F98" s="77" t="s">
        <v>85</v>
      </c>
      <c r="G98" s="15">
        <f>G40+G56+G72+G88</f>
        <v>0</v>
      </c>
      <c r="H98" s="15">
        <f t="shared" ref="H98:Z98" si="49">H40+H56+H72+H88</f>
        <v>0</v>
      </c>
      <c r="I98" s="15">
        <f t="shared" si="49"/>
        <v>0</v>
      </c>
      <c r="J98" s="15">
        <f t="shared" si="49"/>
        <v>0</v>
      </c>
      <c r="K98" s="15">
        <f t="shared" si="49"/>
        <v>0</v>
      </c>
      <c r="L98" s="15">
        <f t="shared" si="49"/>
        <v>0</v>
      </c>
      <c r="M98" s="15">
        <f t="shared" si="49"/>
        <v>0</v>
      </c>
      <c r="N98" s="15">
        <f t="shared" si="49"/>
        <v>0</v>
      </c>
      <c r="O98" s="15">
        <f t="shared" si="49"/>
        <v>0</v>
      </c>
      <c r="P98" s="15">
        <f t="shared" si="49"/>
        <v>0</v>
      </c>
      <c r="Q98" s="15">
        <f t="shared" si="49"/>
        <v>0</v>
      </c>
      <c r="R98" s="15">
        <f t="shared" si="49"/>
        <v>0</v>
      </c>
      <c r="S98" s="15">
        <f t="shared" si="49"/>
        <v>0</v>
      </c>
      <c r="T98" s="15">
        <f t="shared" si="49"/>
        <v>0</v>
      </c>
      <c r="U98" s="15">
        <f t="shared" si="49"/>
        <v>0</v>
      </c>
      <c r="V98" s="15">
        <f t="shared" si="49"/>
        <v>0</v>
      </c>
      <c r="W98" s="15">
        <f t="shared" si="49"/>
        <v>0</v>
      </c>
      <c r="X98" s="15">
        <f t="shared" si="49"/>
        <v>0</v>
      </c>
      <c r="Y98" s="15">
        <f t="shared" si="49"/>
        <v>0</v>
      </c>
      <c r="Z98" s="15">
        <f t="shared" si="49"/>
        <v>0</v>
      </c>
      <c r="AA98" s="104"/>
    </row>
    <row r="99" spans="3:29" x14ac:dyDescent="0.2">
      <c r="C99" s="27" t="s">
        <v>197</v>
      </c>
      <c r="F99" s="77" t="s">
        <v>85</v>
      </c>
      <c r="G99" s="15">
        <f>G41+G57+G73+G89</f>
        <v>2669.4915254237289</v>
      </c>
      <c r="H99" s="15">
        <f t="shared" ref="H99:Z99" si="50">H41+H57+H73+H89</f>
        <v>2669.4915254237289</v>
      </c>
      <c r="I99" s="15">
        <f t="shared" si="50"/>
        <v>2669.4915254237289</v>
      </c>
      <c r="J99" s="15">
        <f t="shared" si="50"/>
        <v>2669.4915254237289</v>
      </c>
      <c r="K99" s="15">
        <f t="shared" si="50"/>
        <v>2669.4915254237289</v>
      </c>
      <c r="L99" s="15">
        <f t="shared" si="50"/>
        <v>2669.4915254237289</v>
      </c>
      <c r="M99" s="15">
        <f t="shared" si="50"/>
        <v>2669.4915254237289</v>
      </c>
      <c r="N99" s="15">
        <f t="shared" si="50"/>
        <v>2669.4915254237289</v>
      </c>
      <c r="O99" s="15">
        <f t="shared" si="50"/>
        <v>2669.4915254237289</v>
      </c>
      <c r="P99" s="15">
        <f t="shared" si="50"/>
        <v>2669.4915254237289</v>
      </c>
      <c r="Q99" s="15">
        <f t="shared" si="50"/>
        <v>2669.4915254237289</v>
      </c>
      <c r="R99" s="15">
        <f t="shared" si="50"/>
        <v>2669.4915254237289</v>
      </c>
      <c r="S99" s="15">
        <f t="shared" si="50"/>
        <v>2669.4915254237289</v>
      </c>
      <c r="T99" s="15">
        <f t="shared" si="50"/>
        <v>2669.4915254237289</v>
      </c>
      <c r="U99" s="15">
        <f t="shared" si="50"/>
        <v>2669.4915254237289</v>
      </c>
      <c r="V99" s="15">
        <f t="shared" si="50"/>
        <v>2669.4915254237289</v>
      </c>
      <c r="W99" s="15">
        <f t="shared" si="50"/>
        <v>2669.4915254237289</v>
      </c>
      <c r="X99" s="15">
        <f t="shared" si="50"/>
        <v>2669.4915254237289</v>
      </c>
      <c r="Y99" s="15">
        <f t="shared" si="50"/>
        <v>2669.4915254237289</v>
      </c>
      <c r="Z99" s="15">
        <f t="shared" si="50"/>
        <v>2669.4915254237289</v>
      </c>
      <c r="AA99" s="104">
        <f>SUM(G99:Z99)</f>
        <v>53389.830508474566</v>
      </c>
    </row>
    <row r="100" spans="3:29" x14ac:dyDescent="0.2">
      <c r="C100" s="27" t="s">
        <v>117</v>
      </c>
      <c r="F100" s="77" t="s">
        <v>85</v>
      </c>
      <c r="G100" s="15">
        <f>G43+G59</f>
        <v>33.368644067796609</v>
      </c>
      <c r="H100" s="15">
        <f t="shared" ref="H100:Z100" si="51">H43+H59</f>
        <v>33.368644067796609</v>
      </c>
      <c r="I100" s="15">
        <f t="shared" si="51"/>
        <v>33.368644067796609</v>
      </c>
      <c r="J100" s="15">
        <f t="shared" si="51"/>
        <v>33.368644067796609</v>
      </c>
      <c r="K100" s="15">
        <f t="shared" si="51"/>
        <v>33.368644067796609</v>
      </c>
      <c r="L100" s="15">
        <f t="shared" si="51"/>
        <v>33.368644067796609</v>
      </c>
      <c r="M100" s="15">
        <f t="shared" si="51"/>
        <v>33.368644067796609</v>
      </c>
      <c r="N100" s="15">
        <f t="shared" si="51"/>
        <v>33.368644067796609</v>
      </c>
      <c r="O100" s="15">
        <f t="shared" si="51"/>
        <v>33.368644067796609</v>
      </c>
      <c r="P100" s="15">
        <f t="shared" si="51"/>
        <v>33.368644067796609</v>
      </c>
      <c r="Q100" s="15">
        <f t="shared" si="51"/>
        <v>33.368644067796609</v>
      </c>
      <c r="R100" s="15">
        <f t="shared" si="51"/>
        <v>33.368644067796609</v>
      </c>
      <c r="S100" s="15">
        <f t="shared" si="51"/>
        <v>33.368644067796609</v>
      </c>
      <c r="T100" s="15">
        <f t="shared" si="51"/>
        <v>33.368644067796609</v>
      </c>
      <c r="U100" s="15">
        <f t="shared" si="51"/>
        <v>33.368644067796609</v>
      </c>
      <c r="V100" s="15">
        <f t="shared" si="51"/>
        <v>33.368644067796609</v>
      </c>
      <c r="W100" s="15">
        <f t="shared" si="51"/>
        <v>33.368644067796609</v>
      </c>
      <c r="X100" s="15">
        <f t="shared" si="51"/>
        <v>33.368644067796609</v>
      </c>
      <c r="Y100" s="15">
        <f t="shared" si="51"/>
        <v>33.368644067796609</v>
      </c>
      <c r="Z100" s="15">
        <f t="shared" si="51"/>
        <v>33.368644067796609</v>
      </c>
      <c r="AA100" s="104">
        <f>SUM(G100:Z100)</f>
        <v>667.37288135593201</v>
      </c>
      <c r="AB100" s="102" t="b">
        <f>AA100=(AA43+AA59)</f>
        <v>1</v>
      </c>
    </row>
    <row r="101" spans="3:29" x14ac:dyDescent="0.2">
      <c r="C101" s="27" t="s">
        <v>119</v>
      </c>
      <c r="F101" s="77" t="s">
        <v>85</v>
      </c>
      <c r="G101" s="15">
        <f>G44+G60+G27</f>
        <v>52.065677966101696</v>
      </c>
      <c r="H101" s="15">
        <f t="shared" ref="H101:Z101" si="52">H44+H60+H27</f>
        <v>104.13135593220339</v>
      </c>
      <c r="I101" s="15">
        <f t="shared" si="52"/>
        <v>156.19703389830511</v>
      </c>
      <c r="J101" s="15">
        <f t="shared" si="52"/>
        <v>208.26271186440678</v>
      </c>
      <c r="K101" s="15">
        <f t="shared" si="52"/>
        <v>260.32838983050851</v>
      </c>
      <c r="L101" s="15">
        <f t="shared" si="52"/>
        <v>312.39406779661022</v>
      </c>
      <c r="M101" s="15">
        <f t="shared" si="52"/>
        <v>364.45974576271186</v>
      </c>
      <c r="N101" s="15">
        <f t="shared" si="52"/>
        <v>416.52542372881351</v>
      </c>
      <c r="O101" s="15">
        <f t="shared" si="52"/>
        <v>468.59110169491521</v>
      </c>
      <c r="P101" s="15">
        <f t="shared" si="52"/>
        <v>520.65677966101691</v>
      </c>
      <c r="Q101" s="15">
        <f t="shared" si="52"/>
        <v>572.7224576271185</v>
      </c>
      <c r="R101" s="15">
        <f t="shared" si="52"/>
        <v>624.7881355932202</v>
      </c>
      <c r="S101" s="15">
        <f t="shared" si="52"/>
        <v>676.85381355932191</v>
      </c>
      <c r="T101" s="15">
        <f t="shared" si="52"/>
        <v>728.91949152542361</v>
      </c>
      <c r="U101" s="15">
        <f t="shared" si="52"/>
        <v>780.98516949152531</v>
      </c>
      <c r="V101" s="15">
        <f t="shared" si="52"/>
        <v>833.05084745762713</v>
      </c>
      <c r="W101" s="15">
        <f t="shared" si="52"/>
        <v>885.11652542372883</v>
      </c>
      <c r="X101" s="15">
        <f t="shared" si="52"/>
        <v>937.18220338983053</v>
      </c>
      <c r="Y101" s="15">
        <f t="shared" si="52"/>
        <v>989.24788135593224</v>
      </c>
      <c r="Z101" s="15">
        <f t="shared" si="52"/>
        <v>1041.3135593220341</v>
      </c>
    </row>
    <row r="102" spans="3:29" x14ac:dyDescent="0.2">
      <c r="C102" s="27" t="s">
        <v>118</v>
      </c>
      <c r="F102" s="77" t="s">
        <v>85</v>
      </c>
      <c r="G102" s="15">
        <f>G99-G101</f>
        <v>2617.4258474576272</v>
      </c>
      <c r="H102" s="15">
        <f t="shared" ref="H102:Z102" si="53">H99-H101</f>
        <v>2565.3601694915255</v>
      </c>
      <c r="I102" s="15">
        <f t="shared" si="53"/>
        <v>2513.2944915254238</v>
      </c>
      <c r="J102" s="15">
        <f t="shared" si="53"/>
        <v>2461.2288135593221</v>
      </c>
      <c r="K102" s="15">
        <f t="shared" si="53"/>
        <v>2409.1631355932204</v>
      </c>
      <c r="L102" s="15">
        <f t="shared" si="53"/>
        <v>2357.0974576271187</v>
      </c>
      <c r="M102" s="15">
        <f t="shared" si="53"/>
        <v>2305.031779661017</v>
      </c>
      <c r="N102" s="15">
        <f t="shared" si="53"/>
        <v>2252.9661016949153</v>
      </c>
      <c r="O102" s="15">
        <f t="shared" si="53"/>
        <v>2200.9004237288136</v>
      </c>
      <c r="P102" s="15">
        <f t="shared" si="53"/>
        <v>2148.8347457627119</v>
      </c>
      <c r="Q102" s="15">
        <f t="shared" si="53"/>
        <v>2096.7690677966102</v>
      </c>
      <c r="R102" s="15">
        <f t="shared" si="53"/>
        <v>2044.7033898305087</v>
      </c>
      <c r="S102" s="15">
        <f t="shared" si="53"/>
        <v>1992.637711864407</v>
      </c>
      <c r="T102" s="15">
        <f t="shared" si="53"/>
        <v>1940.5720338983053</v>
      </c>
      <c r="U102" s="15">
        <f t="shared" si="53"/>
        <v>1888.5063559322036</v>
      </c>
      <c r="V102" s="15">
        <f t="shared" si="53"/>
        <v>1836.4406779661017</v>
      </c>
      <c r="W102" s="15">
        <f t="shared" si="53"/>
        <v>1784.375</v>
      </c>
      <c r="X102" s="15">
        <f t="shared" si="53"/>
        <v>1732.3093220338983</v>
      </c>
      <c r="Y102" s="15">
        <f t="shared" si="53"/>
        <v>1680.2436440677966</v>
      </c>
      <c r="Z102" s="15">
        <f t="shared" si="53"/>
        <v>1628.1779661016949</v>
      </c>
      <c r="AA102" s="104">
        <f>SUM(G102:Z102)</f>
        <v>42456.038135593219</v>
      </c>
    </row>
    <row r="103" spans="3:29" x14ac:dyDescent="0.2">
      <c r="C103" s="1" t="s">
        <v>25</v>
      </c>
      <c r="F103" s="77" t="s">
        <v>85</v>
      </c>
      <c r="G103" s="15">
        <f>G102</f>
        <v>2617.4258474576272</v>
      </c>
      <c r="H103" s="79">
        <f>(G102+H102)/2</f>
        <v>2591.3930084745762</v>
      </c>
      <c r="I103" s="79">
        <f t="shared" ref="I103:Z103" si="54">(H102+I102)/2</f>
        <v>2539.3273305084749</v>
      </c>
      <c r="J103" s="79">
        <f t="shared" si="54"/>
        <v>2487.2616525423728</v>
      </c>
      <c r="K103" s="79">
        <f t="shared" si="54"/>
        <v>2435.1959745762715</v>
      </c>
      <c r="L103" s="79">
        <f t="shared" si="54"/>
        <v>2383.1302966101694</v>
      </c>
      <c r="M103" s="79">
        <f t="shared" si="54"/>
        <v>2331.0646186440681</v>
      </c>
      <c r="N103" s="79">
        <f t="shared" si="54"/>
        <v>2278.9989406779659</v>
      </c>
      <c r="O103" s="79">
        <f t="shared" si="54"/>
        <v>2226.9332627118647</v>
      </c>
      <c r="P103" s="79">
        <f t="shared" si="54"/>
        <v>2174.8675847457625</v>
      </c>
      <c r="Q103" s="79">
        <f t="shared" si="54"/>
        <v>2122.8019067796613</v>
      </c>
      <c r="R103" s="79">
        <f t="shared" si="54"/>
        <v>2070.7362288135596</v>
      </c>
      <c r="S103" s="79">
        <f t="shared" si="54"/>
        <v>2018.6705508474579</v>
      </c>
      <c r="T103" s="79">
        <f t="shared" si="54"/>
        <v>1966.6048728813562</v>
      </c>
      <c r="U103" s="79">
        <f t="shared" si="54"/>
        <v>1914.5391949152545</v>
      </c>
      <c r="V103" s="79">
        <f t="shared" si="54"/>
        <v>1862.4735169491528</v>
      </c>
      <c r="W103" s="79">
        <f t="shared" si="54"/>
        <v>1810.4078389830509</v>
      </c>
      <c r="X103" s="79">
        <f t="shared" si="54"/>
        <v>1758.3421610169491</v>
      </c>
      <c r="Y103" s="79">
        <f t="shared" si="54"/>
        <v>1706.2764830508474</v>
      </c>
      <c r="Z103" s="79">
        <f t="shared" si="54"/>
        <v>1654.2108050847457</v>
      </c>
    </row>
    <row r="104" spans="3:29" x14ac:dyDescent="0.2">
      <c r="F104" s="7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3:29" s="95" customFormat="1" x14ac:dyDescent="0.2">
      <c r="C105" s="95" t="s">
        <v>325</v>
      </c>
      <c r="F105" s="306" t="s">
        <v>85</v>
      </c>
      <c r="G105" s="348">
        <f>G103*0*Окружение!D15</f>
        <v>0</v>
      </c>
      <c r="H105" s="348">
        <f>H103*0*Окружение!E15</f>
        <v>0</v>
      </c>
      <c r="I105" s="348">
        <f>I103*0*Окружение!F15</f>
        <v>0</v>
      </c>
      <c r="J105" s="348">
        <f>J103*0*Окружение!G15</f>
        <v>0</v>
      </c>
      <c r="K105" s="348">
        <f>K103*0*Окружение!H15</f>
        <v>0</v>
      </c>
      <c r="L105" s="348">
        <f>L103*0*Окружение!I15</f>
        <v>0</v>
      </c>
      <c r="M105" s="348">
        <f>M103*0*Окружение!J15</f>
        <v>0</v>
      </c>
      <c r="N105" s="348">
        <f>N103*0*Окружение!K15</f>
        <v>0</v>
      </c>
      <c r="O105" s="348">
        <f>O103*0*Окружение!L15</f>
        <v>0</v>
      </c>
      <c r="P105" s="348">
        <f>P103*0*Окружение!M15</f>
        <v>0</v>
      </c>
      <c r="Q105" s="348">
        <f>Q103*0*Окружение!N15</f>
        <v>0</v>
      </c>
      <c r="R105" s="348">
        <f>R103*0*Окружение!O15</f>
        <v>0</v>
      </c>
      <c r="S105" s="348">
        <f>S103*0*Окружение!P15</f>
        <v>0</v>
      </c>
      <c r="T105" s="348">
        <f>T103*0*Окружение!Q15</f>
        <v>0</v>
      </c>
      <c r="U105" s="348">
        <f>U103*0*Окружение!R15</f>
        <v>0</v>
      </c>
      <c r="V105" s="348">
        <f>V103*0*Окружение!S15</f>
        <v>0</v>
      </c>
      <c r="W105" s="348">
        <f>W103*0*Окружение!T15</f>
        <v>0</v>
      </c>
      <c r="X105" s="348">
        <f>X103*0*Окружение!U15</f>
        <v>0</v>
      </c>
      <c r="Y105" s="348">
        <f>Y103*0*Окружение!V15</f>
        <v>0</v>
      </c>
      <c r="Z105" s="348">
        <f>Z103*0*Окружение!W15</f>
        <v>0</v>
      </c>
      <c r="AA105" s="97"/>
      <c r="AB105" s="102"/>
      <c r="AC105" s="102"/>
    </row>
    <row r="106" spans="3:29" x14ac:dyDescent="0.2">
      <c r="F106" s="77"/>
    </row>
    <row r="107" spans="3:29" x14ac:dyDescent="0.2">
      <c r="F107" s="77"/>
    </row>
    <row r="108" spans="3:29" x14ac:dyDescent="0.2">
      <c r="F108" s="77"/>
    </row>
  </sheetData>
  <phoneticPr fontId="0" type="noConversion"/>
  <pageMargins left="0.75" right="0.75" top="1" bottom="1" header="0.5" footer="0.5"/>
  <pageSetup paperSize="9" scale="46" orientation="landscape" r:id="rId1"/>
  <headerFooter alignWithMargins="0"/>
  <rowBreaks count="1" manualBreakCount="1">
    <brk id="62" max="16383" man="1"/>
  </rowBreaks>
  <colBreaks count="1" manualBreakCount="1">
    <brk id="2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85" zoomScaleNormal="85" workbookViewId="0">
      <selection activeCell="D7" sqref="D7"/>
    </sheetView>
  </sheetViews>
  <sheetFormatPr defaultRowHeight="12.75" x14ac:dyDescent="0.2"/>
  <cols>
    <col min="1" max="1" width="2.7109375" style="1" customWidth="1"/>
    <col min="2" max="2" width="48.7109375" style="1" customWidth="1"/>
    <col min="3" max="3" width="9.42578125" style="1" customWidth="1"/>
    <col min="4" max="19" width="9.42578125" style="1" bestFit="1" customWidth="1"/>
    <col min="20" max="23" width="10" style="1" bestFit="1" customWidth="1"/>
    <col min="24" max="16384" width="9.140625" style="1"/>
  </cols>
  <sheetData>
    <row r="1" spans="1:24" x14ac:dyDescent="0.2">
      <c r="B1"/>
    </row>
    <row r="2" spans="1:24" s="2" customFormat="1" x14ac:dyDescent="0.2">
      <c r="A2" s="11" t="s">
        <v>152</v>
      </c>
      <c r="B2" s="11"/>
      <c r="C2" s="2" t="s">
        <v>79</v>
      </c>
      <c r="D2" s="3" t="s">
        <v>58</v>
      </c>
      <c r="E2" s="3" t="s">
        <v>59</v>
      </c>
      <c r="F2" s="3" t="s">
        <v>60</v>
      </c>
      <c r="G2" s="3" t="s">
        <v>61</v>
      </c>
      <c r="H2" s="4" t="s">
        <v>62</v>
      </c>
      <c r="I2" s="4" t="s">
        <v>63</v>
      </c>
      <c r="J2" s="4" t="s">
        <v>64</v>
      </c>
      <c r="K2" s="4" t="s">
        <v>65</v>
      </c>
      <c r="L2" s="5" t="s">
        <v>66</v>
      </c>
      <c r="M2" s="5" t="s">
        <v>67</v>
      </c>
      <c r="N2" s="5" t="s">
        <v>68</v>
      </c>
      <c r="O2" s="5" t="s">
        <v>69</v>
      </c>
      <c r="P2" s="6" t="s">
        <v>70</v>
      </c>
      <c r="Q2" s="6" t="s">
        <v>71</v>
      </c>
      <c r="R2" s="6" t="s">
        <v>72</v>
      </c>
      <c r="S2" s="6" t="s">
        <v>73</v>
      </c>
      <c r="T2" s="7" t="s">
        <v>74</v>
      </c>
      <c r="U2" s="7" t="s">
        <v>75</v>
      </c>
      <c r="V2" s="7" t="s">
        <v>76</v>
      </c>
      <c r="W2" s="7" t="s">
        <v>77</v>
      </c>
      <c r="X2" s="8"/>
    </row>
    <row r="3" spans="1:24" s="35" customFormat="1" x14ac:dyDescent="0.2"/>
    <row r="4" spans="1:24" s="35" customFormat="1" x14ac:dyDescent="0.2">
      <c r="B4" s="35" t="s">
        <v>251</v>
      </c>
      <c r="C4" s="77" t="s">
        <v>85</v>
      </c>
      <c r="D4" s="15">
        <f>D13</f>
        <v>762.71186440677968</v>
      </c>
      <c r="E4" s="15">
        <f t="shared" ref="E4:W4" si="0">E13</f>
        <v>762.71186440677968</v>
      </c>
      <c r="F4" s="15">
        <f t="shared" si="0"/>
        <v>2987.2881355932204</v>
      </c>
      <c r="G4" s="15">
        <f t="shared" si="0"/>
        <v>2987.2881355932204</v>
      </c>
      <c r="H4" s="15">
        <f t="shared" si="0"/>
        <v>3244.1949152542375</v>
      </c>
      <c r="I4" s="15">
        <f t="shared" si="0"/>
        <v>3244.1949152542375</v>
      </c>
      <c r="J4" s="15">
        <f t="shared" si="0"/>
        <v>3244.1949152542375</v>
      </c>
      <c r="K4" s="15">
        <f t="shared" si="0"/>
        <v>3244.1949152542375</v>
      </c>
      <c r="L4" s="15">
        <f t="shared" si="0"/>
        <v>3464.800169491526</v>
      </c>
      <c r="M4" s="15">
        <f t="shared" si="0"/>
        <v>3464.800169491526</v>
      </c>
      <c r="N4" s="15">
        <f t="shared" si="0"/>
        <v>3464.800169491526</v>
      </c>
      <c r="O4" s="15">
        <f t="shared" si="0"/>
        <v>3464.800169491526</v>
      </c>
      <c r="P4" s="15">
        <f t="shared" si="0"/>
        <v>3679.6177800000005</v>
      </c>
      <c r="Q4" s="15">
        <f t="shared" si="0"/>
        <v>3679.6177800000005</v>
      </c>
      <c r="R4" s="15">
        <f t="shared" si="0"/>
        <v>3679.6177800000005</v>
      </c>
      <c r="S4" s="15">
        <f t="shared" si="0"/>
        <v>3679.6177800000005</v>
      </c>
      <c r="T4" s="15">
        <f t="shared" si="0"/>
        <v>3918.7929357000003</v>
      </c>
      <c r="U4" s="15">
        <f t="shared" si="0"/>
        <v>3918.7929357000003</v>
      </c>
      <c r="V4" s="15">
        <f t="shared" si="0"/>
        <v>3918.7929357000003</v>
      </c>
      <c r="W4" s="15">
        <f t="shared" si="0"/>
        <v>3918.7929357000003</v>
      </c>
    </row>
    <row r="5" spans="1:24" x14ac:dyDescent="0.2">
      <c r="B5" s="1" t="s">
        <v>205</v>
      </c>
      <c r="C5" s="77" t="s">
        <v>85</v>
      </c>
      <c r="D5" s="15">
        <f>D20</f>
        <v>0</v>
      </c>
      <c r="E5" s="15">
        <f t="shared" ref="E5:W5" si="1">E20</f>
        <v>0</v>
      </c>
      <c r="F5" s="15">
        <f t="shared" si="1"/>
        <v>0</v>
      </c>
      <c r="G5" s="15">
        <f t="shared" si="1"/>
        <v>0</v>
      </c>
      <c r="H5" s="15">
        <f t="shared" si="1"/>
        <v>283200</v>
      </c>
      <c r="I5" s="15">
        <f t="shared" si="1"/>
        <v>0</v>
      </c>
      <c r="J5" s="15">
        <f t="shared" si="1"/>
        <v>472000</v>
      </c>
      <c r="K5" s="15">
        <f t="shared" si="1"/>
        <v>188800</v>
      </c>
      <c r="L5" s="15">
        <f t="shared" si="1"/>
        <v>302457.59999999998</v>
      </c>
      <c r="M5" s="15">
        <f t="shared" si="1"/>
        <v>0</v>
      </c>
      <c r="N5" s="15">
        <f t="shared" si="1"/>
        <v>504096</v>
      </c>
      <c r="O5" s="15">
        <f t="shared" si="1"/>
        <v>201638.40000000002</v>
      </c>
      <c r="P5" s="15">
        <f t="shared" si="1"/>
        <v>642419.94240000006</v>
      </c>
      <c r="Q5" s="15">
        <f t="shared" si="1"/>
        <v>0</v>
      </c>
      <c r="R5" s="15">
        <f t="shared" si="1"/>
        <v>1070699.9040000001</v>
      </c>
      <c r="S5" s="15">
        <f t="shared" si="1"/>
        <v>428279.96160000004</v>
      </c>
      <c r="T5" s="15">
        <f t="shared" si="1"/>
        <v>1026265.8579839999</v>
      </c>
      <c r="U5" s="15">
        <f t="shared" si="1"/>
        <v>0</v>
      </c>
      <c r="V5" s="15">
        <f t="shared" si="1"/>
        <v>1710443.0966399999</v>
      </c>
      <c r="W5" s="15">
        <f t="shared" si="1"/>
        <v>684177.238656</v>
      </c>
    </row>
    <row r="6" spans="1:24" x14ac:dyDescent="0.2">
      <c r="B6" s="1" t="s">
        <v>283</v>
      </c>
      <c r="C6" s="77" t="s">
        <v>85</v>
      </c>
      <c r="D6" s="15">
        <f>D4-D5</f>
        <v>762.71186440677968</v>
      </c>
      <c r="E6" s="15">
        <f t="shared" ref="E6:W6" si="2">E4-E5</f>
        <v>762.71186440677968</v>
      </c>
      <c r="F6" s="15">
        <f t="shared" si="2"/>
        <v>2987.2881355932204</v>
      </c>
      <c r="G6" s="15">
        <f t="shared" si="2"/>
        <v>2987.2881355932204</v>
      </c>
      <c r="H6" s="15">
        <f t="shared" si="2"/>
        <v>-279955.80508474575</v>
      </c>
      <c r="I6" s="15">
        <f t="shared" si="2"/>
        <v>3244.1949152542375</v>
      </c>
      <c r="J6" s="15">
        <f t="shared" si="2"/>
        <v>-468755.80508474575</v>
      </c>
      <c r="K6" s="15">
        <f t="shared" si="2"/>
        <v>-185555.80508474575</v>
      </c>
      <c r="L6" s="15">
        <f t="shared" si="2"/>
        <v>-298992.79983050848</v>
      </c>
      <c r="M6" s="15">
        <f t="shared" si="2"/>
        <v>3464.800169491526</v>
      </c>
      <c r="N6" s="15">
        <f t="shared" si="2"/>
        <v>-500631.1998305085</v>
      </c>
      <c r="O6" s="15">
        <f t="shared" si="2"/>
        <v>-198173.59983050849</v>
      </c>
      <c r="P6" s="15">
        <f t="shared" si="2"/>
        <v>-638740.32462000009</v>
      </c>
      <c r="Q6" s="15">
        <f t="shared" si="2"/>
        <v>3679.6177800000005</v>
      </c>
      <c r="R6" s="15">
        <f t="shared" si="2"/>
        <v>-1067020.2862200001</v>
      </c>
      <c r="S6" s="15">
        <f t="shared" si="2"/>
        <v>-424600.34382000007</v>
      </c>
      <c r="T6" s="15">
        <f t="shared" si="2"/>
        <v>-1022347.0650482998</v>
      </c>
      <c r="U6" s="15">
        <f t="shared" si="2"/>
        <v>3918.7929357000003</v>
      </c>
      <c r="V6" s="15">
        <f t="shared" si="2"/>
        <v>-1706524.3037043</v>
      </c>
      <c r="W6" s="15">
        <f t="shared" si="2"/>
        <v>-680258.44572029996</v>
      </c>
    </row>
    <row r="7" spans="1:24" x14ac:dyDescent="0.2">
      <c r="B7" s="1" t="s">
        <v>284</v>
      </c>
      <c r="C7" s="77" t="s">
        <v>85</v>
      </c>
      <c r="D7" s="15">
        <f>D6</f>
        <v>762.71186440677968</v>
      </c>
      <c r="E7" s="15">
        <f>E6-D6</f>
        <v>0</v>
      </c>
      <c r="F7" s="15">
        <f>F6-E6</f>
        <v>2224.5762711864409</v>
      </c>
      <c r="G7" s="15">
        <f t="shared" ref="G7:V7" si="3">G6-F6</f>
        <v>0</v>
      </c>
      <c r="H7" s="15">
        <f t="shared" si="3"/>
        <v>-282943.09322033898</v>
      </c>
      <c r="I7" s="15">
        <f t="shared" si="3"/>
        <v>283200</v>
      </c>
      <c r="J7" s="15">
        <f t="shared" si="3"/>
        <v>-472000</v>
      </c>
      <c r="K7" s="15">
        <f t="shared" si="3"/>
        <v>283200</v>
      </c>
      <c r="L7" s="15">
        <f t="shared" si="3"/>
        <v>-113436.99474576273</v>
      </c>
      <c r="M7" s="15">
        <f t="shared" si="3"/>
        <v>302457.59999999998</v>
      </c>
      <c r="N7" s="15">
        <f t="shared" si="3"/>
        <v>-504096</v>
      </c>
      <c r="O7" s="15">
        <f t="shared" si="3"/>
        <v>302457.59999999998</v>
      </c>
      <c r="P7" s="15">
        <f t="shared" si="3"/>
        <v>-440566.72478949162</v>
      </c>
      <c r="Q7" s="15">
        <f t="shared" si="3"/>
        <v>642419.94240000006</v>
      </c>
      <c r="R7" s="15">
        <f t="shared" si="3"/>
        <v>-1070699.9040000001</v>
      </c>
      <c r="S7" s="15">
        <f t="shared" si="3"/>
        <v>642419.94240000006</v>
      </c>
      <c r="T7" s="15">
        <f t="shared" si="3"/>
        <v>-597746.72122829978</v>
      </c>
      <c r="U7" s="15">
        <f t="shared" si="3"/>
        <v>1026265.8579839999</v>
      </c>
      <c r="V7" s="15">
        <f t="shared" si="3"/>
        <v>-1710443.0966399999</v>
      </c>
      <c r="W7" s="15">
        <f>W6-V6</f>
        <v>1026265.857984</v>
      </c>
    </row>
    <row r="8" spans="1:24" x14ac:dyDescent="0.2">
      <c r="C8" s="77"/>
    </row>
    <row r="9" spans="1:24" x14ac:dyDescent="0.2">
      <c r="A9" s="25" t="s">
        <v>201</v>
      </c>
      <c r="C9" s="77"/>
    </row>
    <row r="10" spans="1:24" x14ac:dyDescent="0.2">
      <c r="B10" s="1" t="s">
        <v>202</v>
      </c>
      <c r="C10" s="77" t="s">
        <v>85</v>
      </c>
      <c r="D10" s="79">
        <f>'Пр-во и Продажи'!E38</f>
        <v>0</v>
      </c>
      <c r="E10" s="79">
        <f>'Пр-во и Продажи'!F38</f>
        <v>0</v>
      </c>
      <c r="F10" s="79">
        <f>'Пр-во и Продажи'!G38</f>
        <v>0</v>
      </c>
      <c r="G10" s="79">
        <f>'Пр-во и Продажи'!H38</f>
        <v>0</v>
      </c>
      <c r="H10" s="79">
        <f>'Пр-во и Продажи'!I38</f>
        <v>0</v>
      </c>
      <c r="I10" s="79">
        <f>'Пр-во и Продажи'!J38</f>
        <v>0</v>
      </c>
      <c r="J10" s="79">
        <f>'Пр-во и Продажи'!K38</f>
        <v>0</v>
      </c>
      <c r="K10" s="79">
        <f>'Пр-во и Продажи'!L38</f>
        <v>0</v>
      </c>
      <c r="L10" s="79">
        <f>'Пр-во и Продажи'!M38</f>
        <v>0</v>
      </c>
      <c r="M10" s="79">
        <f>'Пр-во и Продажи'!N38</f>
        <v>0</v>
      </c>
      <c r="N10" s="79">
        <f>'Пр-во и Продажи'!O38</f>
        <v>0</v>
      </c>
      <c r="O10" s="79">
        <f>'Пр-во и Продажи'!P38</f>
        <v>0</v>
      </c>
      <c r="P10" s="79">
        <f>'Пр-во и Продажи'!Q38</f>
        <v>0</v>
      </c>
      <c r="Q10" s="79">
        <f>'Пр-во и Продажи'!R38</f>
        <v>0</v>
      </c>
      <c r="R10" s="79">
        <f>'Пр-во и Продажи'!S38</f>
        <v>0</v>
      </c>
      <c r="S10" s="79">
        <f>'Пр-во и Продажи'!T38</f>
        <v>0</v>
      </c>
      <c r="T10" s="79">
        <f>'Пр-во и Продажи'!U38</f>
        <v>0</v>
      </c>
      <c r="U10" s="79">
        <f>'Пр-во и Продажи'!V38</f>
        <v>0</v>
      </c>
      <c r="V10" s="79">
        <f>'Пр-во и Продажи'!W38</f>
        <v>0</v>
      </c>
      <c r="W10" s="79">
        <f>'Пр-во и Продажи'!X38</f>
        <v>0</v>
      </c>
    </row>
    <row r="11" spans="1:24" x14ac:dyDescent="0.2">
      <c r="B11" s="1" t="s">
        <v>277</v>
      </c>
      <c r="C11" s="77" t="s">
        <v>85</v>
      </c>
      <c r="D11" s="15">
        <f>'Пр-во и Продажи'!E44/(1+Окружение!D13)</f>
        <v>0</v>
      </c>
      <c r="E11" s="15">
        <f>'Пр-во и Продажи'!F44/(1+Окружение!E13)</f>
        <v>0</v>
      </c>
      <c r="F11" s="15">
        <f>'Пр-во и Продажи'!G44/(1+Окружение!F13)</f>
        <v>0</v>
      </c>
      <c r="G11" s="15">
        <f>'Пр-во и Продажи'!H44/(1+Окружение!G13)</f>
        <v>0</v>
      </c>
      <c r="H11" s="15">
        <f>'Пр-во и Продажи'!I44/(1+Окружение!H13)</f>
        <v>0</v>
      </c>
      <c r="I11" s="15">
        <f>'Пр-во и Продажи'!J44/(1+Окружение!I13)</f>
        <v>0</v>
      </c>
      <c r="J11" s="15">
        <f>'Пр-во и Продажи'!K44/(1+Окружение!J13)</f>
        <v>0</v>
      </c>
      <c r="K11" s="15">
        <f>'Пр-во и Продажи'!L44/(1+Окружение!K13)</f>
        <v>0</v>
      </c>
      <c r="L11" s="15">
        <f>'Пр-во и Продажи'!M44/(1+Окружение!L13)</f>
        <v>0</v>
      </c>
      <c r="M11" s="15">
        <f>'Пр-во и Продажи'!N44/(1+Окружение!M13)</f>
        <v>0</v>
      </c>
      <c r="N11" s="15">
        <f>'Пр-во и Продажи'!O44/(1+Окружение!N13)</f>
        <v>0</v>
      </c>
      <c r="O11" s="15">
        <f>'Пр-во и Продажи'!P44/(1+Окружение!O13)</f>
        <v>0</v>
      </c>
      <c r="P11" s="15">
        <f>'Пр-во и Продажи'!Q44/(1+Окружение!P13)</f>
        <v>0</v>
      </c>
      <c r="Q11" s="15">
        <f>'Пр-во и Продажи'!R44/(1+Окружение!Q13)</f>
        <v>0</v>
      </c>
      <c r="R11" s="15">
        <f>'Пр-во и Продажи'!S44/(1+Окружение!R13)</f>
        <v>0</v>
      </c>
      <c r="S11" s="15">
        <f>'Пр-во и Продажи'!T44/(1+Окружение!S13)</f>
        <v>0</v>
      </c>
      <c r="T11" s="15">
        <f>'Пр-во и Продажи'!U44/(1+Окружение!T13)</f>
        <v>0</v>
      </c>
      <c r="U11" s="15">
        <f>'Пр-во и Продажи'!V44/(1+Окружение!U13)</f>
        <v>0</v>
      </c>
      <c r="V11" s="15">
        <f>'Пр-во и Продажи'!W44/(1+Окружение!V13)</f>
        <v>0</v>
      </c>
      <c r="W11" s="15">
        <f>'Пр-во и Продажи'!X44/(1+Окружение!W13)</f>
        <v>0</v>
      </c>
    </row>
    <row r="12" spans="1:24" x14ac:dyDescent="0.2">
      <c r="B12" s="1" t="s">
        <v>276</v>
      </c>
      <c r="C12" s="77" t="s">
        <v>85</v>
      </c>
      <c r="D12" s="79">
        <f>Затраты!F97/(1+Окружение!D13)</f>
        <v>762.71186440677968</v>
      </c>
      <c r="E12" s="79">
        <f>Затраты!G97/(1+Окружение!E13)</f>
        <v>762.71186440677968</v>
      </c>
      <c r="F12" s="79">
        <f>Затраты!H97/(1+Окружение!F13)</f>
        <v>2987.2881355932204</v>
      </c>
      <c r="G12" s="79">
        <f>Затраты!I97/(1+Окружение!G13)</f>
        <v>2987.2881355932204</v>
      </c>
      <c r="H12" s="79">
        <f>Затраты!J97/(1+Окружение!H13)</f>
        <v>3244.1949152542375</v>
      </c>
      <c r="I12" s="79">
        <f>Затраты!K97/(1+Окружение!I13)</f>
        <v>3244.1949152542375</v>
      </c>
      <c r="J12" s="79">
        <f>Затраты!L97/(1+Окружение!J13)</f>
        <v>3244.1949152542375</v>
      </c>
      <c r="K12" s="79">
        <f>Затраты!M97/(1+Окружение!K13)</f>
        <v>3244.1949152542375</v>
      </c>
      <c r="L12" s="79">
        <f>Затраты!N97/(1+Окружение!L13)</f>
        <v>3464.800169491526</v>
      </c>
      <c r="M12" s="79">
        <f>Затраты!O97/(1+Окружение!M13)</f>
        <v>3464.800169491526</v>
      </c>
      <c r="N12" s="79">
        <f>Затраты!P97/(1+Окружение!N13)</f>
        <v>3464.800169491526</v>
      </c>
      <c r="O12" s="79">
        <f>Затраты!Q97/(1+Окружение!O13)</f>
        <v>3464.800169491526</v>
      </c>
      <c r="P12" s="79">
        <f>Затраты!R97/(1+Окружение!P13)</f>
        <v>3679.6177800000005</v>
      </c>
      <c r="Q12" s="79">
        <f>Затраты!S97/(1+Окружение!Q13)</f>
        <v>3679.6177800000005</v>
      </c>
      <c r="R12" s="79">
        <f>Затраты!T97/(1+Окружение!R13)</f>
        <v>3679.6177800000005</v>
      </c>
      <c r="S12" s="79">
        <f>Затраты!U97/(1+Окружение!S13)</f>
        <v>3679.6177800000005</v>
      </c>
      <c r="T12" s="79">
        <f>Затраты!V97/(1+Окружение!T13)</f>
        <v>3918.7929357000003</v>
      </c>
      <c r="U12" s="79">
        <f>Затраты!W97/(1+Окружение!U13)</f>
        <v>3918.7929357000003</v>
      </c>
      <c r="V12" s="79">
        <f>Затраты!X97/(1+Окружение!V13)</f>
        <v>3918.7929357000003</v>
      </c>
      <c r="W12" s="79">
        <f>Затраты!Y97/(1+Окружение!W13)</f>
        <v>3918.7929357000003</v>
      </c>
    </row>
    <row r="13" spans="1:24" s="27" customFormat="1" x14ac:dyDescent="0.2">
      <c r="B13" s="28" t="s">
        <v>250</v>
      </c>
      <c r="C13" s="77" t="s">
        <v>85</v>
      </c>
      <c r="D13" s="113">
        <f t="shared" ref="D13:W13" si="4">SUM(D10:D12)</f>
        <v>762.71186440677968</v>
      </c>
      <c r="E13" s="113">
        <f t="shared" si="4"/>
        <v>762.71186440677968</v>
      </c>
      <c r="F13" s="113">
        <f t="shared" si="4"/>
        <v>2987.2881355932204</v>
      </c>
      <c r="G13" s="113">
        <f t="shared" si="4"/>
        <v>2987.2881355932204</v>
      </c>
      <c r="H13" s="113">
        <f t="shared" si="4"/>
        <v>3244.1949152542375</v>
      </c>
      <c r="I13" s="113">
        <f t="shared" si="4"/>
        <v>3244.1949152542375</v>
      </c>
      <c r="J13" s="113">
        <f t="shared" si="4"/>
        <v>3244.1949152542375</v>
      </c>
      <c r="K13" s="113">
        <f t="shared" si="4"/>
        <v>3244.1949152542375</v>
      </c>
      <c r="L13" s="113">
        <f t="shared" si="4"/>
        <v>3464.800169491526</v>
      </c>
      <c r="M13" s="113">
        <f t="shared" si="4"/>
        <v>3464.800169491526</v>
      </c>
      <c r="N13" s="113">
        <f t="shared" si="4"/>
        <v>3464.800169491526</v>
      </c>
      <c r="O13" s="113">
        <f t="shared" si="4"/>
        <v>3464.800169491526</v>
      </c>
      <c r="P13" s="113">
        <f t="shared" si="4"/>
        <v>3679.6177800000005</v>
      </c>
      <c r="Q13" s="113">
        <f t="shared" si="4"/>
        <v>3679.6177800000005</v>
      </c>
      <c r="R13" s="113">
        <f t="shared" si="4"/>
        <v>3679.6177800000005</v>
      </c>
      <c r="S13" s="113">
        <f t="shared" si="4"/>
        <v>3679.6177800000005</v>
      </c>
      <c r="T13" s="113">
        <f t="shared" si="4"/>
        <v>3918.7929357000003</v>
      </c>
      <c r="U13" s="113">
        <f t="shared" si="4"/>
        <v>3918.7929357000003</v>
      </c>
      <c r="V13" s="113">
        <f t="shared" si="4"/>
        <v>3918.7929357000003</v>
      </c>
      <c r="W13" s="113">
        <f t="shared" si="4"/>
        <v>3918.7929357000003</v>
      </c>
    </row>
    <row r="14" spans="1:24" x14ac:dyDescent="0.2">
      <c r="C14" s="77"/>
    </row>
    <row r="15" spans="1:24" x14ac:dyDescent="0.2">
      <c r="A15" s="25" t="s">
        <v>203</v>
      </c>
      <c r="C15" s="77"/>
    </row>
    <row r="16" spans="1:24" x14ac:dyDescent="0.2">
      <c r="B16" s="1" t="s">
        <v>282</v>
      </c>
      <c r="C16" s="77" t="s">
        <v>85</v>
      </c>
      <c r="D16" s="15">
        <f>Затраты!F119/(1+Окружение!D13)</f>
        <v>0</v>
      </c>
      <c r="E16" s="15">
        <f>Затраты!G119</f>
        <v>0</v>
      </c>
      <c r="F16" s="15">
        <f>Затраты!H119</f>
        <v>0</v>
      </c>
      <c r="G16" s="15">
        <f>Затраты!I119</f>
        <v>0</v>
      </c>
      <c r="H16" s="15">
        <f>Затраты!J119</f>
        <v>0</v>
      </c>
      <c r="I16" s="15">
        <f>Затраты!K119</f>
        <v>0</v>
      </c>
      <c r="J16" s="15">
        <f>Затраты!L119</f>
        <v>0</v>
      </c>
      <c r="K16" s="15">
        <f>Затраты!M119</f>
        <v>0</v>
      </c>
      <c r="L16" s="15">
        <f>Затраты!N119</f>
        <v>0</v>
      </c>
      <c r="M16" s="15">
        <f>Затраты!O119</f>
        <v>0</v>
      </c>
      <c r="N16" s="15">
        <f>Затраты!P119</f>
        <v>0</v>
      </c>
      <c r="O16" s="15">
        <f>Затраты!Q119</f>
        <v>0</v>
      </c>
      <c r="P16" s="15">
        <f>Затраты!R119</f>
        <v>0</v>
      </c>
      <c r="Q16" s="15">
        <f>Затраты!S119</f>
        <v>0</v>
      </c>
      <c r="R16" s="15">
        <f>Затраты!T119</f>
        <v>0</v>
      </c>
      <c r="S16" s="15">
        <f>Затраты!U119</f>
        <v>0</v>
      </c>
      <c r="T16" s="15">
        <f>Затраты!V119</f>
        <v>0</v>
      </c>
      <c r="U16" s="15">
        <f>Затраты!W119</f>
        <v>0</v>
      </c>
      <c r="V16" s="15">
        <f>Затраты!X119</f>
        <v>0</v>
      </c>
      <c r="W16" s="15">
        <f>Затраты!Y119</f>
        <v>0</v>
      </c>
    </row>
    <row r="17" spans="2:24" x14ac:dyDescent="0.2">
      <c r="B17" s="1" t="s">
        <v>279</v>
      </c>
      <c r="C17" s="77" t="s">
        <v>85</v>
      </c>
      <c r="D17" s="79">
        <f>'Пр-во и Продажи'!E50/(1+Окружение!D13)</f>
        <v>0</v>
      </c>
      <c r="E17" s="79">
        <f>'Пр-во и Продажи'!F50</f>
        <v>0</v>
      </c>
      <c r="F17" s="79">
        <f>'Пр-во и Продажи'!G50</f>
        <v>0</v>
      </c>
      <c r="G17" s="79">
        <f>'Пр-во и Продажи'!H50</f>
        <v>0</v>
      </c>
      <c r="H17" s="79">
        <f>'Пр-во и Продажи'!I50</f>
        <v>283200</v>
      </c>
      <c r="I17" s="79">
        <f>'Пр-во и Продажи'!J50</f>
        <v>0</v>
      </c>
      <c r="J17" s="79">
        <f>'Пр-во и Продажи'!K50</f>
        <v>472000</v>
      </c>
      <c r="K17" s="79">
        <f>'Пр-во и Продажи'!L50</f>
        <v>188800</v>
      </c>
      <c r="L17" s="79">
        <f>'Пр-во и Продажи'!M50</f>
        <v>302457.59999999998</v>
      </c>
      <c r="M17" s="79">
        <f>'Пр-во и Продажи'!N50</f>
        <v>0</v>
      </c>
      <c r="N17" s="79">
        <f>'Пр-во и Продажи'!O50</f>
        <v>504096</v>
      </c>
      <c r="O17" s="79">
        <f>'Пр-во и Продажи'!P50</f>
        <v>201638.40000000002</v>
      </c>
      <c r="P17" s="79">
        <f>'Пр-во и Продажи'!Q50</f>
        <v>642419.94240000006</v>
      </c>
      <c r="Q17" s="79">
        <f>'Пр-во и Продажи'!R50</f>
        <v>0</v>
      </c>
      <c r="R17" s="79">
        <f>'Пр-во и Продажи'!S50</f>
        <v>1070699.9040000001</v>
      </c>
      <c r="S17" s="79">
        <f>'Пр-во и Продажи'!T50</f>
        <v>428279.96160000004</v>
      </c>
      <c r="T17" s="79">
        <f>'Пр-во и Продажи'!U50</f>
        <v>1026265.8579839999</v>
      </c>
      <c r="U17" s="79">
        <f>'Пр-во и Продажи'!V50</f>
        <v>0</v>
      </c>
      <c r="V17" s="79">
        <f>'Пр-во и Продажи'!W50</f>
        <v>1710443.0966399999</v>
      </c>
      <c r="W17" s="136">
        <f>'Пр-во и Продажи'!X50</f>
        <v>684177.238656</v>
      </c>
      <c r="X17" s="114"/>
    </row>
    <row r="18" spans="2:24" x14ac:dyDescent="0.2">
      <c r="B18" s="1" t="s">
        <v>281</v>
      </c>
      <c r="C18" s="77" t="s">
        <v>85</v>
      </c>
      <c r="D18" s="79">
        <f>Персонал!E102</f>
        <v>0</v>
      </c>
      <c r="E18" s="79">
        <f>Персонал!F102</f>
        <v>0</v>
      </c>
      <c r="F18" s="79">
        <f>Персонал!G102</f>
        <v>0</v>
      </c>
      <c r="G18" s="79">
        <f>Персонал!H102</f>
        <v>0</v>
      </c>
      <c r="H18" s="79">
        <f>Персонал!I102</f>
        <v>0</v>
      </c>
      <c r="I18" s="79">
        <f>Персонал!J102</f>
        <v>0</v>
      </c>
      <c r="J18" s="79">
        <f>Персонал!K102</f>
        <v>0</v>
      </c>
      <c r="K18" s="79">
        <f>Персонал!L102</f>
        <v>0</v>
      </c>
      <c r="L18" s="79">
        <f>Персонал!M102</f>
        <v>0</v>
      </c>
      <c r="M18" s="79">
        <f>Персонал!N102</f>
        <v>0</v>
      </c>
      <c r="N18" s="79">
        <f>Персонал!O102</f>
        <v>0</v>
      </c>
      <c r="O18" s="79">
        <f>Персонал!P102</f>
        <v>0</v>
      </c>
      <c r="P18" s="79">
        <f>Персонал!Q102</f>
        <v>0</v>
      </c>
      <c r="Q18" s="79">
        <f>Персонал!R102</f>
        <v>0</v>
      </c>
      <c r="R18" s="79">
        <f>Персонал!S102</f>
        <v>0</v>
      </c>
      <c r="S18" s="79">
        <f>Персонал!T102</f>
        <v>0</v>
      </c>
      <c r="T18" s="79">
        <f>Персонал!U102</f>
        <v>0</v>
      </c>
      <c r="U18" s="79">
        <f>Персонал!V102</f>
        <v>0</v>
      </c>
      <c r="V18" s="79">
        <f>Персонал!W102</f>
        <v>0</v>
      </c>
      <c r="W18" s="136">
        <f>Персонал!X102</f>
        <v>0</v>
      </c>
      <c r="X18" s="114"/>
    </row>
    <row r="19" spans="2:24" x14ac:dyDescent="0.2">
      <c r="B19" s="1" t="s">
        <v>367</v>
      </c>
      <c r="C19" s="77" t="s">
        <v>85</v>
      </c>
      <c r="D19" s="79">
        <f>'Финан-е'!E23+'Финан-е'!E35+'Финан-е'!E50+'Финан-е'!E62</f>
        <v>0</v>
      </c>
      <c r="E19" s="79">
        <f>'Финан-е'!F23+'Финан-е'!F35+'Финан-е'!F50+'Финан-е'!F62</f>
        <v>0</v>
      </c>
      <c r="F19" s="79">
        <f>'Финан-е'!G23+'Финан-е'!G35+'Финан-е'!G50+'Финан-е'!G62</f>
        <v>0</v>
      </c>
      <c r="G19" s="79">
        <f>'Финан-е'!H23+'Финан-е'!H35+'Финан-е'!H50+'Финан-е'!H62</f>
        <v>0</v>
      </c>
      <c r="H19" s="79">
        <f>'Финан-е'!I23+'Финан-е'!I35+'Финан-е'!I50+'Финан-е'!I62</f>
        <v>0</v>
      </c>
      <c r="I19" s="79">
        <f>'Финан-е'!J23+'Финан-е'!J35+'Финан-е'!J50+'Финан-е'!J62</f>
        <v>0</v>
      </c>
      <c r="J19" s="79">
        <f>'Финан-е'!K23+'Финан-е'!K35+'Финан-е'!K50+'Финан-е'!K62</f>
        <v>0</v>
      </c>
      <c r="K19" s="79">
        <f>'Финан-е'!L23+'Финан-е'!L35+'Финан-е'!L50+'Финан-е'!L62</f>
        <v>0</v>
      </c>
      <c r="L19" s="79">
        <f>'Финан-е'!M23+'Финан-е'!M35+'Финан-е'!M50+'Финан-е'!M62</f>
        <v>0</v>
      </c>
      <c r="M19" s="79">
        <f>'Финан-е'!N23+'Финан-е'!N35+'Финан-е'!N50+'Финан-е'!N62</f>
        <v>0</v>
      </c>
      <c r="N19" s="79">
        <f>'Финан-е'!O23+'Финан-е'!O35+'Финан-е'!O50+'Финан-е'!O62</f>
        <v>0</v>
      </c>
      <c r="O19" s="79">
        <f>'Финан-е'!P23+'Финан-е'!P35+'Финан-е'!P50+'Финан-е'!P62</f>
        <v>0</v>
      </c>
      <c r="P19" s="79">
        <f>'Финан-е'!Q23+'Финан-е'!Q35+'Финан-е'!Q50+'Финан-е'!Q62</f>
        <v>0</v>
      </c>
      <c r="Q19" s="79">
        <f>'Финан-е'!R23+'Финан-е'!R35+'Финан-е'!R50+'Финан-е'!R62</f>
        <v>0</v>
      </c>
      <c r="R19" s="79">
        <f>'Финан-е'!S23+'Финан-е'!S35+'Финан-е'!S50+'Финан-е'!S62</f>
        <v>0</v>
      </c>
      <c r="S19" s="79">
        <f>'Финан-е'!T23+'Финан-е'!T35+'Финан-е'!T50+'Финан-е'!T62</f>
        <v>0</v>
      </c>
      <c r="T19" s="79">
        <f>'Финан-е'!U23+'Финан-е'!U35+'Финан-е'!U50+'Финан-е'!U62</f>
        <v>0</v>
      </c>
      <c r="U19" s="79">
        <f>'Финан-е'!V23+'Финан-е'!V35+'Финан-е'!V50+'Финан-е'!V62</f>
        <v>0</v>
      </c>
      <c r="V19" s="79">
        <f>'Финан-е'!W23+'Финан-е'!W35+'Финан-е'!W50+'Финан-е'!W62</f>
        <v>0</v>
      </c>
      <c r="W19" s="79">
        <f>'Финан-е'!X23+'Финан-е'!X35+'Финан-е'!X50+'Финан-е'!X62</f>
        <v>0</v>
      </c>
      <c r="X19" s="35"/>
    </row>
    <row r="20" spans="2:24" s="27" customFormat="1" x14ac:dyDescent="0.2">
      <c r="B20" s="28" t="s">
        <v>204</v>
      </c>
      <c r="C20" s="77" t="s">
        <v>85</v>
      </c>
      <c r="D20" s="113">
        <f>SUM(D16:D19)</f>
        <v>0</v>
      </c>
      <c r="E20" s="113">
        <f t="shared" ref="E20:W20" si="5">SUM(E16:E19)</f>
        <v>0</v>
      </c>
      <c r="F20" s="113">
        <f t="shared" si="5"/>
        <v>0</v>
      </c>
      <c r="G20" s="113">
        <f t="shared" si="5"/>
        <v>0</v>
      </c>
      <c r="H20" s="113">
        <f t="shared" si="5"/>
        <v>283200</v>
      </c>
      <c r="I20" s="113">
        <f t="shared" si="5"/>
        <v>0</v>
      </c>
      <c r="J20" s="113">
        <f t="shared" si="5"/>
        <v>472000</v>
      </c>
      <c r="K20" s="113">
        <f t="shared" si="5"/>
        <v>188800</v>
      </c>
      <c r="L20" s="113">
        <f t="shared" si="5"/>
        <v>302457.59999999998</v>
      </c>
      <c r="M20" s="113">
        <f t="shared" si="5"/>
        <v>0</v>
      </c>
      <c r="N20" s="113">
        <f t="shared" si="5"/>
        <v>504096</v>
      </c>
      <c r="O20" s="113">
        <f t="shared" si="5"/>
        <v>201638.40000000002</v>
      </c>
      <c r="P20" s="113">
        <f t="shared" si="5"/>
        <v>642419.94240000006</v>
      </c>
      <c r="Q20" s="113">
        <f t="shared" si="5"/>
        <v>0</v>
      </c>
      <c r="R20" s="113">
        <f t="shared" si="5"/>
        <v>1070699.9040000001</v>
      </c>
      <c r="S20" s="113">
        <f t="shared" si="5"/>
        <v>428279.96160000004</v>
      </c>
      <c r="T20" s="113">
        <f t="shared" si="5"/>
        <v>1026265.8579839999</v>
      </c>
      <c r="U20" s="113">
        <f t="shared" si="5"/>
        <v>0</v>
      </c>
      <c r="V20" s="113">
        <f t="shared" si="5"/>
        <v>1710443.0966399999</v>
      </c>
      <c r="W20" s="113">
        <f t="shared" si="5"/>
        <v>684177.238656</v>
      </c>
    </row>
    <row r="21" spans="2:24" x14ac:dyDescent="0.2">
      <c r="C21" s="77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84"/>
  <sheetViews>
    <sheetView zoomScaleNormal="100" workbookViewId="0">
      <selection activeCell="F107" sqref="F107"/>
    </sheetView>
  </sheetViews>
  <sheetFormatPr defaultRowHeight="12.75" x14ac:dyDescent="0.2"/>
  <cols>
    <col min="1" max="2" width="3.7109375" style="1" customWidth="1"/>
    <col min="3" max="3" width="54.85546875" style="1" customWidth="1"/>
    <col min="4" max="16384" width="9.140625" style="1"/>
  </cols>
  <sheetData>
    <row r="1" spans="1:24" x14ac:dyDescent="0.2">
      <c r="C1"/>
    </row>
    <row r="2" spans="1:24" s="2" customFormat="1" x14ac:dyDescent="0.2">
      <c r="A2" s="11" t="s">
        <v>155</v>
      </c>
      <c r="B2" s="11"/>
      <c r="C2" s="12"/>
      <c r="D2" s="2" t="s">
        <v>79</v>
      </c>
      <c r="E2" s="3" t="s">
        <v>58</v>
      </c>
      <c r="F2" s="3" t="s">
        <v>59</v>
      </c>
      <c r="G2" s="3" t="s">
        <v>60</v>
      </c>
      <c r="H2" s="3" t="s">
        <v>61</v>
      </c>
      <c r="I2" s="4" t="s">
        <v>62</v>
      </c>
      <c r="J2" s="4" t="s">
        <v>63</v>
      </c>
      <c r="K2" s="4" t="s">
        <v>64</v>
      </c>
      <c r="L2" s="4" t="s">
        <v>65</v>
      </c>
      <c r="M2" s="5" t="s">
        <v>66</v>
      </c>
      <c r="N2" s="5" t="s">
        <v>67</v>
      </c>
      <c r="O2" s="5" t="s">
        <v>68</v>
      </c>
      <c r="P2" s="5" t="s">
        <v>69</v>
      </c>
      <c r="Q2" s="6" t="s">
        <v>70</v>
      </c>
      <c r="R2" s="6" t="s">
        <v>71</v>
      </c>
      <c r="S2" s="6" t="s">
        <v>72</v>
      </c>
      <c r="T2" s="6" t="s">
        <v>73</v>
      </c>
      <c r="U2" s="7" t="s">
        <v>74</v>
      </c>
      <c r="V2" s="7" t="s">
        <v>75</v>
      </c>
      <c r="W2" s="7" t="s">
        <v>76</v>
      </c>
      <c r="X2" s="7" t="s">
        <v>77</v>
      </c>
    </row>
    <row r="3" spans="1:24" s="35" customFormat="1" x14ac:dyDescent="0.2"/>
    <row r="4" spans="1:24" x14ac:dyDescent="0.2">
      <c r="A4" s="25" t="s">
        <v>156</v>
      </c>
    </row>
    <row r="5" spans="1:24" x14ac:dyDescent="0.2">
      <c r="A5" s="25"/>
      <c r="B5" s="1" t="s">
        <v>185</v>
      </c>
      <c r="D5" s="77" t="s">
        <v>85</v>
      </c>
      <c r="E5" s="294">
        <f>E6+E7</f>
        <v>30000</v>
      </c>
      <c r="F5" s="29">
        <f>F7</f>
        <v>0</v>
      </c>
      <c r="G5" s="29">
        <f t="shared" ref="G5:W5" si="0">G7</f>
        <v>0</v>
      </c>
      <c r="H5" s="29">
        <f t="shared" si="0"/>
        <v>0</v>
      </c>
      <c r="I5" s="29">
        <f t="shared" si="0"/>
        <v>0</v>
      </c>
      <c r="J5" s="29">
        <f t="shared" si="0"/>
        <v>0</v>
      </c>
      <c r="K5" s="29">
        <v>0</v>
      </c>
      <c r="L5" s="29">
        <v>0</v>
      </c>
      <c r="M5" s="29">
        <f t="shared" si="0"/>
        <v>0</v>
      </c>
      <c r="N5" s="29">
        <f t="shared" si="0"/>
        <v>0</v>
      </c>
      <c r="O5" s="29">
        <v>0</v>
      </c>
      <c r="P5" s="29">
        <f t="shared" si="0"/>
        <v>0</v>
      </c>
      <c r="Q5" s="29">
        <f t="shared" si="0"/>
        <v>0</v>
      </c>
      <c r="R5" s="29">
        <f t="shared" si="0"/>
        <v>0</v>
      </c>
      <c r="S5" s="29">
        <f t="shared" si="0"/>
        <v>0</v>
      </c>
      <c r="T5" s="29">
        <f t="shared" si="0"/>
        <v>0</v>
      </c>
      <c r="U5" s="29">
        <f t="shared" si="0"/>
        <v>0</v>
      </c>
      <c r="V5" s="29">
        <f t="shared" si="0"/>
        <v>0</v>
      </c>
      <c r="W5" s="29">
        <f t="shared" si="0"/>
        <v>0</v>
      </c>
      <c r="X5" s="29">
        <f>X7</f>
        <v>0</v>
      </c>
    </row>
    <row r="6" spans="1:24" x14ac:dyDescent="0.2">
      <c r="A6" s="25"/>
      <c r="C6" s="1" t="s">
        <v>46</v>
      </c>
      <c r="D6" s="77" t="s">
        <v>85</v>
      </c>
      <c r="E6" s="295">
        <v>30000</v>
      </c>
      <c r="F6" s="260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</row>
    <row r="7" spans="1:24" x14ac:dyDescent="0.2">
      <c r="A7" s="25"/>
      <c r="C7" s="1" t="s">
        <v>47</v>
      </c>
      <c r="D7" s="77" t="s">
        <v>85</v>
      </c>
      <c r="E7" s="295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</row>
    <row r="8" spans="1:24" x14ac:dyDescent="0.2">
      <c r="B8" s="1" t="s">
        <v>48</v>
      </c>
      <c r="D8" s="77" t="s">
        <v>85</v>
      </c>
      <c r="E8" s="295">
        <v>35000</v>
      </c>
      <c r="F8" s="30">
        <v>0</v>
      </c>
      <c r="G8" s="30">
        <v>0</v>
      </c>
      <c r="H8" s="30">
        <v>0</v>
      </c>
      <c r="I8" s="30">
        <v>60000</v>
      </c>
      <c r="J8" s="30"/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</row>
    <row r="9" spans="1:24" x14ac:dyDescent="0.2">
      <c r="B9" s="28" t="s">
        <v>193</v>
      </c>
      <c r="D9" s="77" t="s">
        <v>85</v>
      </c>
      <c r="E9" s="29">
        <f>E5+E8</f>
        <v>65000</v>
      </c>
      <c r="F9" s="29">
        <f>E9+F5+F8</f>
        <v>65000</v>
      </c>
      <c r="G9" s="29">
        <f>F9+G5+G8</f>
        <v>65000</v>
      </c>
      <c r="H9" s="29">
        <f>G9+H5+H8</f>
        <v>65000</v>
      </c>
      <c r="I9" s="29">
        <f t="shared" ref="I9:W9" si="1">H9+I5+I8</f>
        <v>125000</v>
      </c>
      <c r="J9" s="29">
        <f t="shared" si="1"/>
        <v>125000</v>
      </c>
      <c r="K9" s="29">
        <f t="shared" si="1"/>
        <v>125000</v>
      </c>
      <c r="L9" s="29">
        <f t="shared" si="1"/>
        <v>125000</v>
      </c>
      <c r="M9" s="29">
        <f t="shared" si="1"/>
        <v>125000</v>
      </c>
      <c r="N9" s="29">
        <f t="shared" si="1"/>
        <v>125000</v>
      </c>
      <c r="O9" s="29">
        <f t="shared" si="1"/>
        <v>125000</v>
      </c>
      <c r="P9" s="29">
        <f t="shared" si="1"/>
        <v>125000</v>
      </c>
      <c r="Q9" s="29">
        <f t="shared" si="1"/>
        <v>125000</v>
      </c>
      <c r="R9" s="29">
        <f t="shared" si="1"/>
        <v>125000</v>
      </c>
      <c r="S9" s="29">
        <f t="shared" si="1"/>
        <v>125000</v>
      </c>
      <c r="T9" s="29">
        <f t="shared" si="1"/>
        <v>125000</v>
      </c>
      <c r="U9" s="29">
        <f t="shared" si="1"/>
        <v>125000</v>
      </c>
      <c r="V9" s="29">
        <f t="shared" si="1"/>
        <v>125000</v>
      </c>
      <c r="W9" s="29">
        <f t="shared" si="1"/>
        <v>125000</v>
      </c>
      <c r="X9" s="29">
        <f>W9+X5+X8</f>
        <v>125000</v>
      </c>
    </row>
    <row r="10" spans="1:24" x14ac:dyDescent="0.2">
      <c r="B10" s="28"/>
      <c r="D10" s="77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</row>
    <row r="11" spans="1:24" x14ac:dyDescent="0.2">
      <c r="D11" s="7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x14ac:dyDescent="0.2">
      <c r="A12" s="25" t="s">
        <v>285</v>
      </c>
      <c r="D12" s="77"/>
      <c r="E12" s="48"/>
      <c r="F12" s="48" t="s">
        <v>49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x14ac:dyDescent="0.2">
      <c r="A13" s="25"/>
      <c r="B13" s="87" t="s">
        <v>535</v>
      </c>
      <c r="D13" s="7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x14ac:dyDescent="0.2">
      <c r="A14" s="25"/>
      <c r="C14" s="1" t="s">
        <v>157</v>
      </c>
      <c r="D14" s="77" t="s">
        <v>91</v>
      </c>
      <c r="E14" s="76">
        <v>0</v>
      </c>
      <c r="F14" s="88">
        <f>E14</f>
        <v>0</v>
      </c>
      <c r="G14" s="88">
        <f>F14</f>
        <v>0</v>
      </c>
      <c r="H14" s="88">
        <f>G14</f>
        <v>0</v>
      </c>
      <c r="I14" s="88">
        <f t="shared" ref="I14:X14" si="2">H14</f>
        <v>0</v>
      </c>
      <c r="J14" s="88">
        <f t="shared" si="2"/>
        <v>0</v>
      </c>
      <c r="K14" s="88">
        <f t="shared" si="2"/>
        <v>0</v>
      </c>
      <c r="L14" s="88">
        <f t="shared" si="2"/>
        <v>0</v>
      </c>
      <c r="M14" s="88">
        <f t="shared" si="2"/>
        <v>0</v>
      </c>
      <c r="N14" s="88">
        <f t="shared" si="2"/>
        <v>0</v>
      </c>
      <c r="O14" s="88">
        <f t="shared" si="2"/>
        <v>0</v>
      </c>
      <c r="P14" s="88">
        <f t="shared" si="2"/>
        <v>0</v>
      </c>
      <c r="Q14" s="88">
        <f t="shared" si="2"/>
        <v>0</v>
      </c>
      <c r="R14" s="88">
        <f t="shared" si="2"/>
        <v>0</v>
      </c>
      <c r="S14" s="88">
        <f t="shared" si="2"/>
        <v>0</v>
      </c>
      <c r="T14" s="88">
        <f t="shared" si="2"/>
        <v>0</v>
      </c>
      <c r="U14" s="88">
        <f t="shared" si="2"/>
        <v>0</v>
      </c>
      <c r="V14" s="88">
        <f t="shared" si="2"/>
        <v>0</v>
      </c>
      <c r="W14" s="88">
        <f t="shared" si="2"/>
        <v>0</v>
      </c>
      <c r="X14" s="88">
        <f t="shared" si="2"/>
        <v>0</v>
      </c>
    </row>
    <row r="15" spans="1:24" x14ac:dyDescent="0.2">
      <c r="A15" s="25"/>
      <c r="C15" s="1" t="s">
        <v>293</v>
      </c>
      <c r="D15" s="77" t="s">
        <v>91</v>
      </c>
      <c r="E15" s="88">
        <f>POWER(1+E14,90/360)-1</f>
        <v>0</v>
      </c>
      <c r="F15" s="88">
        <f t="shared" ref="F15:X15" si="3">POWER(1+F14,90/360)-1</f>
        <v>0</v>
      </c>
      <c r="G15" s="88">
        <f t="shared" si="3"/>
        <v>0</v>
      </c>
      <c r="H15" s="88">
        <f t="shared" si="3"/>
        <v>0</v>
      </c>
      <c r="I15" s="88">
        <f t="shared" si="3"/>
        <v>0</v>
      </c>
      <c r="J15" s="88">
        <f t="shared" si="3"/>
        <v>0</v>
      </c>
      <c r="K15" s="88">
        <f t="shared" si="3"/>
        <v>0</v>
      </c>
      <c r="L15" s="88">
        <f t="shared" si="3"/>
        <v>0</v>
      </c>
      <c r="M15" s="88">
        <f t="shared" si="3"/>
        <v>0</v>
      </c>
      <c r="N15" s="88">
        <f t="shared" si="3"/>
        <v>0</v>
      </c>
      <c r="O15" s="88">
        <f t="shared" si="3"/>
        <v>0</v>
      </c>
      <c r="P15" s="88">
        <f t="shared" si="3"/>
        <v>0</v>
      </c>
      <c r="Q15" s="88">
        <f t="shared" si="3"/>
        <v>0</v>
      </c>
      <c r="R15" s="88">
        <f t="shared" si="3"/>
        <v>0</v>
      </c>
      <c r="S15" s="88">
        <f t="shared" si="3"/>
        <v>0</v>
      </c>
      <c r="T15" s="88">
        <f t="shared" si="3"/>
        <v>0</v>
      </c>
      <c r="U15" s="88">
        <f t="shared" si="3"/>
        <v>0</v>
      </c>
      <c r="V15" s="88">
        <f t="shared" si="3"/>
        <v>0</v>
      </c>
      <c r="W15" s="88">
        <f t="shared" si="3"/>
        <v>0</v>
      </c>
      <c r="X15" s="88">
        <f t="shared" si="3"/>
        <v>0</v>
      </c>
    </row>
    <row r="16" spans="1:24" x14ac:dyDescent="0.2">
      <c r="C16" s="1" t="s">
        <v>158</v>
      </c>
      <c r="D16" s="77" t="s">
        <v>85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</row>
    <row r="17" spans="2:24" x14ac:dyDescent="0.2">
      <c r="C17" s="1" t="s">
        <v>291</v>
      </c>
      <c r="D17" s="77" t="s">
        <v>85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</row>
    <row r="18" spans="2:24" s="90" customFormat="1" hidden="1" x14ac:dyDescent="0.2">
      <c r="C18" s="90" t="s">
        <v>258</v>
      </c>
      <c r="D18" s="129" t="s">
        <v>85</v>
      </c>
      <c r="E18" s="130">
        <f>SUM(E16:E17)</f>
        <v>0</v>
      </c>
      <c r="F18" s="130">
        <f t="shared" ref="F18:X18" si="4">SUM(F16:F17)</f>
        <v>0</v>
      </c>
      <c r="G18" s="130">
        <f t="shared" si="4"/>
        <v>0</v>
      </c>
      <c r="H18" s="130">
        <f t="shared" si="4"/>
        <v>0</v>
      </c>
      <c r="I18" s="130">
        <f t="shared" si="4"/>
        <v>0</v>
      </c>
      <c r="J18" s="130">
        <f t="shared" si="4"/>
        <v>0</v>
      </c>
      <c r="K18" s="130">
        <f t="shared" si="4"/>
        <v>0</v>
      </c>
      <c r="L18" s="130">
        <f t="shared" si="4"/>
        <v>0</v>
      </c>
      <c r="M18" s="130">
        <f t="shared" si="4"/>
        <v>0</v>
      </c>
      <c r="N18" s="130">
        <f t="shared" si="4"/>
        <v>0</v>
      </c>
      <c r="O18" s="130">
        <f t="shared" si="4"/>
        <v>0</v>
      </c>
      <c r="P18" s="130">
        <f t="shared" si="4"/>
        <v>0</v>
      </c>
      <c r="Q18" s="130">
        <f t="shared" si="4"/>
        <v>0</v>
      </c>
      <c r="R18" s="130">
        <f t="shared" si="4"/>
        <v>0</v>
      </c>
      <c r="S18" s="130">
        <f t="shared" si="4"/>
        <v>0</v>
      </c>
      <c r="T18" s="130">
        <f t="shared" si="4"/>
        <v>0</v>
      </c>
      <c r="U18" s="130">
        <f t="shared" si="4"/>
        <v>0</v>
      </c>
      <c r="V18" s="130">
        <f t="shared" si="4"/>
        <v>0</v>
      </c>
      <c r="W18" s="130">
        <f t="shared" si="4"/>
        <v>0</v>
      </c>
      <c r="X18" s="130">
        <f t="shared" si="4"/>
        <v>0</v>
      </c>
    </row>
    <row r="19" spans="2:24" x14ac:dyDescent="0.2">
      <c r="C19" s="1" t="s">
        <v>292</v>
      </c>
      <c r="D19" s="77" t="s">
        <v>85</v>
      </c>
      <c r="E19" s="15">
        <f>E18</f>
        <v>0</v>
      </c>
      <c r="F19" s="15">
        <f>F18+E19</f>
        <v>0</v>
      </c>
      <c r="G19" s="15">
        <f t="shared" ref="G19:X19" si="5">G18+F19</f>
        <v>0</v>
      </c>
      <c r="H19" s="15">
        <f t="shared" si="5"/>
        <v>0</v>
      </c>
      <c r="I19" s="15">
        <f t="shared" si="5"/>
        <v>0</v>
      </c>
      <c r="J19" s="15">
        <f t="shared" si="5"/>
        <v>0</v>
      </c>
      <c r="K19" s="15">
        <f t="shared" si="5"/>
        <v>0</v>
      </c>
      <c r="L19" s="15">
        <f t="shared" si="5"/>
        <v>0</v>
      </c>
      <c r="M19" s="15">
        <f t="shared" si="5"/>
        <v>0</v>
      </c>
      <c r="N19" s="15">
        <f t="shared" si="5"/>
        <v>0</v>
      </c>
      <c r="O19" s="15">
        <f t="shared" si="5"/>
        <v>0</v>
      </c>
      <c r="P19" s="15">
        <f t="shared" si="5"/>
        <v>0</v>
      </c>
      <c r="Q19" s="15">
        <f t="shared" si="5"/>
        <v>0</v>
      </c>
      <c r="R19" s="15">
        <f t="shared" si="5"/>
        <v>0</v>
      </c>
      <c r="S19" s="15">
        <f t="shared" si="5"/>
        <v>0</v>
      </c>
      <c r="T19" s="15">
        <f t="shared" si="5"/>
        <v>0</v>
      </c>
      <c r="U19" s="15">
        <f t="shared" si="5"/>
        <v>0</v>
      </c>
      <c r="V19" s="15">
        <f t="shared" si="5"/>
        <v>0</v>
      </c>
      <c r="W19" s="15">
        <f t="shared" si="5"/>
        <v>0</v>
      </c>
      <c r="X19" s="15">
        <f t="shared" si="5"/>
        <v>0</v>
      </c>
    </row>
    <row r="20" spans="2:24" x14ac:dyDescent="0.2">
      <c r="C20" s="1" t="s">
        <v>294</v>
      </c>
      <c r="D20" s="77" t="s">
        <v>85</v>
      </c>
      <c r="E20" s="73">
        <f>E19*E15</f>
        <v>0</v>
      </c>
      <c r="F20" s="73">
        <f t="shared" ref="F20:X20" si="6">(F19+E23)*F15</f>
        <v>0</v>
      </c>
      <c r="G20" s="73">
        <f t="shared" si="6"/>
        <v>0</v>
      </c>
      <c r="H20" s="73">
        <f t="shared" si="6"/>
        <v>0</v>
      </c>
      <c r="I20" s="73">
        <f t="shared" si="6"/>
        <v>0</v>
      </c>
      <c r="J20" s="73">
        <f t="shared" si="6"/>
        <v>0</v>
      </c>
      <c r="K20" s="73">
        <f t="shared" si="6"/>
        <v>0</v>
      </c>
      <c r="L20" s="73">
        <f t="shared" si="6"/>
        <v>0</v>
      </c>
      <c r="M20" s="73">
        <f t="shared" si="6"/>
        <v>0</v>
      </c>
      <c r="N20" s="73">
        <f t="shared" si="6"/>
        <v>0</v>
      </c>
      <c r="O20" s="73">
        <f t="shared" si="6"/>
        <v>0</v>
      </c>
      <c r="P20" s="73">
        <f t="shared" si="6"/>
        <v>0</v>
      </c>
      <c r="Q20" s="73">
        <f t="shared" si="6"/>
        <v>0</v>
      </c>
      <c r="R20" s="73">
        <f t="shared" si="6"/>
        <v>0</v>
      </c>
      <c r="S20" s="73">
        <f t="shared" si="6"/>
        <v>0</v>
      </c>
      <c r="T20" s="73">
        <f t="shared" si="6"/>
        <v>0</v>
      </c>
      <c r="U20" s="73">
        <f t="shared" si="6"/>
        <v>0</v>
      </c>
      <c r="V20" s="73">
        <f t="shared" si="6"/>
        <v>0</v>
      </c>
      <c r="W20" s="73">
        <f t="shared" si="6"/>
        <v>0</v>
      </c>
      <c r="X20" s="73">
        <f t="shared" si="6"/>
        <v>0</v>
      </c>
    </row>
    <row r="21" spans="2:24" x14ac:dyDescent="0.2">
      <c r="C21" s="1" t="s">
        <v>295</v>
      </c>
      <c r="D21" s="77" t="s">
        <v>85</v>
      </c>
      <c r="E21" s="281">
        <v>0</v>
      </c>
      <c r="F21" s="281">
        <v>0</v>
      </c>
      <c r="G21" s="281">
        <v>0</v>
      </c>
      <c r="H21" s="281">
        <v>0</v>
      </c>
      <c r="I21" s="281">
        <v>0</v>
      </c>
      <c r="J21" s="281">
        <v>0</v>
      </c>
      <c r="K21" s="281">
        <v>0</v>
      </c>
      <c r="L21" s="281">
        <v>0</v>
      </c>
      <c r="M21" s="281">
        <v>0</v>
      </c>
      <c r="N21" s="281">
        <v>0</v>
      </c>
      <c r="O21" s="281">
        <v>0</v>
      </c>
      <c r="P21" s="281">
        <v>0</v>
      </c>
      <c r="Q21" s="281">
        <v>0</v>
      </c>
      <c r="R21" s="281">
        <v>0</v>
      </c>
      <c r="S21" s="281">
        <v>0</v>
      </c>
      <c r="T21" s="281">
        <v>0</v>
      </c>
      <c r="U21" s="281">
        <v>0</v>
      </c>
      <c r="V21" s="281">
        <v>0</v>
      </c>
      <c r="W21" s="281">
        <v>0</v>
      </c>
      <c r="X21" s="281">
        <v>0</v>
      </c>
    </row>
    <row r="22" spans="2:24" x14ac:dyDescent="0.2">
      <c r="C22" s="1" t="s">
        <v>296</v>
      </c>
      <c r="D22" s="77" t="s">
        <v>85</v>
      </c>
      <c r="E22" s="134">
        <f>E20-E21</f>
        <v>0</v>
      </c>
      <c r="F22" s="134">
        <f t="shared" ref="F22:X22" si="7">F20-F21</f>
        <v>0</v>
      </c>
      <c r="G22" s="134">
        <f t="shared" si="7"/>
        <v>0</v>
      </c>
      <c r="H22" s="134">
        <f t="shared" si="7"/>
        <v>0</v>
      </c>
      <c r="I22" s="134">
        <f t="shared" si="7"/>
        <v>0</v>
      </c>
      <c r="J22" s="134">
        <f t="shared" si="7"/>
        <v>0</v>
      </c>
      <c r="K22" s="134">
        <f t="shared" si="7"/>
        <v>0</v>
      </c>
      <c r="L22" s="134">
        <f t="shared" si="7"/>
        <v>0</v>
      </c>
      <c r="M22" s="134">
        <f t="shared" si="7"/>
        <v>0</v>
      </c>
      <c r="N22" s="134">
        <f t="shared" si="7"/>
        <v>0</v>
      </c>
      <c r="O22" s="134">
        <f t="shared" si="7"/>
        <v>0</v>
      </c>
      <c r="P22" s="134">
        <f t="shared" si="7"/>
        <v>0</v>
      </c>
      <c r="Q22" s="134">
        <f t="shared" si="7"/>
        <v>0</v>
      </c>
      <c r="R22" s="134">
        <f t="shared" si="7"/>
        <v>0</v>
      </c>
      <c r="S22" s="134">
        <f t="shared" si="7"/>
        <v>0</v>
      </c>
      <c r="T22" s="134">
        <f t="shared" si="7"/>
        <v>0</v>
      </c>
      <c r="U22" s="134">
        <f t="shared" si="7"/>
        <v>0</v>
      </c>
      <c r="V22" s="134">
        <f t="shared" si="7"/>
        <v>0</v>
      </c>
      <c r="W22" s="134">
        <f t="shared" si="7"/>
        <v>0</v>
      </c>
      <c r="X22" s="134">
        <f t="shared" si="7"/>
        <v>0</v>
      </c>
    </row>
    <row r="23" spans="2:24" x14ac:dyDescent="0.2">
      <c r="C23" s="1" t="s">
        <v>343</v>
      </c>
      <c r="D23" s="77" t="s">
        <v>85</v>
      </c>
      <c r="E23" s="134">
        <f>E22</f>
        <v>0</v>
      </c>
      <c r="F23" s="134">
        <f>E23+F22</f>
        <v>0</v>
      </c>
      <c r="G23" s="134">
        <f t="shared" ref="G23:X23" si="8">F23+G22</f>
        <v>0</v>
      </c>
      <c r="H23" s="134">
        <f t="shared" si="8"/>
        <v>0</v>
      </c>
      <c r="I23" s="134">
        <f t="shared" si="8"/>
        <v>0</v>
      </c>
      <c r="J23" s="134">
        <f t="shared" si="8"/>
        <v>0</v>
      </c>
      <c r="K23" s="134">
        <f t="shared" si="8"/>
        <v>0</v>
      </c>
      <c r="L23" s="134">
        <f t="shared" si="8"/>
        <v>0</v>
      </c>
      <c r="M23" s="134">
        <f t="shared" si="8"/>
        <v>0</v>
      </c>
      <c r="N23" s="134">
        <f t="shared" si="8"/>
        <v>0</v>
      </c>
      <c r="O23" s="134">
        <f t="shared" si="8"/>
        <v>0</v>
      </c>
      <c r="P23" s="134">
        <f>O23+P22</f>
        <v>0</v>
      </c>
      <c r="Q23" s="134">
        <f>P23+Q22</f>
        <v>0</v>
      </c>
      <c r="R23" s="134">
        <f t="shared" si="8"/>
        <v>0</v>
      </c>
      <c r="S23" s="134">
        <f t="shared" si="8"/>
        <v>0</v>
      </c>
      <c r="T23" s="134">
        <f t="shared" si="8"/>
        <v>0</v>
      </c>
      <c r="U23" s="134">
        <f t="shared" si="8"/>
        <v>0</v>
      </c>
      <c r="V23" s="134">
        <f t="shared" si="8"/>
        <v>0</v>
      </c>
      <c r="W23" s="134">
        <f t="shared" si="8"/>
        <v>0</v>
      </c>
      <c r="X23" s="134">
        <f t="shared" si="8"/>
        <v>0</v>
      </c>
    </row>
    <row r="24" spans="2:24" x14ac:dyDescent="0.2">
      <c r="C24" s="27" t="s">
        <v>534</v>
      </c>
      <c r="D24" s="77" t="s">
        <v>85</v>
      </c>
      <c r="E24" s="17">
        <f t="shared" ref="E24:X24" si="9">E19+E23</f>
        <v>0</v>
      </c>
      <c r="F24" s="17">
        <f t="shared" si="9"/>
        <v>0</v>
      </c>
      <c r="G24" s="17">
        <f t="shared" si="9"/>
        <v>0</v>
      </c>
      <c r="H24" s="17">
        <f t="shared" si="9"/>
        <v>0</v>
      </c>
      <c r="I24" s="17">
        <f t="shared" si="9"/>
        <v>0</v>
      </c>
      <c r="J24" s="17">
        <f t="shared" si="9"/>
        <v>0</v>
      </c>
      <c r="K24" s="17">
        <f t="shared" si="9"/>
        <v>0</v>
      </c>
      <c r="L24" s="17">
        <f t="shared" si="9"/>
        <v>0</v>
      </c>
      <c r="M24" s="17">
        <f t="shared" si="9"/>
        <v>0</v>
      </c>
      <c r="N24" s="17">
        <f t="shared" si="9"/>
        <v>0</v>
      </c>
      <c r="O24" s="17">
        <f t="shared" si="9"/>
        <v>0</v>
      </c>
      <c r="P24" s="17">
        <f t="shared" si="9"/>
        <v>0</v>
      </c>
      <c r="Q24" s="17">
        <f>Q19+Q23</f>
        <v>0</v>
      </c>
      <c r="R24" s="17">
        <f t="shared" si="9"/>
        <v>0</v>
      </c>
      <c r="S24" s="17">
        <f t="shared" si="9"/>
        <v>0</v>
      </c>
      <c r="T24" s="17">
        <f t="shared" si="9"/>
        <v>0</v>
      </c>
      <c r="U24" s="17">
        <f t="shared" si="9"/>
        <v>0</v>
      </c>
      <c r="V24" s="17">
        <f t="shared" si="9"/>
        <v>0</v>
      </c>
      <c r="W24" s="17">
        <f t="shared" si="9"/>
        <v>0</v>
      </c>
      <c r="X24" s="17">
        <f t="shared" si="9"/>
        <v>0</v>
      </c>
    </row>
    <row r="25" spans="2:24" hidden="1" x14ac:dyDescent="0.2">
      <c r="B25" s="87" t="s">
        <v>190</v>
      </c>
      <c r="C25" s="28"/>
      <c r="D25" s="7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2:24" hidden="1" x14ac:dyDescent="0.2">
      <c r="C26" s="1" t="s">
        <v>157</v>
      </c>
      <c r="D26" s="77" t="s">
        <v>91</v>
      </c>
      <c r="E26" s="76">
        <v>0</v>
      </c>
      <c r="F26" s="88">
        <f>E26</f>
        <v>0</v>
      </c>
      <c r="G26" s="88">
        <f t="shared" ref="G26:W26" si="10">F26</f>
        <v>0</v>
      </c>
      <c r="H26" s="88">
        <f t="shared" si="10"/>
        <v>0</v>
      </c>
      <c r="I26" s="88">
        <f t="shared" si="10"/>
        <v>0</v>
      </c>
      <c r="J26" s="88">
        <f t="shared" si="10"/>
        <v>0</v>
      </c>
      <c r="K26" s="88">
        <f t="shared" si="10"/>
        <v>0</v>
      </c>
      <c r="L26" s="88">
        <f t="shared" si="10"/>
        <v>0</v>
      </c>
      <c r="M26" s="88">
        <f t="shared" si="10"/>
        <v>0</v>
      </c>
      <c r="N26" s="88">
        <f t="shared" si="10"/>
        <v>0</v>
      </c>
      <c r="O26" s="88">
        <f t="shared" si="10"/>
        <v>0</v>
      </c>
      <c r="P26" s="88">
        <f t="shared" si="10"/>
        <v>0</v>
      </c>
      <c r="Q26" s="88">
        <f t="shared" si="10"/>
        <v>0</v>
      </c>
      <c r="R26" s="88">
        <f t="shared" si="10"/>
        <v>0</v>
      </c>
      <c r="S26" s="88">
        <f t="shared" si="10"/>
        <v>0</v>
      </c>
      <c r="T26" s="88">
        <f t="shared" si="10"/>
        <v>0</v>
      </c>
      <c r="U26" s="88">
        <f t="shared" si="10"/>
        <v>0</v>
      </c>
      <c r="V26" s="88">
        <f t="shared" si="10"/>
        <v>0</v>
      </c>
      <c r="W26" s="88">
        <f t="shared" si="10"/>
        <v>0</v>
      </c>
      <c r="X26" s="88">
        <f>W26</f>
        <v>0</v>
      </c>
    </row>
    <row r="27" spans="2:24" hidden="1" x14ac:dyDescent="0.2">
      <c r="C27" s="1" t="s">
        <v>293</v>
      </c>
      <c r="D27" s="77" t="s">
        <v>91</v>
      </c>
      <c r="E27" s="88">
        <f>POWER(1+E26,90/360)-1</f>
        <v>0</v>
      </c>
      <c r="F27" s="88">
        <f t="shared" ref="F27:X27" si="11">POWER(1+F26,90/360)-1</f>
        <v>0</v>
      </c>
      <c r="G27" s="88">
        <f t="shared" si="11"/>
        <v>0</v>
      </c>
      <c r="H27" s="88">
        <f t="shared" si="11"/>
        <v>0</v>
      </c>
      <c r="I27" s="88">
        <f t="shared" si="11"/>
        <v>0</v>
      </c>
      <c r="J27" s="88">
        <f t="shared" si="11"/>
        <v>0</v>
      </c>
      <c r="K27" s="88">
        <f t="shared" si="11"/>
        <v>0</v>
      </c>
      <c r="L27" s="88">
        <f t="shared" si="11"/>
        <v>0</v>
      </c>
      <c r="M27" s="88">
        <f t="shared" si="11"/>
        <v>0</v>
      </c>
      <c r="N27" s="88">
        <f t="shared" si="11"/>
        <v>0</v>
      </c>
      <c r="O27" s="88">
        <f t="shared" si="11"/>
        <v>0</v>
      </c>
      <c r="P27" s="88">
        <f t="shared" si="11"/>
        <v>0</v>
      </c>
      <c r="Q27" s="88">
        <f t="shared" si="11"/>
        <v>0</v>
      </c>
      <c r="R27" s="88">
        <f t="shared" si="11"/>
        <v>0</v>
      </c>
      <c r="S27" s="88">
        <f t="shared" si="11"/>
        <v>0</v>
      </c>
      <c r="T27" s="88">
        <f t="shared" si="11"/>
        <v>0</v>
      </c>
      <c r="U27" s="88">
        <f t="shared" si="11"/>
        <v>0</v>
      </c>
      <c r="V27" s="88">
        <f t="shared" si="11"/>
        <v>0</v>
      </c>
      <c r="W27" s="88">
        <f t="shared" si="11"/>
        <v>0</v>
      </c>
      <c r="X27" s="88">
        <f t="shared" si="11"/>
        <v>0</v>
      </c>
    </row>
    <row r="28" spans="2:24" hidden="1" x14ac:dyDescent="0.2">
      <c r="C28" s="1" t="s">
        <v>158</v>
      </c>
      <c r="D28" s="77" t="s">
        <v>85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</row>
    <row r="29" spans="2:24" hidden="1" x14ac:dyDescent="0.2">
      <c r="C29" s="1" t="s">
        <v>291</v>
      </c>
      <c r="D29" s="77" t="s">
        <v>85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</row>
    <row r="30" spans="2:24" hidden="1" x14ac:dyDescent="0.2">
      <c r="C30" s="90" t="s">
        <v>258</v>
      </c>
      <c r="D30" s="129" t="s">
        <v>85</v>
      </c>
      <c r="E30" s="130">
        <f>SUM(E28:E29)</f>
        <v>0</v>
      </c>
      <c r="F30" s="130">
        <f t="shared" ref="F30:X30" si="12">SUM(F28:F29)</f>
        <v>0</v>
      </c>
      <c r="G30" s="130">
        <f t="shared" si="12"/>
        <v>0</v>
      </c>
      <c r="H30" s="130">
        <f t="shared" si="12"/>
        <v>0</v>
      </c>
      <c r="I30" s="130">
        <f t="shared" si="12"/>
        <v>0</v>
      </c>
      <c r="J30" s="130">
        <f t="shared" si="12"/>
        <v>0</v>
      </c>
      <c r="K30" s="130">
        <f t="shared" si="12"/>
        <v>0</v>
      </c>
      <c r="L30" s="130">
        <f t="shared" si="12"/>
        <v>0</v>
      </c>
      <c r="M30" s="130">
        <f t="shared" si="12"/>
        <v>0</v>
      </c>
      <c r="N30" s="130">
        <f t="shared" si="12"/>
        <v>0</v>
      </c>
      <c r="O30" s="130">
        <f t="shared" si="12"/>
        <v>0</v>
      </c>
      <c r="P30" s="130">
        <f t="shared" si="12"/>
        <v>0</v>
      </c>
      <c r="Q30" s="130">
        <f t="shared" si="12"/>
        <v>0</v>
      </c>
      <c r="R30" s="130">
        <f t="shared" si="12"/>
        <v>0</v>
      </c>
      <c r="S30" s="130">
        <f t="shared" si="12"/>
        <v>0</v>
      </c>
      <c r="T30" s="130">
        <f t="shared" si="12"/>
        <v>0</v>
      </c>
      <c r="U30" s="130">
        <f t="shared" si="12"/>
        <v>0</v>
      </c>
      <c r="V30" s="130">
        <f t="shared" si="12"/>
        <v>0</v>
      </c>
      <c r="W30" s="130">
        <f t="shared" si="12"/>
        <v>0</v>
      </c>
      <c r="X30" s="130">
        <f t="shared" si="12"/>
        <v>0</v>
      </c>
    </row>
    <row r="31" spans="2:24" hidden="1" x14ac:dyDescent="0.2">
      <c r="C31" s="1" t="s">
        <v>292</v>
      </c>
      <c r="D31" s="77" t="s">
        <v>85</v>
      </c>
      <c r="E31" s="15">
        <f>E30</f>
        <v>0</v>
      </c>
      <c r="F31" s="15">
        <f>E31+F30</f>
        <v>0</v>
      </c>
      <c r="G31" s="15">
        <f t="shared" ref="G31:W31" si="13">F31+G30</f>
        <v>0</v>
      </c>
      <c r="H31" s="15">
        <f t="shared" si="13"/>
        <v>0</v>
      </c>
      <c r="I31" s="15">
        <f t="shared" si="13"/>
        <v>0</v>
      </c>
      <c r="J31" s="15">
        <f t="shared" si="13"/>
        <v>0</v>
      </c>
      <c r="K31" s="15">
        <f t="shared" si="13"/>
        <v>0</v>
      </c>
      <c r="L31" s="15">
        <f t="shared" si="13"/>
        <v>0</v>
      </c>
      <c r="M31" s="15">
        <f t="shared" si="13"/>
        <v>0</v>
      </c>
      <c r="N31" s="15">
        <f t="shared" si="13"/>
        <v>0</v>
      </c>
      <c r="O31" s="15">
        <f t="shared" si="13"/>
        <v>0</v>
      </c>
      <c r="P31" s="15">
        <f t="shared" si="13"/>
        <v>0</v>
      </c>
      <c r="Q31" s="15">
        <f t="shared" si="13"/>
        <v>0</v>
      </c>
      <c r="R31" s="15">
        <f t="shared" si="13"/>
        <v>0</v>
      </c>
      <c r="S31" s="15">
        <f t="shared" si="13"/>
        <v>0</v>
      </c>
      <c r="T31" s="15">
        <f t="shared" si="13"/>
        <v>0</v>
      </c>
      <c r="U31" s="15">
        <f t="shared" si="13"/>
        <v>0</v>
      </c>
      <c r="V31" s="15">
        <f t="shared" si="13"/>
        <v>0</v>
      </c>
      <c r="W31" s="15">
        <f t="shared" si="13"/>
        <v>0</v>
      </c>
      <c r="X31" s="15">
        <f>W31+X30</f>
        <v>0</v>
      </c>
    </row>
    <row r="32" spans="2:24" hidden="1" x14ac:dyDescent="0.2">
      <c r="C32" s="1" t="s">
        <v>294</v>
      </c>
      <c r="D32" s="77" t="s">
        <v>85</v>
      </c>
      <c r="E32" s="134">
        <f>E31*E27</f>
        <v>0</v>
      </c>
      <c r="F32" s="134">
        <f>(F31+E35)*F27</f>
        <v>0</v>
      </c>
      <c r="G32" s="134">
        <f t="shared" ref="G32:X32" si="14">(G31+F35)*G27</f>
        <v>0</v>
      </c>
      <c r="H32" s="134">
        <f t="shared" si="14"/>
        <v>0</v>
      </c>
      <c r="I32" s="134">
        <f t="shared" si="14"/>
        <v>0</v>
      </c>
      <c r="J32" s="134">
        <f t="shared" si="14"/>
        <v>0</v>
      </c>
      <c r="K32" s="134">
        <f t="shared" si="14"/>
        <v>0</v>
      </c>
      <c r="L32" s="134">
        <f t="shared" si="14"/>
        <v>0</v>
      </c>
      <c r="M32" s="134">
        <f t="shared" si="14"/>
        <v>0</v>
      </c>
      <c r="N32" s="134">
        <f t="shared" si="14"/>
        <v>0</v>
      </c>
      <c r="O32" s="134">
        <f t="shared" si="14"/>
        <v>0</v>
      </c>
      <c r="P32" s="134">
        <f t="shared" si="14"/>
        <v>0</v>
      </c>
      <c r="Q32" s="134">
        <f t="shared" si="14"/>
        <v>0</v>
      </c>
      <c r="R32" s="134">
        <f t="shared" si="14"/>
        <v>0</v>
      </c>
      <c r="S32" s="134">
        <f t="shared" si="14"/>
        <v>0</v>
      </c>
      <c r="T32" s="134">
        <f t="shared" si="14"/>
        <v>0</v>
      </c>
      <c r="U32" s="134">
        <f t="shared" si="14"/>
        <v>0</v>
      </c>
      <c r="V32" s="134">
        <f t="shared" si="14"/>
        <v>0</v>
      </c>
      <c r="W32" s="134">
        <f t="shared" si="14"/>
        <v>0</v>
      </c>
      <c r="X32" s="134">
        <f t="shared" si="14"/>
        <v>0</v>
      </c>
    </row>
    <row r="33" spans="1:24" hidden="1" x14ac:dyDescent="0.2">
      <c r="C33" s="1" t="s">
        <v>295</v>
      </c>
      <c r="D33" s="77" t="s">
        <v>85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</row>
    <row r="34" spans="1:24" hidden="1" x14ac:dyDescent="0.2">
      <c r="C34" s="1" t="s">
        <v>296</v>
      </c>
      <c r="D34" s="77" t="s">
        <v>85</v>
      </c>
      <c r="E34" s="134">
        <f>SUM(E32:E33)</f>
        <v>0</v>
      </c>
      <c r="F34" s="134">
        <f t="shared" ref="F34:X34" si="15">SUM(F32:F33)</f>
        <v>0</v>
      </c>
      <c r="G34" s="134">
        <f t="shared" si="15"/>
        <v>0</v>
      </c>
      <c r="H34" s="134">
        <f t="shared" si="15"/>
        <v>0</v>
      </c>
      <c r="I34" s="134">
        <f t="shared" si="15"/>
        <v>0</v>
      </c>
      <c r="J34" s="134">
        <f t="shared" si="15"/>
        <v>0</v>
      </c>
      <c r="K34" s="134">
        <f t="shared" si="15"/>
        <v>0</v>
      </c>
      <c r="L34" s="134">
        <f t="shared" si="15"/>
        <v>0</v>
      </c>
      <c r="M34" s="134">
        <f t="shared" si="15"/>
        <v>0</v>
      </c>
      <c r="N34" s="134">
        <f t="shared" si="15"/>
        <v>0</v>
      </c>
      <c r="O34" s="134">
        <f t="shared" si="15"/>
        <v>0</v>
      </c>
      <c r="P34" s="134">
        <f t="shared" si="15"/>
        <v>0</v>
      </c>
      <c r="Q34" s="134">
        <f t="shared" si="15"/>
        <v>0</v>
      </c>
      <c r="R34" s="134">
        <f t="shared" si="15"/>
        <v>0</v>
      </c>
      <c r="S34" s="134">
        <f t="shared" si="15"/>
        <v>0</v>
      </c>
      <c r="T34" s="134">
        <f t="shared" si="15"/>
        <v>0</v>
      </c>
      <c r="U34" s="134">
        <f t="shared" si="15"/>
        <v>0</v>
      </c>
      <c r="V34" s="134">
        <f t="shared" si="15"/>
        <v>0</v>
      </c>
      <c r="W34" s="134">
        <f t="shared" si="15"/>
        <v>0</v>
      </c>
      <c r="X34" s="134">
        <f t="shared" si="15"/>
        <v>0</v>
      </c>
    </row>
    <row r="35" spans="1:24" hidden="1" x14ac:dyDescent="0.2">
      <c r="C35" s="1" t="s">
        <v>343</v>
      </c>
      <c r="D35" s="77" t="s">
        <v>85</v>
      </c>
      <c r="E35" s="134">
        <f>E34</f>
        <v>0</v>
      </c>
      <c r="F35" s="134">
        <f>E35+F34</f>
        <v>0</v>
      </c>
      <c r="G35" s="134">
        <f t="shared" ref="G35:W35" si="16">F35+G34</f>
        <v>0</v>
      </c>
      <c r="H35" s="134">
        <f t="shared" si="16"/>
        <v>0</v>
      </c>
      <c r="I35" s="134">
        <f t="shared" si="16"/>
        <v>0</v>
      </c>
      <c r="J35" s="134">
        <f t="shared" si="16"/>
        <v>0</v>
      </c>
      <c r="K35" s="134">
        <f t="shared" si="16"/>
        <v>0</v>
      </c>
      <c r="L35" s="134">
        <f t="shared" si="16"/>
        <v>0</v>
      </c>
      <c r="M35" s="134">
        <f t="shared" si="16"/>
        <v>0</v>
      </c>
      <c r="N35" s="134">
        <f t="shared" si="16"/>
        <v>0</v>
      </c>
      <c r="O35" s="134">
        <f t="shared" si="16"/>
        <v>0</v>
      </c>
      <c r="P35" s="134">
        <f t="shared" si="16"/>
        <v>0</v>
      </c>
      <c r="Q35" s="134">
        <f t="shared" si="16"/>
        <v>0</v>
      </c>
      <c r="R35" s="134">
        <f t="shared" si="16"/>
        <v>0</v>
      </c>
      <c r="S35" s="134">
        <f t="shared" si="16"/>
        <v>0</v>
      </c>
      <c r="T35" s="134">
        <f t="shared" si="16"/>
        <v>0</v>
      </c>
      <c r="U35" s="134">
        <f t="shared" si="16"/>
        <v>0</v>
      </c>
      <c r="V35" s="134">
        <f t="shared" si="16"/>
        <v>0</v>
      </c>
      <c r="W35" s="134">
        <f t="shared" si="16"/>
        <v>0</v>
      </c>
      <c r="X35" s="134">
        <f>W35+X34</f>
        <v>0</v>
      </c>
    </row>
    <row r="36" spans="1:24" hidden="1" x14ac:dyDescent="0.2">
      <c r="C36" s="27" t="s">
        <v>191</v>
      </c>
      <c r="D36" s="77" t="s">
        <v>85</v>
      </c>
      <c r="E36" s="17">
        <f>E31+E35</f>
        <v>0</v>
      </c>
      <c r="F36" s="17">
        <f t="shared" ref="F36:X36" si="17">F31+F35</f>
        <v>0</v>
      </c>
      <c r="G36" s="17">
        <f t="shared" si="17"/>
        <v>0</v>
      </c>
      <c r="H36" s="17">
        <f t="shared" si="17"/>
        <v>0</v>
      </c>
      <c r="I36" s="17">
        <f t="shared" si="17"/>
        <v>0</v>
      </c>
      <c r="J36" s="17">
        <f t="shared" si="17"/>
        <v>0</v>
      </c>
      <c r="K36" s="17">
        <f t="shared" si="17"/>
        <v>0</v>
      </c>
      <c r="L36" s="17">
        <f t="shared" si="17"/>
        <v>0</v>
      </c>
      <c r="M36" s="17">
        <f t="shared" si="17"/>
        <v>0</v>
      </c>
      <c r="N36" s="17">
        <f t="shared" si="17"/>
        <v>0</v>
      </c>
      <c r="O36" s="17">
        <f t="shared" si="17"/>
        <v>0</v>
      </c>
      <c r="P36" s="17">
        <f t="shared" si="17"/>
        <v>0</v>
      </c>
      <c r="Q36" s="17">
        <f t="shared" si="17"/>
        <v>0</v>
      </c>
      <c r="R36" s="17">
        <f t="shared" si="17"/>
        <v>0</v>
      </c>
      <c r="S36" s="17">
        <f t="shared" si="17"/>
        <v>0</v>
      </c>
      <c r="T36" s="17">
        <f t="shared" si="17"/>
        <v>0</v>
      </c>
      <c r="U36" s="17">
        <f t="shared" si="17"/>
        <v>0</v>
      </c>
      <c r="V36" s="17">
        <f t="shared" si="17"/>
        <v>0</v>
      </c>
      <c r="W36" s="17">
        <f t="shared" si="17"/>
        <v>0</v>
      </c>
      <c r="X36" s="17">
        <f t="shared" si="17"/>
        <v>0</v>
      </c>
    </row>
    <row r="37" spans="1:24" x14ac:dyDescent="0.2">
      <c r="C37" s="28" t="s">
        <v>192</v>
      </c>
      <c r="D37" s="77" t="s">
        <v>85</v>
      </c>
      <c r="E37" s="17">
        <f t="shared" ref="E37:X37" si="18">E24+E36</f>
        <v>0</v>
      </c>
      <c r="F37" s="17">
        <f t="shared" si="18"/>
        <v>0</v>
      </c>
      <c r="G37" s="17">
        <f t="shared" si="18"/>
        <v>0</v>
      </c>
      <c r="H37" s="17">
        <f t="shared" si="18"/>
        <v>0</v>
      </c>
      <c r="I37" s="17">
        <f t="shared" si="18"/>
        <v>0</v>
      </c>
      <c r="J37" s="17">
        <f t="shared" si="18"/>
        <v>0</v>
      </c>
      <c r="K37" s="17">
        <f t="shared" si="18"/>
        <v>0</v>
      </c>
      <c r="L37" s="17">
        <f t="shared" si="18"/>
        <v>0</v>
      </c>
      <c r="M37" s="17">
        <f t="shared" si="18"/>
        <v>0</v>
      </c>
      <c r="N37" s="17">
        <f t="shared" si="18"/>
        <v>0</v>
      </c>
      <c r="O37" s="17">
        <f t="shared" si="18"/>
        <v>0</v>
      </c>
      <c r="P37" s="17">
        <f t="shared" si="18"/>
        <v>0</v>
      </c>
      <c r="Q37" s="17">
        <f>Q24+Q36</f>
        <v>0</v>
      </c>
      <c r="R37" s="17">
        <f t="shared" si="18"/>
        <v>0</v>
      </c>
      <c r="S37" s="17">
        <f t="shared" si="18"/>
        <v>0</v>
      </c>
      <c r="T37" s="17">
        <f t="shared" si="18"/>
        <v>0</v>
      </c>
      <c r="U37" s="17">
        <f t="shared" si="18"/>
        <v>0</v>
      </c>
      <c r="V37" s="17">
        <f t="shared" si="18"/>
        <v>0</v>
      </c>
      <c r="W37" s="17">
        <f t="shared" si="18"/>
        <v>0</v>
      </c>
      <c r="X37" s="17">
        <f t="shared" si="18"/>
        <v>0</v>
      </c>
    </row>
    <row r="38" spans="1:24" x14ac:dyDescent="0.2">
      <c r="D38" s="7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</row>
    <row r="39" spans="1:24" x14ac:dyDescent="0.2">
      <c r="A39" s="25" t="s">
        <v>280</v>
      </c>
      <c r="D39" s="77"/>
      <c r="E39" s="48"/>
      <c r="F39" s="48" t="s">
        <v>49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 x14ac:dyDescent="0.2">
      <c r="A40" s="25"/>
      <c r="B40" s="87" t="s">
        <v>189</v>
      </c>
      <c r="D40" s="7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</row>
    <row r="41" spans="1:24" x14ac:dyDescent="0.2">
      <c r="A41" s="25"/>
      <c r="C41" s="1" t="s">
        <v>157</v>
      </c>
      <c r="D41" s="77" t="s">
        <v>91</v>
      </c>
      <c r="E41" s="76">
        <v>0</v>
      </c>
      <c r="F41" s="88">
        <f>E41</f>
        <v>0</v>
      </c>
      <c r="G41" s="88">
        <f t="shared" ref="G41:X41" si="19">F41</f>
        <v>0</v>
      </c>
      <c r="H41" s="88">
        <f t="shared" si="19"/>
        <v>0</v>
      </c>
      <c r="I41" s="88">
        <f t="shared" si="19"/>
        <v>0</v>
      </c>
      <c r="J41" s="88">
        <f t="shared" si="19"/>
        <v>0</v>
      </c>
      <c r="K41" s="88">
        <f t="shared" si="19"/>
        <v>0</v>
      </c>
      <c r="L41" s="88">
        <f t="shared" si="19"/>
        <v>0</v>
      </c>
      <c r="M41" s="88">
        <f t="shared" si="19"/>
        <v>0</v>
      </c>
      <c r="N41" s="88">
        <f t="shared" si="19"/>
        <v>0</v>
      </c>
      <c r="O41" s="88">
        <f t="shared" si="19"/>
        <v>0</v>
      </c>
      <c r="P41" s="88">
        <f t="shared" si="19"/>
        <v>0</v>
      </c>
      <c r="Q41" s="88">
        <f t="shared" si="19"/>
        <v>0</v>
      </c>
      <c r="R41" s="88">
        <f t="shared" si="19"/>
        <v>0</v>
      </c>
      <c r="S41" s="88">
        <f t="shared" si="19"/>
        <v>0</v>
      </c>
      <c r="T41" s="88">
        <f t="shared" si="19"/>
        <v>0</v>
      </c>
      <c r="U41" s="88">
        <f t="shared" si="19"/>
        <v>0</v>
      </c>
      <c r="V41" s="88">
        <f t="shared" si="19"/>
        <v>0</v>
      </c>
      <c r="W41" s="88">
        <f t="shared" si="19"/>
        <v>0</v>
      </c>
      <c r="X41" s="88">
        <f t="shared" si="19"/>
        <v>0</v>
      </c>
    </row>
    <row r="42" spans="1:24" x14ac:dyDescent="0.2">
      <c r="A42" s="25"/>
      <c r="C42" s="1" t="s">
        <v>293</v>
      </c>
      <c r="D42" s="77" t="s">
        <v>91</v>
      </c>
      <c r="E42" s="88">
        <f>POWER(1+E41,90/360)-1</f>
        <v>0</v>
      </c>
      <c r="F42" s="88">
        <f t="shared" ref="F42:X42" si="20">POWER(1+F41,90/360)-1</f>
        <v>0</v>
      </c>
      <c r="G42" s="88">
        <f t="shared" si="20"/>
        <v>0</v>
      </c>
      <c r="H42" s="88">
        <f t="shared" si="20"/>
        <v>0</v>
      </c>
      <c r="I42" s="88">
        <f t="shared" si="20"/>
        <v>0</v>
      </c>
      <c r="J42" s="88">
        <f t="shared" si="20"/>
        <v>0</v>
      </c>
      <c r="K42" s="88">
        <f t="shared" si="20"/>
        <v>0</v>
      </c>
      <c r="L42" s="88">
        <f t="shared" si="20"/>
        <v>0</v>
      </c>
      <c r="M42" s="88">
        <f t="shared" si="20"/>
        <v>0</v>
      </c>
      <c r="N42" s="88">
        <f t="shared" si="20"/>
        <v>0</v>
      </c>
      <c r="O42" s="88">
        <f t="shared" si="20"/>
        <v>0</v>
      </c>
      <c r="P42" s="88">
        <f t="shared" si="20"/>
        <v>0</v>
      </c>
      <c r="Q42" s="88">
        <f t="shared" si="20"/>
        <v>0</v>
      </c>
      <c r="R42" s="88">
        <f t="shared" si="20"/>
        <v>0</v>
      </c>
      <c r="S42" s="88">
        <f t="shared" si="20"/>
        <v>0</v>
      </c>
      <c r="T42" s="88">
        <f t="shared" si="20"/>
        <v>0</v>
      </c>
      <c r="U42" s="88">
        <f t="shared" si="20"/>
        <v>0</v>
      </c>
      <c r="V42" s="88">
        <f t="shared" si="20"/>
        <v>0</v>
      </c>
      <c r="W42" s="88">
        <f t="shared" si="20"/>
        <v>0</v>
      </c>
      <c r="X42" s="88">
        <f t="shared" si="20"/>
        <v>0</v>
      </c>
    </row>
    <row r="43" spans="1:24" x14ac:dyDescent="0.2">
      <c r="C43" s="1" t="s">
        <v>158</v>
      </c>
      <c r="D43" s="77" t="s">
        <v>85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</row>
    <row r="44" spans="1:24" x14ac:dyDescent="0.2">
      <c r="C44" s="1" t="s">
        <v>291</v>
      </c>
      <c r="D44" s="77" t="s">
        <v>85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</row>
    <row r="45" spans="1:24" x14ac:dyDescent="0.2">
      <c r="C45" s="90" t="s">
        <v>258</v>
      </c>
      <c r="D45" s="129" t="s">
        <v>85</v>
      </c>
      <c r="E45" s="130">
        <f>SUM(E43:E44)</f>
        <v>0</v>
      </c>
      <c r="F45" s="130">
        <f t="shared" ref="F45:X45" si="21">SUM(F43:F44)</f>
        <v>0</v>
      </c>
      <c r="G45" s="130">
        <f t="shared" si="21"/>
        <v>0</v>
      </c>
      <c r="H45" s="130">
        <f t="shared" si="21"/>
        <v>0</v>
      </c>
      <c r="I45" s="130">
        <f t="shared" si="21"/>
        <v>0</v>
      </c>
      <c r="J45" s="130">
        <f t="shared" si="21"/>
        <v>0</v>
      </c>
      <c r="K45" s="130">
        <f t="shared" si="21"/>
        <v>0</v>
      </c>
      <c r="L45" s="130">
        <f t="shared" si="21"/>
        <v>0</v>
      </c>
      <c r="M45" s="130">
        <f t="shared" si="21"/>
        <v>0</v>
      </c>
      <c r="N45" s="130">
        <f t="shared" si="21"/>
        <v>0</v>
      </c>
      <c r="O45" s="130">
        <f t="shared" si="21"/>
        <v>0</v>
      </c>
      <c r="P45" s="130">
        <f t="shared" si="21"/>
        <v>0</v>
      </c>
      <c r="Q45" s="130">
        <f t="shared" si="21"/>
        <v>0</v>
      </c>
      <c r="R45" s="130">
        <f t="shared" si="21"/>
        <v>0</v>
      </c>
      <c r="S45" s="130">
        <f t="shared" si="21"/>
        <v>0</v>
      </c>
      <c r="T45" s="130">
        <f t="shared" si="21"/>
        <v>0</v>
      </c>
      <c r="U45" s="130">
        <f t="shared" si="21"/>
        <v>0</v>
      </c>
      <c r="V45" s="130">
        <f t="shared" si="21"/>
        <v>0</v>
      </c>
      <c r="W45" s="130">
        <f t="shared" si="21"/>
        <v>0</v>
      </c>
      <c r="X45" s="130">
        <f t="shared" si="21"/>
        <v>0</v>
      </c>
    </row>
    <row r="46" spans="1:24" x14ac:dyDescent="0.2">
      <c r="C46" s="1" t="s">
        <v>292</v>
      </c>
      <c r="D46" s="77" t="s">
        <v>85</v>
      </c>
      <c r="E46" s="15">
        <f>E45</f>
        <v>0</v>
      </c>
      <c r="F46" s="15">
        <f>E46+F45</f>
        <v>0</v>
      </c>
      <c r="G46" s="15">
        <f t="shared" ref="G46:X46" si="22">F46+G45</f>
        <v>0</v>
      </c>
      <c r="H46" s="15">
        <f t="shared" si="22"/>
        <v>0</v>
      </c>
      <c r="I46" s="15">
        <f t="shared" si="22"/>
        <v>0</v>
      </c>
      <c r="J46" s="15">
        <f t="shared" si="22"/>
        <v>0</v>
      </c>
      <c r="K46" s="15">
        <f t="shared" si="22"/>
        <v>0</v>
      </c>
      <c r="L46" s="15">
        <f t="shared" si="22"/>
        <v>0</v>
      </c>
      <c r="M46" s="15">
        <f t="shared" si="22"/>
        <v>0</v>
      </c>
      <c r="N46" s="15">
        <f t="shared" si="22"/>
        <v>0</v>
      </c>
      <c r="O46" s="15">
        <f t="shared" si="22"/>
        <v>0</v>
      </c>
      <c r="P46" s="15">
        <f t="shared" si="22"/>
        <v>0</v>
      </c>
      <c r="Q46" s="15">
        <f t="shared" si="22"/>
        <v>0</v>
      </c>
      <c r="R46" s="15">
        <f t="shared" si="22"/>
        <v>0</v>
      </c>
      <c r="S46" s="15">
        <f t="shared" si="22"/>
        <v>0</v>
      </c>
      <c r="T46" s="15">
        <f t="shared" si="22"/>
        <v>0</v>
      </c>
      <c r="U46" s="15">
        <f t="shared" si="22"/>
        <v>0</v>
      </c>
      <c r="V46" s="15">
        <f t="shared" si="22"/>
        <v>0</v>
      </c>
      <c r="W46" s="15">
        <f t="shared" si="22"/>
        <v>0</v>
      </c>
      <c r="X46" s="15">
        <f t="shared" si="22"/>
        <v>0</v>
      </c>
    </row>
    <row r="47" spans="1:24" x14ac:dyDescent="0.2">
      <c r="C47" s="1" t="s">
        <v>294</v>
      </c>
      <c r="D47" s="77" t="s">
        <v>85</v>
      </c>
      <c r="E47" s="134">
        <f>E46*E42</f>
        <v>0</v>
      </c>
      <c r="F47" s="134">
        <f>(F46+E50)*F42</f>
        <v>0</v>
      </c>
      <c r="G47" s="134">
        <f t="shared" ref="G47:X47" si="23">(G46+F50)*G42</f>
        <v>0</v>
      </c>
      <c r="H47" s="134">
        <f t="shared" si="23"/>
        <v>0</v>
      </c>
      <c r="I47" s="134">
        <f t="shared" si="23"/>
        <v>0</v>
      </c>
      <c r="J47" s="134">
        <f t="shared" si="23"/>
        <v>0</v>
      </c>
      <c r="K47" s="134">
        <f t="shared" si="23"/>
        <v>0</v>
      </c>
      <c r="L47" s="134">
        <f t="shared" si="23"/>
        <v>0</v>
      </c>
      <c r="M47" s="134">
        <f t="shared" si="23"/>
        <v>0</v>
      </c>
      <c r="N47" s="134">
        <f t="shared" si="23"/>
        <v>0</v>
      </c>
      <c r="O47" s="134">
        <f t="shared" si="23"/>
        <v>0</v>
      </c>
      <c r="P47" s="134">
        <f t="shared" si="23"/>
        <v>0</v>
      </c>
      <c r="Q47" s="134">
        <f t="shared" si="23"/>
        <v>0</v>
      </c>
      <c r="R47" s="134">
        <f t="shared" si="23"/>
        <v>0</v>
      </c>
      <c r="S47" s="134">
        <f t="shared" si="23"/>
        <v>0</v>
      </c>
      <c r="T47" s="134">
        <f t="shared" si="23"/>
        <v>0</v>
      </c>
      <c r="U47" s="134">
        <f t="shared" si="23"/>
        <v>0</v>
      </c>
      <c r="V47" s="134">
        <f t="shared" si="23"/>
        <v>0</v>
      </c>
      <c r="W47" s="134">
        <f t="shared" si="23"/>
        <v>0</v>
      </c>
      <c r="X47" s="134">
        <f t="shared" si="23"/>
        <v>0</v>
      </c>
    </row>
    <row r="48" spans="1:24" x14ac:dyDescent="0.2">
      <c r="C48" s="1" t="s">
        <v>295</v>
      </c>
      <c r="D48" s="77" t="s">
        <v>85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</row>
    <row r="49" spans="2:24" x14ac:dyDescent="0.2">
      <c r="C49" s="1" t="s">
        <v>296</v>
      </c>
      <c r="D49" s="77" t="s">
        <v>85</v>
      </c>
      <c r="E49" s="134">
        <f>SUM(E47:E48)</f>
        <v>0</v>
      </c>
      <c r="F49" s="134">
        <f t="shared" ref="F49:X49" si="24">SUM(F47:F48)</f>
        <v>0</v>
      </c>
      <c r="G49" s="134">
        <f t="shared" si="24"/>
        <v>0</v>
      </c>
      <c r="H49" s="134">
        <f t="shared" si="24"/>
        <v>0</v>
      </c>
      <c r="I49" s="134">
        <f t="shared" si="24"/>
        <v>0</v>
      </c>
      <c r="J49" s="134">
        <f t="shared" si="24"/>
        <v>0</v>
      </c>
      <c r="K49" s="134">
        <f t="shared" si="24"/>
        <v>0</v>
      </c>
      <c r="L49" s="134">
        <f t="shared" si="24"/>
        <v>0</v>
      </c>
      <c r="M49" s="134">
        <f t="shared" si="24"/>
        <v>0</v>
      </c>
      <c r="N49" s="134">
        <f t="shared" si="24"/>
        <v>0</v>
      </c>
      <c r="O49" s="134">
        <f t="shared" si="24"/>
        <v>0</v>
      </c>
      <c r="P49" s="134">
        <f t="shared" si="24"/>
        <v>0</v>
      </c>
      <c r="Q49" s="134">
        <f t="shared" si="24"/>
        <v>0</v>
      </c>
      <c r="R49" s="134">
        <f t="shared" si="24"/>
        <v>0</v>
      </c>
      <c r="S49" s="134">
        <f t="shared" si="24"/>
        <v>0</v>
      </c>
      <c r="T49" s="134">
        <f t="shared" si="24"/>
        <v>0</v>
      </c>
      <c r="U49" s="134">
        <f t="shared" si="24"/>
        <v>0</v>
      </c>
      <c r="V49" s="134">
        <f t="shared" si="24"/>
        <v>0</v>
      </c>
      <c r="W49" s="134">
        <f t="shared" si="24"/>
        <v>0</v>
      </c>
      <c r="X49" s="134">
        <f t="shared" si="24"/>
        <v>0</v>
      </c>
    </row>
    <row r="50" spans="2:24" x14ac:dyDescent="0.2">
      <c r="C50" s="1" t="s">
        <v>343</v>
      </c>
      <c r="D50" s="77" t="s">
        <v>85</v>
      </c>
      <c r="E50" s="134">
        <f>E49</f>
        <v>0</v>
      </c>
      <c r="F50" s="134">
        <f>E50+F49</f>
        <v>0</v>
      </c>
      <c r="G50" s="134">
        <f t="shared" ref="G50:X50" si="25">F50+G49</f>
        <v>0</v>
      </c>
      <c r="H50" s="134">
        <f t="shared" si="25"/>
        <v>0</v>
      </c>
      <c r="I50" s="134">
        <f t="shared" si="25"/>
        <v>0</v>
      </c>
      <c r="J50" s="134">
        <f t="shared" si="25"/>
        <v>0</v>
      </c>
      <c r="K50" s="134">
        <f t="shared" si="25"/>
        <v>0</v>
      </c>
      <c r="L50" s="134">
        <f t="shared" si="25"/>
        <v>0</v>
      </c>
      <c r="M50" s="134">
        <f t="shared" si="25"/>
        <v>0</v>
      </c>
      <c r="N50" s="134">
        <f t="shared" si="25"/>
        <v>0</v>
      </c>
      <c r="O50" s="134">
        <f t="shared" si="25"/>
        <v>0</v>
      </c>
      <c r="P50" s="134">
        <f t="shared" si="25"/>
        <v>0</v>
      </c>
      <c r="Q50" s="134">
        <f t="shared" si="25"/>
        <v>0</v>
      </c>
      <c r="R50" s="134">
        <f t="shared" si="25"/>
        <v>0</v>
      </c>
      <c r="S50" s="134">
        <f t="shared" si="25"/>
        <v>0</v>
      </c>
      <c r="T50" s="134">
        <f t="shared" si="25"/>
        <v>0</v>
      </c>
      <c r="U50" s="134">
        <f t="shared" si="25"/>
        <v>0</v>
      </c>
      <c r="V50" s="134">
        <f t="shared" si="25"/>
        <v>0</v>
      </c>
      <c r="W50" s="134">
        <f t="shared" si="25"/>
        <v>0</v>
      </c>
      <c r="X50" s="134">
        <f t="shared" si="25"/>
        <v>0</v>
      </c>
    </row>
    <row r="51" spans="2:24" x14ac:dyDescent="0.2">
      <c r="C51" s="27" t="s">
        <v>298</v>
      </c>
      <c r="D51" s="77" t="s">
        <v>85</v>
      </c>
      <c r="E51" s="17">
        <f>E46+E50</f>
        <v>0</v>
      </c>
      <c r="F51" s="17">
        <f t="shared" ref="F51:X51" si="26">F46+F50</f>
        <v>0</v>
      </c>
      <c r="G51" s="17">
        <f t="shared" si="26"/>
        <v>0</v>
      </c>
      <c r="H51" s="17">
        <f t="shared" si="26"/>
        <v>0</v>
      </c>
      <c r="I51" s="17">
        <f t="shared" si="26"/>
        <v>0</v>
      </c>
      <c r="J51" s="17">
        <f t="shared" si="26"/>
        <v>0</v>
      </c>
      <c r="K51" s="17">
        <f t="shared" si="26"/>
        <v>0</v>
      </c>
      <c r="L51" s="17">
        <f t="shared" si="26"/>
        <v>0</v>
      </c>
      <c r="M51" s="17">
        <f t="shared" si="26"/>
        <v>0</v>
      </c>
      <c r="N51" s="17">
        <f t="shared" si="26"/>
        <v>0</v>
      </c>
      <c r="O51" s="17">
        <f t="shared" si="26"/>
        <v>0</v>
      </c>
      <c r="P51" s="17">
        <f t="shared" si="26"/>
        <v>0</v>
      </c>
      <c r="Q51" s="17">
        <f t="shared" si="26"/>
        <v>0</v>
      </c>
      <c r="R51" s="17">
        <f t="shared" si="26"/>
        <v>0</v>
      </c>
      <c r="S51" s="17">
        <f t="shared" si="26"/>
        <v>0</v>
      </c>
      <c r="T51" s="17">
        <f t="shared" si="26"/>
        <v>0</v>
      </c>
      <c r="U51" s="17">
        <f t="shared" si="26"/>
        <v>0</v>
      </c>
      <c r="V51" s="17">
        <f t="shared" si="26"/>
        <v>0</v>
      </c>
      <c r="W51" s="17">
        <f t="shared" si="26"/>
        <v>0</v>
      </c>
      <c r="X51" s="17">
        <f t="shared" si="26"/>
        <v>0</v>
      </c>
    </row>
    <row r="52" spans="2:24" x14ac:dyDescent="0.2">
      <c r="B52" s="87" t="s">
        <v>188</v>
      </c>
      <c r="C52" s="28"/>
      <c r="D52" s="7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2:24" x14ac:dyDescent="0.2">
      <c r="C53" s="1" t="s">
        <v>157</v>
      </c>
      <c r="D53" s="77" t="s">
        <v>91</v>
      </c>
      <c r="E53" s="76">
        <v>0</v>
      </c>
      <c r="F53" s="88">
        <f>E53</f>
        <v>0</v>
      </c>
      <c r="G53" s="88">
        <f t="shared" ref="G53:X53" si="27">F53</f>
        <v>0</v>
      </c>
      <c r="H53" s="88">
        <f t="shared" si="27"/>
        <v>0</v>
      </c>
      <c r="I53" s="88">
        <f t="shared" si="27"/>
        <v>0</v>
      </c>
      <c r="J53" s="88">
        <f t="shared" si="27"/>
        <v>0</v>
      </c>
      <c r="K53" s="88">
        <f t="shared" si="27"/>
        <v>0</v>
      </c>
      <c r="L53" s="88">
        <f t="shared" si="27"/>
        <v>0</v>
      </c>
      <c r="M53" s="88">
        <f t="shared" si="27"/>
        <v>0</v>
      </c>
      <c r="N53" s="88">
        <f t="shared" si="27"/>
        <v>0</v>
      </c>
      <c r="O53" s="88">
        <f t="shared" si="27"/>
        <v>0</v>
      </c>
      <c r="P53" s="88">
        <f t="shared" si="27"/>
        <v>0</v>
      </c>
      <c r="Q53" s="88">
        <f t="shared" si="27"/>
        <v>0</v>
      </c>
      <c r="R53" s="88">
        <f t="shared" si="27"/>
        <v>0</v>
      </c>
      <c r="S53" s="88">
        <f t="shared" si="27"/>
        <v>0</v>
      </c>
      <c r="T53" s="88">
        <f t="shared" si="27"/>
        <v>0</v>
      </c>
      <c r="U53" s="88">
        <f t="shared" si="27"/>
        <v>0</v>
      </c>
      <c r="V53" s="88">
        <f t="shared" si="27"/>
        <v>0</v>
      </c>
      <c r="W53" s="88">
        <f t="shared" si="27"/>
        <v>0</v>
      </c>
      <c r="X53" s="88">
        <f t="shared" si="27"/>
        <v>0</v>
      </c>
    </row>
    <row r="54" spans="2:24" x14ac:dyDescent="0.2">
      <c r="C54" s="1" t="s">
        <v>293</v>
      </c>
      <c r="D54" s="77" t="s">
        <v>91</v>
      </c>
      <c r="E54" s="88">
        <f>POWER(1+E53,90/360)-1</f>
        <v>0</v>
      </c>
      <c r="F54" s="88">
        <f t="shared" ref="F54:X54" si="28">POWER(1+F53,90/360)-1</f>
        <v>0</v>
      </c>
      <c r="G54" s="88">
        <f t="shared" si="28"/>
        <v>0</v>
      </c>
      <c r="H54" s="88">
        <f t="shared" si="28"/>
        <v>0</v>
      </c>
      <c r="I54" s="88">
        <f t="shared" si="28"/>
        <v>0</v>
      </c>
      <c r="J54" s="88">
        <f t="shared" si="28"/>
        <v>0</v>
      </c>
      <c r="K54" s="88">
        <f t="shared" si="28"/>
        <v>0</v>
      </c>
      <c r="L54" s="88">
        <f t="shared" si="28"/>
        <v>0</v>
      </c>
      <c r="M54" s="88">
        <f t="shared" si="28"/>
        <v>0</v>
      </c>
      <c r="N54" s="88">
        <f t="shared" si="28"/>
        <v>0</v>
      </c>
      <c r="O54" s="88">
        <f t="shared" si="28"/>
        <v>0</v>
      </c>
      <c r="P54" s="88">
        <f t="shared" si="28"/>
        <v>0</v>
      </c>
      <c r="Q54" s="88">
        <f t="shared" si="28"/>
        <v>0</v>
      </c>
      <c r="R54" s="88">
        <f t="shared" si="28"/>
        <v>0</v>
      </c>
      <c r="S54" s="88">
        <f t="shared" si="28"/>
        <v>0</v>
      </c>
      <c r="T54" s="88">
        <f t="shared" si="28"/>
        <v>0</v>
      </c>
      <c r="U54" s="88">
        <f t="shared" si="28"/>
        <v>0</v>
      </c>
      <c r="V54" s="88">
        <f t="shared" si="28"/>
        <v>0</v>
      </c>
      <c r="W54" s="88">
        <f t="shared" si="28"/>
        <v>0</v>
      </c>
      <c r="X54" s="88">
        <f t="shared" si="28"/>
        <v>0</v>
      </c>
    </row>
    <row r="55" spans="2:24" x14ac:dyDescent="0.2">
      <c r="C55" s="1" t="s">
        <v>158</v>
      </c>
      <c r="D55" s="77" t="s">
        <v>85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</row>
    <row r="56" spans="2:24" x14ac:dyDescent="0.2">
      <c r="C56" s="1" t="s">
        <v>291</v>
      </c>
      <c r="D56" s="77" t="s">
        <v>85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</row>
    <row r="57" spans="2:24" x14ac:dyDescent="0.2">
      <c r="C57" s="90" t="s">
        <v>258</v>
      </c>
      <c r="D57" s="129" t="s">
        <v>85</v>
      </c>
      <c r="E57" s="130">
        <f>SUM(E55:E56)</f>
        <v>0</v>
      </c>
      <c r="F57" s="130">
        <f t="shared" ref="F57:X57" si="29">SUM(F55:F56)</f>
        <v>0</v>
      </c>
      <c r="G57" s="130">
        <f t="shared" si="29"/>
        <v>0</v>
      </c>
      <c r="H57" s="130">
        <f t="shared" si="29"/>
        <v>0</v>
      </c>
      <c r="I57" s="130">
        <f t="shared" si="29"/>
        <v>0</v>
      </c>
      <c r="J57" s="130">
        <f t="shared" si="29"/>
        <v>0</v>
      </c>
      <c r="K57" s="130">
        <f t="shared" si="29"/>
        <v>0</v>
      </c>
      <c r="L57" s="130">
        <f t="shared" si="29"/>
        <v>0</v>
      </c>
      <c r="M57" s="130">
        <f t="shared" si="29"/>
        <v>0</v>
      </c>
      <c r="N57" s="130">
        <f t="shared" si="29"/>
        <v>0</v>
      </c>
      <c r="O57" s="130">
        <f t="shared" si="29"/>
        <v>0</v>
      </c>
      <c r="P57" s="130">
        <f t="shared" si="29"/>
        <v>0</v>
      </c>
      <c r="Q57" s="130">
        <f t="shared" si="29"/>
        <v>0</v>
      </c>
      <c r="R57" s="130">
        <f t="shared" si="29"/>
        <v>0</v>
      </c>
      <c r="S57" s="130">
        <f t="shared" si="29"/>
        <v>0</v>
      </c>
      <c r="T57" s="130">
        <f t="shared" si="29"/>
        <v>0</v>
      </c>
      <c r="U57" s="130">
        <f t="shared" si="29"/>
        <v>0</v>
      </c>
      <c r="V57" s="130">
        <f t="shared" si="29"/>
        <v>0</v>
      </c>
      <c r="W57" s="130">
        <f t="shared" si="29"/>
        <v>0</v>
      </c>
      <c r="X57" s="130">
        <f t="shared" si="29"/>
        <v>0</v>
      </c>
    </row>
    <row r="58" spans="2:24" x14ac:dyDescent="0.2">
      <c r="C58" s="1" t="s">
        <v>292</v>
      </c>
      <c r="D58" s="77" t="s">
        <v>85</v>
      </c>
      <c r="E58" s="15">
        <f>E57</f>
        <v>0</v>
      </c>
      <c r="F58" s="15">
        <f>E58+F57</f>
        <v>0</v>
      </c>
      <c r="G58" s="15">
        <f t="shared" ref="G58:X58" si="30">F58+G57</f>
        <v>0</v>
      </c>
      <c r="H58" s="15">
        <f t="shared" si="30"/>
        <v>0</v>
      </c>
      <c r="I58" s="15">
        <f t="shared" si="30"/>
        <v>0</v>
      </c>
      <c r="J58" s="15">
        <f t="shared" si="30"/>
        <v>0</v>
      </c>
      <c r="K58" s="15">
        <f t="shared" si="30"/>
        <v>0</v>
      </c>
      <c r="L58" s="15">
        <f t="shared" si="30"/>
        <v>0</v>
      </c>
      <c r="M58" s="15">
        <f t="shared" si="30"/>
        <v>0</v>
      </c>
      <c r="N58" s="15">
        <f t="shared" si="30"/>
        <v>0</v>
      </c>
      <c r="O58" s="15">
        <f t="shared" si="30"/>
        <v>0</v>
      </c>
      <c r="P58" s="15">
        <f t="shared" si="30"/>
        <v>0</v>
      </c>
      <c r="Q58" s="15">
        <f t="shared" si="30"/>
        <v>0</v>
      </c>
      <c r="R58" s="15">
        <f t="shared" si="30"/>
        <v>0</v>
      </c>
      <c r="S58" s="15">
        <f t="shared" si="30"/>
        <v>0</v>
      </c>
      <c r="T58" s="15">
        <f t="shared" si="30"/>
        <v>0</v>
      </c>
      <c r="U58" s="15">
        <f t="shared" si="30"/>
        <v>0</v>
      </c>
      <c r="V58" s="15">
        <f t="shared" si="30"/>
        <v>0</v>
      </c>
      <c r="W58" s="15">
        <f t="shared" si="30"/>
        <v>0</v>
      </c>
      <c r="X58" s="15">
        <f t="shared" si="30"/>
        <v>0</v>
      </c>
    </row>
    <row r="59" spans="2:24" x14ac:dyDescent="0.2">
      <c r="C59" s="1" t="s">
        <v>294</v>
      </c>
      <c r="D59" s="77" t="s">
        <v>85</v>
      </c>
      <c r="E59" s="134">
        <f>E58*E54</f>
        <v>0</v>
      </c>
      <c r="F59" s="134">
        <f>(F58+E62)*F54</f>
        <v>0</v>
      </c>
      <c r="G59" s="134">
        <f t="shared" ref="G59:X59" si="31">(G58+F62)*G54</f>
        <v>0</v>
      </c>
      <c r="H59" s="134">
        <f t="shared" si="31"/>
        <v>0</v>
      </c>
      <c r="I59" s="134">
        <f t="shared" si="31"/>
        <v>0</v>
      </c>
      <c r="J59" s="134">
        <f t="shared" si="31"/>
        <v>0</v>
      </c>
      <c r="K59" s="134">
        <f t="shared" si="31"/>
        <v>0</v>
      </c>
      <c r="L59" s="134">
        <f t="shared" si="31"/>
        <v>0</v>
      </c>
      <c r="M59" s="134">
        <f t="shared" si="31"/>
        <v>0</v>
      </c>
      <c r="N59" s="134">
        <f t="shared" si="31"/>
        <v>0</v>
      </c>
      <c r="O59" s="134">
        <f t="shared" si="31"/>
        <v>0</v>
      </c>
      <c r="P59" s="134">
        <f t="shared" si="31"/>
        <v>0</v>
      </c>
      <c r="Q59" s="134">
        <f t="shared" si="31"/>
        <v>0</v>
      </c>
      <c r="R59" s="134">
        <f t="shared" si="31"/>
        <v>0</v>
      </c>
      <c r="S59" s="134">
        <f t="shared" si="31"/>
        <v>0</v>
      </c>
      <c r="T59" s="134">
        <f t="shared" si="31"/>
        <v>0</v>
      </c>
      <c r="U59" s="134">
        <f t="shared" si="31"/>
        <v>0</v>
      </c>
      <c r="V59" s="134">
        <f t="shared" si="31"/>
        <v>0</v>
      </c>
      <c r="W59" s="134">
        <f t="shared" si="31"/>
        <v>0</v>
      </c>
      <c r="X59" s="134">
        <f t="shared" si="31"/>
        <v>0</v>
      </c>
    </row>
    <row r="60" spans="2:24" x14ac:dyDescent="0.2">
      <c r="C60" s="1" t="s">
        <v>295</v>
      </c>
      <c r="D60" s="77" t="s">
        <v>85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</row>
    <row r="61" spans="2:24" x14ac:dyDescent="0.2">
      <c r="C61" s="1" t="s">
        <v>296</v>
      </c>
      <c r="D61" s="77" t="s">
        <v>85</v>
      </c>
      <c r="E61" s="134">
        <f>SUM(E59:E60)</f>
        <v>0</v>
      </c>
      <c r="F61" s="134">
        <f t="shared" ref="F61:X61" si="32">SUM(F59:F60)</f>
        <v>0</v>
      </c>
      <c r="G61" s="134">
        <f t="shared" si="32"/>
        <v>0</v>
      </c>
      <c r="H61" s="134">
        <f t="shared" si="32"/>
        <v>0</v>
      </c>
      <c r="I61" s="134">
        <f t="shared" si="32"/>
        <v>0</v>
      </c>
      <c r="J61" s="134">
        <f t="shared" si="32"/>
        <v>0</v>
      </c>
      <c r="K61" s="134">
        <f t="shared" si="32"/>
        <v>0</v>
      </c>
      <c r="L61" s="134">
        <f t="shared" si="32"/>
        <v>0</v>
      </c>
      <c r="M61" s="134">
        <f t="shared" si="32"/>
        <v>0</v>
      </c>
      <c r="N61" s="134">
        <f t="shared" si="32"/>
        <v>0</v>
      </c>
      <c r="O61" s="134">
        <f t="shared" si="32"/>
        <v>0</v>
      </c>
      <c r="P61" s="134">
        <f t="shared" si="32"/>
        <v>0</v>
      </c>
      <c r="Q61" s="134">
        <f t="shared" si="32"/>
        <v>0</v>
      </c>
      <c r="R61" s="134">
        <f t="shared" si="32"/>
        <v>0</v>
      </c>
      <c r="S61" s="134">
        <f t="shared" si="32"/>
        <v>0</v>
      </c>
      <c r="T61" s="134">
        <f t="shared" si="32"/>
        <v>0</v>
      </c>
      <c r="U61" s="134">
        <f t="shared" si="32"/>
        <v>0</v>
      </c>
      <c r="V61" s="134">
        <f t="shared" si="32"/>
        <v>0</v>
      </c>
      <c r="W61" s="134">
        <f t="shared" si="32"/>
        <v>0</v>
      </c>
      <c r="X61" s="134">
        <f t="shared" si="32"/>
        <v>0</v>
      </c>
    </row>
    <row r="62" spans="2:24" x14ac:dyDescent="0.2">
      <c r="C62" s="1" t="s">
        <v>343</v>
      </c>
      <c r="D62" s="77" t="s">
        <v>85</v>
      </c>
      <c r="E62" s="134">
        <f>E61</f>
        <v>0</v>
      </c>
      <c r="F62" s="134">
        <f>E62+F61</f>
        <v>0</v>
      </c>
      <c r="G62" s="134">
        <f t="shared" ref="G62:X62" si="33">F62+G61</f>
        <v>0</v>
      </c>
      <c r="H62" s="134">
        <f t="shared" si="33"/>
        <v>0</v>
      </c>
      <c r="I62" s="134">
        <f t="shared" si="33"/>
        <v>0</v>
      </c>
      <c r="J62" s="134">
        <f t="shared" si="33"/>
        <v>0</v>
      </c>
      <c r="K62" s="134">
        <f t="shared" si="33"/>
        <v>0</v>
      </c>
      <c r="L62" s="134">
        <f t="shared" si="33"/>
        <v>0</v>
      </c>
      <c r="M62" s="134">
        <f t="shared" si="33"/>
        <v>0</v>
      </c>
      <c r="N62" s="134">
        <f t="shared" si="33"/>
        <v>0</v>
      </c>
      <c r="O62" s="134">
        <f t="shared" si="33"/>
        <v>0</v>
      </c>
      <c r="P62" s="134">
        <f t="shared" si="33"/>
        <v>0</v>
      </c>
      <c r="Q62" s="134">
        <f t="shared" si="33"/>
        <v>0</v>
      </c>
      <c r="R62" s="134">
        <f t="shared" si="33"/>
        <v>0</v>
      </c>
      <c r="S62" s="134">
        <f t="shared" si="33"/>
        <v>0</v>
      </c>
      <c r="T62" s="134">
        <f t="shared" si="33"/>
        <v>0</v>
      </c>
      <c r="U62" s="134">
        <f t="shared" si="33"/>
        <v>0</v>
      </c>
      <c r="V62" s="134">
        <f t="shared" si="33"/>
        <v>0</v>
      </c>
      <c r="W62" s="134">
        <f t="shared" si="33"/>
        <v>0</v>
      </c>
      <c r="X62" s="134">
        <f t="shared" si="33"/>
        <v>0</v>
      </c>
    </row>
    <row r="63" spans="2:24" x14ac:dyDescent="0.2">
      <c r="C63" s="27" t="s">
        <v>187</v>
      </c>
      <c r="D63" s="77" t="s">
        <v>85</v>
      </c>
      <c r="E63" s="17">
        <f>E58+E62</f>
        <v>0</v>
      </c>
      <c r="F63" s="17">
        <f t="shared" ref="F63:X63" si="34">F58+F62</f>
        <v>0</v>
      </c>
      <c r="G63" s="17">
        <f t="shared" si="34"/>
        <v>0</v>
      </c>
      <c r="H63" s="17">
        <f t="shared" si="34"/>
        <v>0</v>
      </c>
      <c r="I63" s="17">
        <f t="shared" si="34"/>
        <v>0</v>
      </c>
      <c r="J63" s="17">
        <f t="shared" si="34"/>
        <v>0</v>
      </c>
      <c r="K63" s="17">
        <f t="shared" si="34"/>
        <v>0</v>
      </c>
      <c r="L63" s="17">
        <f t="shared" si="34"/>
        <v>0</v>
      </c>
      <c r="M63" s="17">
        <f t="shared" si="34"/>
        <v>0</v>
      </c>
      <c r="N63" s="17">
        <f t="shared" si="34"/>
        <v>0</v>
      </c>
      <c r="O63" s="17">
        <f t="shared" si="34"/>
        <v>0</v>
      </c>
      <c r="P63" s="17">
        <f t="shared" si="34"/>
        <v>0</v>
      </c>
      <c r="Q63" s="17">
        <f t="shared" si="34"/>
        <v>0</v>
      </c>
      <c r="R63" s="17">
        <f t="shared" si="34"/>
        <v>0</v>
      </c>
      <c r="S63" s="17">
        <f t="shared" si="34"/>
        <v>0</v>
      </c>
      <c r="T63" s="17">
        <f t="shared" si="34"/>
        <v>0</v>
      </c>
      <c r="U63" s="17">
        <f t="shared" si="34"/>
        <v>0</v>
      </c>
      <c r="V63" s="17">
        <f t="shared" si="34"/>
        <v>0</v>
      </c>
      <c r="W63" s="17">
        <f t="shared" si="34"/>
        <v>0</v>
      </c>
      <c r="X63" s="17">
        <f t="shared" si="34"/>
        <v>0</v>
      </c>
    </row>
    <row r="64" spans="2:24" x14ac:dyDescent="0.2">
      <c r="C64" s="28" t="s">
        <v>297</v>
      </c>
      <c r="D64" s="77" t="s">
        <v>85</v>
      </c>
      <c r="E64" s="17">
        <f t="shared" ref="E64:X64" si="35">E51+E63</f>
        <v>0</v>
      </c>
      <c r="F64" s="17">
        <f t="shared" si="35"/>
        <v>0</v>
      </c>
      <c r="G64" s="17">
        <f t="shared" si="35"/>
        <v>0</v>
      </c>
      <c r="H64" s="17">
        <f t="shared" si="35"/>
        <v>0</v>
      </c>
      <c r="I64" s="17">
        <f t="shared" si="35"/>
        <v>0</v>
      </c>
      <c r="J64" s="17">
        <f t="shared" si="35"/>
        <v>0</v>
      </c>
      <c r="K64" s="17">
        <f t="shared" si="35"/>
        <v>0</v>
      </c>
      <c r="L64" s="17">
        <f t="shared" si="35"/>
        <v>0</v>
      </c>
      <c r="M64" s="17">
        <f t="shared" si="35"/>
        <v>0</v>
      </c>
      <c r="N64" s="17">
        <f t="shared" si="35"/>
        <v>0</v>
      </c>
      <c r="O64" s="17">
        <f t="shared" si="35"/>
        <v>0</v>
      </c>
      <c r="P64" s="17">
        <f t="shared" si="35"/>
        <v>0</v>
      </c>
      <c r="Q64" s="17">
        <f t="shared" si="35"/>
        <v>0</v>
      </c>
      <c r="R64" s="17">
        <f t="shared" si="35"/>
        <v>0</v>
      </c>
      <c r="S64" s="17">
        <f t="shared" si="35"/>
        <v>0</v>
      </c>
      <c r="T64" s="17">
        <f t="shared" si="35"/>
        <v>0</v>
      </c>
      <c r="U64" s="17">
        <f t="shared" si="35"/>
        <v>0</v>
      </c>
      <c r="V64" s="17">
        <f t="shared" si="35"/>
        <v>0</v>
      </c>
      <c r="W64" s="17">
        <f t="shared" si="35"/>
        <v>0</v>
      </c>
      <c r="X64" s="17">
        <f t="shared" si="35"/>
        <v>0</v>
      </c>
    </row>
    <row r="65" spans="1:24" x14ac:dyDescent="0.2">
      <c r="D65" s="77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</row>
    <row r="66" spans="1:24" x14ac:dyDescent="0.2">
      <c r="A66" s="56" t="s">
        <v>159</v>
      </c>
      <c r="D66" s="77" t="s">
        <v>85</v>
      </c>
      <c r="E66" s="15">
        <f>CF!F35</f>
        <v>38499.96610169491</v>
      </c>
      <c r="F66" s="15">
        <f>CF!G35</f>
        <v>34718.208705234567</v>
      </c>
      <c r="G66" s="15">
        <f>CF!H35</f>
        <v>28711.875037587786</v>
      </c>
      <c r="H66" s="15">
        <f>CF!I35</f>
        <v>22705.541369941006</v>
      </c>
      <c r="I66" s="15">
        <f>CF!J35</f>
        <v>114950.19555489591</v>
      </c>
      <c r="J66" s="15">
        <f>CF!K35</f>
        <v>101683.67483269973</v>
      </c>
      <c r="K66" s="15">
        <f>CF!L35</f>
        <v>261928.32901765464</v>
      </c>
      <c r="L66" s="15">
        <f>CF!M35</f>
        <v>379325.5255754909</v>
      </c>
      <c r="M66" s="15">
        <f>CF!N35</f>
        <v>414028.77773800219</v>
      </c>
      <c r="N66" s="15">
        <f>CF!O35</f>
        <v>400193.47058944637</v>
      </c>
      <c r="O66" s="15">
        <f>CF!P35</f>
        <v>571600.7227519576</v>
      </c>
      <c r="P66" s="15">
        <f>CF!Q35</f>
        <v>697246.89016870619</v>
      </c>
      <c r="Q66" s="15">
        <f>CF!R35</f>
        <v>782949.97582484339</v>
      </c>
      <c r="R66" s="15">
        <f>CF!S35</f>
        <v>768570.13647552335</v>
      </c>
      <c r="S66" s="15">
        <f>CF!T35</f>
        <v>1144632.5181316605</v>
      </c>
      <c r="T66" s="15">
        <f>CF!U35</f>
        <v>1423498.3557877978</v>
      </c>
      <c r="U66" s="15">
        <f>CF!V35</f>
        <v>1566791.4152218206</v>
      </c>
      <c r="V66" s="15">
        <f>CF!W35</f>
        <v>1551805.3742948577</v>
      </c>
      <c r="W66" s="15">
        <f>CF!X35</f>
        <v>2158971.4888418717</v>
      </c>
      <c r="X66" s="15">
        <f>CF!Y35</f>
        <v>2610866.1243488858</v>
      </c>
    </row>
    <row r="67" spans="1:24" x14ac:dyDescent="0.2">
      <c r="D67" s="77"/>
    </row>
    <row r="68" spans="1:24" x14ac:dyDescent="0.2">
      <c r="A68" s="25" t="s">
        <v>194</v>
      </c>
      <c r="D68" s="77"/>
    </row>
    <row r="69" spans="1:24" x14ac:dyDescent="0.2">
      <c r="B69" s="1" t="s">
        <v>207</v>
      </c>
      <c r="D69" s="77" t="s">
        <v>85</v>
      </c>
      <c r="E69" s="300">
        <f>E9</f>
        <v>65000</v>
      </c>
      <c r="F69" s="15">
        <f t="shared" ref="F69:X69" si="36">F9</f>
        <v>65000</v>
      </c>
      <c r="G69" s="15">
        <f t="shared" si="36"/>
        <v>65000</v>
      </c>
      <c r="H69" s="15">
        <f t="shared" si="36"/>
        <v>65000</v>
      </c>
      <c r="I69" s="15">
        <f t="shared" si="36"/>
        <v>125000</v>
      </c>
      <c r="J69" s="15">
        <f t="shared" si="36"/>
        <v>125000</v>
      </c>
      <c r="K69" s="15">
        <f t="shared" si="36"/>
        <v>125000</v>
      </c>
      <c r="L69" s="15">
        <f t="shared" si="36"/>
        <v>125000</v>
      </c>
      <c r="M69" s="15">
        <f t="shared" si="36"/>
        <v>125000</v>
      </c>
      <c r="N69" s="15">
        <f t="shared" si="36"/>
        <v>125000</v>
      </c>
      <c r="O69" s="15">
        <f t="shared" si="36"/>
        <v>125000</v>
      </c>
      <c r="P69" s="15">
        <f t="shared" si="36"/>
        <v>125000</v>
      </c>
      <c r="Q69" s="15">
        <f t="shared" si="36"/>
        <v>125000</v>
      </c>
      <c r="R69" s="15">
        <f t="shared" si="36"/>
        <v>125000</v>
      </c>
      <c r="S69" s="15">
        <f t="shared" si="36"/>
        <v>125000</v>
      </c>
      <c r="T69" s="15">
        <f t="shared" si="36"/>
        <v>125000</v>
      </c>
      <c r="U69" s="15">
        <f t="shared" si="36"/>
        <v>125000</v>
      </c>
      <c r="V69" s="15">
        <f t="shared" si="36"/>
        <v>125000</v>
      </c>
      <c r="W69" s="15">
        <f t="shared" si="36"/>
        <v>125000</v>
      </c>
      <c r="X69" s="15">
        <f t="shared" si="36"/>
        <v>125000</v>
      </c>
    </row>
    <row r="70" spans="1:24" x14ac:dyDescent="0.2">
      <c r="B70" s="1" t="s">
        <v>208</v>
      </c>
      <c r="D70" s="77" t="s">
        <v>85</v>
      </c>
      <c r="E70" s="15">
        <f>E37</f>
        <v>0</v>
      </c>
      <c r="F70" s="15">
        <f t="shared" ref="F70:X70" si="37">F37</f>
        <v>0</v>
      </c>
      <c r="G70" s="15">
        <f t="shared" si="37"/>
        <v>0</v>
      </c>
      <c r="H70" s="15">
        <f t="shared" si="37"/>
        <v>0</v>
      </c>
      <c r="I70" s="15">
        <f t="shared" si="37"/>
        <v>0</v>
      </c>
      <c r="J70" s="15">
        <f t="shared" si="37"/>
        <v>0</v>
      </c>
      <c r="K70" s="15">
        <f t="shared" si="37"/>
        <v>0</v>
      </c>
      <c r="L70" s="15">
        <f t="shared" si="37"/>
        <v>0</v>
      </c>
      <c r="M70" s="15">
        <f t="shared" si="37"/>
        <v>0</v>
      </c>
      <c r="N70" s="15">
        <f t="shared" si="37"/>
        <v>0</v>
      </c>
      <c r="O70" s="15">
        <f t="shared" si="37"/>
        <v>0</v>
      </c>
      <c r="P70" s="15">
        <f t="shared" si="37"/>
        <v>0</v>
      </c>
      <c r="Q70" s="15">
        <f t="shared" si="37"/>
        <v>0</v>
      </c>
      <c r="R70" s="15">
        <f t="shared" si="37"/>
        <v>0</v>
      </c>
      <c r="S70" s="15">
        <f t="shared" si="37"/>
        <v>0</v>
      </c>
      <c r="T70" s="15">
        <f t="shared" si="37"/>
        <v>0</v>
      </c>
      <c r="U70" s="15">
        <f t="shared" si="37"/>
        <v>0</v>
      </c>
      <c r="V70" s="15">
        <f t="shared" si="37"/>
        <v>0</v>
      </c>
      <c r="W70" s="15">
        <f t="shared" si="37"/>
        <v>0</v>
      </c>
      <c r="X70" s="15">
        <f t="shared" si="37"/>
        <v>0</v>
      </c>
    </row>
    <row r="71" spans="1:24" x14ac:dyDescent="0.2">
      <c r="B71" s="28" t="s">
        <v>78</v>
      </c>
      <c r="D71" s="77" t="s">
        <v>85</v>
      </c>
      <c r="E71" s="15">
        <f>SUM(E69:E70)</f>
        <v>65000</v>
      </c>
      <c r="F71" s="15">
        <f t="shared" ref="F71:X71" si="38">SUM(F69:F70)</f>
        <v>65000</v>
      </c>
      <c r="G71" s="15">
        <f t="shared" si="38"/>
        <v>65000</v>
      </c>
      <c r="H71" s="15">
        <f t="shared" si="38"/>
        <v>65000</v>
      </c>
      <c r="I71" s="15">
        <f t="shared" si="38"/>
        <v>125000</v>
      </c>
      <c r="J71" s="15">
        <f t="shared" si="38"/>
        <v>125000</v>
      </c>
      <c r="K71" s="15">
        <f t="shared" si="38"/>
        <v>125000</v>
      </c>
      <c r="L71" s="15">
        <f t="shared" si="38"/>
        <v>125000</v>
      </c>
      <c r="M71" s="15">
        <f t="shared" si="38"/>
        <v>125000</v>
      </c>
      <c r="N71" s="15">
        <f t="shared" si="38"/>
        <v>125000</v>
      </c>
      <c r="O71" s="15">
        <f t="shared" si="38"/>
        <v>125000</v>
      </c>
      <c r="P71" s="15">
        <f t="shared" si="38"/>
        <v>125000</v>
      </c>
      <c r="Q71" s="15">
        <f t="shared" si="38"/>
        <v>125000</v>
      </c>
      <c r="R71" s="15">
        <f>SUM(R69:R70)</f>
        <v>125000</v>
      </c>
      <c r="S71" s="15">
        <f t="shared" si="38"/>
        <v>125000</v>
      </c>
      <c r="T71" s="15">
        <f t="shared" si="38"/>
        <v>125000</v>
      </c>
      <c r="U71" s="15">
        <f t="shared" si="38"/>
        <v>125000</v>
      </c>
      <c r="V71" s="15">
        <f t="shared" si="38"/>
        <v>125000</v>
      </c>
      <c r="W71" s="15">
        <f t="shared" si="38"/>
        <v>125000</v>
      </c>
      <c r="X71" s="15">
        <f t="shared" si="38"/>
        <v>125000</v>
      </c>
    </row>
    <row r="72" spans="1:24" x14ac:dyDescent="0.2">
      <c r="B72" s="1" t="s">
        <v>213</v>
      </c>
      <c r="D72" s="77" t="s">
        <v>91</v>
      </c>
      <c r="E72" s="111">
        <f>IF(E71&gt;0,E69/E71,0)</f>
        <v>1</v>
      </c>
      <c r="F72" s="111">
        <f t="shared" ref="F72:X72" si="39">IF(F71&gt;0,F69/F71,0)</f>
        <v>1</v>
      </c>
      <c r="G72" s="111">
        <f>IF(G71&gt;0,G69/G71,0)</f>
        <v>1</v>
      </c>
      <c r="H72" s="111">
        <f t="shared" si="39"/>
        <v>1</v>
      </c>
      <c r="I72" s="111">
        <f t="shared" si="39"/>
        <v>1</v>
      </c>
      <c r="J72" s="111">
        <f t="shared" si="39"/>
        <v>1</v>
      </c>
      <c r="K72" s="111">
        <f t="shared" si="39"/>
        <v>1</v>
      </c>
      <c r="L72" s="111">
        <f t="shared" si="39"/>
        <v>1</v>
      </c>
      <c r="M72" s="111">
        <f t="shared" si="39"/>
        <v>1</v>
      </c>
      <c r="N72" s="111">
        <f t="shared" si="39"/>
        <v>1</v>
      </c>
      <c r="O72" s="111">
        <f t="shared" si="39"/>
        <v>1</v>
      </c>
      <c r="P72" s="111">
        <f t="shared" si="39"/>
        <v>1</v>
      </c>
      <c r="Q72" s="111">
        <f>IF(Q71&gt;0,Q69/Q71,0)</f>
        <v>1</v>
      </c>
      <c r="R72" s="111">
        <f>IF(R71&gt;0,R69/R71,0)</f>
        <v>1</v>
      </c>
      <c r="S72" s="111">
        <f t="shared" si="39"/>
        <v>1</v>
      </c>
      <c r="T72" s="111">
        <f t="shared" si="39"/>
        <v>1</v>
      </c>
      <c r="U72" s="111">
        <f t="shared" si="39"/>
        <v>1</v>
      </c>
      <c r="V72" s="111">
        <f t="shared" si="39"/>
        <v>1</v>
      </c>
      <c r="W72" s="111">
        <f t="shared" si="39"/>
        <v>1</v>
      </c>
      <c r="X72" s="111">
        <f t="shared" si="39"/>
        <v>1</v>
      </c>
    </row>
    <row r="73" spans="1:24" x14ac:dyDescent="0.2">
      <c r="B73" s="1" t="s">
        <v>209</v>
      </c>
      <c r="D73" s="77" t="s">
        <v>91</v>
      </c>
      <c r="E73" s="111">
        <f t="shared" ref="E73:X73" si="40">IF(E71&gt;0,1-E72,0)</f>
        <v>0</v>
      </c>
      <c r="F73" s="111">
        <f t="shared" si="40"/>
        <v>0</v>
      </c>
      <c r="G73" s="111">
        <f>IF(G71&gt;0,1-G72,0)</f>
        <v>0</v>
      </c>
      <c r="H73" s="111">
        <f t="shared" si="40"/>
        <v>0</v>
      </c>
      <c r="I73" s="111">
        <f t="shared" si="40"/>
        <v>0</v>
      </c>
      <c r="J73" s="111">
        <f t="shared" si="40"/>
        <v>0</v>
      </c>
      <c r="K73" s="111">
        <f t="shared" si="40"/>
        <v>0</v>
      </c>
      <c r="L73" s="111">
        <f t="shared" si="40"/>
        <v>0</v>
      </c>
      <c r="M73" s="111">
        <f t="shared" si="40"/>
        <v>0</v>
      </c>
      <c r="N73" s="111">
        <f t="shared" si="40"/>
        <v>0</v>
      </c>
      <c r="O73" s="111">
        <f t="shared" si="40"/>
        <v>0</v>
      </c>
      <c r="P73" s="111">
        <f t="shared" si="40"/>
        <v>0</v>
      </c>
      <c r="Q73" s="111">
        <f t="shared" si="40"/>
        <v>0</v>
      </c>
      <c r="R73" s="111">
        <f t="shared" si="40"/>
        <v>0</v>
      </c>
      <c r="S73" s="111">
        <f t="shared" si="40"/>
        <v>0</v>
      </c>
      <c r="T73" s="111">
        <f t="shared" si="40"/>
        <v>0</v>
      </c>
      <c r="U73" s="111">
        <f t="shared" si="40"/>
        <v>0</v>
      </c>
      <c r="V73" s="111">
        <f t="shared" si="40"/>
        <v>0</v>
      </c>
      <c r="W73" s="111">
        <f t="shared" si="40"/>
        <v>0</v>
      </c>
      <c r="X73" s="111">
        <f t="shared" si="40"/>
        <v>0</v>
      </c>
    </row>
    <row r="74" spans="1:24" x14ac:dyDescent="0.2">
      <c r="B74" s="1" t="s">
        <v>211</v>
      </c>
      <c r="D74" s="77" t="s">
        <v>91</v>
      </c>
      <c r="E74" s="111">
        <f>Окружение!D20</f>
        <v>4.6635139392105618E-2</v>
      </c>
      <c r="F74" s="111">
        <f>Окружение!E20</f>
        <v>4.6635139392105618E-2</v>
      </c>
      <c r="G74" s="111">
        <f>Окружение!F20</f>
        <v>4.6635139392105618E-2</v>
      </c>
      <c r="H74" s="111">
        <f>Окружение!G20</f>
        <v>4.6635139392105618E-2</v>
      </c>
      <c r="I74" s="111">
        <f>Окружение!H20</f>
        <v>5.7371263440564091E-2</v>
      </c>
      <c r="J74" s="111">
        <f>Окружение!I20</f>
        <v>5.7371263440564091E-2</v>
      </c>
      <c r="K74" s="111">
        <f>Окружение!J20</f>
        <v>5.7371263440564091E-2</v>
      </c>
      <c r="L74" s="111">
        <f>Окружение!K20</f>
        <v>5.7371263440564091E-2</v>
      </c>
      <c r="M74" s="111">
        <f>Окружение!L20</f>
        <v>6.3659179388997789E-2</v>
      </c>
      <c r="N74" s="111">
        <f>Окружение!M20</f>
        <v>6.3659179388997789E-2</v>
      </c>
      <c r="O74" s="111">
        <f>Окружение!N20</f>
        <v>6.3659179388997789E-2</v>
      </c>
      <c r="P74" s="111">
        <f>Окружение!O20</f>
        <v>6.3659179388997789E-2</v>
      </c>
      <c r="Q74" s="111">
        <f>Окружение!P20</f>
        <v>6.3659179388997789E-2</v>
      </c>
      <c r="R74" s="111">
        <f>Окружение!Q20</f>
        <v>6.3659179388997789E-2</v>
      </c>
      <c r="S74" s="111">
        <f>Окружение!R20</f>
        <v>6.3659179388997789E-2</v>
      </c>
      <c r="T74" s="111">
        <f>Окружение!S20</f>
        <v>6.3659179388997789E-2</v>
      </c>
      <c r="U74" s="111">
        <f>Окружение!T20</f>
        <v>6.3659179388997789E-2</v>
      </c>
      <c r="V74" s="111">
        <f>Окружение!U20</f>
        <v>6.3659179388997789E-2</v>
      </c>
      <c r="W74" s="111">
        <f>Окружение!V20</f>
        <v>6.3659179388997789E-2</v>
      </c>
      <c r="X74" s="111">
        <f>Окружение!W20</f>
        <v>6.3659179388997789E-2</v>
      </c>
    </row>
    <row r="75" spans="1:24" x14ac:dyDescent="0.2">
      <c r="B75" s="1" t="s">
        <v>210</v>
      </c>
      <c r="D75" s="77" t="s">
        <v>91</v>
      </c>
      <c r="E75" s="111">
        <f>IF(E70&gt;0,E15*(E24/E37)+E27*(E36/E37),0)</f>
        <v>0</v>
      </c>
      <c r="F75" s="111">
        <f t="shared" ref="F75:W75" si="41">IF(F70&gt;0,F15*(F24/F37)+F27*(F36/F37),0)</f>
        <v>0</v>
      </c>
      <c r="G75" s="111">
        <f t="shared" si="41"/>
        <v>0</v>
      </c>
      <c r="H75" s="111">
        <f t="shared" si="41"/>
        <v>0</v>
      </c>
      <c r="I75" s="111">
        <f t="shared" si="41"/>
        <v>0</v>
      </c>
      <c r="J75" s="111">
        <f t="shared" si="41"/>
        <v>0</v>
      </c>
      <c r="K75" s="111">
        <f t="shared" si="41"/>
        <v>0</v>
      </c>
      <c r="L75" s="111">
        <f t="shared" si="41"/>
        <v>0</v>
      </c>
      <c r="M75" s="111">
        <f t="shared" si="41"/>
        <v>0</v>
      </c>
      <c r="N75" s="111">
        <f t="shared" si="41"/>
        <v>0</v>
      </c>
      <c r="O75" s="111">
        <f t="shared" si="41"/>
        <v>0</v>
      </c>
      <c r="P75" s="111">
        <f t="shared" si="41"/>
        <v>0</v>
      </c>
      <c r="Q75" s="111">
        <f t="shared" si="41"/>
        <v>0</v>
      </c>
      <c r="R75" s="111">
        <f t="shared" si="41"/>
        <v>0</v>
      </c>
      <c r="S75" s="111">
        <f t="shared" si="41"/>
        <v>0</v>
      </c>
      <c r="T75" s="111">
        <f t="shared" si="41"/>
        <v>0</v>
      </c>
      <c r="U75" s="111">
        <f t="shared" si="41"/>
        <v>0</v>
      </c>
      <c r="V75" s="111">
        <f t="shared" si="41"/>
        <v>0</v>
      </c>
      <c r="W75" s="111">
        <f t="shared" si="41"/>
        <v>0</v>
      </c>
      <c r="X75" s="111">
        <f>IF(X70&gt;0,X15*(X24/X37)+X27*(X36/X37),0)</f>
        <v>0</v>
      </c>
    </row>
    <row r="76" spans="1:24" s="28" customFormat="1" x14ac:dyDescent="0.2">
      <c r="B76" s="28" t="s">
        <v>212</v>
      </c>
      <c r="D76" s="77" t="s">
        <v>91</v>
      </c>
      <c r="E76" s="112">
        <f>E74*E72+E75*E73*(1-Окружение!D16)</f>
        <v>4.6635139392105618E-2</v>
      </c>
      <c r="F76" s="112">
        <f>F74*F72+F75*F73*(1-Окружение!E16)</f>
        <v>4.6635139392105618E-2</v>
      </c>
      <c r="G76" s="112">
        <f>G74*G72+G75*G73*(1-Окружение!F16)</f>
        <v>4.6635139392105618E-2</v>
      </c>
      <c r="H76" s="112">
        <f>H74*H72+H75*H73*(1-Окружение!G16)</f>
        <v>4.6635139392105618E-2</v>
      </c>
      <c r="I76" s="112">
        <f>I74*I72+I75*I73*(1-Окружение!H16)</f>
        <v>5.7371263440564091E-2</v>
      </c>
      <c r="J76" s="112">
        <f>J74*J72+J75*J73*(1-Окружение!I16)</f>
        <v>5.7371263440564091E-2</v>
      </c>
      <c r="K76" s="112">
        <f>K74*K72+K75*K73*(1-Окружение!J16)</f>
        <v>5.7371263440564091E-2</v>
      </c>
      <c r="L76" s="112">
        <f>L74*L72+L75*L73*(1-Окружение!K16)</f>
        <v>5.7371263440564091E-2</v>
      </c>
      <c r="M76" s="112">
        <f>M74*M72+M75*M73*(1-Окружение!L16)</f>
        <v>6.3659179388997789E-2</v>
      </c>
      <c r="N76" s="112">
        <f>N74*N72+N75*N73*(1-Окружение!M16)</f>
        <v>6.3659179388997789E-2</v>
      </c>
      <c r="O76" s="112">
        <f>O74*O72+O75*O73*(1-Окружение!N16)</f>
        <v>6.3659179388997789E-2</v>
      </c>
      <c r="P76" s="112">
        <f>P74*P72+P75*P73*(1-Окружение!O16)</f>
        <v>6.3659179388997789E-2</v>
      </c>
      <c r="Q76" s="112">
        <f>Q74*Q72+Q75*Q73*(1-Окружение!P16)</f>
        <v>6.3659179388997789E-2</v>
      </c>
      <c r="R76" s="112">
        <f>R74*R72+R75*R73*(1-Окружение!Q16)</f>
        <v>6.3659179388997789E-2</v>
      </c>
      <c r="S76" s="112">
        <f>S74*S72+S75*S73*(1-Окружение!R16)</f>
        <v>6.3659179388997789E-2</v>
      </c>
      <c r="T76" s="112">
        <f>T74*T72+T75*T73*(1-Окружение!S16)</f>
        <v>6.3659179388997789E-2</v>
      </c>
      <c r="U76" s="112">
        <f>U74*U72+U75*U73*(1-Окружение!T16)</f>
        <v>6.3659179388997789E-2</v>
      </c>
      <c r="V76" s="112">
        <f>V74*V72+V75*V73*(1-Окружение!U16)</f>
        <v>6.3659179388997789E-2</v>
      </c>
      <c r="W76" s="112">
        <f>W74*W72+W75*W73*(1-Окружение!V16)</f>
        <v>6.3659179388997789E-2</v>
      </c>
      <c r="X76" s="112">
        <f>X74*X72+X75*X73*(1-Окружение!W16)</f>
        <v>6.3659179388997789E-2</v>
      </c>
    </row>
    <row r="77" spans="1:24" x14ac:dyDescent="0.2">
      <c r="D77" s="77"/>
    </row>
    <row r="78" spans="1:24" hidden="1" x14ac:dyDescent="0.2">
      <c r="D78" s="77"/>
      <c r="E78" s="252">
        <f>Окружение!D4</f>
        <v>2019</v>
      </c>
      <c r="F78" s="253">
        <f>E78+1</f>
        <v>2020</v>
      </c>
      <c r="G78" s="254">
        <f>F78+1</f>
        <v>2021</v>
      </c>
      <c r="H78" s="255">
        <f>G78+1</f>
        <v>2022</v>
      </c>
      <c r="I78" s="256">
        <f>H78+1</f>
        <v>2023</v>
      </c>
    </row>
    <row r="79" spans="1:24" s="90" customFormat="1" hidden="1" x14ac:dyDescent="0.2">
      <c r="B79" s="90" t="s">
        <v>418</v>
      </c>
      <c r="D79" s="129"/>
      <c r="E79" s="248">
        <f>AVERAGE(E76:H76)</f>
        <v>4.6635139392105618E-2</v>
      </c>
      <c r="F79" s="248">
        <f>AVERAGE(I76:L76)</f>
        <v>5.7371263440564091E-2</v>
      </c>
      <c r="G79" s="248">
        <f>AVERAGE(M76:P76)</f>
        <v>6.3659179388997789E-2</v>
      </c>
      <c r="H79" s="248">
        <f>AVERAGE(Q76:T76)</f>
        <v>6.3659179388997789E-2</v>
      </c>
      <c r="I79" s="248">
        <f>AVERAGE(U76:X76)</f>
        <v>6.3659179388997789E-2</v>
      </c>
    </row>
    <row r="80" spans="1:24" hidden="1" x14ac:dyDescent="0.2">
      <c r="B80" s="90" t="s">
        <v>419</v>
      </c>
      <c r="C80" s="90"/>
      <c r="D80" s="90"/>
      <c r="E80" s="251">
        <f>(1+E79)^4-1</f>
        <v>0.2000000000000004</v>
      </c>
      <c r="F80" s="251">
        <f>(1+F79)^4-1</f>
        <v>0.24999999999999956</v>
      </c>
      <c r="G80" s="251">
        <f>(1+G79)^4-1</f>
        <v>0.28000000000000047</v>
      </c>
      <c r="H80" s="251">
        <f>(1+H79)^4-1</f>
        <v>0.28000000000000047</v>
      </c>
      <c r="I80" s="251">
        <f>(1+I79)^4-1</f>
        <v>0.28000000000000047</v>
      </c>
      <c r="J80" s="90"/>
      <c r="K80" s="90"/>
      <c r="M80" s="250"/>
      <c r="N80" s="249"/>
    </row>
    <row r="82" spans="2:25" s="90" customFormat="1" hidden="1" x14ac:dyDescent="0.2">
      <c r="B82" s="90" t="s">
        <v>448</v>
      </c>
      <c r="E82" s="257">
        <f t="shared" ref="E82:X82" si="42">E6+E7+E8+E16+E28+E43+E55</f>
        <v>65000</v>
      </c>
      <c r="F82" s="257">
        <f t="shared" si="42"/>
        <v>0</v>
      </c>
      <c r="G82" s="257">
        <f t="shared" si="42"/>
        <v>0</v>
      </c>
      <c r="H82" s="257">
        <f t="shared" si="42"/>
        <v>0</v>
      </c>
      <c r="I82" s="257">
        <f t="shared" si="42"/>
        <v>60000</v>
      </c>
      <c r="J82" s="257">
        <f t="shared" si="42"/>
        <v>0</v>
      </c>
      <c r="K82" s="257">
        <f t="shared" si="42"/>
        <v>0</v>
      </c>
      <c r="L82" s="257">
        <f t="shared" si="42"/>
        <v>0</v>
      </c>
      <c r="M82" s="257">
        <f t="shared" si="42"/>
        <v>0</v>
      </c>
      <c r="N82" s="257">
        <f t="shared" si="42"/>
        <v>0</v>
      </c>
      <c r="O82" s="257">
        <f t="shared" si="42"/>
        <v>0</v>
      </c>
      <c r="P82" s="257">
        <f t="shared" si="42"/>
        <v>0</v>
      </c>
      <c r="Q82" s="257">
        <f t="shared" si="42"/>
        <v>0</v>
      </c>
      <c r="R82" s="257">
        <f t="shared" si="42"/>
        <v>0</v>
      </c>
      <c r="S82" s="257">
        <f t="shared" si="42"/>
        <v>0</v>
      </c>
      <c r="T82" s="257">
        <f t="shared" si="42"/>
        <v>0</v>
      </c>
      <c r="U82" s="257">
        <f t="shared" si="42"/>
        <v>0</v>
      </c>
      <c r="V82" s="257">
        <f t="shared" si="42"/>
        <v>0</v>
      </c>
      <c r="W82" s="257">
        <f t="shared" si="42"/>
        <v>0</v>
      </c>
      <c r="X82" s="257">
        <f t="shared" si="42"/>
        <v>0</v>
      </c>
    </row>
    <row r="83" spans="2:25" hidden="1" x14ac:dyDescent="0.2">
      <c r="B83" s="90" t="s">
        <v>219</v>
      </c>
      <c r="C83" s="90"/>
      <c r="D83" s="90"/>
      <c r="E83" s="258">
        <f>(1+E76)</f>
        <v>1.0466351393921056</v>
      </c>
      <c r="F83" s="258">
        <f>E83*1/(1+F76)</f>
        <v>1</v>
      </c>
      <c r="G83" s="258">
        <f t="shared" ref="G83:X83" si="43">F83*1/(1+G76)</f>
        <v>0.95544279220436679</v>
      </c>
      <c r="H83" s="258">
        <f t="shared" si="43"/>
        <v>0.91287092917527679</v>
      </c>
      <c r="I83" s="258">
        <f t="shared" si="43"/>
        <v>0.86334002137045041</v>
      </c>
      <c r="J83" s="258">
        <f t="shared" si="43"/>
        <v>0.81649658092772603</v>
      </c>
      <c r="K83" s="258">
        <f t="shared" si="43"/>
        <v>0.7721947901921794</v>
      </c>
      <c r="L83" s="258">
        <f t="shared" si="43"/>
        <v>0.73029674334022154</v>
      </c>
      <c r="M83" s="258">
        <f t="shared" si="43"/>
        <v>0.6865890479690393</v>
      </c>
      <c r="N83" s="258">
        <f t="shared" si="43"/>
        <v>0.6454972243679028</v>
      </c>
      <c r="O83" s="258">
        <f t="shared" si="43"/>
        <v>0.60686471463415426</v>
      </c>
      <c r="P83" s="258">
        <f t="shared" si="43"/>
        <v>0.57054433073454802</v>
      </c>
      <c r="Q83" s="258">
        <f t="shared" si="43"/>
        <v>0.53639769372581192</v>
      </c>
      <c r="R83" s="258">
        <f t="shared" si="43"/>
        <v>0.50429470653742403</v>
      </c>
      <c r="S83" s="258">
        <f t="shared" si="43"/>
        <v>0.47411305830793293</v>
      </c>
      <c r="T83" s="258">
        <f t="shared" si="43"/>
        <v>0.44573775838636553</v>
      </c>
      <c r="U83" s="258">
        <f t="shared" si="43"/>
        <v>0.4190606982232904</v>
      </c>
      <c r="V83" s="258">
        <f t="shared" si="43"/>
        <v>0.39398023948236238</v>
      </c>
      <c r="W83" s="258">
        <f t="shared" si="43"/>
        <v>0.37040082680307251</v>
      </c>
      <c r="X83" s="258">
        <f t="shared" si="43"/>
        <v>0.34823262373934799</v>
      </c>
    </row>
    <row r="84" spans="2:25" hidden="1" x14ac:dyDescent="0.2">
      <c r="B84" s="90" t="s">
        <v>447</v>
      </c>
      <c r="C84" s="90"/>
      <c r="D84" s="90"/>
      <c r="E84" s="90">
        <f>E82*E83</f>
        <v>68031.284060486869</v>
      </c>
      <c r="F84" s="90">
        <f t="shared" ref="F84:X84" si="44">F82*F83</f>
        <v>0</v>
      </c>
      <c r="G84" s="90">
        <f t="shared" si="44"/>
        <v>0</v>
      </c>
      <c r="H84" s="90">
        <f t="shared" si="44"/>
        <v>0</v>
      </c>
      <c r="I84" s="90">
        <f t="shared" si="44"/>
        <v>51800.401282227023</v>
      </c>
      <c r="J84" s="90">
        <f t="shared" si="44"/>
        <v>0</v>
      </c>
      <c r="K84" s="90">
        <f t="shared" si="44"/>
        <v>0</v>
      </c>
      <c r="L84" s="90">
        <f t="shared" si="44"/>
        <v>0</v>
      </c>
      <c r="M84" s="90">
        <f t="shared" si="44"/>
        <v>0</v>
      </c>
      <c r="N84" s="90">
        <f t="shared" si="44"/>
        <v>0</v>
      </c>
      <c r="O84" s="90">
        <f t="shared" si="44"/>
        <v>0</v>
      </c>
      <c r="P84" s="90">
        <f t="shared" si="44"/>
        <v>0</v>
      </c>
      <c r="Q84" s="90">
        <f t="shared" si="44"/>
        <v>0</v>
      </c>
      <c r="R84" s="90">
        <f t="shared" si="44"/>
        <v>0</v>
      </c>
      <c r="S84" s="90">
        <f t="shared" si="44"/>
        <v>0</v>
      </c>
      <c r="T84" s="90">
        <f t="shared" si="44"/>
        <v>0</v>
      </c>
      <c r="U84" s="90">
        <f t="shared" si="44"/>
        <v>0</v>
      </c>
      <c r="V84" s="90">
        <f t="shared" si="44"/>
        <v>0</v>
      </c>
      <c r="W84" s="90">
        <f t="shared" si="44"/>
        <v>0</v>
      </c>
      <c r="X84" s="90">
        <f t="shared" si="44"/>
        <v>0</v>
      </c>
      <c r="Y84" s="259">
        <f>SUM(E84:X84)</f>
        <v>119831.6853427139</v>
      </c>
    </row>
  </sheetData>
  <phoneticPr fontId="0" type="noConversion"/>
  <pageMargins left="0.75" right="0.75" top="1" bottom="1" header="0.5" footer="0.5"/>
  <pageSetup paperSize="9" scale="52" orientation="landscape" r:id="rId1"/>
  <headerFooter alignWithMargins="0"/>
  <rowBreaks count="2" manualBreakCount="2">
    <brk id="37" max="23" man="1"/>
    <brk id="76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zoomScaleNormal="100" workbookViewId="0">
      <selection activeCell="A26" sqref="A26"/>
    </sheetView>
  </sheetViews>
  <sheetFormatPr defaultRowHeight="12.75" x14ac:dyDescent="0.2"/>
  <cols>
    <col min="1" max="1" width="2.7109375" style="1" customWidth="1"/>
    <col min="2" max="2" width="4" style="1" customWidth="1"/>
    <col min="3" max="3" width="9.140625" style="1" customWidth="1"/>
    <col min="4" max="4" width="27.85546875" style="1" customWidth="1"/>
    <col min="5" max="5" width="9" style="1" customWidth="1"/>
    <col min="6" max="16384" width="9.140625" style="1"/>
  </cols>
  <sheetData>
    <row r="1" spans="1:26" ht="18" x14ac:dyDescent="0.25">
      <c r="D1" s="282"/>
    </row>
    <row r="2" spans="1:26" x14ac:dyDescent="0.2">
      <c r="A2" s="353" t="s">
        <v>393</v>
      </c>
      <c r="B2" s="353"/>
      <c r="C2" s="353"/>
      <c r="D2" s="353"/>
      <c r="E2" s="2" t="s">
        <v>79</v>
      </c>
      <c r="F2" s="3" t="s">
        <v>58</v>
      </c>
      <c r="G2" s="3" t="s">
        <v>59</v>
      </c>
      <c r="H2" s="3" t="s">
        <v>60</v>
      </c>
      <c r="I2" s="3" t="s">
        <v>61</v>
      </c>
      <c r="J2" s="4" t="s">
        <v>62</v>
      </c>
      <c r="K2" s="4" t="s">
        <v>63</v>
      </c>
      <c r="L2" s="4" t="s">
        <v>64</v>
      </c>
      <c r="M2" s="4" t="s">
        <v>65</v>
      </c>
      <c r="N2" s="5" t="s">
        <v>66</v>
      </c>
      <c r="O2" s="5" t="s">
        <v>67</v>
      </c>
      <c r="P2" s="5" t="s">
        <v>68</v>
      </c>
      <c r="Q2" s="5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7" t="s">
        <v>74</v>
      </c>
      <c r="W2" s="7" t="s">
        <v>75</v>
      </c>
      <c r="X2" s="7" t="s">
        <v>76</v>
      </c>
      <c r="Y2" s="7" t="s">
        <v>77</v>
      </c>
    </row>
    <row r="3" spans="1:26" x14ac:dyDescent="0.2">
      <c r="E3" s="2"/>
    </row>
    <row r="4" spans="1:26" x14ac:dyDescent="0.2">
      <c r="A4" s="61"/>
      <c r="B4" s="121" t="s">
        <v>170</v>
      </c>
      <c r="C4" s="61"/>
      <c r="D4" s="61"/>
      <c r="E4" s="62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6" x14ac:dyDescent="0.2">
      <c r="B5" s="122" t="s">
        <v>171</v>
      </c>
    </row>
    <row r="6" spans="1:26" x14ac:dyDescent="0.2">
      <c r="C6" s="123" t="s">
        <v>172</v>
      </c>
      <c r="E6" s="77" t="s">
        <v>85</v>
      </c>
      <c r="F6" s="15">
        <f>'НА и ОС'!G25+'НА и ОС'!G99</f>
        <v>4165.2542372881362</v>
      </c>
      <c r="G6" s="15">
        <f>'НА и ОС'!H25+'НА и ОС'!H99</f>
        <v>4165.2542372881362</v>
      </c>
      <c r="H6" s="15">
        <f>'НА и ОС'!I25+'НА и ОС'!I99</f>
        <v>4165.2542372881362</v>
      </c>
      <c r="I6" s="15">
        <f>'НА и ОС'!J25+'НА и ОС'!J99</f>
        <v>4165.2542372881362</v>
      </c>
      <c r="J6" s="15">
        <f>'НА и ОС'!K25+'НА и ОС'!K99</f>
        <v>4165.2542372881362</v>
      </c>
      <c r="K6" s="15">
        <f>'НА и ОС'!L25+'НА и ОС'!L99</f>
        <v>4165.2542372881362</v>
      </c>
      <c r="L6" s="15">
        <f>'НА и ОС'!M25+'НА и ОС'!M99</f>
        <v>4165.2542372881362</v>
      </c>
      <c r="M6" s="15">
        <f>'НА и ОС'!N25+'НА и ОС'!N99</f>
        <v>4165.2542372881362</v>
      </c>
      <c r="N6" s="15">
        <f>'НА и ОС'!O25+'НА и ОС'!O99</f>
        <v>4165.2542372881362</v>
      </c>
      <c r="O6" s="15">
        <f>'НА и ОС'!P25+'НА и ОС'!P99</f>
        <v>4165.2542372881362</v>
      </c>
      <c r="P6" s="15">
        <f>'НА и ОС'!Q25+'НА и ОС'!Q99</f>
        <v>4165.2542372881362</v>
      </c>
      <c r="Q6" s="15">
        <f>'НА и ОС'!R25+'НА и ОС'!R99</f>
        <v>4165.2542372881362</v>
      </c>
      <c r="R6" s="15">
        <f>'НА и ОС'!S25+'НА и ОС'!S99</f>
        <v>4165.2542372881362</v>
      </c>
      <c r="S6" s="15">
        <f>'НА и ОС'!T25+'НА и ОС'!T99</f>
        <v>4165.2542372881362</v>
      </c>
      <c r="T6" s="15">
        <f>'НА и ОС'!U25+'НА и ОС'!U99</f>
        <v>4165.2542372881362</v>
      </c>
      <c r="U6" s="15">
        <f>'НА и ОС'!V25+'НА и ОС'!V99</f>
        <v>4165.2542372881362</v>
      </c>
      <c r="V6" s="15">
        <f>'НА и ОС'!W25+'НА и ОС'!W99</f>
        <v>4165.2542372881362</v>
      </c>
      <c r="W6" s="15">
        <f>'НА и ОС'!X25+'НА и ОС'!X99</f>
        <v>4165.2542372881362</v>
      </c>
      <c r="X6" s="15">
        <f>'НА и ОС'!Y25+'НА и ОС'!Y99</f>
        <v>4165.2542372881362</v>
      </c>
      <c r="Y6" s="15">
        <f>'НА и ОС'!Z25+'НА и ОС'!Z99</f>
        <v>4165.2542372881362</v>
      </c>
    </row>
    <row r="7" spans="1:26" x14ac:dyDescent="0.2">
      <c r="C7" s="123" t="s">
        <v>173</v>
      </c>
      <c r="E7" s="77" t="s">
        <v>85</v>
      </c>
      <c r="F7" s="15">
        <f>'НА и ОС'!G27+'НА и ОС'!G101</f>
        <v>70.762711864406782</v>
      </c>
      <c r="G7" s="15">
        <f>'НА и ОС'!H27+'НА и ОС'!H101</f>
        <v>141.52542372881356</v>
      </c>
      <c r="H7" s="15">
        <f>'НА и ОС'!I27+'НА и ОС'!I101</f>
        <v>212.28813559322037</v>
      </c>
      <c r="I7" s="15">
        <f>'НА и ОС'!J27+'НА и ОС'!J101</f>
        <v>283.05084745762713</v>
      </c>
      <c r="J7" s="15">
        <f>'НА и ОС'!K27+'НА и ОС'!K101</f>
        <v>353.81355932203394</v>
      </c>
      <c r="K7" s="15">
        <f>'НА и ОС'!L27+'НА и ОС'!L101</f>
        <v>424.57627118644075</v>
      </c>
      <c r="L7" s="15">
        <f>'НА и ОС'!M27+'НА и ОС'!M101</f>
        <v>495.33898305084745</v>
      </c>
      <c r="M7" s="15">
        <f>'НА и ОС'!N27+'НА и ОС'!N101</f>
        <v>566.10169491525414</v>
      </c>
      <c r="N7" s="15">
        <f>'НА и ОС'!O27+'НА и ОС'!O101</f>
        <v>636.86440677966095</v>
      </c>
      <c r="O7" s="15">
        <f>'НА и ОС'!P27+'НА и ОС'!P101</f>
        <v>707.62711864406776</v>
      </c>
      <c r="P7" s="15">
        <f>'НА и ОС'!Q27+'НА и ОС'!Q101</f>
        <v>778.38983050847446</v>
      </c>
      <c r="Q7" s="15">
        <f>'НА и ОС'!R27+'НА и ОС'!R101</f>
        <v>849.15254237288116</v>
      </c>
      <c r="R7" s="15">
        <f>'НА и ОС'!S27+'НА и ОС'!S101</f>
        <v>919.91525423728797</v>
      </c>
      <c r="S7" s="15">
        <f>'НА и ОС'!T27+'НА и ОС'!T101</f>
        <v>990.67796610169478</v>
      </c>
      <c r="T7" s="15">
        <f>'НА и ОС'!U27+'НА и ОС'!U101</f>
        <v>1061.4406779661017</v>
      </c>
      <c r="U7" s="15">
        <f>'НА и ОС'!V27+'НА и ОС'!V101</f>
        <v>1132.2033898305085</v>
      </c>
      <c r="V7" s="15">
        <f>'НА и ОС'!W27+'НА и ОС'!W101</f>
        <v>1202.9661016949153</v>
      </c>
      <c r="W7" s="15">
        <f>'НА и ОС'!X27+'НА и ОС'!X101</f>
        <v>1273.7288135593221</v>
      </c>
      <c r="X7" s="15">
        <f>'НА и ОС'!Y27+'НА и ОС'!Y101</f>
        <v>1344.4915254237289</v>
      </c>
      <c r="Y7" s="15">
        <f>'НА и ОС'!Z27+'НА и ОС'!Z101</f>
        <v>1415.2542372881358</v>
      </c>
    </row>
    <row r="8" spans="1:26" x14ac:dyDescent="0.2">
      <c r="C8" s="123" t="s">
        <v>174</v>
      </c>
      <c r="E8" s="77" t="s">
        <v>85</v>
      </c>
      <c r="F8" s="15">
        <f>F6-F7</f>
        <v>4094.4915254237294</v>
      </c>
      <c r="G8" s="15">
        <f t="shared" ref="G8:Y8" si="0">G6-G7</f>
        <v>4023.7288135593226</v>
      </c>
      <c r="H8" s="15">
        <f t="shared" si="0"/>
        <v>3952.9661016949158</v>
      </c>
      <c r="I8" s="15">
        <f t="shared" si="0"/>
        <v>3882.203389830509</v>
      </c>
      <c r="J8" s="15">
        <f t="shared" si="0"/>
        <v>3811.4406779661022</v>
      </c>
      <c r="K8" s="15">
        <f t="shared" si="0"/>
        <v>3740.6779661016953</v>
      </c>
      <c r="L8" s="15">
        <f t="shared" si="0"/>
        <v>3669.9152542372885</v>
      </c>
      <c r="M8" s="15">
        <f t="shared" si="0"/>
        <v>3599.1525423728822</v>
      </c>
      <c r="N8" s="15">
        <f t="shared" si="0"/>
        <v>3528.3898305084754</v>
      </c>
      <c r="O8" s="15">
        <f t="shared" si="0"/>
        <v>3457.6271186440686</v>
      </c>
      <c r="P8" s="15">
        <f t="shared" si="0"/>
        <v>3386.8644067796617</v>
      </c>
      <c r="Q8" s="15">
        <f t="shared" si="0"/>
        <v>3316.1016949152549</v>
      </c>
      <c r="R8" s="15">
        <f t="shared" si="0"/>
        <v>3245.3389830508481</v>
      </c>
      <c r="S8" s="15">
        <f t="shared" si="0"/>
        <v>3174.5762711864413</v>
      </c>
      <c r="T8" s="15">
        <f t="shared" si="0"/>
        <v>3103.8135593220345</v>
      </c>
      <c r="U8" s="15">
        <f t="shared" si="0"/>
        <v>3033.0508474576277</v>
      </c>
      <c r="V8" s="15">
        <f t="shared" si="0"/>
        <v>2962.2881355932209</v>
      </c>
      <c r="W8" s="15">
        <f t="shared" si="0"/>
        <v>2891.5254237288141</v>
      </c>
      <c r="X8" s="15">
        <f t="shared" si="0"/>
        <v>2820.7627118644073</v>
      </c>
      <c r="Y8" s="15">
        <f t="shared" si="0"/>
        <v>2750.0000000000005</v>
      </c>
      <c r="Z8" s="55"/>
    </row>
    <row r="9" spans="1:26" s="27" customFormat="1" x14ac:dyDescent="0.2">
      <c r="B9" s="124" t="s">
        <v>175</v>
      </c>
      <c r="E9" s="77" t="s">
        <v>85</v>
      </c>
      <c r="F9" s="15">
        <f>'НА и ОС'!G24+'НА и ОС'!G98</f>
        <v>0</v>
      </c>
      <c r="G9" s="15">
        <f>'НА и ОС'!H24+'НА и ОС'!H98</f>
        <v>0</v>
      </c>
      <c r="H9" s="15">
        <f>'НА и ОС'!I24+'НА и ОС'!I98</f>
        <v>0</v>
      </c>
      <c r="I9" s="15">
        <f>'НА и ОС'!J24+'НА и ОС'!J98</f>
        <v>0</v>
      </c>
      <c r="J9" s="15">
        <f>'НА и ОС'!K24+'НА и ОС'!K98</f>
        <v>0</v>
      </c>
      <c r="K9" s="15">
        <f>'НА и ОС'!L24+'НА и ОС'!L98</f>
        <v>0</v>
      </c>
      <c r="L9" s="15">
        <f>'НА и ОС'!M24+'НА и ОС'!M98</f>
        <v>0</v>
      </c>
      <c r="M9" s="15">
        <f>'НА и ОС'!N24+'НА и ОС'!N98</f>
        <v>0</v>
      </c>
      <c r="N9" s="15">
        <f>'НА и ОС'!O24+'НА и ОС'!O98</f>
        <v>0</v>
      </c>
      <c r="O9" s="15">
        <f>'НА и ОС'!P24+'НА и ОС'!P98</f>
        <v>0</v>
      </c>
      <c r="P9" s="15">
        <f>'НА и ОС'!Q24+'НА и ОС'!Q98</f>
        <v>0</v>
      </c>
      <c r="Q9" s="15">
        <f>'НА и ОС'!R24+'НА и ОС'!R98</f>
        <v>0</v>
      </c>
      <c r="R9" s="15">
        <f>'НА и ОС'!S24+'НА и ОС'!S98</f>
        <v>0</v>
      </c>
      <c r="S9" s="15">
        <f>'НА и ОС'!T24+'НА и ОС'!T98</f>
        <v>0</v>
      </c>
      <c r="T9" s="15">
        <f>'НА и ОС'!U24+'НА и ОС'!U98</f>
        <v>0</v>
      </c>
      <c r="U9" s="15">
        <f>'НА и ОС'!V24+'НА и ОС'!V98</f>
        <v>0</v>
      </c>
      <c r="V9" s="15">
        <f>'НА и ОС'!W24+'НА и ОС'!W98</f>
        <v>0</v>
      </c>
      <c r="W9" s="15">
        <f>'НА и ОС'!X24+'НА и ОС'!X98</f>
        <v>0</v>
      </c>
      <c r="X9" s="15">
        <f>'НА и ОС'!Y24+'НА и ОС'!Y98</f>
        <v>0</v>
      </c>
      <c r="Y9" s="15">
        <f>'НА и ОС'!Z24+'НА и ОС'!Z98</f>
        <v>0</v>
      </c>
      <c r="Z9" s="55"/>
    </row>
    <row r="10" spans="1:26" x14ac:dyDescent="0.2">
      <c r="B10" s="12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55"/>
    </row>
    <row r="11" spans="1:26" x14ac:dyDescent="0.2">
      <c r="B11" s="122" t="s">
        <v>176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55"/>
    </row>
    <row r="12" spans="1:26" x14ac:dyDescent="0.2">
      <c r="C12" s="124" t="s">
        <v>184</v>
      </c>
      <c r="E12" s="77" t="s">
        <v>85</v>
      </c>
      <c r="F12" s="15">
        <f>'Оборот. К.'!D4</f>
        <v>762.71186440677968</v>
      </c>
      <c r="G12" s="15">
        <f>'Оборот. К.'!E4</f>
        <v>762.71186440677968</v>
      </c>
      <c r="H12" s="15">
        <f>'Оборот. К.'!F4</f>
        <v>2987.2881355932204</v>
      </c>
      <c r="I12" s="15">
        <f>'Оборот. К.'!G4</f>
        <v>2987.2881355932204</v>
      </c>
      <c r="J12" s="15">
        <f>'Оборот. К.'!H4</f>
        <v>3244.1949152542375</v>
      </c>
      <c r="K12" s="15">
        <f>'Оборот. К.'!I4</f>
        <v>3244.1949152542375</v>
      </c>
      <c r="L12" s="15">
        <f>'Оборот. К.'!J4</f>
        <v>3244.1949152542375</v>
      </c>
      <c r="M12" s="15">
        <f>'Оборот. К.'!K4</f>
        <v>3244.1949152542375</v>
      </c>
      <c r="N12" s="15">
        <f>'Оборот. К.'!L4</f>
        <v>3464.800169491526</v>
      </c>
      <c r="O12" s="15">
        <f>'Оборот. К.'!M4</f>
        <v>3464.800169491526</v>
      </c>
      <c r="P12" s="15">
        <f>'Оборот. К.'!N4</f>
        <v>3464.800169491526</v>
      </c>
      <c r="Q12" s="15">
        <f>'Оборот. К.'!O4</f>
        <v>3464.800169491526</v>
      </c>
      <c r="R12" s="15">
        <f>'Оборот. К.'!P4</f>
        <v>3679.6177800000005</v>
      </c>
      <c r="S12" s="15">
        <f>'Оборот. К.'!Q4</f>
        <v>3679.6177800000005</v>
      </c>
      <c r="T12" s="15">
        <f>'Оборот. К.'!R4</f>
        <v>3679.6177800000005</v>
      </c>
      <c r="U12" s="15">
        <f>'Оборот. К.'!S4</f>
        <v>3679.6177800000005</v>
      </c>
      <c r="V12" s="15">
        <f>'Оборот. К.'!T4</f>
        <v>3918.7929357000003</v>
      </c>
      <c r="W12" s="15">
        <f>'Оборот. К.'!U4</f>
        <v>3918.7929357000003</v>
      </c>
      <c r="X12" s="15">
        <f>'Оборот. К.'!V4</f>
        <v>3918.7929357000003</v>
      </c>
      <c r="Y12" s="15">
        <f>'Оборот. К.'!W4</f>
        <v>3918.7929357000003</v>
      </c>
      <c r="Z12" s="55"/>
    </row>
    <row r="13" spans="1:26" x14ac:dyDescent="0.2">
      <c r="C13" s="124" t="s">
        <v>256</v>
      </c>
      <c r="E13" s="77" t="s">
        <v>85</v>
      </c>
      <c r="F13" s="15">
        <f>-IF(CF!F16&lt;0, CF!F16, 0)</f>
        <v>4242.9661016949121</v>
      </c>
      <c r="G13" s="15">
        <f>-IF(CF!G16&lt;0, CF!G16, 0)</f>
        <v>137.28813559322032</v>
      </c>
      <c r="H13" s="15">
        <f>-IF(CF!H16&lt;0, CF!H16, 0)</f>
        <v>537.71186440677945</v>
      </c>
      <c r="I13" s="15">
        <f>-IF(CF!I16&lt;0, CF!I16, 0)</f>
        <v>537.71186440677945</v>
      </c>
      <c r="J13" s="15">
        <f>-IF(CF!J16&lt;0, CF!J16, 0)</f>
        <v>0</v>
      </c>
      <c r="K13" s="15">
        <f>-IF(CF!K16&lt;0, CF!K16, 0)</f>
        <v>583.95508474576241</v>
      </c>
      <c r="L13" s="15">
        <f>-IF(CF!L16&lt;0, CF!L16, 0)</f>
        <v>0</v>
      </c>
      <c r="M13" s="15">
        <f>-IF(CF!M16&lt;0, CF!M16, 0)</f>
        <v>0</v>
      </c>
      <c r="N13" s="15">
        <f>-IF(CF!N16&lt;0, CF!N16, 0)</f>
        <v>0</v>
      </c>
      <c r="O13" s="15">
        <f>-IF(CF!O16&lt;0, CF!O16, 0)</f>
        <v>623.66403050847441</v>
      </c>
      <c r="P13" s="15">
        <f>-IF(CF!P16&lt;0, CF!P16, 0)</f>
        <v>0</v>
      </c>
      <c r="Q13" s="15">
        <f>-IF(CF!Q16&lt;0, CF!Q16, 0)</f>
        <v>0</v>
      </c>
      <c r="R13" s="15">
        <f>-IF(CF!R16&lt;0, CF!R16, 0)</f>
        <v>0</v>
      </c>
      <c r="S13" s="15">
        <f>-IF(CF!S16&lt;0, CF!S16, 0)</f>
        <v>662.33120039999983</v>
      </c>
      <c r="T13" s="15">
        <f>-IF(CF!T16&lt;0, CF!T16, 0)</f>
        <v>0</v>
      </c>
      <c r="U13" s="15">
        <f>-IF(CF!U16&lt;0, CF!U16, 0)</f>
        <v>0</v>
      </c>
      <c r="V13" s="15">
        <f>-IF(CF!V16&lt;0, CF!V16, 0)</f>
        <v>0</v>
      </c>
      <c r="W13" s="15">
        <f>-IF(CF!W16&lt;0, CF!W16, 0)</f>
        <v>705.38272842599963</v>
      </c>
      <c r="X13" s="15">
        <f>-IF(CF!X16&lt;0, CF!X16, 0)</f>
        <v>0</v>
      </c>
      <c r="Y13" s="15">
        <f>-IF(CF!Y16&lt;0, CF!Y16, 0)</f>
        <v>0</v>
      </c>
      <c r="Z13" s="55"/>
    </row>
    <row r="14" spans="1:26" x14ac:dyDescent="0.2">
      <c r="C14" s="124" t="s">
        <v>177</v>
      </c>
      <c r="E14" s="77" t="s">
        <v>85</v>
      </c>
      <c r="F14" s="15">
        <f>CF!F35</f>
        <v>38499.96610169491</v>
      </c>
      <c r="G14" s="15">
        <f>CF!G35</f>
        <v>34718.208705234567</v>
      </c>
      <c r="H14" s="15">
        <f>CF!H35</f>
        <v>28711.875037587786</v>
      </c>
      <c r="I14" s="15">
        <f>CF!I35</f>
        <v>22705.541369941006</v>
      </c>
      <c r="J14" s="15">
        <f>CF!J35</f>
        <v>114950.19555489591</v>
      </c>
      <c r="K14" s="15">
        <f>CF!K35</f>
        <v>101683.67483269973</v>
      </c>
      <c r="L14" s="15">
        <f>CF!L35</f>
        <v>261928.32901765464</v>
      </c>
      <c r="M14" s="15">
        <f>CF!M35</f>
        <v>379325.5255754909</v>
      </c>
      <c r="N14" s="15">
        <f>CF!N35</f>
        <v>414028.77773800219</v>
      </c>
      <c r="O14" s="15">
        <f>CF!O35</f>
        <v>400193.47058944637</v>
      </c>
      <c r="P14" s="15">
        <f>CF!P35</f>
        <v>571600.7227519576</v>
      </c>
      <c r="Q14" s="15">
        <f>CF!Q35</f>
        <v>697246.89016870619</v>
      </c>
      <c r="R14" s="15">
        <f>CF!R35</f>
        <v>782949.97582484339</v>
      </c>
      <c r="S14" s="15">
        <f>CF!S35</f>
        <v>768570.13647552335</v>
      </c>
      <c r="T14" s="15">
        <f>CF!T35</f>
        <v>1144632.5181316605</v>
      </c>
      <c r="U14" s="15">
        <f>CF!U35</f>
        <v>1423498.3557877978</v>
      </c>
      <c r="V14" s="15">
        <f>CF!V35</f>
        <v>1566791.4152218206</v>
      </c>
      <c r="W14" s="15">
        <f>CF!W35</f>
        <v>1551805.3742948577</v>
      </c>
      <c r="X14" s="15">
        <f>CF!X35</f>
        <v>2158971.4888418717</v>
      </c>
      <c r="Y14" s="15">
        <f>CF!Y35</f>
        <v>2610866.1243488858</v>
      </c>
      <c r="Z14" s="55"/>
    </row>
    <row r="15" spans="1:26" x14ac:dyDescent="0.2">
      <c r="B15" s="124" t="s">
        <v>381</v>
      </c>
      <c r="E15" s="77" t="s">
        <v>85</v>
      </c>
      <c r="F15" s="15">
        <f>F12+F13+F14</f>
        <v>43505.644067796602</v>
      </c>
      <c r="G15" s="15">
        <f t="shared" ref="G15:Y15" si="1">G12+G13+G14</f>
        <v>35618.208705234567</v>
      </c>
      <c r="H15" s="15">
        <f t="shared" si="1"/>
        <v>32236.875037587786</v>
      </c>
      <c r="I15" s="15">
        <f t="shared" si="1"/>
        <v>26230.541369941006</v>
      </c>
      <c r="J15" s="15">
        <f t="shared" si="1"/>
        <v>118194.39047015015</v>
      </c>
      <c r="K15" s="15">
        <f t="shared" si="1"/>
        <v>105511.82483269973</v>
      </c>
      <c r="L15" s="15">
        <f t="shared" si="1"/>
        <v>265172.52393290889</v>
      </c>
      <c r="M15" s="15">
        <f t="shared" si="1"/>
        <v>382569.72049074515</v>
      </c>
      <c r="N15" s="15">
        <f t="shared" si="1"/>
        <v>417493.57790749369</v>
      </c>
      <c r="O15" s="15">
        <f t="shared" si="1"/>
        <v>404281.93478944636</v>
      </c>
      <c r="P15" s="15">
        <f t="shared" si="1"/>
        <v>575065.52292144916</v>
      </c>
      <c r="Q15" s="15">
        <f t="shared" si="1"/>
        <v>700711.69033819775</v>
      </c>
      <c r="R15" s="15">
        <f t="shared" si="1"/>
        <v>786629.59360484337</v>
      </c>
      <c r="S15" s="15">
        <f t="shared" si="1"/>
        <v>772912.08545592334</v>
      </c>
      <c r="T15" s="15">
        <f t="shared" si="1"/>
        <v>1148312.1359116605</v>
      </c>
      <c r="U15" s="15">
        <f t="shared" si="1"/>
        <v>1427177.9735677978</v>
      </c>
      <c r="V15" s="15">
        <f t="shared" si="1"/>
        <v>1570710.2081575205</v>
      </c>
      <c r="W15" s="15">
        <f t="shared" si="1"/>
        <v>1556429.5499589837</v>
      </c>
      <c r="X15" s="15">
        <f t="shared" si="1"/>
        <v>2162890.2817775719</v>
      </c>
      <c r="Y15" s="15">
        <f t="shared" si="1"/>
        <v>2614784.917284586</v>
      </c>
      <c r="Z15" s="55"/>
    </row>
    <row r="16" spans="1:26" x14ac:dyDescent="0.2">
      <c r="B16" s="12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6" s="27" customFormat="1" x14ac:dyDescent="0.2">
      <c r="B17" s="122" t="s">
        <v>216</v>
      </c>
      <c r="E17" s="77" t="s">
        <v>85</v>
      </c>
      <c r="F17" s="17">
        <f t="shared" ref="F17:Y17" si="2">F8+F9+F15</f>
        <v>47600.13559322033</v>
      </c>
      <c r="G17" s="17">
        <f t="shared" si="2"/>
        <v>39641.937518793886</v>
      </c>
      <c r="H17" s="17">
        <f t="shared" si="2"/>
        <v>36189.841139282704</v>
      </c>
      <c r="I17" s="17">
        <f>I8+I9+I15</f>
        <v>30112.744759771515</v>
      </c>
      <c r="J17" s="17">
        <f t="shared" si="2"/>
        <v>122005.83114811625</v>
      </c>
      <c r="K17" s="17">
        <f t="shared" si="2"/>
        <v>109252.50279880142</v>
      </c>
      <c r="L17" s="17">
        <f t="shared" si="2"/>
        <v>268842.4391871462</v>
      </c>
      <c r="M17" s="17">
        <f t="shared" si="2"/>
        <v>386168.87303311803</v>
      </c>
      <c r="N17" s="17">
        <f t="shared" si="2"/>
        <v>421021.96773800219</v>
      </c>
      <c r="O17" s="17">
        <f t="shared" si="2"/>
        <v>407739.56190809043</v>
      </c>
      <c r="P17" s="17">
        <f t="shared" si="2"/>
        <v>578452.3873282288</v>
      </c>
      <c r="Q17" s="17">
        <f t="shared" si="2"/>
        <v>704027.79203311296</v>
      </c>
      <c r="R17" s="17">
        <f t="shared" si="2"/>
        <v>789874.93258789426</v>
      </c>
      <c r="S17" s="17">
        <f t="shared" si="2"/>
        <v>776086.66172710981</v>
      </c>
      <c r="T17" s="17">
        <f t="shared" si="2"/>
        <v>1151415.9494709824</v>
      </c>
      <c r="U17" s="17">
        <f t="shared" si="2"/>
        <v>1430211.0244152555</v>
      </c>
      <c r="V17" s="17">
        <f t="shared" si="2"/>
        <v>1573672.4962931138</v>
      </c>
      <c r="W17" s="17">
        <f t="shared" si="2"/>
        <v>1559321.0753827125</v>
      </c>
      <c r="X17" s="17">
        <f t="shared" si="2"/>
        <v>2165711.0444894363</v>
      </c>
      <c r="Y17" s="17">
        <f t="shared" si="2"/>
        <v>2617534.917284586</v>
      </c>
      <c r="Z17" s="55"/>
    </row>
    <row r="18" spans="1:26" x14ac:dyDescent="0.2">
      <c r="B18" s="12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6" x14ac:dyDescent="0.2">
      <c r="A19" s="61"/>
      <c r="B19" s="121" t="s">
        <v>178</v>
      </c>
      <c r="C19" s="61"/>
      <c r="D19" s="61"/>
      <c r="E19" s="61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 spans="1:26" s="27" customFormat="1" x14ac:dyDescent="0.2">
      <c r="B20" s="122" t="s">
        <v>179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6" s="27" customFormat="1" x14ac:dyDescent="0.2">
      <c r="B21" s="124" t="s">
        <v>50</v>
      </c>
      <c r="E21" s="77" t="s">
        <v>85</v>
      </c>
      <c r="F21" s="15">
        <f>F22+F23</f>
        <v>30000</v>
      </c>
      <c r="G21" s="15">
        <f>G22+G23</f>
        <v>30000</v>
      </c>
      <c r="H21" s="15">
        <f t="shared" ref="H21:Y21" si="3">H22+H23</f>
        <v>30000</v>
      </c>
      <c r="I21" s="15">
        <f t="shared" si="3"/>
        <v>30000</v>
      </c>
      <c r="J21" s="15">
        <f t="shared" si="3"/>
        <v>30000</v>
      </c>
      <c r="K21" s="15">
        <f t="shared" si="3"/>
        <v>30000</v>
      </c>
      <c r="L21" s="15">
        <f t="shared" si="3"/>
        <v>30000</v>
      </c>
      <c r="M21" s="15">
        <f t="shared" si="3"/>
        <v>30000</v>
      </c>
      <c r="N21" s="15">
        <f t="shared" si="3"/>
        <v>30000</v>
      </c>
      <c r="O21" s="15">
        <f t="shared" si="3"/>
        <v>30000</v>
      </c>
      <c r="P21" s="15">
        <f t="shared" si="3"/>
        <v>30000</v>
      </c>
      <c r="Q21" s="15">
        <f t="shared" si="3"/>
        <v>30000</v>
      </c>
      <c r="R21" s="15">
        <f t="shared" si="3"/>
        <v>30000</v>
      </c>
      <c r="S21" s="15">
        <f t="shared" si="3"/>
        <v>30000</v>
      </c>
      <c r="T21" s="15">
        <f t="shared" si="3"/>
        <v>30000</v>
      </c>
      <c r="U21" s="15">
        <f t="shared" si="3"/>
        <v>30000</v>
      </c>
      <c r="V21" s="15">
        <f t="shared" si="3"/>
        <v>30000</v>
      </c>
      <c r="W21" s="15">
        <f t="shared" si="3"/>
        <v>30000</v>
      </c>
      <c r="X21" s="15">
        <f t="shared" si="3"/>
        <v>30000</v>
      </c>
      <c r="Y21" s="15">
        <f t="shared" si="3"/>
        <v>30000</v>
      </c>
    </row>
    <row r="22" spans="1:26" s="27" customFormat="1" x14ac:dyDescent="0.2">
      <c r="B22" s="126"/>
      <c r="C22" s="127" t="s">
        <v>51</v>
      </c>
      <c r="E22" s="77" t="s">
        <v>85</v>
      </c>
      <c r="F22" s="53">
        <f>SUM('Финан-е'!E6)</f>
        <v>30000</v>
      </c>
      <c r="G22" s="53">
        <f>SUM('Финан-е'!$E6:F6)</f>
        <v>30000</v>
      </c>
      <c r="H22" s="53">
        <f>SUM('Финан-е'!$E6:G6)</f>
        <v>30000</v>
      </c>
      <c r="I22" s="53">
        <f>SUM('Финан-е'!$E6:H6)</f>
        <v>30000</v>
      </c>
      <c r="J22" s="53">
        <f>SUM('Финан-е'!$E6:I6)</f>
        <v>30000</v>
      </c>
      <c r="K22" s="53">
        <f>SUM('Финан-е'!$E6:J6)</f>
        <v>30000</v>
      </c>
      <c r="L22" s="53">
        <f>SUM('Финан-е'!$E6:K6)</f>
        <v>30000</v>
      </c>
      <c r="M22" s="53">
        <f>SUM('Финан-е'!$E6:L6)</f>
        <v>30000</v>
      </c>
      <c r="N22" s="53">
        <f>SUM('Финан-е'!$E6:M6)</f>
        <v>30000</v>
      </c>
      <c r="O22" s="53">
        <f>SUM('Финан-е'!$E6:N6)</f>
        <v>30000</v>
      </c>
      <c r="P22" s="53">
        <f>SUM('Финан-е'!$E6:O6)</f>
        <v>30000</v>
      </c>
      <c r="Q22" s="53">
        <f>SUM('Финан-е'!$E6:P6)</f>
        <v>30000</v>
      </c>
      <c r="R22" s="53">
        <f>SUM('Финан-е'!$E6:Q6)</f>
        <v>30000</v>
      </c>
      <c r="S22" s="53">
        <f>SUM('Финан-е'!$E6:R6)</f>
        <v>30000</v>
      </c>
      <c r="T22" s="53">
        <f>SUM('Финан-е'!$E6:S6)</f>
        <v>30000</v>
      </c>
      <c r="U22" s="53">
        <f>SUM('Финан-е'!$E6:T6)</f>
        <v>30000</v>
      </c>
      <c r="V22" s="53">
        <f>SUM('Финан-е'!$E6:U6)</f>
        <v>30000</v>
      </c>
      <c r="W22" s="53">
        <f>SUM('Финан-е'!$E6:V6)</f>
        <v>30000</v>
      </c>
      <c r="X22" s="53">
        <f>SUM('Финан-е'!$E6:W6)</f>
        <v>30000</v>
      </c>
      <c r="Y22" s="53">
        <f>SUM('Финан-е'!$E6:X6)</f>
        <v>30000</v>
      </c>
    </row>
    <row r="23" spans="1:26" x14ac:dyDescent="0.2">
      <c r="B23" s="124"/>
      <c r="C23" s="127" t="s">
        <v>53</v>
      </c>
      <c r="E23" s="77" t="s">
        <v>85</v>
      </c>
      <c r="F23" s="53">
        <f>SUM('Финан-е'!E7)</f>
        <v>0</v>
      </c>
      <c r="G23" s="53">
        <f>SUM('Финан-е'!$E7:F7)</f>
        <v>0</v>
      </c>
      <c r="H23" s="53">
        <f>SUM('Финан-е'!$E7:G7)</f>
        <v>0</v>
      </c>
      <c r="I23" s="53">
        <f>SUM('Финан-е'!$E7:H7)</f>
        <v>0</v>
      </c>
      <c r="J23" s="53">
        <f>SUM('Финан-е'!$E7:I7)</f>
        <v>0</v>
      </c>
      <c r="K23" s="53">
        <f>SUM('Финан-е'!$E7:J7)</f>
        <v>0</v>
      </c>
      <c r="L23" s="53">
        <f>SUM('Финан-е'!$E7:K7)</f>
        <v>0</v>
      </c>
      <c r="M23" s="53">
        <f>SUM('Финан-е'!$E7:L7)</f>
        <v>0</v>
      </c>
      <c r="N23" s="53">
        <f>SUM('Финан-е'!$E7:M7)</f>
        <v>0</v>
      </c>
      <c r="O23" s="53">
        <f>SUM('Финан-е'!$E7:N7)</f>
        <v>0</v>
      </c>
      <c r="P23" s="53">
        <f>SUM('Финан-е'!$E7:O7)</f>
        <v>0</v>
      </c>
      <c r="Q23" s="53">
        <f>SUM('Финан-е'!$E7:P7)</f>
        <v>0</v>
      </c>
      <c r="R23" s="53">
        <f>SUM('Финан-е'!$E7:Q7)</f>
        <v>0</v>
      </c>
      <c r="S23" s="53">
        <f>SUM('Финан-е'!$E7:R7)</f>
        <v>0</v>
      </c>
      <c r="T23" s="53">
        <f>SUM('Финан-е'!$E7:S7)</f>
        <v>0</v>
      </c>
      <c r="U23" s="53">
        <f>SUM('Финан-е'!$E7:T7)</f>
        <v>0</v>
      </c>
      <c r="V23" s="53">
        <f>SUM('Финан-е'!$E7:U7)</f>
        <v>0</v>
      </c>
      <c r="W23" s="53">
        <f>SUM('Финан-е'!$E7:V7)</f>
        <v>0</v>
      </c>
      <c r="X23" s="53">
        <f>SUM('Финан-е'!$E7:W7)</f>
        <v>0</v>
      </c>
      <c r="Y23" s="53">
        <f>SUM('Финан-е'!$E7:X7)</f>
        <v>0</v>
      </c>
    </row>
    <row r="24" spans="1:26" x14ac:dyDescent="0.2">
      <c r="B24" s="124" t="s">
        <v>147</v>
      </c>
      <c r="C24" s="127"/>
      <c r="E24" s="77" t="s">
        <v>85</v>
      </c>
      <c r="F24" s="15">
        <f>SUM('Финан-е'!E8)</f>
        <v>35000</v>
      </c>
      <c r="G24" s="15">
        <f>SUM('Финан-е'!$E8:F8)</f>
        <v>35000</v>
      </c>
      <c r="H24" s="15">
        <f>SUM('Финан-е'!$E8:G8)</f>
        <v>35000</v>
      </c>
      <c r="I24" s="15">
        <f>SUM('Финан-е'!$E8:H8)</f>
        <v>35000</v>
      </c>
      <c r="J24" s="15">
        <f>SUM('Финан-е'!$E8:I8)</f>
        <v>95000</v>
      </c>
      <c r="K24" s="15">
        <f>SUM('Финан-е'!$E8:J8)</f>
        <v>95000</v>
      </c>
      <c r="L24" s="15">
        <f>SUM('Финан-е'!$E8:K8)</f>
        <v>95000</v>
      </c>
      <c r="M24" s="15">
        <f>SUM('Финан-е'!$E8:L8)</f>
        <v>95000</v>
      </c>
      <c r="N24" s="15">
        <f>SUM('Финан-е'!$E8:M8)</f>
        <v>95000</v>
      </c>
      <c r="O24" s="15">
        <f>SUM('Финан-е'!$E8:N8)</f>
        <v>95000</v>
      </c>
      <c r="P24" s="15">
        <f>SUM('Финан-е'!$E8:O8)</f>
        <v>95000</v>
      </c>
      <c r="Q24" s="15">
        <f>SUM('Финан-е'!$E8:P8)</f>
        <v>95000</v>
      </c>
      <c r="R24" s="15">
        <f>SUM('Финан-е'!$E8:Q8)</f>
        <v>95000</v>
      </c>
      <c r="S24" s="15">
        <f>SUM('Финан-е'!$E8:R8)</f>
        <v>95000</v>
      </c>
      <c r="T24" s="15">
        <f>SUM('Финан-е'!$E8:S8)</f>
        <v>95000</v>
      </c>
      <c r="U24" s="15">
        <f>SUM('Финан-е'!$E8:T8)</f>
        <v>95000</v>
      </c>
      <c r="V24" s="15">
        <f>SUM('Финан-е'!$E8:U8)</f>
        <v>95000</v>
      </c>
      <c r="W24" s="15">
        <f>SUM('Финан-е'!$E8:V8)</f>
        <v>95000</v>
      </c>
      <c r="X24" s="15">
        <f>SUM('Финан-е'!$E8:W8)</f>
        <v>95000</v>
      </c>
      <c r="Y24" s="15">
        <f>SUM('Финан-е'!$E8:X8)</f>
        <v>95000</v>
      </c>
    </row>
    <row r="25" spans="1:26" x14ac:dyDescent="0.2">
      <c r="B25" s="124" t="s">
        <v>52</v>
      </c>
      <c r="E25" s="77" t="s">
        <v>85</v>
      </c>
      <c r="F25" s="15">
        <f>'Форма 2'!F31</f>
        <v>-22386.845338983054</v>
      </c>
      <c r="G25" s="15">
        <f>'Форма 2'!G31</f>
        <v>-26220.668413409498</v>
      </c>
      <c r="H25" s="15">
        <f>'Форма 2'!H31</f>
        <v>-32279.067759022379</v>
      </c>
      <c r="I25" s="15">
        <f>'Форма 2'!I31</f>
        <v>-38337.46710463526</v>
      </c>
      <c r="J25" s="15">
        <f>'Форма 2'!J31</f>
        <v>32192.58850698881</v>
      </c>
      <c r="K25" s="15">
        <f>'Форма 2'!K31</f>
        <v>18874.002106826527</v>
      </c>
      <c r="L25" s="15">
        <f>'Форма 2'!L31</f>
        <v>179066.59061381532</v>
      </c>
      <c r="M25" s="15">
        <f>'Форма 2'!M31</f>
        <v>296411.7214936855</v>
      </c>
      <c r="N25" s="15">
        <f>'Форма 2'!N31</f>
        <v>34651.1864845452</v>
      </c>
      <c r="O25" s="15">
        <f>'Форма 2'!O31</f>
        <v>20763.8136580233</v>
      </c>
      <c r="P25" s="15">
        <f>'Форма 2'!P31</f>
        <v>192119.00014256852</v>
      </c>
      <c r="Q25" s="15">
        <f>'Форма 2'!Q31</f>
        <v>317713.10188135103</v>
      </c>
      <c r="R25" s="15">
        <f>'Форма 2'!R31</f>
        <v>85651.019978171171</v>
      </c>
      <c r="S25" s="15">
        <f>'Форма 2'!S31</f>
        <v>71219.11495088505</v>
      </c>
      <c r="T25" s="15">
        <f>'Форма 2'!T31</f>
        <v>447229.43092905631</v>
      </c>
      <c r="U25" s="15">
        <f>'Форма 2'!U31</f>
        <v>726043.20290722745</v>
      </c>
      <c r="V25" s="15">
        <f>'Форма 2'!V31</f>
        <v>143240.99375605676</v>
      </c>
      <c r="W25" s="15">
        <f>'Форма 2'!W31</f>
        <v>128202.8871511278</v>
      </c>
      <c r="X25" s="15">
        <f>'Форма 2'!X31</f>
        <v>735316.93602017593</v>
      </c>
      <c r="Y25" s="15">
        <f>'Форма 2'!Y31</f>
        <v>1187159.505849224</v>
      </c>
    </row>
    <row r="26" spans="1:26" x14ac:dyDescent="0.2">
      <c r="B26" s="124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spans="1:26" x14ac:dyDescent="0.2">
      <c r="B27" s="124" t="s">
        <v>257</v>
      </c>
      <c r="E27" s="77" t="s">
        <v>85</v>
      </c>
      <c r="F27" s="15">
        <f>F21+F24+F25</f>
        <v>42613.154661016946</v>
      </c>
      <c r="G27" s="15">
        <f t="shared" ref="G27:Y27" si="4">G21+G24+G25</f>
        <v>38779.331586590502</v>
      </c>
      <c r="H27" s="15">
        <f t="shared" si="4"/>
        <v>32720.932240977621</v>
      </c>
      <c r="I27" s="15">
        <f t="shared" si="4"/>
        <v>26662.53289536474</v>
      </c>
      <c r="J27" s="15">
        <f t="shared" si="4"/>
        <v>157192.5885069888</v>
      </c>
      <c r="K27" s="15">
        <f t="shared" si="4"/>
        <v>143874.00210682652</v>
      </c>
      <c r="L27" s="15">
        <f t="shared" si="4"/>
        <v>304066.59061381535</v>
      </c>
      <c r="M27" s="15">
        <f t="shared" si="4"/>
        <v>421411.7214936855</v>
      </c>
      <c r="N27" s="15">
        <f t="shared" si="4"/>
        <v>159651.18648454521</v>
      </c>
      <c r="O27" s="15">
        <f t="shared" si="4"/>
        <v>145763.81365802331</v>
      </c>
      <c r="P27" s="15">
        <f t="shared" si="4"/>
        <v>317119.00014256849</v>
      </c>
      <c r="Q27" s="15">
        <f t="shared" si="4"/>
        <v>442713.10188135103</v>
      </c>
      <c r="R27" s="15">
        <f t="shared" si="4"/>
        <v>210651.01997817116</v>
      </c>
      <c r="S27" s="15">
        <f t="shared" si="4"/>
        <v>196219.11495088506</v>
      </c>
      <c r="T27" s="15">
        <f t="shared" si="4"/>
        <v>572229.43092905637</v>
      </c>
      <c r="U27" s="15">
        <f t="shared" si="4"/>
        <v>851043.20290722745</v>
      </c>
      <c r="V27" s="15">
        <f t="shared" si="4"/>
        <v>268240.99375605676</v>
      </c>
      <c r="W27" s="15">
        <f t="shared" si="4"/>
        <v>253202.8871511278</v>
      </c>
      <c r="X27" s="15">
        <f t="shared" si="4"/>
        <v>860316.93602017593</v>
      </c>
      <c r="Y27" s="15">
        <f t="shared" si="4"/>
        <v>1312159.505849224</v>
      </c>
      <c r="Z27" s="55"/>
    </row>
    <row r="28" spans="1:26" x14ac:dyDescent="0.2">
      <c r="B28" s="12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6" s="27" customFormat="1" x14ac:dyDescent="0.2">
      <c r="B29" s="122" t="s">
        <v>180</v>
      </c>
      <c r="E29" s="77" t="s">
        <v>85</v>
      </c>
      <c r="F29" s="15">
        <f>'Финан-е'!E19+'Финан-е'!E31</f>
        <v>0</v>
      </c>
      <c r="G29" s="15">
        <f>'Финан-е'!F19+'Финан-е'!F31</f>
        <v>0</v>
      </c>
      <c r="H29" s="15">
        <f>'Финан-е'!G19+'Финан-е'!G31</f>
        <v>0</v>
      </c>
      <c r="I29" s="15">
        <f>'Финан-е'!H19+'Финан-е'!H31</f>
        <v>0</v>
      </c>
      <c r="J29" s="15">
        <f>'Финан-е'!I19+'Финан-е'!I31</f>
        <v>0</v>
      </c>
      <c r="K29" s="15">
        <f>'Финан-е'!J19+'Финан-е'!J31</f>
        <v>0</v>
      </c>
      <c r="L29" s="15">
        <f>'Финан-е'!K19+'Финан-е'!K31</f>
        <v>0</v>
      </c>
      <c r="M29" s="15">
        <f>'Финан-е'!L19+'Финан-е'!L31</f>
        <v>0</v>
      </c>
      <c r="N29" s="15">
        <f>'Финан-е'!M19+'Финан-е'!M31</f>
        <v>0</v>
      </c>
      <c r="O29" s="15">
        <f>'Финан-е'!N19+'Финан-е'!N31</f>
        <v>0</v>
      </c>
      <c r="P29" s="15">
        <f>'Финан-е'!O19+'Финан-е'!O31</f>
        <v>0</v>
      </c>
      <c r="Q29" s="15">
        <f>'Финан-е'!P19+'Финан-е'!P31</f>
        <v>0</v>
      </c>
      <c r="R29" s="15">
        <f>'Финан-е'!Q19+'Финан-е'!Q31</f>
        <v>0</v>
      </c>
      <c r="S29" s="15">
        <f>'Финан-е'!R19+'Финан-е'!R31</f>
        <v>0</v>
      </c>
      <c r="T29" s="15">
        <f>'Финан-е'!S19+'Финан-е'!S31</f>
        <v>0</v>
      </c>
      <c r="U29" s="15">
        <f>'Финан-е'!T19+'Финан-е'!T31</f>
        <v>0</v>
      </c>
      <c r="V29" s="15">
        <f>'Финан-е'!U19+'Финан-е'!U31</f>
        <v>0</v>
      </c>
      <c r="W29" s="15">
        <f>'Финан-е'!V19+'Финан-е'!V31</f>
        <v>0</v>
      </c>
      <c r="X29" s="15">
        <f>'Финан-е'!W19+'Финан-е'!W31</f>
        <v>0</v>
      </c>
      <c r="Y29" s="15">
        <f>'Финан-е'!X19+'Финан-е'!X31</f>
        <v>0</v>
      </c>
      <c r="Z29" s="55"/>
    </row>
    <row r="30" spans="1:26" x14ac:dyDescent="0.2">
      <c r="B30" s="12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6" s="27" customFormat="1" x14ac:dyDescent="0.2">
      <c r="B31" s="128" t="s">
        <v>181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6" s="27" customFormat="1" x14ac:dyDescent="0.2">
      <c r="B32" s="128"/>
      <c r="C32" s="131" t="s">
        <v>339</v>
      </c>
      <c r="E32" s="77" t="s">
        <v>85</v>
      </c>
      <c r="F32" s="15">
        <f>'Финан-е'!E46+'Финан-е'!E58</f>
        <v>0</v>
      </c>
      <c r="G32" s="15">
        <f>'Финан-е'!F46+'Финан-е'!F58</f>
        <v>0</v>
      </c>
      <c r="H32" s="15">
        <f>'Финан-е'!G46+'Финан-е'!G58</f>
        <v>0</v>
      </c>
      <c r="I32" s="15">
        <f>'Финан-е'!H46+'Финан-е'!H58</f>
        <v>0</v>
      </c>
      <c r="J32" s="15">
        <f>'Финан-е'!I46+'Финан-е'!I58</f>
        <v>0</v>
      </c>
      <c r="K32" s="15">
        <f>'Финан-е'!J46+'Финан-е'!J58</f>
        <v>0</v>
      </c>
      <c r="L32" s="15">
        <f>'Финан-е'!K46+'Финан-е'!K58</f>
        <v>0</v>
      </c>
      <c r="M32" s="15">
        <f>'Финан-е'!L46+'Финан-е'!L58</f>
        <v>0</v>
      </c>
      <c r="N32" s="15">
        <f>'Финан-е'!M46+'Финан-е'!M58</f>
        <v>0</v>
      </c>
      <c r="O32" s="15">
        <f>'Финан-е'!N46+'Финан-е'!N58</f>
        <v>0</v>
      </c>
      <c r="P32" s="15">
        <f>'Финан-е'!O46+'Финан-е'!O58</f>
        <v>0</v>
      </c>
      <c r="Q32" s="15">
        <f>'Финан-е'!P46+'Финан-е'!P58</f>
        <v>0</v>
      </c>
      <c r="R32" s="15">
        <f>'Финан-е'!Q46+'Финан-е'!Q58</f>
        <v>0</v>
      </c>
      <c r="S32" s="15">
        <f>'Финан-е'!R46+'Финан-е'!R58</f>
        <v>0</v>
      </c>
      <c r="T32" s="15">
        <f>'Финан-е'!S46+'Финан-е'!S58</f>
        <v>0</v>
      </c>
      <c r="U32" s="15">
        <f>'Финан-е'!T46+'Финан-е'!T58</f>
        <v>0</v>
      </c>
      <c r="V32" s="15">
        <f>'Финан-е'!U46+'Финан-е'!U58</f>
        <v>0</v>
      </c>
      <c r="W32" s="15">
        <f>'Финан-е'!V46+'Финан-е'!V58</f>
        <v>0</v>
      </c>
      <c r="X32" s="15">
        <f>'Финан-е'!W46+'Финан-е'!W58</f>
        <v>0</v>
      </c>
      <c r="Y32" s="15">
        <f>'Финан-е'!X46+'Финан-е'!X58</f>
        <v>0</v>
      </c>
    </row>
    <row r="33" spans="2:26" x14ac:dyDescent="0.2">
      <c r="C33" s="124" t="s">
        <v>55</v>
      </c>
      <c r="E33" s="77" t="s">
        <v>85</v>
      </c>
      <c r="F33" s="15">
        <f>'Оборот. К.'!D5</f>
        <v>0</v>
      </c>
      <c r="G33" s="15">
        <f>'Оборот. К.'!E5</f>
        <v>0</v>
      </c>
      <c r="H33" s="15">
        <f>'Оборот. К.'!F5</f>
        <v>0</v>
      </c>
      <c r="I33" s="15">
        <f>'Оборот. К.'!G5</f>
        <v>0</v>
      </c>
      <c r="J33" s="15">
        <f>'Оборот. К.'!H5</f>
        <v>283200</v>
      </c>
      <c r="K33" s="15">
        <f>'Оборот. К.'!I5</f>
        <v>0</v>
      </c>
      <c r="L33" s="15">
        <f>'Оборот. К.'!J5</f>
        <v>472000</v>
      </c>
      <c r="M33" s="15">
        <f>'Оборот. К.'!K5</f>
        <v>188800</v>
      </c>
      <c r="N33" s="15">
        <f>'Оборот. К.'!L5</f>
        <v>302457.59999999998</v>
      </c>
      <c r="O33" s="15">
        <f>'Оборот. К.'!M5</f>
        <v>0</v>
      </c>
      <c r="P33" s="15">
        <f>'Оборот. К.'!N5</f>
        <v>504096</v>
      </c>
      <c r="Q33" s="15">
        <f>'Оборот. К.'!O5</f>
        <v>201638.40000000002</v>
      </c>
      <c r="R33" s="15">
        <f>'Оборот. К.'!P5</f>
        <v>642419.94240000006</v>
      </c>
      <c r="S33" s="15">
        <f>'Оборот. К.'!Q5</f>
        <v>0</v>
      </c>
      <c r="T33" s="15">
        <f>'Оборот. К.'!R5</f>
        <v>1070699.9040000001</v>
      </c>
      <c r="U33" s="15">
        <f>'Оборот. К.'!S5</f>
        <v>428279.96160000004</v>
      </c>
      <c r="V33" s="15">
        <f>'Оборот. К.'!T5</f>
        <v>1026265.8579839999</v>
      </c>
      <c r="W33" s="15">
        <f>'Оборот. К.'!U5</f>
        <v>0</v>
      </c>
      <c r="X33" s="15">
        <f>'Оборот. К.'!V5</f>
        <v>1710443.0966399999</v>
      </c>
      <c r="Y33" s="15">
        <f>'Оборот. К.'!W5</f>
        <v>684177.238656</v>
      </c>
    </row>
    <row r="34" spans="2:26" x14ac:dyDescent="0.2">
      <c r="B34" s="124" t="s">
        <v>182</v>
      </c>
      <c r="E34" s="77" t="s">
        <v>85</v>
      </c>
      <c r="F34" s="15">
        <f>SUM(F32:F33)</f>
        <v>0</v>
      </c>
      <c r="G34" s="15">
        <f t="shared" ref="G34:Y34" si="5">SUM(G32:G33)</f>
        <v>0</v>
      </c>
      <c r="H34" s="15">
        <f t="shared" si="5"/>
        <v>0</v>
      </c>
      <c r="I34" s="15">
        <f t="shared" si="5"/>
        <v>0</v>
      </c>
      <c r="J34" s="15">
        <f t="shared" si="5"/>
        <v>283200</v>
      </c>
      <c r="K34" s="15">
        <f t="shared" si="5"/>
        <v>0</v>
      </c>
      <c r="L34" s="15">
        <f t="shared" si="5"/>
        <v>472000</v>
      </c>
      <c r="M34" s="15">
        <f t="shared" si="5"/>
        <v>188800</v>
      </c>
      <c r="N34" s="15">
        <f t="shared" si="5"/>
        <v>302457.59999999998</v>
      </c>
      <c r="O34" s="15">
        <f t="shared" si="5"/>
        <v>0</v>
      </c>
      <c r="P34" s="15">
        <f t="shared" si="5"/>
        <v>504096</v>
      </c>
      <c r="Q34" s="15">
        <f t="shared" si="5"/>
        <v>201638.40000000002</v>
      </c>
      <c r="R34" s="15">
        <f t="shared" si="5"/>
        <v>642419.94240000006</v>
      </c>
      <c r="S34" s="15">
        <f t="shared" si="5"/>
        <v>0</v>
      </c>
      <c r="T34" s="15">
        <f t="shared" si="5"/>
        <v>1070699.9040000001</v>
      </c>
      <c r="U34" s="15">
        <f t="shared" si="5"/>
        <v>428279.96160000004</v>
      </c>
      <c r="V34" s="15">
        <f t="shared" si="5"/>
        <v>1026265.8579839999</v>
      </c>
      <c r="W34" s="15">
        <f t="shared" si="5"/>
        <v>0</v>
      </c>
      <c r="X34" s="15">
        <f t="shared" si="5"/>
        <v>1710443.0966399999</v>
      </c>
      <c r="Y34" s="15">
        <f t="shared" si="5"/>
        <v>684177.238656</v>
      </c>
      <c r="Z34" s="55"/>
    </row>
    <row r="35" spans="2:26" x14ac:dyDescent="0.2">
      <c r="B35" s="12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6" s="27" customFormat="1" x14ac:dyDescent="0.2">
      <c r="B36" s="122" t="s">
        <v>183</v>
      </c>
      <c r="E36" s="77" t="s">
        <v>85</v>
      </c>
      <c r="F36" s="17">
        <f>F27+F29+F34</f>
        <v>42613.154661016946</v>
      </c>
      <c r="G36" s="17">
        <f t="shared" ref="G36:Y36" si="6">G27+G29+G34</f>
        <v>38779.331586590502</v>
      </c>
      <c r="H36" s="17">
        <f t="shared" si="6"/>
        <v>32720.932240977621</v>
      </c>
      <c r="I36" s="17">
        <f t="shared" si="6"/>
        <v>26662.53289536474</v>
      </c>
      <c r="J36" s="17">
        <f t="shared" si="6"/>
        <v>440392.58850698883</v>
      </c>
      <c r="K36" s="17">
        <f t="shared" si="6"/>
        <v>143874.00210682652</v>
      </c>
      <c r="L36" s="17">
        <f t="shared" si="6"/>
        <v>776066.59061381535</v>
      </c>
      <c r="M36" s="17">
        <f t="shared" si="6"/>
        <v>610211.7214936855</v>
      </c>
      <c r="N36" s="17">
        <f t="shared" si="6"/>
        <v>462108.78648454521</v>
      </c>
      <c r="O36" s="17">
        <f t="shared" si="6"/>
        <v>145763.81365802331</v>
      </c>
      <c r="P36" s="17">
        <f t="shared" si="6"/>
        <v>821215.00014256849</v>
      </c>
      <c r="Q36" s="17">
        <f t="shared" si="6"/>
        <v>644351.501881351</v>
      </c>
      <c r="R36" s="17">
        <f t="shared" si="6"/>
        <v>853070.96237817127</v>
      </c>
      <c r="S36" s="17">
        <f t="shared" si="6"/>
        <v>196219.11495088506</v>
      </c>
      <c r="T36" s="17">
        <f t="shared" si="6"/>
        <v>1642929.3349290565</v>
      </c>
      <c r="U36" s="17">
        <f t="shared" si="6"/>
        <v>1279323.1645072275</v>
      </c>
      <c r="V36" s="17">
        <f t="shared" si="6"/>
        <v>1294506.8517400566</v>
      </c>
      <c r="W36" s="17">
        <f t="shared" si="6"/>
        <v>253202.8871511278</v>
      </c>
      <c r="X36" s="17">
        <f t="shared" si="6"/>
        <v>2570760.032660176</v>
      </c>
      <c r="Y36" s="17">
        <f t="shared" si="6"/>
        <v>1996336.7445052241</v>
      </c>
      <c r="Z36" s="55"/>
    </row>
    <row r="37" spans="2:26" x14ac:dyDescent="0.2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26" x14ac:dyDescent="0.2">
      <c r="B38" s="132" t="s">
        <v>56</v>
      </c>
      <c r="F38" s="146">
        <f t="shared" ref="F38:Y38" si="7">F17-F36</f>
        <v>4986.9809322033834</v>
      </c>
      <c r="G38" s="146">
        <f t="shared" si="7"/>
        <v>862.60593220338342</v>
      </c>
      <c r="H38" s="146">
        <f t="shared" si="7"/>
        <v>3468.9088983050824</v>
      </c>
      <c r="I38" s="146">
        <f t="shared" si="7"/>
        <v>3450.2118644067741</v>
      </c>
      <c r="J38" s="146">
        <f t="shared" si="7"/>
        <v>-318386.75735887256</v>
      </c>
      <c r="K38" s="146">
        <f t="shared" si="7"/>
        <v>-34621.499308025101</v>
      </c>
      <c r="L38" s="146">
        <f t="shared" si="7"/>
        <v>-507224.15142666915</v>
      </c>
      <c r="M38" s="146">
        <f t="shared" si="7"/>
        <v>-224042.84846056747</v>
      </c>
      <c r="N38" s="146">
        <f t="shared" si="7"/>
        <v>-41086.818746543024</v>
      </c>
      <c r="O38" s="146">
        <f t="shared" si="7"/>
        <v>261975.74825006712</v>
      </c>
      <c r="P38" s="146">
        <f t="shared" si="7"/>
        <v>-242762.61281433969</v>
      </c>
      <c r="Q38" s="146">
        <f t="shared" si="7"/>
        <v>59676.290151761961</v>
      </c>
      <c r="R38" s="146">
        <f t="shared" si="7"/>
        <v>-63196.029790277011</v>
      </c>
      <c r="S38" s="146">
        <f t="shared" si="7"/>
        <v>579867.54677622474</v>
      </c>
      <c r="T38" s="146">
        <f t="shared" si="7"/>
        <v>-491513.38545807404</v>
      </c>
      <c r="U38" s="146">
        <f t="shared" si="7"/>
        <v>150887.85990802804</v>
      </c>
      <c r="V38" s="146">
        <f t="shared" si="7"/>
        <v>279165.64455305715</v>
      </c>
      <c r="W38" s="146">
        <f t="shared" si="7"/>
        <v>1306118.1882315846</v>
      </c>
      <c r="X38" s="146">
        <f t="shared" si="7"/>
        <v>-405048.98817073973</v>
      </c>
      <c r="Y38" s="146">
        <f t="shared" si="7"/>
        <v>621198.17277936195</v>
      </c>
    </row>
    <row r="39" spans="2:26" x14ac:dyDescent="0.2">
      <c r="H39" s="55"/>
      <c r="V39" s="55"/>
    </row>
  </sheetData>
  <mergeCells count="1">
    <mergeCell ref="A2:D2"/>
  </mergeCells>
  <pageMargins left="0.75" right="0.75" top="1" bottom="1" header="0.5" footer="0.5"/>
  <pageSetup paperSize="9" scale="56" orientation="landscape" r:id="rId1"/>
  <headerFooter alignWithMargins="0"/>
  <rowBreaks count="1" manualBreakCount="1">
    <brk id="18" max="16383" man="1"/>
  </rowBreaks>
  <ignoredErrors>
    <ignoredError sqref="G2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zoomScale="85" zoomScaleNormal="85" workbookViewId="0">
      <selection activeCell="A32" sqref="A32"/>
    </sheetView>
  </sheetViews>
  <sheetFormatPr defaultRowHeight="12.75" x14ac:dyDescent="0.2"/>
  <cols>
    <col min="1" max="3" width="3.7109375" style="1" customWidth="1"/>
    <col min="4" max="4" width="35.42578125" style="1" customWidth="1"/>
    <col min="5" max="26" width="9.140625" style="1" customWidth="1"/>
    <col min="27" max="27" width="12" style="1" customWidth="1"/>
    <col min="28" max="16384" width="9.140625" style="1"/>
  </cols>
  <sheetData>
    <row r="1" spans="1:28" ht="18" x14ac:dyDescent="0.25">
      <c r="D1" s="282"/>
    </row>
    <row r="2" spans="1:28" s="2" customFormat="1" x14ac:dyDescent="0.2">
      <c r="A2" s="11" t="s">
        <v>19</v>
      </c>
      <c r="B2" s="11"/>
      <c r="C2" s="12"/>
      <c r="D2" s="12"/>
      <c r="E2" s="2" t="s">
        <v>79</v>
      </c>
      <c r="F2" s="3" t="s">
        <v>58</v>
      </c>
      <c r="G2" s="3" t="s">
        <v>59</v>
      </c>
      <c r="H2" s="3" t="s">
        <v>60</v>
      </c>
      <c r="I2" s="3" t="s">
        <v>61</v>
      </c>
      <c r="J2" s="4" t="s">
        <v>62</v>
      </c>
      <c r="K2" s="4" t="s">
        <v>63</v>
      </c>
      <c r="L2" s="4" t="s">
        <v>64</v>
      </c>
      <c r="M2" s="4" t="s">
        <v>65</v>
      </c>
      <c r="N2" s="5" t="s">
        <v>66</v>
      </c>
      <c r="O2" s="5" t="s">
        <v>67</v>
      </c>
      <c r="P2" s="5" t="s">
        <v>68</v>
      </c>
      <c r="Q2" s="5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7" t="s">
        <v>74</v>
      </c>
      <c r="W2" s="7" t="s">
        <v>75</v>
      </c>
      <c r="X2" s="7" t="s">
        <v>76</v>
      </c>
      <c r="Y2" s="7" t="s">
        <v>77</v>
      </c>
      <c r="Z2" s="104"/>
    </row>
    <row r="3" spans="1:28" x14ac:dyDescent="0.2">
      <c r="Z3" s="104"/>
    </row>
    <row r="4" spans="1:28" s="35" customFormat="1" x14ac:dyDescent="0.2">
      <c r="A4" s="49"/>
      <c r="B4" s="50" t="s">
        <v>538</v>
      </c>
      <c r="C4" s="49"/>
      <c r="D4" s="49"/>
      <c r="E4" s="77" t="s">
        <v>85</v>
      </c>
      <c r="F4" s="17">
        <f>'Пр-во и Продажи'!E50-'Пр-во и Продажи'!E51</f>
        <v>0</v>
      </c>
      <c r="G4" s="17">
        <f>'Пр-во и Продажи'!F50-'Пр-во и Продажи'!F51</f>
        <v>0</v>
      </c>
      <c r="H4" s="17">
        <f>'Пр-во и Продажи'!G50-'Пр-во и Продажи'!G51</f>
        <v>0</v>
      </c>
      <c r="I4" s="17">
        <f>'Пр-во и Продажи'!H50-'Пр-во и Продажи'!H51</f>
        <v>0</v>
      </c>
      <c r="J4" s="17">
        <f>'Пр-во и Продажи'!I50-'Пр-во и Продажи'!I51</f>
        <v>240000</v>
      </c>
      <c r="K4" s="17">
        <f>'Пр-во и Продажи'!J50-'Пр-во и Продажи'!J51</f>
        <v>0</v>
      </c>
      <c r="L4" s="17">
        <f>'Пр-во и Продажи'!K50-'Пр-во и Продажи'!K51</f>
        <v>400000</v>
      </c>
      <c r="M4" s="17">
        <f>'Пр-во и Продажи'!L50-'Пр-во и Продажи'!L51</f>
        <v>160000</v>
      </c>
      <c r="N4" s="17">
        <f>'Пр-во и Продажи'!M50-'Пр-во и Продажи'!M51</f>
        <v>256320</v>
      </c>
      <c r="O4" s="17">
        <f>'Пр-во и Продажи'!N50-'Пр-во и Продажи'!N51</f>
        <v>0</v>
      </c>
      <c r="P4" s="17">
        <f>'Пр-во и Продажи'!O50-'Пр-во и Продажи'!O51</f>
        <v>427200</v>
      </c>
      <c r="Q4" s="17">
        <f>'Пр-во и Продажи'!P50-'Пр-во и Продажи'!P51</f>
        <v>170880.00000000003</v>
      </c>
      <c r="R4" s="17">
        <f>'Пр-во и Продажи'!Q50-'Пр-во и Продажи'!Q51</f>
        <v>544423.68000000005</v>
      </c>
      <c r="S4" s="17">
        <f>'Пр-во и Продажи'!R50-'Пр-во и Продажи'!R51</f>
        <v>0</v>
      </c>
      <c r="T4" s="17">
        <f>'Пр-во и Продажи'!S50-'Пр-во и Продажи'!S51</f>
        <v>907372.80000000016</v>
      </c>
      <c r="U4" s="17">
        <f>'Пр-во и Продажи'!T50-'Пр-во и Продажи'!T51</f>
        <v>362949.12000000005</v>
      </c>
      <c r="V4" s="17">
        <f>'Пр-во и Продажи'!U50-'Пр-во и Продажи'!U51</f>
        <v>869716.8287999999</v>
      </c>
      <c r="W4" s="17">
        <f>'Пр-во и Продажи'!V50-'Пр-во и Продажи'!V51</f>
        <v>0</v>
      </c>
      <c r="X4" s="17">
        <f>'Пр-во и Продажи'!W50-'Пр-во и Продажи'!W51</f>
        <v>1449528.048</v>
      </c>
      <c r="Y4" s="17">
        <f>'Пр-во и Продажи'!X50-'Пр-во и Продажи'!X51</f>
        <v>579811.21920000005</v>
      </c>
      <c r="Z4" s="104"/>
    </row>
    <row r="5" spans="1:28" s="35" customFormat="1" x14ac:dyDescent="0.2">
      <c r="A5" s="49"/>
      <c r="B5" s="49"/>
      <c r="C5" s="49" t="s">
        <v>121</v>
      </c>
      <c r="D5" s="49"/>
      <c r="E5" s="77" t="s">
        <v>85</v>
      </c>
      <c r="F5" s="15">
        <f>SUM(F6:F10)</f>
        <v>-22386.845338983054</v>
      </c>
      <c r="G5" s="15">
        <f t="shared" ref="G5:Y5" si="0">SUM(G6:G10)</f>
        <v>-3833.823074426442</v>
      </c>
      <c r="H5" s="15">
        <f t="shared" si="0"/>
        <v>-3833.823074426442</v>
      </c>
      <c r="I5" s="15">
        <f t="shared" si="0"/>
        <v>-3833.823074426442</v>
      </c>
      <c r="J5" s="15">
        <f t="shared" si="0"/>
        <v>-197343.37453575552</v>
      </c>
      <c r="K5" s="15">
        <f t="shared" si="0"/>
        <v>-10902.69656965381</v>
      </c>
      <c r="L5" s="15">
        <f t="shared" si="0"/>
        <v>-197343.37453575552</v>
      </c>
      <c r="M5" s="15">
        <f t="shared" si="0"/>
        <v>-10902.69656965381</v>
      </c>
      <c r="N5" s="15">
        <f t="shared" si="0"/>
        <v>-210425.84655533545</v>
      </c>
      <c r="O5" s="15">
        <f t="shared" si="0"/>
        <v>-11307.202487538849</v>
      </c>
      <c r="P5" s="15">
        <f t="shared" si="0"/>
        <v>-210425.84655533545</v>
      </c>
      <c r="Q5" s="15">
        <f t="shared" si="0"/>
        <v>-11307.202487538849</v>
      </c>
      <c r="R5" s="15">
        <f t="shared" si="0"/>
        <v>-434619.76412728609</v>
      </c>
      <c r="S5" s="15">
        <f t="shared" si="0"/>
        <v>-11691.764127286122</v>
      </c>
      <c r="T5" s="15">
        <f t="shared" si="0"/>
        <v>-434619.76412728609</v>
      </c>
      <c r="U5" s="15">
        <f t="shared" si="0"/>
        <v>-11691.764127286122</v>
      </c>
      <c r="V5" s="15">
        <f t="shared" si="0"/>
        <v>-687747.33654642897</v>
      </c>
      <c r="W5" s="15">
        <f t="shared" si="0"/>
        <v>-12119.856546428971</v>
      </c>
      <c r="X5" s="15">
        <f t="shared" si="0"/>
        <v>-687717.23685518978</v>
      </c>
      <c r="Y5" s="15">
        <f t="shared" si="0"/>
        <v>-12089.756855189866</v>
      </c>
      <c r="Z5" s="104"/>
    </row>
    <row r="6" spans="1:28" s="35" customFormat="1" x14ac:dyDescent="0.2">
      <c r="A6" s="49"/>
      <c r="B6" s="49"/>
      <c r="C6" s="49"/>
      <c r="D6" s="317" t="s">
        <v>122</v>
      </c>
      <c r="E6" s="77" t="s">
        <v>85</v>
      </c>
      <c r="F6" s="53">
        <f>-(Затраты!F21-Затраты!F22)</f>
        <v>-18644.067796610172</v>
      </c>
      <c r="G6" s="53">
        <f>-(Затраты!G21-Затраты!G22)</f>
        <v>0</v>
      </c>
      <c r="H6" s="53">
        <f>-(Затраты!H21-Затраты!H22)</f>
        <v>0</v>
      </c>
      <c r="I6" s="53">
        <f>-(Затраты!I21-Затраты!I22)</f>
        <v>0</v>
      </c>
      <c r="J6" s="53">
        <f>-(Затраты!J21-Затраты!J22)</f>
        <v>-186440.67796610171</v>
      </c>
      <c r="K6" s="53">
        <f>-(Затраты!K21-Затраты!K22)</f>
        <v>0</v>
      </c>
      <c r="L6" s="53">
        <f>-(Затраты!L21-Затраты!L22)</f>
        <v>-186440.67796610171</v>
      </c>
      <c r="M6" s="53">
        <f>-(Затраты!M21-Затраты!M22)</f>
        <v>0</v>
      </c>
      <c r="N6" s="53">
        <f>-(Затраты!N21-Затраты!N22)</f>
        <v>-199118.64406779662</v>
      </c>
      <c r="O6" s="53">
        <f>-(Затраты!O21-Затраты!O22)</f>
        <v>0</v>
      </c>
      <c r="P6" s="53">
        <f>-(Затраты!P21-Затраты!P22)</f>
        <v>-199118.64406779662</v>
      </c>
      <c r="Q6" s="53">
        <f>-(Затраты!Q21-Затраты!Q22)</f>
        <v>0</v>
      </c>
      <c r="R6" s="53">
        <f>-(Затраты!R21-Затраты!R22)</f>
        <v>-422928</v>
      </c>
      <c r="S6" s="53">
        <f>-(Затраты!S21-Затраты!S22)</f>
        <v>0</v>
      </c>
      <c r="T6" s="53">
        <f>-(Затраты!T21-Затраты!T22)</f>
        <v>-422928</v>
      </c>
      <c r="U6" s="53">
        <f>-(Затраты!U21-Затраты!U22)</f>
        <v>0</v>
      </c>
      <c r="V6" s="53">
        <f>-(Затраты!V21-Затраты!V22)</f>
        <v>-675627.48</v>
      </c>
      <c r="W6" s="53">
        <f>-(Затраты!W21-Затраты!W22)</f>
        <v>0</v>
      </c>
      <c r="X6" s="53">
        <f>-(Затраты!X21-Затраты!X22)</f>
        <v>-675627.48</v>
      </c>
      <c r="Y6" s="53">
        <f>-(Затраты!Y21-Затраты!Y22)</f>
        <v>0</v>
      </c>
      <c r="Z6" s="104"/>
      <c r="AA6" s="51"/>
      <c r="AB6" s="68"/>
    </row>
    <row r="7" spans="1:28" x14ac:dyDescent="0.2">
      <c r="A7" s="49"/>
      <c r="B7" s="49"/>
      <c r="C7" s="49"/>
      <c r="D7" s="51" t="s">
        <v>536</v>
      </c>
      <c r="E7" s="77" t="s">
        <v>85</v>
      </c>
      <c r="F7" s="53">
        <f>-Персонал!E79</f>
        <v>-2190</v>
      </c>
      <c r="G7" s="53">
        <f>-Персонал!F79</f>
        <v>-2204.6504092719697</v>
      </c>
      <c r="H7" s="53">
        <f>-Персонал!G79</f>
        <v>-2204.6504092719697</v>
      </c>
      <c r="I7" s="53">
        <f>-Персонал!H79</f>
        <v>-2204.6504092719697</v>
      </c>
      <c r="J7" s="53">
        <f>-Персонал!I79</f>
        <v>-7289.8918189267206</v>
      </c>
      <c r="K7" s="53">
        <f>-Персонал!J79</f>
        <v>-7289.8918189267206</v>
      </c>
      <c r="L7" s="53">
        <f>-Персонал!K79</f>
        <v>-7289.8918189267206</v>
      </c>
      <c r="M7" s="53">
        <f>-Персонал!L79</f>
        <v>-7289.8918189267206</v>
      </c>
      <c r="N7" s="53">
        <f>-Персонал!M79</f>
        <v>-7547.2862697536229</v>
      </c>
      <c r="O7" s="53">
        <f>-Персонал!N79</f>
        <v>-7547.2862697536229</v>
      </c>
      <c r="P7" s="53">
        <f>-Персонал!O79</f>
        <v>-7547.2862697536229</v>
      </c>
      <c r="Q7" s="53">
        <f>-Персонал!P79</f>
        <v>-7547.2862697536229</v>
      </c>
      <c r="R7" s="53">
        <f>-Персонал!Q79</f>
        <v>-7791.0114804366131</v>
      </c>
      <c r="S7" s="53">
        <f>-Персонал!R79</f>
        <v>-7791.0114804366131</v>
      </c>
      <c r="T7" s="53">
        <f>-Персонал!S79</f>
        <v>-7791.0114804366131</v>
      </c>
      <c r="U7" s="53">
        <f>-Персонал!T79</f>
        <v>-7791.0114804366131</v>
      </c>
      <c r="V7" s="53">
        <f>-Персонал!U79</f>
        <v>-8062.5878289730654</v>
      </c>
      <c r="W7" s="53">
        <f>-Персонал!V79</f>
        <v>-8062.5878289730654</v>
      </c>
      <c r="X7" s="53">
        <f>-Персонал!W79</f>
        <v>-8555.3180525042862</v>
      </c>
      <c r="Y7" s="53">
        <f>-Персонал!X79</f>
        <v>-8555.3180525042862</v>
      </c>
      <c r="Z7" s="104"/>
      <c r="AA7" s="51"/>
      <c r="AB7" s="68"/>
    </row>
    <row r="8" spans="1:28" x14ac:dyDescent="0.2">
      <c r="A8" s="49"/>
      <c r="B8" s="49"/>
      <c r="C8" s="49"/>
      <c r="D8" s="51" t="s">
        <v>537</v>
      </c>
      <c r="E8" s="77" t="s">
        <v>85</v>
      </c>
      <c r="F8" s="53">
        <f>-Персонал!E88</f>
        <v>-738</v>
      </c>
      <c r="G8" s="53">
        <f>-Персонал!F88</f>
        <v>-814.39512278159089</v>
      </c>
      <c r="H8" s="53">
        <f>-Персонал!G88</f>
        <v>-814.39512278159089</v>
      </c>
      <c r="I8" s="53">
        <f>-Персонал!H88</f>
        <v>-814.39512278159089</v>
      </c>
      <c r="J8" s="53">
        <f>-Персонал!I88</f>
        <v>-2732.4339880152243</v>
      </c>
      <c r="K8" s="53">
        <f>-Персонал!J88</f>
        <v>-2732.4339880152243</v>
      </c>
      <c r="L8" s="53">
        <f>-Персонал!K88</f>
        <v>-2732.4339880152243</v>
      </c>
      <c r="M8" s="53">
        <f>-Персонал!L88</f>
        <v>-2732.4339880152243</v>
      </c>
      <c r="N8" s="53">
        <f>-Персонал!M88</f>
        <v>-2823.2207093106485</v>
      </c>
      <c r="O8" s="53">
        <f>-Персонал!N88</f>
        <v>-2823.2207093106485</v>
      </c>
      <c r="P8" s="53">
        <f>-Персонал!O88</f>
        <v>-2823.2207093106485</v>
      </c>
      <c r="Q8" s="53">
        <f>-Персонал!P88</f>
        <v>-2823.2207093106485</v>
      </c>
      <c r="R8" s="53">
        <f>-Персонал!Q88</f>
        <v>-2909.2100888834066</v>
      </c>
      <c r="S8" s="53">
        <f>-Персонал!R88</f>
        <v>-2909.2100888834066</v>
      </c>
      <c r="T8" s="53">
        <f>-Персонал!S88</f>
        <v>-2909.2100888834066</v>
      </c>
      <c r="U8" s="53">
        <f>-Персонал!T88</f>
        <v>-2909.2100888834066</v>
      </c>
      <c r="V8" s="53">
        <f>-Персонал!U88</f>
        <v>-3004.6601622898038</v>
      </c>
      <c r="W8" s="53">
        <f>-Персонал!V88</f>
        <v>-3004.6601622898038</v>
      </c>
      <c r="X8" s="53">
        <f>-Персонал!W88</f>
        <v>-2481.8302475194782</v>
      </c>
      <c r="Y8" s="53">
        <f>-Персонал!X88</f>
        <v>-2481.8302475194782</v>
      </c>
      <c r="Z8" s="104"/>
      <c r="AA8" s="51"/>
      <c r="AB8" s="68"/>
    </row>
    <row r="9" spans="1:28" x14ac:dyDescent="0.2">
      <c r="A9" s="49"/>
      <c r="B9" s="49"/>
      <c r="C9" s="49"/>
      <c r="D9" s="51" t="s">
        <v>340</v>
      </c>
      <c r="E9" s="77" t="s">
        <v>85</v>
      </c>
      <c r="F9" s="53">
        <f>-(Затраты!F43-Затраты!F44)</f>
        <v>-762.71186440677968</v>
      </c>
      <c r="G9" s="53">
        <f>-(Затраты!G43-Затраты!G44)</f>
        <v>-762.71186440677968</v>
      </c>
      <c r="H9" s="53">
        <f>-(Затраты!H43-Затраты!H44)</f>
        <v>-762.71186440677968</v>
      </c>
      <c r="I9" s="53">
        <f>-(Затраты!I43-Затраты!I44)</f>
        <v>-762.71186440677968</v>
      </c>
      <c r="J9" s="53">
        <f>-(Затраты!J43-Затраты!J44)</f>
        <v>-828.30508474576288</v>
      </c>
      <c r="K9" s="53">
        <f>-(Затраты!K43-Затраты!K44)</f>
        <v>-828.30508474576288</v>
      </c>
      <c r="L9" s="53">
        <f>-(Затраты!L43-Затраты!L44)</f>
        <v>-828.30508474576288</v>
      </c>
      <c r="M9" s="53">
        <f>-(Затраты!M43-Затраты!M44)</f>
        <v>-828.30508474576288</v>
      </c>
      <c r="N9" s="53">
        <f>-(Затраты!N43-Затраты!N44)</f>
        <v>-884.62983050847481</v>
      </c>
      <c r="O9" s="53">
        <f>-(Затраты!O43-Затраты!O44)</f>
        <v>-884.62983050847481</v>
      </c>
      <c r="P9" s="53">
        <f>-(Затраты!P43-Затраты!P44)</f>
        <v>-884.62983050847481</v>
      </c>
      <c r="Q9" s="53">
        <f>-(Затраты!Q43-Затраты!Q44)</f>
        <v>-884.62983050847481</v>
      </c>
      <c r="R9" s="53">
        <f>-(Затраты!R43-Затраты!R44)</f>
        <v>-939.47688000000028</v>
      </c>
      <c r="S9" s="53">
        <f>-(Затраты!S43-Затраты!S44)</f>
        <v>-939.47688000000028</v>
      </c>
      <c r="T9" s="53">
        <f>-(Затраты!T43-Затраты!T44)</f>
        <v>-939.47688000000028</v>
      </c>
      <c r="U9" s="53">
        <f>-(Затраты!U43-Затраты!U44)</f>
        <v>-939.47688000000028</v>
      </c>
      <c r="V9" s="53">
        <f>-(Затраты!V43-Затраты!V44)</f>
        <v>-1000.5428772000002</v>
      </c>
      <c r="W9" s="53">
        <f>-(Затраты!W43-Затраты!W44)</f>
        <v>-1000.5428772000002</v>
      </c>
      <c r="X9" s="53">
        <f>-(Затраты!X43-Затраты!X44)</f>
        <v>-1000.5428772000002</v>
      </c>
      <c r="Y9" s="53">
        <f>-(Затраты!Y43-Затраты!Y44)</f>
        <v>-1000.5428772000002</v>
      </c>
      <c r="Z9" s="104"/>
      <c r="AA9" s="51"/>
      <c r="AB9" s="68"/>
    </row>
    <row r="10" spans="1:28" x14ac:dyDescent="0.2">
      <c r="A10" s="49"/>
      <c r="B10" s="49"/>
      <c r="C10" s="49"/>
      <c r="D10" s="51" t="s">
        <v>123</v>
      </c>
      <c r="E10" s="77" t="s">
        <v>85</v>
      </c>
      <c r="F10" s="53">
        <f>-('НА и ОС'!G100+'НА и ОС'!G26)</f>
        <v>-52.065677966101696</v>
      </c>
      <c r="G10" s="53">
        <f>-('НА и ОС'!H100+'НА и ОС'!H26)</f>
        <v>-52.065677966101696</v>
      </c>
      <c r="H10" s="53">
        <f>-('НА и ОС'!I100+'НА и ОС'!I26)</f>
        <v>-52.065677966101696</v>
      </c>
      <c r="I10" s="53">
        <f>-('НА и ОС'!J100+'НА и ОС'!J26)</f>
        <v>-52.065677966101696</v>
      </c>
      <c r="J10" s="53">
        <f>-('НА и ОС'!K100+'НА и ОС'!K26)</f>
        <v>-52.065677966101696</v>
      </c>
      <c r="K10" s="53">
        <f>-('НА и ОС'!L100+'НА и ОС'!L26)</f>
        <v>-52.065677966101696</v>
      </c>
      <c r="L10" s="53">
        <f>-('НА и ОС'!M100+'НА и ОС'!M26)</f>
        <v>-52.065677966101696</v>
      </c>
      <c r="M10" s="53">
        <f>-('НА и ОС'!N100+'НА и ОС'!N26)</f>
        <v>-52.065677966101696</v>
      </c>
      <c r="N10" s="53">
        <f>-('НА и ОС'!O100+'НА и ОС'!O26)</f>
        <v>-52.065677966101696</v>
      </c>
      <c r="O10" s="53">
        <f>-('НА и ОС'!P100+'НА и ОС'!P26)</f>
        <v>-52.065677966101696</v>
      </c>
      <c r="P10" s="53">
        <f>-('НА и ОС'!Q100+'НА и ОС'!Q26)</f>
        <v>-52.065677966101696</v>
      </c>
      <c r="Q10" s="53">
        <f>-('НА и ОС'!R100+'НА и ОС'!R26)</f>
        <v>-52.065677966101696</v>
      </c>
      <c r="R10" s="53">
        <f>-('НА и ОС'!S100+'НА и ОС'!S26)</f>
        <v>-52.065677966101696</v>
      </c>
      <c r="S10" s="53">
        <f>-('НА и ОС'!T100+'НА и ОС'!T26)</f>
        <v>-52.065677966101696</v>
      </c>
      <c r="T10" s="53">
        <f>-('НА и ОС'!U100+'НА и ОС'!U26)</f>
        <v>-52.065677966101696</v>
      </c>
      <c r="U10" s="53">
        <f>-('НА и ОС'!V100+'НА и ОС'!V26)</f>
        <v>-52.065677966101696</v>
      </c>
      <c r="V10" s="53">
        <f>-('НА и ОС'!W100+'НА и ОС'!W26)</f>
        <v>-52.065677966101696</v>
      </c>
      <c r="W10" s="53">
        <f>-('НА и ОС'!X100+'НА и ОС'!X26)</f>
        <v>-52.065677966101696</v>
      </c>
      <c r="X10" s="53">
        <f>-('НА и ОС'!Y100+'НА и ОС'!Y26)</f>
        <v>-52.065677966101696</v>
      </c>
      <c r="Y10" s="53">
        <f>-('НА и ОС'!Z100+'НА и ОС'!Z26)</f>
        <v>-52.065677966101696</v>
      </c>
      <c r="Z10" s="104"/>
      <c r="AA10" s="51"/>
      <c r="AB10" s="68"/>
    </row>
    <row r="11" spans="1:28" x14ac:dyDescent="0.2">
      <c r="A11" s="49"/>
      <c r="B11" s="49"/>
      <c r="C11" s="49"/>
      <c r="D11" s="49"/>
      <c r="E11" s="77"/>
      <c r="Z11" s="104"/>
      <c r="AB11" s="68"/>
    </row>
    <row r="12" spans="1:28" x14ac:dyDescent="0.2">
      <c r="A12" s="49"/>
      <c r="B12" s="50" t="s">
        <v>20</v>
      </c>
      <c r="C12" s="49"/>
      <c r="D12" s="49"/>
      <c r="E12" s="77" t="s">
        <v>85</v>
      </c>
      <c r="F12" s="17">
        <f>SUM(F4:F5)</f>
        <v>-22386.845338983054</v>
      </c>
      <c r="G12" s="17">
        <f t="shared" ref="G12:Y12" si="1">SUM(G4:G5)</f>
        <v>-3833.823074426442</v>
      </c>
      <c r="H12" s="17">
        <f t="shared" si="1"/>
        <v>-3833.823074426442</v>
      </c>
      <c r="I12" s="17">
        <f t="shared" si="1"/>
        <v>-3833.823074426442</v>
      </c>
      <c r="J12" s="17">
        <f t="shared" si="1"/>
        <v>42656.625464244484</v>
      </c>
      <c r="K12" s="17">
        <f t="shared" si="1"/>
        <v>-10902.69656965381</v>
      </c>
      <c r="L12" s="17">
        <f t="shared" si="1"/>
        <v>202656.62546424448</v>
      </c>
      <c r="M12" s="17">
        <f t="shared" si="1"/>
        <v>149097.30343034619</v>
      </c>
      <c r="N12" s="17">
        <f t="shared" si="1"/>
        <v>45894.153444664553</v>
      </c>
      <c r="O12" s="17">
        <f t="shared" si="1"/>
        <v>-11307.202487538849</v>
      </c>
      <c r="P12" s="17">
        <f t="shared" si="1"/>
        <v>216774.15344466455</v>
      </c>
      <c r="Q12" s="17">
        <f t="shared" si="1"/>
        <v>159572.79751246117</v>
      </c>
      <c r="R12" s="17">
        <f t="shared" si="1"/>
        <v>109803.91587271396</v>
      </c>
      <c r="S12" s="17">
        <f t="shared" si="1"/>
        <v>-11691.764127286122</v>
      </c>
      <c r="T12" s="17">
        <f t="shared" si="1"/>
        <v>472753.03587271407</v>
      </c>
      <c r="U12" s="17">
        <f t="shared" si="1"/>
        <v>351257.35587271396</v>
      </c>
      <c r="V12" s="17">
        <f t="shared" si="1"/>
        <v>181969.49225357093</v>
      </c>
      <c r="W12" s="17">
        <f t="shared" si="1"/>
        <v>-12119.856546428971</v>
      </c>
      <c r="X12" s="17">
        <f t="shared" si="1"/>
        <v>761810.81114481017</v>
      </c>
      <c r="Y12" s="17">
        <f t="shared" si="1"/>
        <v>567721.46234481013</v>
      </c>
      <c r="Z12" s="104"/>
      <c r="AB12" s="68"/>
    </row>
    <row r="13" spans="1:28" x14ac:dyDescent="0.2">
      <c r="A13" s="49"/>
      <c r="B13" s="49"/>
      <c r="C13" s="49" t="s">
        <v>539</v>
      </c>
      <c r="D13" s="49"/>
      <c r="E13" s="77" t="s">
        <v>85</v>
      </c>
      <c r="F13" s="15">
        <f>-(Затраты!F52-Затраты!F53)</f>
        <v>0</v>
      </c>
      <c r="G13" s="15">
        <f>-(Затраты!G52-Затраты!G53)</f>
        <v>0</v>
      </c>
      <c r="H13" s="15">
        <f>-(Затраты!H52-Затраты!H53)</f>
        <v>-1694.9152542372883</v>
      </c>
      <c r="I13" s="15">
        <f>-(Затраты!I52-Затраты!I53)</f>
        <v>-1694.9152542372883</v>
      </c>
      <c r="J13" s="15">
        <f>-(Затраты!J52-Затраты!J53)</f>
        <v>-1840.6779661016951</v>
      </c>
      <c r="K13" s="15">
        <f>-(Затраты!K52-Затраты!K53)</f>
        <v>-1840.6779661016951</v>
      </c>
      <c r="L13" s="15">
        <f>-(Затраты!L52-Затраты!L53)</f>
        <v>-1840.6779661016951</v>
      </c>
      <c r="M13" s="15">
        <f>-(Затраты!M52-Затраты!M53)</f>
        <v>-1840.6779661016951</v>
      </c>
      <c r="N13" s="15">
        <f>-(Затраты!N52-Затраты!N53)</f>
        <v>-1965.8440677966103</v>
      </c>
      <c r="O13" s="15">
        <f>-(Затраты!O52-Затраты!O53)</f>
        <v>-1965.8440677966103</v>
      </c>
      <c r="P13" s="15">
        <f>-(Затраты!P52-Затраты!P53)</f>
        <v>-1965.8440677966103</v>
      </c>
      <c r="Q13" s="15">
        <f>-(Затраты!Q52-Затраты!Q53)</f>
        <v>-1965.8440677966103</v>
      </c>
      <c r="R13" s="15">
        <f>-(Затраты!R52-Затраты!R53)</f>
        <v>-2087.7264</v>
      </c>
      <c r="S13" s="15">
        <f>-(Затраты!S52-Затраты!S53)</f>
        <v>-2087.7264</v>
      </c>
      <c r="T13" s="15">
        <f>-(Затраты!T52-Затраты!T53)</f>
        <v>-2087.7264</v>
      </c>
      <c r="U13" s="15">
        <f>-(Затраты!U52-Затраты!U53)</f>
        <v>-2087.7264</v>
      </c>
      <c r="V13" s="15">
        <f>-(Затраты!V52-Затраты!V53)</f>
        <v>-2223.4286160000001</v>
      </c>
      <c r="W13" s="15">
        <f>-(Затраты!W52-Затраты!W53)</f>
        <v>-2223.4286160000001</v>
      </c>
      <c r="X13" s="15">
        <f>-(Затраты!X52-Затраты!X53)</f>
        <v>-2223.4286160000001</v>
      </c>
      <c r="Y13" s="15">
        <f>-(Затраты!Y52-Затраты!Y53)</f>
        <v>-2223.4286160000001</v>
      </c>
      <c r="Z13" s="104"/>
    </row>
    <row r="14" spans="1:28" ht="18.75" customHeight="1" x14ac:dyDescent="0.2">
      <c r="A14" s="49"/>
      <c r="B14" s="49"/>
      <c r="C14" s="288" t="s">
        <v>21</v>
      </c>
      <c r="D14" s="288"/>
      <c r="E14" s="77" t="s">
        <v>85</v>
      </c>
      <c r="F14" s="15">
        <f>-(Затраты!F63-Затраты!F64)</f>
        <v>0</v>
      </c>
      <c r="G14" s="15">
        <f>-(Затраты!G63-Затраты!G64)</f>
        <v>0</v>
      </c>
      <c r="H14" s="15">
        <f>-(Затраты!H63-Затраты!H64)</f>
        <v>-529.66101694915255</v>
      </c>
      <c r="I14" s="15">
        <f>-(Затраты!I63-Затраты!I64)</f>
        <v>-529.66101694915255</v>
      </c>
      <c r="J14" s="15">
        <f>-(Затраты!J63-Затраты!J64)</f>
        <v>-575.21186440677968</v>
      </c>
      <c r="K14" s="15">
        <f>-(Затраты!K63-Затраты!K64)</f>
        <v>-575.21186440677968</v>
      </c>
      <c r="L14" s="15">
        <f>-(Затраты!L63-Затраты!L64)</f>
        <v>-575.21186440677968</v>
      </c>
      <c r="M14" s="15">
        <f>-(Затраты!M63-Затраты!M64)</f>
        <v>-575.21186440677968</v>
      </c>
      <c r="N14" s="15">
        <f>-(Затраты!N63-Затраты!N64)</f>
        <v>-614.32627118644075</v>
      </c>
      <c r="O14" s="15">
        <f>-(Затраты!O63-Затраты!O64)</f>
        <v>-614.32627118644075</v>
      </c>
      <c r="P14" s="15">
        <f>-(Затраты!P63-Затраты!P64)</f>
        <v>-614.32627118644075</v>
      </c>
      <c r="Q14" s="15">
        <f>-(Затраты!Q63-Затраты!Q64)</f>
        <v>-614.32627118644075</v>
      </c>
      <c r="R14" s="15">
        <f>-(Затраты!R63-Затраты!R64)</f>
        <v>-652.41450000000009</v>
      </c>
      <c r="S14" s="15">
        <f>-(Затраты!S63-Затраты!S64)</f>
        <v>-652.41450000000009</v>
      </c>
      <c r="T14" s="15">
        <f>-(Затраты!T63-Затраты!T64)</f>
        <v>-652.41450000000009</v>
      </c>
      <c r="U14" s="15">
        <f>-(Затраты!U63-Затраты!U64)</f>
        <v>-652.41450000000009</v>
      </c>
      <c r="V14" s="15">
        <f>-(Затраты!V63-Затраты!V64)</f>
        <v>-694.8214425000001</v>
      </c>
      <c r="W14" s="15">
        <f>-(Затраты!W63-Затраты!W64)</f>
        <v>-694.8214425000001</v>
      </c>
      <c r="X14" s="15">
        <f>-(Затраты!X63-Затраты!X64)</f>
        <v>-694.8214425000001</v>
      </c>
      <c r="Y14" s="15">
        <f>-(Затраты!Y63-Затраты!Y64)</f>
        <v>-694.8214425000001</v>
      </c>
      <c r="Z14" s="104"/>
      <c r="AB14" s="69"/>
    </row>
    <row r="15" spans="1:28" x14ac:dyDescent="0.2">
      <c r="A15" s="49"/>
      <c r="B15" s="49"/>
      <c r="C15" s="49"/>
      <c r="D15" s="49"/>
      <c r="E15" s="77"/>
      <c r="Z15" s="104"/>
    </row>
    <row r="16" spans="1:28" x14ac:dyDescent="0.2">
      <c r="A16" s="49"/>
      <c r="B16" s="50" t="s">
        <v>22</v>
      </c>
      <c r="C16" s="49"/>
      <c r="D16" s="49"/>
      <c r="E16" s="77" t="s">
        <v>85</v>
      </c>
      <c r="F16" s="17">
        <f>SUM(F12:F14)</f>
        <v>-22386.845338983054</v>
      </c>
      <c r="G16" s="17">
        <f t="shared" ref="G16:Y16" si="2">SUM(G12:G14)</f>
        <v>-3833.823074426442</v>
      </c>
      <c r="H16" s="17">
        <f t="shared" si="2"/>
        <v>-6058.3993456128828</v>
      </c>
      <c r="I16" s="17">
        <f t="shared" si="2"/>
        <v>-6058.3993456128828</v>
      </c>
      <c r="J16" s="17">
        <f t="shared" si="2"/>
        <v>40240.735633736011</v>
      </c>
      <c r="K16" s="17">
        <f t="shared" si="2"/>
        <v>-13318.586400162285</v>
      </c>
      <c r="L16" s="17">
        <f t="shared" si="2"/>
        <v>200240.73563373601</v>
      </c>
      <c r="M16" s="17">
        <f t="shared" si="2"/>
        <v>146681.41359983772</v>
      </c>
      <c r="N16" s="17">
        <f t="shared" si="2"/>
        <v>43313.983105681502</v>
      </c>
      <c r="O16" s="17">
        <f t="shared" si="2"/>
        <v>-13887.3728265219</v>
      </c>
      <c r="P16" s="17">
        <f t="shared" si="2"/>
        <v>214193.98310568152</v>
      </c>
      <c r="Q16" s="17">
        <f t="shared" si="2"/>
        <v>156992.62717347813</v>
      </c>
      <c r="R16" s="17">
        <f t="shared" si="2"/>
        <v>107063.77497271396</v>
      </c>
      <c r="S16" s="17">
        <f t="shared" si="2"/>
        <v>-14431.905027286122</v>
      </c>
      <c r="T16" s="17">
        <f t="shared" si="2"/>
        <v>470012.89497271407</v>
      </c>
      <c r="U16" s="17">
        <f t="shared" si="2"/>
        <v>348517.21497271396</v>
      </c>
      <c r="V16" s="17">
        <f t="shared" si="2"/>
        <v>179051.24219507095</v>
      </c>
      <c r="W16" s="17">
        <f t="shared" si="2"/>
        <v>-15038.106604928973</v>
      </c>
      <c r="X16" s="17">
        <f t="shared" si="2"/>
        <v>758892.56108631019</v>
      </c>
      <c r="Y16" s="17">
        <f t="shared" si="2"/>
        <v>564803.21228631015</v>
      </c>
      <c r="Z16" s="104"/>
    </row>
    <row r="17" spans="1:28" x14ac:dyDescent="0.2">
      <c r="A17" s="49"/>
      <c r="B17" s="49"/>
      <c r="C17" s="49" t="s">
        <v>23</v>
      </c>
      <c r="D17" s="49"/>
      <c r="E17" s="77" t="s">
        <v>85</v>
      </c>
      <c r="F17" s="15">
        <f>-'НА и ОС'!G105</f>
        <v>0</v>
      </c>
      <c r="G17" s="15">
        <f>-'НА и ОС'!H105</f>
        <v>0</v>
      </c>
      <c r="H17" s="15">
        <f>-'НА и ОС'!I105</f>
        <v>0</v>
      </c>
      <c r="I17" s="15">
        <f>-'НА и ОС'!J105</f>
        <v>0</v>
      </c>
      <c r="J17" s="15">
        <f>-'НА и ОС'!K105</f>
        <v>0</v>
      </c>
      <c r="K17" s="15">
        <f>-'НА и ОС'!L105</f>
        <v>0</v>
      </c>
      <c r="L17" s="15">
        <f>-'НА и ОС'!M105</f>
        <v>0</v>
      </c>
      <c r="M17" s="15">
        <f>-'НА и ОС'!N105</f>
        <v>0</v>
      </c>
      <c r="N17" s="15">
        <f>-'НА и ОС'!O105</f>
        <v>0</v>
      </c>
      <c r="O17" s="15">
        <f>-'НА и ОС'!P105</f>
        <v>0</v>
      </c>
      <c r="P17" s="15">
        <f>-'НА и ОС'!Q105</f>
        <v>0</v>
      </c>
      <c r="Q17" s="15">
        <f>-'НА и ОС'!R105</f>
        <v>0</v>
      </c>
      <c r="R17" s="15">
        <f>-'НА и ОС'!S105</f>
        <v>0</v>
      </c>
      <c r="S17" s="15">
        <f>-'НА и ОС'!T105</f>
        <v>0</v>
      </c>
      <c r="T17" s="15">
        <f>-'НА и ОС'!U105</f>
        <v>0</v>
      </c>
      <c r="U17" s="15">
        <f>-'НА и ОС'!V105</f>
        <v>0</v>
      </c>
      <c r="V17" s="15">
        <f>-'НА и ОС'!W105</f>
        <v>0</v>
      </c>
      <c r="W17" s="15">
        <f>-'НА и ОС'!X105</f>
        <v>0</v>
      </c>
      <c r="X17" s="15">
        <f>-'НА и ОС'!Y105</f>
        <v>0</v>
      </c>
      <c r="Y17" s="15">
        <f>-'НА и ОС'!Z105</f>
        <v>0</v>
      </c>
      <c r="Z17" s="104"/>
    </row>
    <row r="18" spans="1:28" x14ac:dyDescent="0.2">
      <c r="A18" s="49"/>
      <c r="B18" s="49"/>
      <c r="C18" s="49" t="s">
        <v>24</v>
      </c>
      <c r="D18" s="49"/>
      <c r="E18" s="77" t="s">
        <v>85</v>
      </c>
      <c r="F18" s="15">
        <f>('Финан-е'!E21+'Финан-е'!E33+'Финан-е'!E48+'Финан-е'!E60)</f>
        <v>0</v>
      </c>
      <c r="G18" s="15">
        <f>('Финан-е'!F21+'Финан-е'!F33+'Финан-е'!F48+'Финан-е'!F60)</f>
        <v>0</v>
      </c>
      <c r="H18" s="15">
        <f>('Финан-е'!G21+'Финан-е'!G33+'Финан-е'!G48+'Финан-е'!G60)</f>
        <v>0</v>
      </c>
      <c r="I18" s="15">
        <f>('Финан-е'!H21+'Финан-е'!H33+'Финан-е'!H48+'Финан-е'!H60)</f>
        <v>0</v>
      </c>
      <c r="J18" s="15">
        <f>('Финан-е'!I21+'Финан-е'!I33+'Финан-е'!I48+'Финан-е'!I60)</f>
        <v>0</v>
      </c>
      <c r="K18" s="15">
        <f>('Финан-е'!J21+'Финан-е'!J33+'Финан-е'!J48+'Финан-е'!J60)</f>
        <v>0</v>
      </c>
      <c r="L18" s="15">
        <f>('Финан-е'!K21+'Финан-е'!K33+'Финан-е'!K48+'Финан-е'!K60)</f>
        <v>0</v>
      </c>
      <c r="M18" s="15">
        <f>('Финан-е'!L21+'Финан-е'!L33+'Финан-е'!L48+'Финан-е'!L60)</f>
        <v>0</v>
      </c>
      <c r="N18" s="15">
        <f>('Финан-е'!M21+'Финан-е'!M33+'Финан-е'!M48+'Финан-е'!M60)</f>
        <v>0</v>
      </c>
      <c r="O18" s="15">
        <f>('Финан-е'!N21+'Финан-е'!N33+'Финан-е'!N48+'Финан-е'!N60)</f>
        <v>0</v>
      </c>
      <c r="P18" s="15">
        <f>('Финан-е'!O21+'Финан-е'!O33+'Финан-е'!O48+'Финан-е'!O60)</f>
        <v>0</v>
      </c>
      <c r="Q18" s="15">
        <f>('Финан-е'!P21+'Финан-е'!P33+'Финан-е'!P48+'Финан-е'!P60)</f>
        <v>0</v>
      </c>
      <c r="R18" s="15">
        <f>('Финан-е'!Q21+'Финан-е'!Q33+'Финан-е'!Q48+'Финан-е'!Q60)</f>
        <v>0</v>
      </c>
      <c r="S18" s="15">
        <f>('Финан-е'!R21+'Финан-е'!R33+'Финан-е'!R48+'Финан-е'!R60)</f>
        <v>0</v>
      </c>
      <c r="T18" s="15">
        <f>('Финан-е'!S21+'Финан-е'!S33+'Финан-е'!S48+'Финан-е'!S60)</f>
        <v>0</v>
      </c>
      <c r="U18" s="15">
        <f>('Финан-е'!T21+'Финан-е'!T33+'Финан-е'!T48+'Финан-е'!T60)</f>
        <v>0</v>
      </c>
      <c r="V18" s="15">
        <f>('Финан-е'!U21+'Финан-е'!U33+'Финан-е'!U48+'Финан-е'!U60)</f>
        <v>0</v>
      </c>
      <c r="W18" s="15">
        <f>('Финан-е'!V21+'Финан-е'!V33+'Финан-е'!V48+'Финан-е'!V60)</f>
        <v>0</v>
      </c>
      <c r="X18" s="15">
        <f>('Финан-е'!W21+'Финан-е'!W33+'Финан-е'!W48+'Финан-е'!W60)</f>
        <v>0</v>
      </c>
      <c r="Y18" s="15">
        <f>('Финан-е'!X21+'Финан-е'!X33+'Финан-е'!X48+'Финан-е'!X60)</f>
        <v>0</v>
      </c>
      <c r="Z18" s="104"/>
    </row>
    <row r="19" spans="1:28" x14ac:dyDescent="0.2">
      <c r="A19" s="49"/>
      <c r="B19" s="49"/>
      <c r="C19" s="49" t="s">
        <v>542</v>
      </c>
      <c r="D19" s="49"/>
      <c r="E19" s="77"/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04"/>
    </row>
    <row r="20" spans="1:28" x14ac:dyDescent="0.2">
      <c r="A20" s="49"/>
      <c r="B20" s="49"/>
      <c r="C20" s="49" t="s">
        <v>543</v>
      </c>
      <c r="D20" s="49"/>
      <c r="E20" s="77"/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04"/>
    </row>
    <row r="21" spans="1:28" x14ac:dyDescent="0.2">
      <c r="A21" s="49"/>
      <c r="B21" s="49"/>
      <c r="C21" s="49"/>
      <c r="D21" s="49"/>
      <c r="E21" s="77"/>
      <c r="Z21" s="104"/>
    </row>
    <row r="22" spans="1:28" x14ac:dyDescent="0.2">
      <c r="A22" s="49"/>
      <c r="B22" s="50" t="s">
        <v>454</v>
      </c>
      <c r="C22" s="49"/>
      <c r="D22" s="49"/>
      <c r="E22" s="77" t="s">
        <v>85</v>
      </c>
      <c r="F22" s="17">
        <f>SUM(F16:F20)</f>
        <v>-22386.845338983054</v>
      </c>
      <c r="G22" s="17">
        <f t="shared" ref="G22:Y22" si="3">SUM(G16:G20)</f>
        <v>-3833.823074426442</v>
      </c>
      <c r="H22" s="17">
        <f t="shared" si="3"/>
        <v>-6058.3993456128828</v>
      </c>
      <c r="I22" s="17">
        <f t="shared" si="3"/>
        <v>-6058.3993456128828</v>
      </c>
      <c r="J22" s="17">
        <f t="shared" si="3"/>
        <v>40240.735633736011</v>
      </c>
      <c r="K22" s="17">
        <f t="shared" si="3"/>
        <v>-13318.586400162285</v>
      </c>
      <c r="L22" s="17">
        <f t="shared" si="3"/>
        <v>200240.73563373601</v>
      </c>
      <c r="M22" s="17">
        <f t="shared" si="3"/>
        <v>146681.41359983772</v>
      </c>
      <c r="N22" s="17">
        <f t="shared" si="3"/>
        <v>43313.983105681502</v>
      </c>
      <c r="O22" s="17">
        <f t="shared" si="3"/>
        <v>-13887.3728265219</v>
      </c>
      <c r="P22" s="17">
        <f t="shared" si="3"/>
        <v>214193.98310568152</v>
      </c>
      <c r="Q22" s="17">
        <f t="shared" si="3"/>
        <v>156992.62717347813</v>
      </c>
      <c r="R22" s="17">
        <f t="shared" si="3"/>
        <v>107063.77497271396</v>
      </c>
      <c r="S22" s="17">
        <f t="shared" si="3"/>
        <v>-14431.905027286122</v>
      </c>
      <c r="T22" s="17">
        <f t="shared" si="3"/>
        <v>470012.89497271407</v>
      </c>
      <c r="U22" s="17">
        <f t="shared" si="3"/>
        <v>348517.21497271396</v>
      </c>
      <c r="V22" s="17">
        <f t="shared" si="3"/>
        <v>179051.24219507095</v>
      </c>
      <c r="W22" s="17">
        <f t="shared" si="3"/>
        <v>-15038.106604928973</v>
      </c>
      <c r="X22" s="17">
        <f t="shared" si="3"/>
        <v>758892.56108631019</v>
      </c>
      <c r="Y22" s="17">
        <f t="shared" si="3"/>
        <v>564803.21228631015</v>
      </c>
      <c r="Z22" s="104"/>
    </row>
    <row r="23" spans="1:28" x14ac:dyDescent="0.2">
      <c r="A23" s="49"/>
      <c r="B23" s="50"/>
      <c r="C23" s="49" t="s">
        <v>453</v>
      </c>
      <c r="D23" s="49"/>
      <c r="E23" s="77" t="s">
        <v>85</v>
      </c>
      <c r="F23" s="15">
        <f>MIN(F22,0)</f>
        <v>-22386.845338983054</v>
      </c>
      <c r="G23" s="15">
        <f>MIN(F23+G22,0)</f>
        <v>-26220.668413409498</v>
      </c>
      <c r="H23" s="15">
        <f t="shared" ref="H23:X23" si="4">MIN(G23+H22,0)</f>
        <v>-32279.067759022379</v>
      </c>
      <c r="I23" s="15">
        <f t="shared" si="4"/>
        <v>-38337.46710463526</v>
      </c>
      <c r="J23" s="15">
        <f t="shared" si="4"/>
        <v>0</v>
      </c>
      <c r="K23" s="15">
        <f t="shared" si="4"/>
        <v>-13318.586400162285</v>
      </c>
      <c r="L23" s="15">
        <f t="shared" si="4"/>
        <v>0</v>
      </c>
      <c r="M23" s="15">
        <f t="shared" si="4"/>
        <v>0</v>
      </c>
      <c r="N23" s="15">
        <f t="shared" si="4"/>
        <v>0</v>
      </c>
      <c r="O23" s="15">
        <f t="shared" si="4"/>
        <v>-13887.3728265219</v>
      </c>
      <c r="P23" s="15">
        <f t="shared" si="4"/>
        <v>0</v>
      </c>
      <c r="Q23" s="15">
        <f t="shared" si="4"/>
        <v>0</v>
      </c>
      <c r="R23" s="15">
        <f t="shared" si="4"/>
        <v>0</v>
      </c>
      <c r="S23" s="15">
        <f t="shared" si="4"/>
        <v>-14431.905027286122</v>
      </c>
      <c r="T23" s="15">
        <f t="shared" si="4"/>
        <v>0</v>
      </c>
      <c r="U23" s="15">
        <f t="shared" si="4"/>
        <v>0</v>
      </c>
      <c r="V23" s="15">
        <f t="shared" si="4"/>
        <v>0</v>
      </c>
      <c r="W23" s="15">
        <f t="shared" si="4"/>
        <v>-15038.106604928973</v>
      </c>
      <c r="X23" s="15">
        <f t="shared" si="4"/>
        <v>0</v>
      </c>
      <c r="Y23" s="15">
        <f>MIN(X23+Y22,0)</f>
        <v>0</v>
      </c>
      <c r="Z23" s="104"/>
    </row>
    <row r="24" spans="1:28" x14ac:dyDescent="0.2">
      <c r="A24" s="49"/>
      <c r="B24" s="50"/>
      <c r="C24" s="49" t="s">
        <v>452</v>
      </c>
      <c r="D24" s="49"/>
      <c r="E24" s="77" t="s">
        <v>85</v>
      </c>
      <c r="F24" s="15">
        <f>F22</f>
        <v>-22386.845338983054</v>
      </c>
      <c r="G24" s="15">
        <f t="shared" ref="G24:Y24" si="5">G22</f>
        <v>-3833.823074426442</v>
      </c>
      <c r="H24" s="15">
        <f t="shared" si="5"/>
        <v>-6058.3993456128828</v>
      </c>
      <c r="I24" s="15">
        <f t="shared" si="5"/>
        <v>-6058.3993456128828</v>
      </c>
      <c r="J24" s="15">
        <f t="shared" si="5"/>
        <v>40240.735633736011</v>
      </c>
      <c r="K24" s="15">
        <f t="shared" si="5"/>
        <v>-13318.586400162285</v>
      </c>
      <c r="L24" s="15">
        <f t="shared" si="5"/>
        <v>200240.73563373601</v>
      </c>
      <c r="M24" s="15">
        <f t="shared" si="5"/>
        <v>146681.41359983772</v>
      </c>
      <c r="N24" s="15">
        <f t="shared" si="5"/>
        <v>43313.983105681502</v>
      </c>
      <c r="O24" s="15">
        <f t="shared" si="5"/>
        <v>-13887.3728265219</v>
      </c>
      <c r="P24" s="15">
        <f t="shared" si="5"/>
        <v>214193.98310568152</v>
      </c>
      <c r="Q24" s="15">
        <f t="shared" si="5"/>
        <v>156992.62717347813</v>
      </c>
      <c r="R24" s="15">
        <f t="shared" si="5"/>
        <v>107063.77497271396</v>
      </c>
      <c r="S24" s="15">
        <f t="shared" si="5"/>
        <v>-14431.905027286122</v>
      </c>
      <c r="T24" s="15">
        <f t="shared" si="5"/>
        <v>470012.89497271407</v>
      </c>
      <c r="U24" s="15">
        <f t="shared" si="5"/>
        <v>348517.21497271396</v>
      </c>
      <c r="V24" s="15">
        <f t="shared" si="5"/>
        <v>179051.24219507095</v>
      </c>
      <c r="W24" s="15">
        <f t="shared" si="5"/>
        <v>-15038.106604928973</v>
      </c>
      <c r="X24" s="15">
        <f t="shared" si="5"/>
        <v>758892.56108631019</v>
      </c>
      <c r="Y24" s="15">
        <f t="shared" si="5"/>
        <v>564803.21228631015</v>
      </c>
      <c r="Z24" s="104"/>
    </row>
    <row r="25" spans="1:28" x14ac:dyDescent="0.2">
      <c r="A25" s="49"/>
      <c r="B25" s="49"/>
      <c r="C25" s="49" t="s">
        <v>28</v>
      </c>
      <c r="D25" s="49"/>
      <c r="E25" s="77" t="s">
        <v>85</v>
      </c>
      <c r="F25" s="15">
        <f>IF(F24&gt;0,F24*Окружение!D16,0)</f>
        <v>0</v>
      </c>
      <c r="G25" s="15">
        <f>IF(G24&gt;0,G24*Окружение!E16,0)</f>
        <v>0</v>
      </c>
      <c r="H25" s="15">
        <f>IF(H24&gt;0,H24*Окружение!F16,0)</f>
        <v>0</v>
      </c>
      <c r="I25" s="15">
        <f>IF(I24&gt;0,I24*Окружение!G16,0)</f>
        <v>0</v>
      </c>
      <c r="J25" s="15">
        <f>IF(J24&gt;0,J24*Окружение!H16,0)</f>
        <v>8048.1471267472025</v>
      </c>
      <c r="K25" s="15">
        <f>IF(K24&gt;0,K24*Окружение!I16,0)</f>
        <v>0</v>
      </c>
      <c r="L25" s="15">
        <f>IF(L24&gt;0,L24*Окружение!J16,0)</f>
        <v>40048.147126747208</v>
      </c>
      <c r="M25" s="15">
        <f>IF(M24&gt;0,M24*Окружение!K16,0)</f>
        <v>29336.282719967545</v>
      </c>
      <c r="N25" s="15">
        <f>IF(N24&gt;0,N24*Окружение!L16,0)</f>
        <v>8662.7966211363</v>
      </c>
      <c r="O25" s="15">
        <f>IF(O24&gt;0,O24*Окружение!M16,0)</f>
        <v>0</v>
      </c>
      <c r="P25" s="15">
        <f>IF(P24&gt;0,P24*Окружение!N16,0)</f>
        <v>42838.796621136309</v>
      </c>
      <c r="Q25" s="15">
        <f>IF(Q24&gt;0,Q24*Окружение!O16,0)</f>
        <v>31398.525434695628</v>
      </c>
      <c r="R25" s="15">
        <f>IF(R24&gt;0,R24*Окружение!P16,0)</f>
        <v>21412.754994542793</v>
      </c>
      <c r="S25" s="15">
        <f>IF(S24&gt;0,S24*Окружение!Q16,0)</f>
        <v>0</v>
      </c>
      <c r="T25" s="15">
        <f>IF(T24&gt;0,T24*Окружение!R16,0)</f>
        <v>94002.578994542826</v>
      </c>
      <c r="U25" s="15">
        <f>IF(U24&gt;0,U24*Окружение!S16,0)</f>
        <v>69703.442994542798</v>
      </c>
      <c r="V25" s="15">
        <f>IF(V24&gt;0,V24*Окружение!T16,0)</f>
        <v>35810.248439014191</v>
      </c>
      <c r="W25" s="15">
        <f>IF(W24&gt;0,W24*Окружение!U16,0)</f>
        <v>0</v>
      </c>
      <c r="X25" s="15">
        <f>IF(X24&gt;0,X24*Окружение!V16,0)</f>
        <v>151778.51221726203</v>
      </c>
      <c r="Y25" s="15">
        <f>IF(Y24&gt;0,Y24*Окружение!W16,0)</f>
        <v>112960.64245726203</v>
      </c>
      <c r="Z25" s="104"/>
      <c r="AA25" s="51"/>
      <c r="AB25" s="69"/>
    </row>
    <row r="26" spans="1:28" x14ac:dyDescent="0.2">
      <c r="A26" s="49"/>
      <c r="B26" s="49"/>
      <c r="C26" s="49"/>
      <c r="D26" s="49"/>
      <c r="E26" s="77"/>
      <c r="Z26" s="104"/>
      <c r="AA26" s="51"/>
      <c r="AB26" s="69"/>
    </row>
    <row r="27" spans="1:28" x14ac:dyDescent="0.2">
      <c r="A27" s="49"/>
      <c r="B27" s="50" t="s">
        <v>29</v>
      </c>
      <c r="C27" s="49"/>
      <c r="D27" s="49"/>
      <c r="E27" s="77" t="s">
        <v>85</v>
      </c>
      <c r="F27" s="107">
        <f>F22-F25</f>
        <v>-22386.845338983054</v>
      </c>
      <c r="G27" s="107">
        <f t="shared" ref="G27:Y27" si="6">G22-G25</f>
        <v>-3833.823074426442</v>
      </c>
      <c r="H27" s="107">
        <f t="shared" si="6"/>
        <v>-6058.3993456128828</v>
      </c>
      <c r="I27" s="107">
        <f t="shared" si="6"/>
        <v>-6058.3993456128828</v>
      </c>
      <c r="J27" s="107">
        <f t="shared" si="6"/>
        <v>32192.58850698881</v>
      </c>
      <c r="K27" s="107">
        <f t="shared" si="6"/>
        <v>-13318.586400162285</v>
      </c>
      <c r="L27" s="107">
        <f t="shared" si="6"/>
        <v>160192.5885069888</v>
      </c>
      <c r="M27" s="107">
        <f t="shared" si="6"/>
        <v>117345.13087987018</v>
      </c>
      <c r="N27" s="107">
        <f t="shared" si="6"/>
        <v>34651.1864845452</v>
      </c>
      <c r="O27" s="107">
        <f t="shared" si="6"/>
        <v>-13887.3728265219</v>
      </c>
      <c r="P27" s="107">
        <f t="shared" si="6"/>
        <v>171355.18648454521</v>
      </c>
      <c r="Q27" s="107">
        <f t="shared" si="6"/>
        <v>125594.10173878251</v>
      </c>
      <c r="R27" s="107">
        <f t="shared" si="6"/>
        <v>85651.019978171171</v>
      </c>
      <c r="S27" s="107">
        <f t="shared" si="6"/>
        <v>-14431.905027286122</v>
      </c>
      <c r="T27" s="107">
        <f t="shared" si="6"/>
        <v>376010.31597817125</v>
      </c>
      <c r="U27" s="107">
        <f t="shared" si="6"/>
        <v>278813.77197817119</v>
      </c>
      <c r="V27" s="107">
        <f t="shared" si="6"/>
        <v>143240.99375605676</v>
      </c>
      <c r="W27" s="107">
        <f t="shared" si="6"/>
        <v>-15038.106604928973</v>
      </c>
      <c r="X27" s="107">
        <f t="shared" si="6"/>
        <v>607114.04886904813</v>
      </c>
      <c r="Y27" s="107">
        <f t="shared" si="6"/>
        <v>451842.56982904812</v>
      </c>
      <c r="Z27" s="104"/>
      <c r="AA27" s="51"/>
      <c r="AB27" s="69"/>
    </row>
    <row r="28" spans="1:28" x14ac:dyDescent="0.2">
      <c r="A28" s="49"/>
      <c r="B28" s="49"/>
      <c r="C28" s="49" t="s">
        <v>30</v>
      </c>
      <c r="D28" s="49"/>
      <c r="E28" s="77" t="s">
        <v>85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104"/>
      <c r="AA28" s="51"/>
      <c r="AB28" s="69"/>
    </row>
    <row r="29" spans="1:28" x14ac:dyDescent="0.2">
      <c r="A29" s="49"/>
      <c r="B29" s="49"/>
      <c r="C29" s="49"/>
      <c r="D29" s="49"/>
      <c r="E29" s="77"/>
      <c r="Z29" s="104"/>
      <c r="AA29" s="51"/>
      <c r="AB29" s="69"/>
    </row>
    <row r="30" spans="1:28" x14ac:dyDescent="0.2">
      <c r="A30" s="49"/>
      <c r="B30" s="49"/>
      <c r="C30" s="54" t="s">
        <v>133</v>
      </c>
      <c r="D30" s="49"/>
      <c r="E30" s="77" t="s">
        <v>85</v>
      </c>
      <c r="F30" s="301">
        <f>SUM(F27:F28)</f>
        <v>-22386.845338983054</v>
      </c>
      <c r="G30" s="17">
        <f t="shared" ref="G30:Y30" si="7">SUM(G27:G28)</f>
        <v>-3833.823074426442</v>
      </c>
      <c r="H30" s="17">
        <f t="shared" si="7"/>
        <v>-6058.3993456128828</v>
      </c>
      <c r="I30" s="17">
        <f t="shared" si="7"/>
        <v>-6058.3993456128828</v>
      </c>
      <c r="J30" s="17">
        <f t="shared" si="7"/>
        <v>32192.58850698881</v>
      </c>
      <c r="K30" s="17">
        <f t="shared" si="7"/>
        <v>-13318.586400162285</v>
      </c>
      <c r="L30" s="17">
        <f t="shared" si="7"/>
        <v>160192.5885069888</v>
      </c>
      <c r="M30" s="17">
        <f t="shared" si="7"/>
        <v>117345.13087987018</v>
      </c>
      <c r="N30" s="17">
        <f t="shared" si="7"/>
        <v>34651.1864845452</v>
      </c>
      <c r="O30" s="17">
        <f t="shared" si="7"/>
        <v>-13887.3728265219</v>
      </c>
      <c r="P30" s="17">
        <f t="shared" si="7"/>
        <v>171355.18648454521</v>
      </c>
      <c r="Q30" s="17">
        <f t="shared" si="7"/>
        <v>125594.10173878251</v>
      </c>
      <c r="R30" s="17">
        <f t="shared" si="7"/>
        <v>85651.019978171171</v>
      </c>
      <c r="S30" s="17">
        <f t="shared" si="7"/>
        <v>-14431.905027286122</v>
      </c>
      <c r="T30" s="17">
        <f t="shared" si="7"/>
        <v>376010.31597817125</v>
      </c>
      <c r="U30" s="17">
        <f t="shared" si="7"/>
        <v>278813.77197817119</v>
      </c>
      <c r="V30" s="17">
        <f t="shared" si="7"/>
        <v>143240.99375605676</v>
      </c>
      <c r="W30" s="17">
        <f t="shared" si="7"/>
        <v>-15038.106604928973</v>
      </c>
      <c r="X30" s="17">
        <f t="shared" si="7"/>
        <v>607114.04886904813</v>
      </c>
      <c r="Y30" s="17">
        <f t="shared" si="7"/>
        <v>451842.56982904812</v>
      </c>
      <c r="Z30" s="104"/>
    </row>
    <row r="31" spans="1:28" x14ac:dyDescent="0.2">
      <c r="A31" s="49"/>
      <c r="B31" s="49"/>
      <c r="C31" s="54" t="s">
        <v>134</v>
      </c>
      <c r="D31" s="49"/>
      <c r="E31" s="77" t="s">
        <v>85</v>
      </c>
      <c r="F31" s="17">
        <f>F30</f>
        <v>-22386.845338983054</v>
      </c>
      <c r="G31" s="17">
        <f>F31+G30</f>
        <v>-26220.668413409498</v>
      </c>
      <c r="H31" s="17">
        <f>G31+H30</f>
        <v>-32279.067759022379</v>
      </c>
      <c r="I31" s="17">
        <f t="shared" ref="I31:Y31" si="8">H31+I30</f>
        <v>-38337.46710463526</v>
      </c>
      <c r="J31" s="17">
        <f>+J30</f>
        <v>32192.58850698881</v>
      </c>
      <c r="K31" s="17">
        <f t="shared" si="8"/>
        <v>18874.002106826527</v>
      </c>
      <c r="L31" s="17">
        <f t="shared" si="8"/>
        <v>179066.59061381532</v>
      </c>
      <c r="M31" s="17">
        <f t="shared" si="8"/>
        <v>296411.7214936855</v>
      </c>
      <c r="N31" s="17">
        <f>N30</f>
        <v>34651.1864845452</v>
      </c>
      <c r="O31" s="17">
        <f t="shared" si="8"/>
        <v>20763.8136580233</v>
      </c>
      <c r="P31" s="17">
        <f t="shared" si="8"/>
        <v>192119.00014256852</v>
      </c>
      <c r="Q31" s="17">
        <f t="shared" si="8"/>
        <v>317713.10188135103</v>
      </c>
      <c r="R31" s="17">
        <f>R30</f>
        <v>85651.019978171171</v>
      </c>
      <c r="S31" s="17">
        <f t="shared" si="8"/>
        <v>71219.11495088505</v>
      </c>
      <c r="T31" s="17">
        <f t="shared" si="8"/>
        <v>447229.43092905631</v>
      </c>
      <c r="U31" s="17">
        <f t="shared" si="8"/>
        <v>726043.20290722745</v>
      </c>
      <c r="V31" s="17">
        <f>V30</f>
        <v>143240.99375605676</v>
      </c>
      <c r="W31" s="17">
        <f t="shared" si="8"/>
        <v>128202.8871511278</v>
      </c>
      <c r="X31" s="17">
        <f t="shared" si="8"/>
        <v>735316.93602017593</v>
      </c>
      <c r="Y31" s="17">
        <f t="shared" si="8"/>
        <v>1187159.505849224</v>
      </c>
      <c r="Z31" s="104"/>
    </row>
    <row r="32" spans="1:28" x14ac:dyDescent="0.2">
      <c r="A32" s="49"/>
      <c r="B32" s="49"/>
      <c r="C32" s="49"/>
      <c r="D32" s="49"/>
      <c r="Z32" s="104"/>
    </row>
    <row r="33" spans="1:22" x14ac:dyDescent="0.2">
      <c r="A33" s="49"/>
      <c r="B33" s="49"/>
      <c r="C33" s="49"/>
      <c r="D33" s="49"/>
      <c r="V33" s="55"/>
    </row>
    <row r="34" spans="1:22" x14ac:dyDescent="0.2">
      <c r="A34" s="49"/>
      <c r="B34" s="49"/>
      <c r="C34" s="49"/>
      <c r="D34" s="49"/>
      <c r="F34" s="115"/>
      <c r="G34" s="115"/>
      <c r="H34" s="115"/>
      <c r="I34" s="115"/>
      <c r="J34" s="115"/>
      <c r="K34" s="35"/>
      <c r="L34" s="35"/>
      <c r="M34" s="35"/>
      <c r="N34" s="35"/>
      <c r="O34" s="35"/>
      <c r="P34" s="35"/>
    </row>
    <row r="35" spans="1:22" x14ac:dyDescent="0.2"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22" x14ac:dyDescent="0.2">
      <c r="F36" s="35"/>
      <c r="G36" s="296"/>
      <c r="H36" s="35"/>
      <c r="I36" s="35"/>
      <c r="J36" s="35"/>
      <c r="K36" s="35"/>
      <c r="L36" s="35"/>
      <c r="M36" s="35"/>
      <c r="N36" s="35"/>
      <c r="O36" s="35"/>
      <c r="P36" s="35"/>
    </row>
    <row r="37" spans="1:22" x14ac:dyDescent="0.2">
      <c r="F37" s="35"/>
      <c r="G37" s="116"/>
      <c r="H37" s="116"/>
      <c r="I37" s="116"/>
      <c r="J37" s="116"/>
      <c r="K37" s="116"/>
      <c r="L37" s="116"/>
      <c r="M37" s="116"/>
      <c r="N37" s="116"/>
      <c r="O37" s="35"/>
      <c r="P37" s="35"/>
    </row>
    <row r="38" spans="1:22" x14ac:dyDescent="0.2"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22" x14ac:dyDescent="0.2"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22" x14ac:dyDescent="0.2"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22" x14ac:dyDescent="0.2"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22" x14ac:dyDescent="0.2"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22" x14ac:dyDescent="0.2"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22" x14ac:dyDescent="0.2"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</sheetData>
  <phoneticPr fontId="0" type="noConversion"/>
  <pageMargins left="0.75" right="0.75" top="1" bottom="1" header="0.5" footer="0.5"/>
  <pageSetup paperSize="9" scale="55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1</vt:i4>
      </vt:variant>
    </vt:vector>
  </HeadingPairs>
  <TitlesOfParts>
    <vt:vector size="24" baseType="lpstr">
      <vt:lpstr>Окружение</vt:lpstr>
      <vt:lpstr>Пр-во и Продажи</vt:lpstr>
      <vt:lpstr>Персонал</vt:lpstr>
      <vt:lpstr>Затраты</vt:lpstr>
      <vt:lpstr>НА и ОС</vt:lpstr>
      <vt:lpstr>Оборот. К.</vt:lpstr>
      <vt:lpstr>Финан-е</vt:lpstr>
      <vt:lpstr>Форма 1</vt:lpstr>
      <vt:lpstr>Форма 2</vt:lpstr>
      <vt:lpstr>CF</vt:lpstr>
      <vt:lpstr>Анализ проекта</vt:lpstr>
      <vt:lpstr>Прогнозные отчеты</vt:lpstr>
      <vt:lpstr>Общий анализ</vt:lpstr>
      <vt:lpstr>Горизонт. анализ</vt:lpstr>
      <vt:lpstr>Вертикальный анализ</vt:lpstr>
      <vt:lpstr>Анализ рентабельности</vt:lpstr>
      <vt:lpstr>Анализ ликвидности</vt:lpstr>
      <vt:lpstr>Анализ платежеспособности</vt:lpstr>
      <vt:lpstr>Анализ оборачиваемости</vt:lpstr>
      <vt:lpstr>Анализ долг. и налог. нагрузки</vt:lpstr>
      <vt:lpstr>Анализ рисков</vt:lpstr>
      <vt:lpstr>Лист1</vt:lpstr>
      <vt:lpstr>Лист2</vt:lpstr>
      <vt:lpstr>Окружение!Область_печати</vt:lpstr>
    </vt:vector>
  </TitlesOfParts>
  <Company>http://mxplus.ru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Моделька для студенчегов</dc:title>
  <dc:creator>Наномаркеровщики</dc:creator>
  <dc:description>Live Fast Die Funny!</dc:description>
  <cp:lastModifiedBy>Кудяев Алексей Юрьевич</cp:lastModifiedBy>
  <cp:lastPrinted>2016-03-30T17:59:14Z</cp:lastPrinted>
  <dcterms:created xsi:type="dcterms:W3CDTF">2007-01-28T14:02:49Z</dcterms:created>
  <dcterms:modified xsi:type="dcterms:W3CDTF">2020-05-16T22:30:05Z</dcterms:modified>
</cp:coreProperties>
</file>