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sh\Box\Research\Coordinates with energies\"/>
    </mc:Choice>
  </mc:AlternateContent>
  <xr:revisionPtr revIDLastSave="0" documentId="13_ncr:1_{055E3B7C-0747-4B68-AFE1-06C7151B4ABE}" xr6:coauthVersionLast="45" xr6:coauthVersionMax="45" xr10:uidLastSave="{00000000-0000-0000-0000-000000000000}"/>
  <bookViews>
    <workbookView xWindow="-108" yWindow="-108" windowWidth="23256" windowHeight="12576" xr2:uid="{DC0CE901-2C7A-45D8-9290-A8C8F013BBE6}"/>
  </bookViews>
  <sheets>
    <sheet name="Pd and Rh energies with N2H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1" l="1"/>
  <c r="R35" i="1"/>
  <c r="F69" i="1"/>
  <c r="H95" i="1"/>
  <c r="I69" i="1" l="1"/>
  <c r="H69" i="1"/>
  <c r="F63" i="1"/>
  <c r="D69" i="1"/>
  <c r="E69" i="1"/>
  <c r="B69" i="1"/>
  <c r="G95" i="1"/>
  <c r="H94" i="1"/>
  <c r="G94" i="1"/>
  <c r="Q45" i="1"/>
  <c r="P45" i="1"/>
  <c r="O45" i="1"/>
  <c r="N45" i="1"/>
  <c r="N35" i="1"/>
  <c r="P82" i="1"/>
  <c r="S77" i="1"/>
  <c r="R77" i="1"/>
  <c r="Q77" i="1"/>
  <c r="P77" i="1"/>
  <c r="R76" i="1"/>
  <c r="S75" i="1"/>
  <c r="R75" i="1"/>
  <c r="Q75" i="1"/>
  <c r="V13" i="1"/>
  <c r="U13" i="1"/>
  <c r="T75" i="1"/>
  <c r="T76" i="1"/>
  <c r="P56" i="1" l="1"/>
  <c r="P57" i="1"/>
  <c r="O50" i="1"/>
  <c r="P55" i="1" s="1"/>
  <c r="O63" i="1" l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O66" i="1"/>
  <c r="K49" i="1" s="1"/>
  <c r="I68" i="1"/>
  <c r="H68" i="1"/>
  <c r="G68" i="1"/>
  <c r="E68" i="1"/>
  <c r="D68" i="1"/>
  <c r="B68" i="1"/>
  <c r="I67" i="1"/>
  <c r="H67" i="1"/>
  <c r="F67" i="1"/>
  <c r="E67" i="1"/>
  <c r="D67" i="1"/>
  <c r="B67" i="1"/>
  <c r="K66" i="1"/>
  <c r="F66" i="1"/>
  <c r="J66" i="1" s="1"/>
  <c r="C66" i="1"/>
  <c r="F65" i="1"/>
  <c r="C65" i="1"/>
  <c r="C67" i="1" s="1"/>
  <c r="K64" i="1"/>
  <c r="F64" i="1"/>
  <c r="J64" i="1" s="1"/>
  <c r="C64" i="1"/>
  <c r="K63" i="1"/>
  <c r="J63" i="1"/>
  <c r="C63" i="1"/>
  <c r="C68" i="1" s="1"/>
  <c r="G59" i="1"/>
  <c r="K58" i="1"/>
  <c r="J58" i="1"/>
  <c r="K57" i="1"/>
  <c r="J57" i="1"/>
  <c r="I56" i="1"/>
  <c r="H56" i="1"/>
  <c r="G56" i="1"/>
  <c r="F56" i="1"/>
  <c r="E56" i="1"/>
  <c r="D56" i="1"/>
  <c r="B56" i="1"/>
  <c r="I55" i="1"/>
  <c r="H55" i="1"/>
  <c r="F55" i="1"/>
  <c r="E55" i="1"/>
  <c r="D55" i="1"/>
  <c r="B55" i="1"/>
  <c r="K54" i="1"/>
  <c r="J54" i="1"/>
  <c r="C54" i="1"/>
  <c r="K53" i="1"/>
  <c r="F53" i="1"/>
  <c r="J53" i="1" s="1"/>
  <c r="C53" i="1"/>
  <c r="F52" i="1"/>
  <c r="C52" i="1"/>
  <c r="C55" i="1" s="1"/>
  <c r="C51" i="1"/>
  <c r="C69" i="1" s="1"/>
  <c r="K50" i="1"/>
  <c r="G50" i="1"/>
  <c r="G86" i="1" s="1"/>
  <c r="C50" i="1"/>
  <c r="C49" i="1"/>
  <c r="C56" i="1" s="1"/>
  <c r="E47" i="1"/>
  <c r="J49" i="1" s="1"/>
  <c r="E46" i="1"/>
  <c r="K65" i="1" s="1"/>
  <c r="R45" i="1"/>
  <c r="V44" i="1"/>
  <c r="U44" i="1"/>
  <c r="T43" i="1"/>
  <c r="S43" i="1"/>
  <c r="H93" i="1" s="1"/>
  <c r="R43" i="1"/>
  <c r="Q43" i="1"/>
  <c r="P43" i="1"/>
  <c r="O43" i="1"/>
  <c r="N43" i="1"/>
  <c r="J43" i="1"/>
  <c r="I43" i="1"/>
  <c r="V42" i="1"/>
  <c r="U42" i="1"/>
  <c r="J42" i="1"/>
  <c r="I42" i="1"/>
  <c r="V41" i="1"/>
  <c r="U41" i="1"/>
  <c r="J41" i="1"/>
  <c r="I41" i="1"/>
  <c r="V40" i="1"/>
  <c r="U40" i="1"/>
  <c r="J40" i="1"/>
  <c r="I40" i="1"/>
  <c r="V39" i="1"/>
  <c r="U39" i="1"/>
  <c r="J39" i="1"/>
  <c r="I39" i="1"/>
  <c r="V38" i="1"/>
  <c r="U38" i="1"/>
  <c r="J38" i="1"/>
  <c r="I38" i="1"/>
  <c r="V37" i="1"/>
  <c r="U37" i="1"/>
  <c r="J37" i="1"/>
  <c r="I37" i="1"/>
  <c r="T36" i="1"/>
  <c r="R36" i="1"/>
  <c r="Q36" i="1"/>
  <c r="P36" i="1"/>
  <c r="O36" i="1"/>
  <c r="N36" i="1"/>
  <c r="I36" i="1"/>
  <c r="T35" i="1"/>
  <c r="Q35" i="1"/>
  <c r="P35" i="1"/>
  <c r="F35" i="1"/>
  <c r="I35" i="1" s="1"/>
  <c r="V34" i="1"/>
  <c r="U34" i="1"/>
  <c r="O34" i="1"/>
  <c r="I34" i="1"/>
  <c r="V33" i="1"/>
  <c r="U33" i="1"/>
  <c r="O33" i="1"/>
  <c r="I33" i="1"/>
  <c r="V32" i="1"/>
  <c r="U32" i="1"/>
  <c r="O32" i="1"/>
  <c r="I32" i="1"/>
  <c r="V31" i="1"/>
  <c r="U31" i="1"/>
  <c r="O31" i="1"/>
  <c r="I31" i="1"/>
  <c r="V30" i="1"/>
  <c r="U30" i="1"/>
  <c r="O30" i="1"/>
  <c r="I30" i="1"/>
  <c r="V29" i="1"/>
  <c r="U29" i="1"/>
  <c r="O29" i="1"/>
  <c r="I29" i="1"/>
  <c r="V28" i="1"/>
  <c r="R28" i="1"/>
  <c r="U28" i="1" s="1"/>
  <c r="O28" i="1"/>
  <c r="I28" i="1"/>
  <c r="S81" i="1"/>
  <c r="R81" i="1"/>
  <c r="V27" i="1"/>
  <c r="U27" i="1"/>
  <c r="I27" i="1"/>
  <c r="S80" i="1"/>
  <c r="R80" i="1"/>
  <c r="Q80" i="1"/>
  <c r="P80" i="1"/>
  <c r="V26" i="1"/>
  <c r="R26" i="1"/>
  <c r="U26" i="1" s="1"/>
  <c r="O26" i="1"/>
  <c r="I26" i="1"/>
  <c r="R79" i="1"/>
  <c r="Q79" i="1"/>
  <c r="P79" i="1"/>
  <c r="V25" i="1"/>
  <c r="R25" i="1"/>
  <c r="U25" i="1" s="1"/>
  <c r="O25" i="1"/>
  <c r="S78" i="1"/>
  <c r="R78" i="1"/>
  <c r="Q78" i="1"/>
  <c r="P78" i="1"/>
  <c r="B22" i="1"/>
  <c r="V21" i="1"/>
  <c r="U21" i="1"/>
  <c r="O21" i="1"/>
  <c r="J21" i="1"/>
  <c r="I21" i="1"/>
  <c r="C21" i="1"/>
  <c r="V20" i="1"/>
  <c r="U20" i="1"/>
  <c r="O20" i="1"/>
  <c r="J20" i="1"/>
  <c r="I20" i="1"/>
  <c r="C20" i="1"/>
  <c r="V19" i="1"/>
  <c r="U19" i="1"/>
  <c r="O19" i="1"/>
  <c r="J19" i="1"/>
  <c r="I19" i="1"/>
  <c r="C19" i="1"/>
  <c r="S76" i="1"/>
  <c r="V18" i="1"/>
  <c r="U18" i="1"/>
  <c r="J18" i="1"/>
  <c r="I18" i="1"/>
  <c r="P75" i="1"/>
  <c r="V17" i="1"/>
  <c r="U17" i="1"/>
  <c r="J17" i="1"/>
  <c r="I17" i="1"/>
  <c r="V16" i="1"/>
  <c r="U16" i="1"/>
  <c r="J16" i="1"/>
  <c r="I16" i="1"/>
  <c r="V15" i="1"/>
  <c r="U15" i="1"/>
  <c r="O15" i="1"/>
  <c r="J15" i="1"/>
  <c r="I15" i="1"/>
  <c r="C15" i="1"/>
  <c r="V14" i="1"/>
  <c r="U14" i="1"/>
  <c r="J14" i="1"/>
  <c r="I14" i="1"/>
  <c r="C14" i="1"/>
  <c r="J13" i="1"/>
  <c r="I13" i="1"/>
  <c r="C13" i="1"/>
  <c r="V12" i="1"/>
  <c r="U12" i="1"/>
  <c r="O12" i="1"/>
  <c r="J12" i="1"/>
  <c r="I12" i="1"/>
  <c r="C12" i="1"/>
  <c r="V11" i="1"/>
  <c r="U11" i="1"/>
  <c r="O11" i="1"/>
  <c r="J11" i="1"/>
  <c r="I11" i="1"/>
  <c r="C11" i="1"/>
  <c r="V10" i="1"/>
  <c r="U10" i="1"/>
  <c r="O10" i="1"/>
  <c r="J10" i="1"/>
  <c r="I10" i="1"/>
  <c r="C10" i="1"/>
  <c r="V9" i="1"/>
  <c r="U9" i="1"/>
  <c r="E79" i="1" s="1"/>
  <c r="O9" i="1"/>
  <c r="J9" i="1"/>
  <c r="I9" i="1"/>
  <c r="C9" i="1"/>
  <c r="V8" i="1"/>
  <c r="R8" i="1"/>
  <c r="U8" i="1" s="1"/>
  <c r="O8" i="1"/>
  <c r="O35" i="1" s="1"/>
  <c r="J8" i="1"/>
  <c r="I8" i="1"/>
  <c r="C8" i="1"/>
  <c r="V7" i="1"/>
  <c r="U7" i="1"/>
  <c r="O7" i="1"/>
  <c r="J7" i="1"/>
  <c r="I7" i="1"/>
  <c r="C7" i="1"/>
  <c r="V6" i="1"/>
  <c r="U6" i="1"/>
  <c r="O6" i="1"/>
  <c r="J6" i="1"/>
  <c r="I6" i="1"/>
  <c r="C6" i="1"/>
  <c r="V5" i="1"/>
  <c r="U5" i="1"/>
  <c r="O5" i="1"/>
  <c r="J5" i="1"/>
  <c r="I5" i="1"/>
  <c r="C5" i="1"/>
  <c r="V4" i="1"/>
  <c r="U4" i="1"/>
  <c r="O4" i="1"/>
  <c r="J4" i="1"/>
  <c r="I4" i="1"/>
  <c r="C4" i="1"/>
  <c r="V3" i="1"/>
  <c r="I94" i="1" s="1"/>
  <c r="U3" i="1"/>
  <c r="O3" i="1"/>
  <c r="J3" i="1"/>
  <c r="I3" i="1"/>
  <c r="C3" i="1"/>
  <c r="K56" i="1" l="1"/>
  <c r="I85" i="1" s="1"/>
  <c r="C94" i="1"/>
  <c r="C85" i="1"/>
  <c r="J68" i="1"/>
  <c r="E85" i="1" s="1"/>
  <c r="J67" i="1"/>
  <c r="J51" i="1"/>
  <c r="C95" i="1" s="1"/>
  <c r="J69" i="1"/>
  <c r="E95" i="1" s="1"/>
  <c r="K69" i="1"/>
  <c r="E94" i="1"/>
  <c r="J94" i="1"/>
  <c r="K68" i="1"/>
  <c r="J85" i="1" s="1"/>
  <c r="D84" i="1"/>
  <c r="K51" i="1"/>
  <c r="C79" i="1"/>
  <c r="I81" i="1"/>
  <c r="C93" i="1"/>
  <c r="E92" i="1"/>
  <c r="I79" i="1"/>
  <c r="D81" i="1"/>
  <c r="D88" i="1"/>
  <c r="B84" i="1"/>
  <c r="D80" i="1"/>
  <c r="I86" i="1"/>
  <c r="I87" i="1"/>
  <c r="D79" i="1"/>
  <c r="D82" i="1"/>
  <c r="E77" i="1"/>
  <c r="V35" i="1"/>
  <c r="V36" i="1"/>
  <c r="V45" i="1"/>
  <c r="D89" i="1"/>
  <c r="I82" i="1"/>
  <c r="B77" i="1"/>
  <c r="J77" i="1"/>
  <c r="E82" i="1"/>
  <c r="B91" i="1"/>
  <c r="B80" i="1"/>
  <c r="B87" i="1"/>
  <c r="J79" i="1"/>
  <c r="J82" i="1"/>
  <c r="E87" i="1"/>
  <c r="E89" i="1"/>
  <c r="J78" i="1"/>
  <c r="B83" i="1"/>
  <c r="C77" i="1"/>
  <c r="C89" i="1"/>
  <c r="E84" i="1"/>
  <c r="J89" i="1"/>
  <c r="J91" i="1"/>
  <c r="D91" i="1"/>
  <c r="B88" i="1"/>
  <c r="I89" i="1"/>
  <c r="B81" i="1"/>
  <c r="J84" i="1"/>
  <c r="D90" i="1"/>
  <c r="D92" i="1"/>
  <c r="V43" i="1"/>
  <c r="J93" i="1" s="1"/>
  <c r="J52" i="1"/>
  <c r="C76" i="1" s="1"/>
  <c r="F68" i="1"/>
  <c r="D93" i="1"/>
  <c r="C78" i="1"/>
  <c r="C82" i="1"/>
  <c r="D83" i="1"/>
  <c r="C84" i="1"/>
  <c r="I77" i="1"/>
  <c r="U35" i="1"/>
  <c r="K67" i="1"/>
  <c r="B78" i="1"/>
  <c r="D87" i="1"/>
  <c r="I78" i="1"/>
  <c r="B79" i="1"/>
  <c r="I84" i="1"/>
  <c r="J81" i="1"/>
  <c r="U36" i="1"/>
  <c r="E88" i="1"/>
  <c r="E90" i="1"/>
  <c r="K55" i="1"/>
  <c r="I83" i="1"/>
  <c r="I88" i="1"/>
  <c r="C81" i="1"/>
  <c r="D77" i="1"/>
  <c r="J80" i="1"/>
  <c r="J83" i="1"/>
  <c r="J88" i="1"/>
  <c r="J90" i="1"/>
  <c r="J92" i="1"/>
  <c r="F50" i="1"/>
  <c r="J50" i="1" s="1"/>
  <c r="C86" i="1" s="1"/>
  <c r="J65" i="1"/>
  <c r="B85" i="1"/>
  <c r="J56" i="1"/>
  <c r="D78" i="1"/>
  <c r="E78" i="1"/>
  <c r="E86" i="1"/>
  <c r="D86" i="1"/>
  <c r="C87" i="1"/>
  <c r="I90" i="1"/>
  <c r="I91" i="1"/>
  <c r="I92" i="1"/>
  <c r="I93" i="1"/>
  <c r="E83" i="1"/>
  <c r="U43" i="1"/>
  <c r="E93" i="1" s="1"/>
  <c r="K52" i="1"/>
  <c r="J75" i="1" s="1"/>
  <c r="I80" i="1"/>
  <c r="B89" i="1"/>
  <c r="E80" i="1"/>
  <c r="B90" i="1"/>
  <c r="B92" i="1"/>
  <c r="B93" i="1"/>
  <c r="C83" i="1"/>
  <c r="E81" i="1"/>
  <c r="J86" i="1"/>
  <c r="J87" i="1"/>
  <c r="J55" i="1"/>
  <c r="U45" i="1"/>
  <c r="B82" i="1"/>
  <c r="C90" i="1"/>
  <c r="C91" i="1"/>
  <c r="C92" i="1"/>
  <c r="C88" i="1"/>
  <c r="E91" i="1"/>
  <c r="C80" i="1"/>
  <c r="J95" i="1" l="1"/>
  <c r="I95" i="1"/>
  <c r="C23" i="1"/>
  <c r="B23" i="1" s="1"/>
  <c r="D85" i="1"/>
  <c r="J76" i="1"/>
  <c r="E76" i="1"/>
  <c r="B75" i="1"/>
  <c r="B76" i="1"/>
  <c r="E75" i="1"/>
  <c r="C75" i="1"/>
  <c r="B86" i="1"/>
  <c r="D75" i="1"/>
  <c r="I76" i="1"/>
  <c r="I75" i="1"/>
  <c r="D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PRAKASH CHINTAKUNTA</author>
    <author>tc={1295CA9F-CB30-4917-B8B9-37905D6EDA44}</author>
    <author>tc={F068AA2B-E697-4E69-ABD8-8BD7E1A3ADEA}</author>
    <author>tc={A15E76B4-C229-4188-BE8D-7030BB812992}</author>
  </authors>
  <commentList>
    <comment ref="E75" authorId="0" shapeId="0" xr:uid="{70F0C5EE-2777-47B0-A979-12752C395218}">
      <text>
        <r>
          <rPr>
            <b/>
            <sz val="9"/>
            <color indexed="81"/>
            <rFont val="Tahoma"/>
            <family val="2"/>
          </rPr>
          <t>PRAKASH CHINTAKUNTA:</t>
        </r>
        <r>
          <rPr>
            <sz val="9"/>
            <color indexed="81"/>
            <rFont val="Tahoma"/>
            <family val="2"/>
          </rPr>
          <t xml:space="preserve">
HNO2 + 2* --&gt; NO* + OH*  ∆G-act = f(pH)
∆Gact = G(HNO2-reactant-state) - G(HNO2-Transition-state) + ∆G(Protonation)
∆Gact = G(HNO2-reactant-state) - G(HNO2-Transition-state) - ∆G(Deprotonation)
∆G(Protonation) = G(HNO2) - G(H+ + NO2-)</t>
        </r>
      </text>
    </comment>
    <comment ref="Q75" authorId="1" shapeId="0" xr:uid="{1295CA9F-CB30-4917-B8B9-37905D6EDA44}">
      <text>
        <t>[Threaded comment]
Your version of Excel allows you to read this threaded comment; however, any edits to it will get removed if the file is opened in a newer version of Excel. Learn more: https://go.microsoft.com/fwlink/?linkid=870924
Comment:
    2.01</t>
      </text>
    </comment>
    <comment ref="R75" authorId="2" shapeId="0" xr:uid="{F068AA2B-E697-4E69-ABD8-8BD7E1A3ADEA}">
      <text>
        <t>[Threaded comment]
Your version of Excel allows you to read this threaded comment; however, any edits to it will get removed if the file is opened in a newer version of Excel. Learn more: https://go.microsoft.com/fwlink/?linkid=870924
Comment:
    0.995</t>
      </text>
    </comment>
    <comment ref="S75" authorId="3" shapeId="0" xr:uid="{A15E76B4-C229-4188-BE8D-7030BB812992}">
      <text>
        <t>[Threaded comment]
Your version of Excel allows you to read this threaded comment; however, any edits to it will get removed if the file is opened in a newer version of Excel. Learn more: https://go.microsoft.com/fwlink/?linkid=870924
Comment:
    0.94</t>
      </text>
    </comment>
  </commentList>
</comments>
</file>

<file path=xl/sharedStrings.xml><?xml version="1.0" encoding="utf-8"?>
<sst xmlns="http://schemas.openxmlformats.org/spreadsheetml/2006/main" count="273" uniqueCount="121">
  <si>
    <t>Palladium</t>
  </si>
  <si>
    <t>PV @ T=300K</t>
  </si>
  <si>
    <t>Rhodium</t>
  </si>
  <si>
    <t>E {DFT}</t>
  </si>
  <si>
    <t>E + ZPE</t>
  </si>
  <si>
    <t>E {DFT+Sol}</t>
  </si>
  <si>
    <t>Zero Point Energy (ZPE)</t>
  </si>
  <si>
    <t>{TS}</t>
  </si>
  <si>
    <t>Entropy - S</t>
  </si>
  <si>
    <t>E {vib}</t>
  </si>
  <si>
    <t>Gibbs Free Energy</t>
  </si>
  <si>
    <t>Enthalpy - H</t>
  </si>
  <si>
    <t>*</t>
  </si>
  <si>
    <t>H*</t>
  </si>
  <si>
    <t>N2H3*</t>
  </si>
  <si>
    <t>N*</t>
  </si>
  <si>
    <t>NH*</t>
  </si>
  <si>
    <t>NH2*</t>
  </si>
  <si>
    <t>N2H5*</t>
  </si>
  <si>
    <t>NH3*</t>
  </si>
  <si>
    <t>NNH*</t>
  </si>
  <si>
    <t>NO*</t>
  </si>
  <si>
    <t>HNNH*</t>
  </si>
  <si>
    <t>N2*</t>
  </si>
  <si>
    <t>O*</t>
  </si>
  <si>
    <t>HNNH2*</t>
  </si>
  <si>
    <t>N2O*</t>
  </si>
  <si>
    <t>NNH2</t>
  </si>
  <si>
    <t>N2H4*</t>
  </si>
  <si>
    <t>HNNH3</t>
  </si>
  <si>
    <t>2 NH2*</t>
  </si>
  <si>
    <t>OH*</t>
  </si>
  <si>
    <t>HNO*</t>
  </si>
  <si>
    <t>All reactions starting from 2N* + 2H*</t>
  </si>
  <si>
    <t>Reaction Energies</t>
  </si>
  <si>
    <t>HNOH*</t>
  </si>
  <si>
    <t>NOH*</t>
  </si>
  <si>
    <t>HNO2*</t>
  </si>
  <si>
    <t>NO2*</t>
  </si>
  <si>
    <t>H2O*</t>
  </si>
  <si>
    <t>TRANSITION STATE</t>
  </si>
  <si>
    <t>R1 - HNO2 + 2* --&gt; NO*+ OH*</t>
  </si>
  <si>
    <t>R2 - H+ + NO2- + 2* --&gt; NO2*+ H*</t>
  </si>
  <si>
    <t>R3 - NO2* + * --&gt; NO*+ O*</t>
  </si>
  <si>
    <t xml:space="preserve">R4 - H2 + 2* --&gt; 2H*  </t>
  </si>
  <si>
    <t>R5 - NO* + * --&gt; N* + O*</t>
  </si>
  <si>
    <t>R6 - O* + H* --&gt; OH* + *</t>
  </si>
  <si>
    <t>R7 - OH* + H* --&gt; H2O* + *</t>
  </si>
  <si>
    <t>R8 - N* + H* --&gt; NH* + *</t>
  </si>
  <si>
    <t>R9 - NH* + H* --&gt; NH2* + *</t>
  </si>
  <si>
    <t>R10 - NH2* + H* --&gt; NH3* + *</t>
  </si>
  <si>
    <t>R11 - NH3* + H+ --&gt; NH4+ + *</t>
  </si>
  <si>
    <t xml:space="preserve">R12 - H2O*  --&gt;  H2O+*  </t>
  </si>
  <si>
    <t>R13 - NO* + H* --&gt; NOH* + *</t>
  </si>
  <si>
    <t>R14 - NO* + H* --&gt; HNO* + *</t>
  </si>
  <si>
    <t>R15 - NOH* + H* --&gt; HNOH* + *</t>
  </si>
  <si>
    <t>R16 - NOH* + * --&gt; N* + OH*</t>
  </si>
  <si>
    <t>R17 - HNO* + H* --&gt; HNOH* + *</t>
  </si>
  <si>
    <t>R18 - HNO* + * --&gt; NH* + O*</t>
  </si>
  <si>
    <t>R19 - HNOH* + * --&gt; NH* + OH*</t>
  </si>
  <si>
    <t>2OH*</t>
  </si>
  <si>
    <t>3OH*</t>
  </si>
  <si>
    <t>R20 - 2NH2* --&gt; N2H4* + *</t>
  </si>
  <si>
    <t>R21 - N2H4* --&gt; N2H4 + *</t>
  </si>
  <si>
    <t>HNO2 --&gt; NO2- + H+</t>
  </si>
  <si>
    <t>pH</t>
  </si>
  <si>
    <t>deprotonation E</t>
  </si>
  <si>
    <t>NH3 + H+ --&gt; NH4+</t>
  </si>
  <si>
    <t>Protonation E</t>
  </si>
  <si>
    <t>OH* influence on NO* adsorption</t>
  </si>
  <si>
    <t>E {PV}</t>
  </si>
  <si>
    <t>NH3</t>
  </si>
  <si>
    <t>2.5 ppm</t>
  </si>
  <si>
    <t>NO-OH*</t>
  </si>
  <si>
    <t>H2O</t>
  </si>
  <si>
    <t>55 moles/liter</t>
  </si>
  <si>
    <t>NO-2OH*</t>
  </si>
  <si>
    <t>N2H4</t>
  </si>
  <si>
    <t>1 ppm</t>
  </si>
  <si>
    <t>NO-3OH*</t>
  </si>
  <si>
    <t>HNO2</t>
  </si>
  <si>
    <t>50 ppm</t>
  </si>
  <si>
    <t>H2</t>
  </si>
  <si>
    <t>-</t>
  </si>
  <si>
    <t>1 atm (equilibrum with gas phase H2</t>
  </si>
  <si>
    <t>N2</t>
  </si>
  <si>
    <t>0.7 atm</t>
  </si>
  <si>
    <t>(H+ + NO2-)</t>
  </si>
  <si>
    <t>NH4+</t>
  </si>
  <si>
    <t>Lone-pair N2H4</t>
  </si>
  <si>
    <t>H2O-Dimer</t>
  </si>
  <si>
    <t>NH3-H2O</t>
  </si>
  <si>
    <t>NO</t>
  </si>
  <si>
    <t>Transition State</t>
  </si>
  <si>
    <t>H+ + NO2</t>
  </si>
  <si>
    <t>Table - S5</t>
  </si>
  <si>
    <t>Table - S4</t>
  </si>
  <si>
    <t>Reaction step - Elementary Reaction</t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</si>
  <si>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G</t>
    </r>
    <r>
      <rPr>
        <b/>
        <vertAlign val="subscript"/>
        <sz val="14"/>
        <color rgb="FFFF00FF"/>
        <rFont val="Calibri"/>
        <family val="2"/>
        <scheme val="minor"/>
      </rPr>
      <t>rxn</t>
    </r>
    <r>
      <rPr>
        <b/>
        <sz val="14"/>
        <color rgb="FFFF00FF"/>
        <rFont val="Calibri"/>
        <family val="2"/>
        <scheme val="minor"/>
      </rPr>
      <t xml:space="preserve"> on Pd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</si>
  <si>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G</t>
    </r>
    <r>
      <rPr>
        <b/>
        <vertAlign val="subscript"/>
        <sz val="14"/>
        <color rgb="FFFF00FF"/>
        <rFont val="Calibri"/>
        <family val="2"/>
        <scheme val="minor"/>
      </rPr>
      <t>rxn</t>
    </r>
    <r>
      <rPr>
        <b/>
        <sz val="14"/>
        <color rgb="FFFF00FF"/>
        <rFont val="Calibri"/>
        <family val="2"/>
        <scheme val="minor"/>
      </rPr>
      <t xml:space="preserve"> on Rh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</si>
  <si>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G</t>
    </r>
    <r>
      <rPr>
        <b/>
        <vertAlign val="subscript"/>
        <sz val="14"/>
        <color rgb="FFFF00FF"/>
        <rFont val="Calibri"/>
        <family val="2"/>
        <scheme val="minor"/>
      </rPr>
      <t>act</t>
    </r>
    <r>
      <rPr>
        <b/>
        <sz val="14"/>
        <color rgb="FFFF00FF"/>
        <rFont val="Calibri"/>
        <family val="2"/>
        <scheme val="minor"/>
      </rPr>
      <t xml:space="preserve"> on Pd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</si>
  <si>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G</t>
    </r>
    <r>
      <rPr>
        <b/>
        <vertAlign val="subscript"/>
        <sz val="14"/>
        <color rgb="FFFF00FF"/>
        <rFont val="Calibri"/>
        <family val="2"/>
        <scheme val="minor"/>
      </rPr>
      <t>act</t>
    </r>
    <r>
      <rPr>
        <b/>
        <sz val="14"/>
        <color rgb="FFFF00FF"/>
        <rFont val="Calibri"/>
        <family val="2"/>
        <scheme val="minor"/>
      </rPr>
      <t xml:space="preserve"> on Rh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</si>
  <si>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S</t>
    </r>
    <r>
      <rPr>
        <b/>
        <vertAlign val="subscript"/>
        <sz val="14"/>
        <color rgb="FFFF00FF"/>
        <rFont val="Calibri"/>
        <family val="2"/>
        <scheme val="minor"/>
      </rPr>
      <t>rxn</t>
    </r>
    <r>
      <rPr>
        <b/>
        <sz val="14"/>
        <color rgb="FFFF00FF"/>
        <rFont val="Calibri"/>
        <family val="2"/>
        <scheme val="minor"/>
      </rPr>
      <t xml:space="preserve">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</si>
  <si>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S</t>
    </r>
    <r>
      <rPr>
        <b/>
        <vertAlign val="subscript"/>
        <sz val="14"/>
        <color rgb="FFFF00FF"/>
        <rFont val="Calibri"/>
        <family val="2"/>
        <scheme val="minor"/>
      </rPr>
      <t xml:space="preserve">act </t>
    </r>
    <r>
      <rPr>
        <b/>
        <sz val="14"/>
        <color rgb="FFFF00FF"/>
        <rFont val="Calibri"/>
        <family val="2"/>
        <scheme val="minor"/>
      </rPr>
      <t>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</si>
  <si>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H</t>
    </r>
    <r>
      <rPr>
        <b/>
        <vertAlign val="subscript"/>
        <sz val="14"/>
        <color rgb="FFFF00FF"/>
        <rFont val="Calibri"/>
        <family val="2"/>
        <scheme val="minor"/>
      </rPr>
      <t>rxn</t>
    </r>
    <r>
      <rPr>
        <b/>
        <sz val="14"/>
        <color rgb="FFFF00FF"/>
        <rFont val="Calibri"/>
        <family val="2"/>
        <scheme val="minor"/>
      </rPr>
      <t xml:space="preserve"> (eV)</t>
    </r>
  </si>
  <si>
    <r>
      <rPr>
        <b/>
        <sz val="14"/>
        <color rgb="FFFF00FF"/>
        <rFont val="Symbol"/>
        <family val="1"/>
        <charset val="2"/>
      </rPr>
      <t>D</t>
    </r>
    <r>
      <rPr>
        <b/>
        <sz val="14"/>
        <color rgb="FFFF00FF"/>
        <rFont val="Calibri"/>
        <family val="2"/>
        <scheme val="minor"/>
      </rPr>
      <t>H</t>
    </r>
    <r>
      <rPr>
        <b/>
        <vertAlign val="subscript"/>
        <sz val="14"/>
        <color rgb="FFFF00FF"/>
        <rFont val="Calibri"/>
        <family val="2"/>
        <scheme val="minor"/>
      </rPr>
      <t>act</t>
    </r>
    <r>
      <rPr>
        <b/>
        <sz val="14"/>
        <color rgb="FFFF00FF"/>
        <rFont val="Calibri"/>
        <family val="2"/>
        <scheme val="minor"/>
      </rPr>
      <t xml:space="preserve"> (eV)</t>
    </r>
  </si>
  <si>
    <t>R21 - N2H4*  --&gt; N2H4 + *</t>
  </si>
  <si>
    <t>E[NH3-H2O] - E[NH3] - E[H2O]</t>
  </si>
  <si>
    <t>E[N2H4-2H2O] - 2E[H2O]- E[N2H4]</t>
  </si>
  <si>
    <t>E[NO-nOH*] - E[nOH*] - E[NO]</t>
  </si>
  <si>
    <t>Explicit N2H4 Solvation Energy</t>
  </si>
  <si>
    <t>Explicit NH3 Solvation Energy</t>
  </si>
  <si>
    <t>N +NH --&gt; NNH --&gt; HNNH --&gt; H2NNH --&gt; H2NNH2</t>
  </si>
  <si>
    <t>N +NH --&gt; NNH --&gt; NNH2 --&gt; HNNH2 --&gt; H2NNH2</t>
  </si>
  <si>
    <t>N +NH2 --&gt; NNH2 --&gt; HNNH2 --&gt; H2NNH2</t>
  </si>
  <si>
    <t>2*NH --&gt; HNNH --&gt; HNNH2 --&gt; H2NNH2</t>
  </si>
  <si>
    <t>NH + NH2 --&gt; HNNH2 --&gt; H2NNH2</t>
  </si>
  <si>
    <t>NH + NH3 --&gt; HNNH3 --&gt; HNNH2 --&gt; H2NNH2</t>
  </si>
  <si>
    <t>NH +NH3 --&gt; HNNH3 --&gt; H2NNH3 --&gt; H2NNH2</t>
  </si>
  <si>
    <t>2*NH2 --&gt; N2H4</t>
  </si>
  <si>
    <t>Reaction Intermediates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</si>
</sst>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E+00"/>
    <numFmt numFmtId="167" formatCode="0.0000"/>
    <numFmt numFmtId="173" formatCode="0.0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b/>
      <sz val="16"/>
      <color rgb="FFFF00F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FF"/>
      <name val="Calibri"/>
      <family val="1"/>
      <charset val="2"/>
      <scheme val="minor"/>
    </font>
    <font>
      <b/>
      <sz val="14"/>
      <color rgb="FFFF00FF"/>
      <name val="Symbol"/>
      <family val="1"/>
      <charset val="2"/>
    </font>
    <font>
      <b/>
      <vertAlign val="subscript"/>
      <sz val="14"/>
      <color rgb="FFFF00FF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rgb="FFFF33CC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2" fontId="1" fillId="0" borderId="0" applyNumberFormat="0" applyFont="0" applyBorder="0">
      <alignment horizontal="center" vertical="center"/>
    </xf>
    <xf numFmtId="0" fontId="11" fillId="0" borderId="0"/>
  </cellStyleXfs>
  <cellXfs count="162">
    <xf numFmtId="0" fontId="0" fillId="0" borderId="0" xfId="0"/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2" applyNumberFormat="1" applyFo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0" xfId="2" applyNumberFormat="1" applyFont="1">
      <alignment horizontal="center" vertical="center"/>
    </xf>
    <xf numFmtId="164" fontId="7" fillId="0" borderId="0" xfId="2" applyNumberFormat="1" applyFo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10" fillId="0" borderId="0" xfId="2" applyNumberFormat="1" applyFo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10" fillId="0" borderId="0" xfId="2" applyNumberFormat="1" applyFo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4" fontId="10" fillId="0" borderId="0" xfId="1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/>
    <xf numFmtId="164" fontId="10" fillId="0" borderId="0" xfId="0" applyNumberFormat="1" applyFont="1" applyAlignment="1">
      <alignment horizontal="center" vertical="center"/>
    </xf>
    <xf numFmtId="166" fontId="4" fillId="0" borderId="0" xfId="2" applyNumberFormat="1" applyFont="1">
      <alignment horizontal="center" vertical="center"/>
    </xf>
    <xf numFmtId="166" fontId="10" fillId="0" borderId="1" xfId="2" applyNumberFormat="1" applyFont="1" applyBorder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10" fillId="0" borderId="0" xfId="2" applyNumberFormat="1" applyFont="1" applyAlignment="1">
      <alignment vertical="center"/>
    </xf>
    <xf numFmtId="0" fontId="11" fillId="0" borderId="0" xfId="3"/>
    <xf numFmtId="164" fontId="10" fillId="0" borderId="0" xfId="3" applyNumberFormat="1" applyFont="1" applyAlignment="1">
      <alignment horizontal="center"/>
    </xf>
    <xf numFmtId="164" fontId="12" fillId="0" borderId="0" xfId="2" applyNumberFormat="1" applyFont="1">
      <alignment horizontal="center" vertical="center"/>
    </xf>
    <xf numFmtId="164" fontId="4" fillId="0" borderId="0" xfId="2" applyNumberFormat="1" applyFont="1" applyAlignment="1">
      <alignment horizontal="left" vertical="center"/>
    </xf>
    <xf numFmtId="164" fontId="4" fillId="0" borderId="2" xfId="2" applyNumberFormat="1" applyFont="1" applyBorder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2" applyNumberFormat="1" applyFont="1" applyBorder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2" fontId="4" fillId="0" borderId="6" xfId="2" applyFont="1" applyBorder="1">
      <alignment horizontal="center" vertical="center"/>
    </xf>
    <xf numFmtId="164" fontId="4" fillId="0" borderId="6" xfId="2" applyNumberFormat="1" applyFont="1" applyBorder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5" fontId="4" fillId="0" borderId="0" xfId="2" applyNumberFormat="1" applyFont="1">
      <alignment horizontal="center" vertical="center"/>
    </xf>
    <xf numFmtId="164" fontId="6" fillId="0" borderId="0" xfId="2" applyNumberFormat="1" applyFont="1">
      <alignment horizontal="center" vertical="center"/>
    </xf>
    <xf numFmtId="164" fontId="14" fillId="0" borderId="0" xfId="2" applyNumberFormat="1" applyFont="1">
      <alignment horizontal="center" vertical="center"/>
    </xf>
    <xf numFmtId="164" fontId="15" fillId="0" borderId="0" xfId="2" applyNumberFormat="1" applyFont="1">
      <alignment horizontal="center" vertical="center"/>
    </xf>
    <xf numFmtId="166" fontId="10" fillId="0" borderId="0" xfId="3" applyNumberFormat="1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2" fontId="11" fillId="0" borderId="0" xfId="3" applyNumberFormat="1"/>
    <xf numFmtId="164" fontId="7" fillId="0" borderId="0" xfId="2" applyNumberFormat="1" applyFont="1" applyAlignment="1">
      <alignment horizontal="left" vertical="center"/>
    </xf>
    <xf numFmtId="0" fontId="4" fillId="0" borderId="0" xfId="2" applyNumberFormat="1" applyFont="1">
      <alignment horizontal="center" vertical="center"/>
    </xf>
    <xf numFmtId="164" fontId="19" fillId="0" borderId="0" xfId="2" applyNumberFormat="1" applyFont="1">
      <alignment horizontal="center" vertical="center"/>
    </xf>
    <xf numFmtId="0" fontId="19" fillId="0" borderId="0" xfId="2" applyNumberFormat="1" applyFont="1">
      <alignment horizontal="center" vertical="center"/>
    </xf>
    <xf numFmtId="164" fontId="7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165" fontId="10" fillId="0" borderId="0" xfId="2" applyNumberFormat="1" applyFo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2" fontId="20" fillId="0" borderId="3" xfId="2" applyFont="1" applyBorder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3" xfId="2" applyNumberFormat="1" applyFont="1" applyBorder="1">
      <alignment horizontal="center" vertical="center"/>
    </xf>
    <xf numFmtId="164" fontId="7" fillId="0" borderId="4" xfId="2" applyNumberFormat="1" applyFont="1" applyBorder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vertical="center" wrapText="1"/>
    </xf>
    <xf numFmtId="0" fontId="21" fillId="0" borderId="3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10" fillId="0" borderId="9" xfId="2" applyNumberFormat="1" applyFont="1" applyBorder="1" applyAlignment="1">
      <alignment horizontal="left" vertical="center"/>
    </xf>
    <xf numFmtId="2" fontId="10" fillId="0" borderId="0" xfId="2" applyFont="1">
      <alignment horizontal="center" vertical="center"/>
    </xf>
    <xf numFmtId="2" fontId="10" fillId="0" borderId="10" xfId="2" applyFont="1" applyBorder="1">
      <alignment horizontal="center" vertical="center"/>
    </xf>
    <xf numFmtId="2" fontId="4" fillId="0" borderId="0" xfId="2" applyFo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64" fontId="10" fillId="0" borderId="10" xfId="2" applyNumberFormat="1" applyFont="1" applyBorder="1" applyAlignment="1">
      <alignment horizontal="left" vertical="center"/>
    </xf>
    <xf numFmtId="2" fontId="25" fillId="0" borderId="0" xfId="2" applyFo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1" fontId="4" fillId="0" borderId="5" xfId="0" applyNumberFormat="1" applyFont="1" applyBorder="1" applyAlignment="1">
      <alignment horizontal="center" vertical="center"/>
    </xf>
    <xf numFmtId="11" fontId="4" fillId="0" borderId="6" xfId="0" applyNumberFormat="1" applyFont="1" applyBorder="1" applyAlignment="1">
      <alignment horizontal="center" vertical="center"/>
    </xf>
    <xf numFmtId="164" fontId="4" fillId="0" borderId="9" xfId="2" applyNumberFormat="1" applyFont="1" applyBorder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2" fontId="10" fillId="0" borderId="0" xfId="2" applyFont="1" applyBorder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1" fontId="4" fillId="0" borderId="0" xfId="0" applyNumberFormat="1" applyFont="1" applyBorder="1" applyAlignment="1">
      <alignment horizontal="center" vertical="center"/>
    </xf>
    <xf numFmtId="164" fontId="10" fillId="0" borderId="0" xfId="2" applyNumberFormat="1" applyFont="1" applyBorder="1" applyAlignment="1">
      <alignment horizontal="left" vertical="center"/>
    </xf>
    <xf numFmtId="164" fontId="10" fillId="0" borderId="0" xfId="2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center" vertical="center"/>
    </xf>
    <xf numFmtId="164" fontId="10" fillId="0" borderId="10" xfId="2" applyNumberFormat="1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2" fontId="4" fillId="0" borderId="10" xfId="2" applyFont="1" applyBorder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64" fontId="25" fillId="0" borderId="0" xfId="2" applyNumberFormat="1" applyFont="1">
      <alignment horizontal="center" vertical="center"/>
    </xf>
    <xf numFmtId="11" fontId="25" fillId="0" borderId="0" xfId="2" applyNumberFormat="1" applyFont="1">
      <alignment horizontal="center" vertical="center"/>
    </xf>
    <xf numFmtId="165" fontId="25" fillId="0" borderId="0" xfId="2" applyNumberFormat="1" applyFont="1">
      <alignment horizontal="center" vertical="center"/>
    </xf>
    <xf numFmtId="165" fontId="25" fillId="0" borderId="9" xfId="2" applyNumberFormat="1" applyFont="1" applyBorder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/>
    <xf numFmtId="164" fontId="4" fillId="0" borderId="0" xfId="2" applyNumberFormat="1" applyFont="1" applyBorder="1">
      <alignment horizontal="center" vertical="center"/>
    </xf>
    <xf numFmtId="164" fontId="18" fillId="0" borderId="0" xfId="2" applyNumberFormat="1" applyFont="1" applyBorder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left" vertical="center"/>
    </xf>
    <xf numFmtId="166" fontId="4" fillId="0" borderId="0" xfId="0" applyNumberFormat="1" applyFont="1" applyBorder="1" applyAlignment="1">
      <alignment horizontal="center" vertical="center"/>
    </xf>
    <xf numFmtId="164" fontId="10" fillId="0" borderId="0" xfId="2" applyNumberFormat="1" applyFont="1" applyBorder="1">
      <alignment horizontal="center" vertical="center"/>
    </xf>
    <xf numFmtId="11" fontId="10" fillId="0" borderId="0" xfId="2" applyNumberFormat="1" applyFo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165" fontId="4" fillId="0" borderId="0" xfId="2" applyNumberFormat="1" applyFont="1" applyBorder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13" fillId="0" borderId="3" xfId="2" applyNumberFormat="1" applyFont="1" applyBorder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164" fontId="10" fillId="0" borderId="5" xfId="2" applyNumberFormat="1" applyFont="1" applyBorder="1">
      <alignment horizontal="center" vertical="center"/>
    </xf>
    <xf numFmtId="164" fontId="10" fillId="0" borderId="6" xfId="2" applyNumberFormat="1" applyFont="1" applyBorder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32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73" fontId="4" fillId="0" borderId="0" xfId="2" applyNumberFormat="1" applyFont="1" applyBorder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4" fontId="30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0" xfId="0" applyFont="1" applyBorder="1"/>
    <xf numFmtId="1" fontId="4" fillId="0" borderId="5" xfId="0" applyNumberFormat="1" applyFont="1" applyBorder="1" applyAlignment="1">
      <alignment horizontal="center" vertical="center"/>
    </xf>
    <xf numFmtId="164" fontId="25" fillId="0" borderId="6" xfId="2" applyNumberFormat="1" applyFont="1" applyBorder="1" applyAlignment="1">
      <alignment horizontal="left" vertical="center"/>
    </xf>
    <xf numFmtId="164" fontId="25" fillId="0" borderId="6" xfId="2" applyNumberFormat="1" applyFont="1" applyBorder="1">
      <alignment horizontal="center" vertical="center"/>
    </xf>
    <xf numFmtId="0" fontId="11" fillId="0" borderId="6" xfId="3" applyBorder="1"/>
    <xf numFmtId="0" fontId="11" fillId="0" borderId="7" xfId="3" applyBorder="1"/>
    <xf numFmtId="164" fontId="4" fillId="0" borderId="5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2" fontId="25" fillId="0" borderId="0" xfId="2" applyFont="1" applyBorder="1">
      <alignment horizontal="center" vertical="center"/>
    </xf>
    <xf numFmtId="164" fontId="10" fillId="0" borderId="9" xfId="2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2" fontId="10" fillId="0" borderId="0" xfId="2" applyNumberFormat="1" applyFont="1" applyBorder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7" xfId="2" applyNumberFormat="1" applyFont="1" applyBorder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 wrapText="1"/>
    </xf>
    <xf numFmtId="164" fontId="25" fillId="0" borderId="9" xfId="2" applyNumberFormat="1" applyFont="1" applyBorder="1">
      <alignment horizontal="center" vertical="center"/>
    </xf>
    <xf numFmtId="2" fontId="4" fillId="0" borderId="0" xfId="2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</cellXfs>
  <cellStyles count="4">
    <cellStyle name="Good" xfId="1" builtinId="26"/>
    <cellStyle name="Norm" xfId="2" xr:uid="{48E752E7-A5DC-478A-8874-FE0AC289C88B}"/>
    <cellStyle name="Normal" xfId="0" builtinId="0"/>
    <cellStyle name="Normal 2" xfId="3" xr:uid="{F10A1B8B-EFB9-4C27-A7DF-175E3422293A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Box%20Sync/Research/Nitrate%20reduction/Free%20Energy%20corr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"/>
      <sheetName val="N"/>
      <sheetName val="NH"/>
      <sheetName val="NH2"/>
      <sheetName val="NH3"/>
      <sheetName val="NO"/>
      <sheetName val="N2"/>
      <sheetName val="O"/>
      <sheetName val="N2O"/>
      <sheetName val="N2H4"/>
      <sheetName val="OH"/>
      <sheetName val="N-OH"/>
      <sheetName val="NO-OH"/>
      <sheetName val="O-OH"/>
      <sheetName val="HNO"/>
      <sheetName val="H2NO"/>
      <sheetName val="H2NOH"/>
      <sheetName val="N2H5"/>
      <sheetName val="N2H5 gas"/>
      <sheetName val="charged-NO2"/>
      <sheetName val="NO2 - gas"/>
      <sheetName val="NH3-gas"/>
      <sheetName val="O2-gas"/>
      <sheetName val="H2-gas"/>
      <sheetName val="H-gas"/>
      <sheetName val="N2-gas"/>
      <sheetName val="N2H4-gas"/>
      <sheetName val="H2O-gas"/>
      <sheetName val="HNO2-gas"/>
      <sheetName val="NH3-H2O-expl.solv."/>
      <sheetName val="HNO2"/>
      <sheetName val="NO2"/>
      <sheetName val="H2O"/>
      <sheetName val="TS-H2O"/>
      <sheetName val="charged NO2 - g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0">
          <cell r="F20">
            <v>2.0010381519413589E-3</v>
          </cell>
        </row>
      </sheetData>
      <sheetData sheetId="22"/>
      <sheetData sheetId="23"/>
      <sheetData sheetId="24"/>
      <sheetData sheetId="25"/>
      <sheetData sheetId="26"/>
      <sheetData sheetId="27">
        <row r="20">
          <cell r="F20">
            <v>1.9572002810447835E-3</v>
          </cell>
        </row>
      </sheetData>
      <sheetData sheetId="28">
        <row r="11">
          <cell r="F11">
            <v>4.870906059341245E-3</v>
          </cell>
        </row>
      </sheetData>
      <sheetData sheetId="29"/>
      <sheetData sheetId="30"/>
      <sheetData sheetId="31"/>
      <sheetData sheetId="32"/>
      <sheetData sheetId="33"/>
      <sheetData sheetId="3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RAKASH CHINTAKUNTA" id="{40E6DB87-7493-4E92-8A49-389DB708DD96}" userId="S-1-5-21-3981718292-3147017437-2455724297-2144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75" dT="2019-09-06T15:52:40.38" personId="{40E6DB87-7493-4E92-8A49-389DB708DD96}" id="{1295CA9F-CB30-4917-B8B9-37905D6EDA44}">
    <text>2.01</text>
  </threadedComment>
  <threadedComment ref="R75" dT="2019-09-06T15:52:54.31" personId="{40E6DB87-7493-4E92-8A49-389DB708DD96}" id="{F068AA2B-E697-4E69-ABD8-8BD7E1A3ADEA}">
    <text>0.995</text>
  </threadedComment>
  <threadedComment ref="S75" dT="2019-09-06T15:53:15.89" personId="{40E6DB87-7493-4E92-8A49-389DB708DD96}" id="{A15E76B4-C229-4188-BE8D-7030BB812992}">
    <text>0.94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ED50-7C8B-4643-8289-DE9B4D9A883A}">
  <dimension ref="A1:AH122"/>
  <sheetViews>
    <sheetView tabSelected="1" topLeftCell="A31" zoomScale="70" zoomScaleNormal="70" workbookViewId="0">
      <selection activeCell="J113" sqref="J113"/>
    </sheetView>
  </sheetViews>
  <sheetFormatPr defaultColWidth="9.109375" defaultRowHeight="15.6"/>
  <cols>
    <col min="1" max="1" width="38.109375" style="2" bestFit="1" customWidth="1"/>
    <col min="2" max="2" width="20" style="2" bestFit="1" customWidth="1"/>
    <col min="3" max="3" width="15.21875" style="2" bestFit="1" customWidth="1"/>
    <col min="4" max="4" width="17.33203125" style="2" bestFit="1" customWidth="1"/>
    <col min="5" max="5" width="28.109375" style="2" bestFit="1" customWidth="1"/>
    <col min="6" max="6" width="14.5546875" style="2" bestFit="1" customWidth="1"/>
    <col min="7" max="7" width="13.5546875" style="2" bestFit="1" customWidth="1"/>
    <col min="8" max="8" width="11.88671875" style="2" bestFit="1" customWidth="1"/>
    <col min="9" max="10" width="22.109375" style="2" bestFit="1" customWidth="1"/>
    <col min="11" max="11" width="36.6640625" style="2" customWidth="1"/>
    <col min="12" max="12" width="25.33203125" style="2" customWidth="1"/>
    <col min="13" max="13" width="44.6640625" style="2" customWidth="1"/>
    <col min="14" max="14" width="27.109375" style="2" customWidth="1"/>
    <col min="15" max="15" width="20.33203125" style="2" customWidth="1"/>
    <col min="16" max="16" width="26.77734375" style="2" customWidth="1"/>
    <col min="17" max="17" width="23.88671875" style="2" customWidth="1"/>
    <col min="18" max="18" width="28.88671875" style="2" customWidth="1"/>
    <col min="19" max="19" width="13.5546875" style="2" bestFit="1" customWidth="1"/>
    <col min="20" max="20" width="16" style="2" customWidth="1"/>
    <col min="21" max="21" width="22.109375" style="2" customWidth="1"/>
    <col min="22" max="22" width="15" style="2" bestFit="1" customWidth="1"/>
    <col min="23" max="23" width="16" style="2" customWidth="1"/>
    <col min="24" max="24" width="55.109375" style="2" customWidth="1"/>
    <col min="25" max="25" width="17.109375" style="2" customWidth="1"/>
    <col min="26" max="26" width="18.33203125" style="2" customWidth="1"/>
    <col min="27" max="27" width="19.33203125" style="2" customWidth="1"/>
    <col min="28" max="28" width="21.33203125" style="2" customWidth="1"/>
    <col min="29" max="29" width="12.6640625" style="2" customWidth="1"/>
    <col min="30" max="30" width="14.33203125" style="2" customWidth="1"/>
    <col min="31" max="31" width="14" style="2" customWidth="1"/>
    <col min="32" max="32" width="15.33203125" style="2" customWidth="1"/>
    <col min="33" max="33" width="25.5546875" style="2" customWidth="1"/>
    <col min="34" max="34" width="16.88671875" style="2" customWidth="1"/>
    <col min="35" max="35" width="46.33203125" style="2" customWidth="1"/>
    <col min="36" max="36" width="16.109375" style="2" customWidth="1"/>
    <col min="37" max="37" width="16.6640625" style="2" customWidth="1"/>
    <col min="38" max="38" width="14.33203125" style="2" customWidth="1"/>
    <col min="39" max="39" width="15.88671875" style="2" customWidth="1"/>
    <col min="40" max="16384" width="9.109375" style="2"/>
  </cols>
  <sheetData>
    <row r="1" spans="1:27" ht="23.4">
      <c r="A1" s="1" t="s">
        <v>0</v>
      </c>
      <c r="F1" s="3" t="s">
        <v>1</v>
      </c>
      <c r="G1" s="3">
        <v>2.5853459804246699E-2</v>
      </c>
      <c r="K1" s="4"/>
      <c r="L1" s="4"/>
      <c r="M1" s="5" t="s">
        <v>2</v>
      </c>
    </row>
    <row r="2" spans="1:27" s="6" customFormat="1" ht="18"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8"/>
      <c r="L2" s="9"/>
      <c r="M2" s="10"/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7" t="s">
        <v>8</v>
      </c>
      <c r="T2" s="7" t="s">
        <v>9</v>
      </c>
      <c r="U2" s="7" t="s">
        <v>10</v>
      </c>
      <c r="V2" s="7" t="s">
        <v>11</v>
      </c>
      <c r="W2" s="11"/>
    </row>
    <row r="3" spans="1:27">
      <c r="A3" s="2" t="s">
        <v>12</v>
      </c>
      <c r="B3" s="2">
        <v>-194.92717400000001</v>
      </c>
      <c r="C3" s="2">
        <f>B3+E3</f>
        <v>-194.92717400000001</v>
      </c>
      <c r="D3" s="2">
        <v>-194.89184829999999</v>
      </c>
      <c r="I3" s="2">
        <f>D3+E3+F3+H3</f>
        <v>-194.89184829999999</v>
      </c>
      <c r="J3" s="2">
        <f>D3+E3+H3</f>
        <v>-194.89184829999999</v>
      </c>
      <c r="K3" s="12"/>
      <c r="M3" s="2" t="s">
        <v>12</v>
      </c>
      <c r="N3" s="2">
        <v>-266.05765500000001</v>
      </c>
      <c r="O3" s="2">
        <f>N3+Q3</f>
        <v>-266.05765500000001</v>
      </c>
      <c r="P3" s="2">
        <v>-266.03512975000001</v>
      </c>
      <c r="U3" s="2">
        <f>P3+Q3-R3+T3</f>
        <v>-266.03512975000001</v>
      </c>
      <c r="V3" s="2">
        <f>P3+Q3+T3</f>
        <v>-266.03512975000001</v>
      </c>
      <c r="W3" s="13"/>
    </row>
    <row r="4" spans="1:27">
      <c r="A4" s="2" t="s">
        <v>13</v>
      </c>
      <c r="B4" s="2">
        <v>-198.966814</v>
      </c>
      <c r="C4" s="2">
        <f t="shared" ref="C4:C14" si="0">B4+E4</f>
        <v>-198.79784489023191</v>
      </c>
      <c r="D4" s="2">
        <v>-198.93025273999999</v>
      </c>
      <c r="E4" s="2">
        <v>0.16896910976809104</v>
      </c>
      <c r="F4" s="2">
        <v>5.6971413336496801E-3</v>
      </c>
      <c r="G4" s="14">
        <v>1.8990471112165602E-5</v>
      </c>
      <c r="H4" s="2">
        <v>4.6090420080754247E-3</v>
      </c>
      <c r="I4" s="2">
        <f>D4+E4-F4+H4+$G$1</f>
        <v>-198.73651826975325</v>
      </c>
      <c r="J4" s="2">
        <f t="shared" ref="J4:J20" si="1">D4+E4+H4+$G$1</f>
        <v>-198.73082112841959</v>
      </c>
      <c r="K4" s="12"/>
      <c r="M4" s="2" t="s">
        <v>13</v>
      </c>
      <c r="N4" s="2">
        <v>-270.03481900000003</v>
      </c>
      <c r="O4" s="2">
        <f t="shared" ref="O4:O15" si="2">N4+Q4</f>
        <v>-269.87085898602675</v>
      </c>
      <c r="P4" s="2">
        <v>-270.01012700000001</v>
      </c>
      <c r="Q4" s="2">
        <v>0.16396001397326265</v>
      </c>
      <c r="R4" s="2">
        <v>7.1810168655286897E-3</v>
      </c>
      <c r="S4" s="14">
        <v>2.3936722885095617E-5</v>
      </c>
      <c r="T4" s="2">
        <v>5.6938009085462709E-3</v>
      </c>
      <c r="U4" s="2">
        <f t="shared" ref="U4:U17" si="3">P4+Q4-R4+T4+$G$1</f>
        <v>-269.82180074217945</v>
      </c>
      <c r="V4" s="15">
        <f t="shared" ref="V4:V20" si="4">P4+Q4+T4+$G$1</f>
        <v>-269.81461972531395</v>
      </c>
      <c r="W4" s="13"/>
    </row>
    <row r="5" spans="1:27">
      <c r="A5" s="2" t="s">
        <v>15</v>
      </c>
      <c r="B5" s="2">
        <v>-202.97413399999999</v>
      </c>
      <c r="C5" s="2">
        <f t="shared" si="0"/>
        <v>-202.8807213487492</v>
      </c>
      <c r="D5" s="2">
        <v>-202.95107406</v>
      </c>
      <c r="E5" s="2">
        <v>9.3412651250774137E-2</v>
      </c>
      <c r="F5" s="2">
        <v>2.5769235565795984E-2</v>
      </c>
      <c r="G5" s="14">
        <v>8.5897451885986618E-5</v>
      </c>
      <c r="H5" s="2">
        <v>1.84606146733244E-2</v>
      </c>
      <c r="I5" s="2">
        <f>D5+E5-F5+H5+$G$1</f>
        <v>-202.83911656983744</v>
      </c>
      <c r="J5" s="2">
        <f t="shared" si="1"/>
        <v>-202.81334733427164</v>
      </c>
      <c r="K5" s="12"/>
      <c r="M5" s="2" t="s">
        <v>15</v>
      </c>
      <c r="N5" s="2">
        <v>-274.77315900000002</v>
      </c>
      <c r="O5" s="2">
        <f t="shared" si="2"/>
        <v>-274.68663962354458</v>
      </c>
      <c r="P5" s="2">
        <v>-274.77389799999997</v>
      </c>
      <c r="Q5" s="2">
        <v>8.6519376455447328E-2</v>
      </c>
      <c r="R5" s="2">
        <v>3.0183573969124161E-2</v>
      </c>
      <c r="S5" s="14">
        <v>1.0061191323041387E-4</v>
      </c>
      <c r="T5" s="2">
        <v>2.1066473733159854E-2</v>
      </c>
      <c r="U5" s="2">
        <f t="shared" si="3"/>
        <v>-274.67064226397622</v>
      </c>
      <c r="V5" s="15">
        <f t="shared" si="4"/>
        <v>-274.64045869000711</v>
      </c>
      <c r="W5" s="13"/>
    </row>
    <row r="6" spans="1:27">
      <c r="A6" s="2" t="s">
        <v>16</v>
      </c>
      <c r="B6" s="2">
        <v>-207.188333</v>
      </c>
      <c r="C6" s="2">
        <f t="shared" si="0"/>
        <v>-206.79619327439738</v>
      </c>
      <c r="D6" s="2">
        <v>-207.26674512</v>
      </c>
      <c r="E6" s="2">
        <v>0.39213972560260518</v>
      </c>
      <c r="F6" s="2">
        <v>3.5640752458787103E-2</v>
      </c>
      <c r="G6" s="14">
        <v>1.1880250819595701E-4</v>
      </c>
      <c r="H6" s="2">
        <v>2.6439495174582127E-2</v>
      </c>
      <c r="I6" s="2">
        <f t="shared" ref="I6:I21" si="5">D6+E6-F6+H6+$G$1</f>
        <v>-206.85795319187736</v>
      </c>
      <c r="J6" s="2">
        <f t="shared" si="1"/>
        <v>-206.82231243941857</v>
      </c>
      <c r="K6" s="12"/>
      <c r="M6" s="2" t="s">
        <v>16</v>
      </c>
      <c r="N6" s="2">
        <v>-279.04121099999998</v>
      </c>
      <c r="O6" s="2">
        <f t="shared" si="2"/>
        <v>-278.64946293993472</v>
      </c>
      <c r="P6" s="2">
        <v>-279.12083799999999</v>
      </c>
      <c r="Q6" s="2">
        <v>0.39174806006524887</v>
      </c>
      <c r="R6" s="2">
        <v>3.7228432374342313E-2</v>
      </c>
      <c r="S6" s="14">
        <v>1.2409477458114103E-4</v>
      </c>
      <c r="T6" s="2">
        <v>2.6439495174582127E-2</v>
      </c>
      <c r="U6" s="2">
        <f t="shared" si="3"/>
        <v>-278.71402541733022</v>
      </c>
      <c r="V6" s="15">
        <f t="shared" si="4"/>
        <v>-278.6767969849559</v>
      </c>
      <c r="W6" s="13"/>
      <c r="Z6" s="129"/>
      <c r="AA6" s="129"/>
    </row>
    <row r="7" spans="1:27">
      <c r="A7" s="15" t="s">
        <v>17</v>
      </c>
      <c r="B7" s="15">
        <v>-211.16620900000001</v>
      </c>
      <c r="C7" s="15">
        <f t="shared" si="0"/>
        <v>-210.45756436268428</v>
      </c>
      <c r="D7" s="15">
        <v>-211.30729173</v>
      </c>
      <c r="E7" s="15">
        <v>0.70864463731572158</v>
      </c>
      <c r="F7" s="15">
        <v>6.8157453879951702E-2</v>
      </c>
      <c r="G7" s="17">
        <v>2.2719151293317232E-4</v>
      </c>
      <c r="H7" s="15">
        <v>4.3090903519024011E-2</v>
      </c>
      <c r="I7" s="15">
        <f t="shared" si="5"/>
        <v>-210.59786018324098</v>
      </c>
      <c r="J7" s="15">
        <f t="shared" si="1"/>
        <v>-210.52970272936102</v>
      </c>
      <c r="K7" s="15"/>
      <c r="M7" s="2" t="s">
        <v>17</v>
      </c>
      <c r="N7" s="2">
        <v>-282.77757000000003</v>
      </c>
      <c r="O7" s="2">
        <f t="shared" si="2"/>
        <v>-282.06397809484366</v>
      </c>
      <c r="P7" s="2">
        <v>-282.91417899999999</v>
      </c>
      <c r="Q7" s="2">
        <v>0.71359190515637871</v>
      </c>
      <c r="R7" s="2">
        <v>6.5506169276269968E-2</v>
      </c>
      <c r="S7" s="14">
        <v>2.1835389758756654E-4</v>
      </c>
      <c r="T7" s="2">
        <v>4.1471151870060438E-2</v>
      </c>
      <c r="U7" s="2">
        <f t="shared" si="3"/>
        <v>-282.19876865244561</v>
      </c>
      <c r="V7" s="15">
        <f t="shared" si="4"/>
        <v>-282.13326248316935</v>
      </c>
      <c r="W7" s="13"/>
    </row>
    <row r="8" spans="1:27">
      <c r="A8" s="15" t="s">
        <v>19</v>
      </c>
      <c r="B8" s="15">
        <v>-215.58930599999999</v>
      </c>
      <c r="C8" s="15">
        <f t="shared" si="0"/>
        <v>-214.57288535177881</v>
      </c>
      <c r="D8" s="15">
        <v>-215.93081359999999</v>
      </c>
      <c r="E8" s="15">
        <v>1.0164206482211908</v>
      </c>
      <c r="F8" s="15">
        <v>0.18744869446854501</v>
      </c>
      <c r="G8" s="17">
        <v>6.2482898156181502E-4</v>
      </c>
      <c r="H8" s="15">
        <v>8.3897432701321453E-2</v>
      </c>
      <c r="I8" s="15">
        <f t="shared" si="5"/>
        <v>-214.99209075374179</v>
      </c>
      <c r="J8" s="15">
        <f t="shared" si="1"/>
        <v>-214.80464205927325</v>
      </c>
      <c r="K8" s="15"/>
      <c r="M8" s="2" t="s">
        <v>19</v>
      </c>
      <c r="N8" s="2">
        <v>-286.893824</v>
      </c>
      <c r="O8" s="2">
        <f t="shared" si="2"/>
        <v>-285.86573361065041</v>
      </c>
      <c r="P8" s="2">
        <v>-287.19349599999998</v>
      </c>
      <c r="Q8" s="2">
        <v>1.0280903893495845</v>
      </c>
      <c r="R8" s="2">
        <f>S8*300</f>
        <v>0.14043217319458326</v>
      </c>
      <c r="S8" s="14">
        <v>4.6810724398194418E-4</v>
      </c>
      <c r="T8" s="2">
        <v>7.3433744700624665E-2</v>
      </c>
      <c r="U8" s="2">
        <f t="shared" si="3"/>
        <v>-286.2065505793401</v>
      </c>
      <c r="V8" s="15">
        <f t="shared" si="4"/>
        <v>-286.06611840614551</v>
      </c>
      <c r="W8" s="13"/>
    </row>
    <row r="9" spans="1:27">
      <c r="A9" s="2" t="s">
        <v>21</v>
      </c>
      <c r="B9" s="2">
        <v>-209.69473400000001</v>
      </c>
      <c r="C9" s="2">
        <f>B9+E9</f>
        <v>-209.50481166888639</v>
      </c>
      <c r="D9" s="2">
        <v>-209.67295691999999</v>
      </c>
      <c r="E9" s="2">
        <v>0.1899223311136117</v>
      </c>
      <c r="F9" s="2">
        <v>0.10820763722849241</v>
      </c>
      <c r="G9" s="14">
        <v>3.6069212409497472E-4</v>
      </c>
      <c r="H9" s="2">
        <v>6.134751072401206E-2</v>
      </c>
      <c r="I9" s="2">
        <f>D9+E9-F9+H9+$G$1</f>
        <v>-209.50404125558663</v>
      </c>
      <c r="J9" s="2">
        <f t="shared" si="1"/>
        <v>-209.39583361835813</v>
      </c>
      <c r="K9" s="12"/>
      <c r="M9" s="2" t="s">
        <v>21</v>
      </c>
      <c r="N9" s="2">
        <v>-281.10285800000003</v>
      </c>
      <c r="O9" s="2">
        <f t="shared" si="2"/>
        <v>-280.91934149973275</v>
      </c>
      <c r="P9" s="2">
        <v>-281.113857</v>
      </c>
      <c r="Q9" s="2">
        <v>0.18351650026726571</v>
      </c>
      <c r="R9" s="2">
        <v>0.11096796898354368</v>
      </c>
      <c r="S9" s="14">
        <v>3.6989322994514598E-4</v>
      </c>
      <c r="T9" s="2">
        <v>6.2834587100772776E-2</v>
      </c>
      <c r="U9" s="2">
        <f t="shared" si="3"/>
        <v>-280.95262042181122</v>
      </c>
      <c r="V9" s="15">
        <f t="shared" si="4"/>
        <v>-280.8416524528277</v>
      </c>
      <c r="W9" s="13"/>
    </row>
    <row r="10" spans="1:27">
      <c r="A10" s="2" t="s">
        <v>23</v>
      </c>
      <c r="B10" s="2">
        <v>-212.02323200000001</v>
      </c>
      <c r="C10" s="2">
        <f t="shared" si="0"/>
        <v>-211.83286642104872</v>
      </c>
      <c r="D10" s="2">
        <v>-212.00037854999999</v>
      </c>
      <c r="E10" s="2">
        <v>0.19036557895128159</v>
      </c>
      <c r="F10" s="2">
        <v>0.20596704508054905</v>
      </c>
      <c r="G10" s="14">
        <v>6.8655681693516346E-4</v>
      </c>
      <c r="H10" s="2">
        <v>8.9148673752315929E-2</v>
      </c>
      <c r="I10" s="2">
        <f t="shared" si="5"/>
        <v>-211.9009778825727</v>
      </c>
      <c r="J10" s="2">
        <f t="shared" si="1"/>
        <v>-211.69501083749216</v>
      </c>
      <c r="K10" s="12"/>
      <c r="L10" s="18"/>
      <c r="M10" s="2" t="s">
        <v>23</v>
      </c>
      <c r="N10" s="2">
        <v>-283.50258500000001</v>
      </c>
      <c r="O10" s="2">
        <f t="shared" si="2"/>
        <v>-283.29087786252086</v>
      </c>
      <c r="P10" s="2">
        <v>-283.493831</v>
      </c>
      <c r="Q10" s="2">
        <v>0.21170713747916933</v>
      </c>
      <c r="R10" s="2">
        <v>0.15874327940651642</v>
      </c>
      <c r="S10" s="14">
        <v>5.2914426468838802E-4</v>
      </c>
      <c r="T10" s="2">
        <v>7.4021684862554796E-2</v>
      </c>
      <c r="U10" s="2">
        <f t="shared" si="3"/>
        <v>-283.34099199726057</v>
      </c>
      <c r="V10" s="15">
        <f t="shared" si="4"/>
        <v>-283.18224871785407</v>
      </c>
      <c r="W10" s="13"/>
    </row>
    <row r="11" spans="1:27">
      <c r="A11" s="2" t="s">
        <v>24</v>
      </c>
      <c r="B11" s="2">
        <v>-201.246858</v>
      </c>
      <c r="C11" s="2">
        <f t="shared" si="0"/>
        <v>-201.17291327731053</v>
      </c>
      <c r="D11" s="2">
        <v>-201.23206203999999</v>
      </c>
      <c r="E11" s="2">
        <v>7.3944722689465975E-2</v>
      </c>
      <c r="F11" s="2">
        <v>3.8656287436654196E-2</v>
      </c>
      <c r="G11" s="14">
        <v>1.2885429145551399E-4</v>
      </c>
      <c r="H11" s="2">
        <v>2.5944706979125428E-2</v>
      </c>
      <c r="I11" s="2">
        <f>D11+E11-F11+H11+$G$1</f>
        <v>-201.14497543796381</v>
      </c>
      <c r="J11" s="2">
        <f t="shared" si="1"/>
        <v>-201.10631915052716</v>
      </c>
      <c r="K11" s="12"/>
      <c r="L11" s="18"/>
      <c r="M11" s="2" t="s">
        <v>24</v>
      </c>
      <c r="N11" s="2">
        <v>-273.20318500000002</v>
      </c>
      <c r="O11" s="2">
        <f t="shared" si="2"/>
        <v>-273.13033629402179</v>
      </c>
      <c r="P11" s="2">
        <v>-273.21432499999997</v>
      </c>
      <c r="Q11" s="2">
        <v>7.2848705978228637E-2</v>
      </c>
      <c r="R11" s="2">
        <v>4.0708105070429018E-2</v>
      </c>
      <c r="S11" s="14">
        <v>1.3569368356809673E-4</v>
      </c>
      <c r="T11" s="2">
        <v>2.686111149222474E-2</v>
      </c>
      <c r="U11" s="2">
        <f t="shared" si="3"/>
        <v>-273.12946982779573</v>
      </c>
      <c r="V11" s="15">
        <f t="shared" si="4"/>
        <v>-273.08876172272528</v>
      </c>
      <c r="W11" s="13"/>
    </row>
    <row r="12" spans="1:27">
      <c r="A12" s="2" t="s">
        <v>26</v>
      </c>
      <c r="B12" s="2">
        <v>-216.74252799999999</v>
      </c>
      <c r="C12" s="2">
        <f t="shared" si="0"/>
        <v>-216.43834090136653</v>
      </c>
      <c r="D12" s="2">
        <v>-216.77256700000001</v>
      </c>
      <c r="E12" s="2">
        <v>0.30418709863347687</v>
      </c>
      <c r="F12" s="2">
        <v>0.23571319378920827</v>
      </c>
      <c r="G12" s="14">
        <v>7.857106459640275E-4</v>
      </c>
      <c r="H12" s="2">
        <v>9.7348727697996157E-2</v>
      </c>
      <c r="I12" s="2">
        <f t="shared" si="5"/>
        <v>-216.5808909076535</v>
      </c>
      <c r="J12" s="2">
        <f t="shared" si="1"/>
        <v>-216.3451777138643</v>
      </c>
      <c r="K12" s="12"/>
      <c r="M12" s="2" t="s">
        <v>26</v>
      </c>
      <c r="N12" s="2">
        <v>-288.05092400000001</v>
      </c>
      <c r="O12" s="2">
        <f t="shared" si="2"/>
        <v>-287.73406388805796</v>
      </c>
      <c r="P12" s="2">
        <v>-288.13798800000001</v>
      </c>
      <c r="Q12" s="2">
        <v>0.31686011194206887</v>
      </c>
      <c r="R12" s="2">
        <v>0.25057834484526348</v>
      </c>
      <c r="S12" s="14">
        <v>8.3526114948421159E-4</v>
      </c>
      <c r="T12" s="2">
        <v>0.11140030001854799</v>
      </c>
      <c r="U12" s="2">
        <f t="shared" si="3"/>
        <v>-287.93445247308046</v>
      </c>
      <c r="V12" s="15">
        <f>P12+Q12+T12+$G$1</f>
        <v>-287.68387412823517</v>
      </c>
      <c r="W12" s="13"/>
    </row>
    <row r="13" spans="1:27">
      <c r="A13" s="2" t="s">
        <v>28</v>
      </c>
      <c r="B13" s="2">
        <v>-226.584293</v>
      </c>
      <c r="C13" s="2">
        <f t="shared" si="0"/>
        <v>-225.09322162767563</v>
      </c>
      <c r="D13" s="2">
        <v>-227.28868800000001</v>
      </c>
      <c r="E13" s="2">
        <v>1.4910713723243729</v>
      </c>
      <c r="F13" s="2">
        <v>0.16724215557920799</v>
      </c>
      <c r="G13" s="14">
        <v>5.5747385193069326E-4</v>
      </c>
      <c r="H13" s="2">
        <v>9.3673096276026213E-2</v>
      </c>
      <c r="I13" s="2">
        <f>D13+E13-F13+H13+$G$1</f>
        <v>-225.84533222717457</v>
      </c>
      <c r="J13" s="2">
        <f t="shared" si="1"/>
        <v>-225.67809007159536</v>
      </c>
      <c r="K13" s="12"/>
      <c r="L13" s="13"/>
      <c r="M13" s="2" t="s">
        <v>28</v>
      </c>
      <c r="N13" s="92">
        <v>-298.06231600000001</v>
      </c>
      <c r="O13" s="92">
        <v>-297.30451463201649</v>
      </c>
      <c r="P13" s="92">
        <v>-298.79987799999998</v>
      </c>
      <c r="Q13" s="92">
        <v>1.495363367983459</v>
      </c>
      <c r="R13" s="92">
        <v>0.14982832895242876</v>
      </c>
      <c r="S13" s="113">
        <v>4.9942776317476252E-4</v>
      </c>
      <c r="T13" s="92">
        <v>8.6115450104971542E-2</v>
      </c>
      <c r="U13" s="92">
        <f>P13+Q13-R13+T13+$G$1</f>
        <v>-297.34237405105972</v>
      </c>
      <c r="V13" s="114">
        <f>P13+Q13+T13+$G$1</f>
        <v>-297.1925457221073</v>
      </c>
      <c r="W13" s="13"/>
    </row>
    <row r="14" spans="1:27">
      <c r="A14" s="2" t="s">
        <v>18</v>
      </c>
      <c r="B14" s="2">
        <v>-229.81754100000001</v>
      </c>
      <c r="C14" s="2">
        <f t="shared" si="0"/>
        <v>-228.10848149080149</v>
      </c>
      <c r="D14" s="2">
        <v>-230.889962</v>
      </c>
      <c r="E14" s="2">
        <v>1.7090595091985199</v>
      </c>
      <c r="F14" s="2">
        <v>0.17753632493918114</v>
      </c>
      <c r="G14" s="14">
        <v>5.9178774979727047E-4</v>
      </c>
      <c r="H14" s="2">
        <v>9.3758579975618109E-2</v>
      </c>
      <c r="I14" s="2">
        <f t="shared" si="5"/>
        <v>-229.2388267759608</v>
      </c>
      <c r="J14" s="2">
        <f t="shared" si="1"/>
        <v>-229.06129045102162</v>
      </c>
      <c r="K14" s="12"/>
      <c r="L14" s="13"/>
      <c r="M14" s="2" t="s">
        <v>18</v>
      </c>
      <c r="N14" s="2">
        <v>-300.93092799999999</v>
      </c>
      <c r="O14" s="2">
        <v>-299.22281741157497</v>
      </c>
      <c r="P14" s="2">
        <v>-302.01673899999997</v>
      </c>
      <c r="Q14" s="2">
        <v>1.7081105884250134</v>
      </c>
      <c r="R14" s="2">
        <v>0.21384288392451517</v>
      </c>
      <c r="S14" s="14">
        <v>7.1280961308171724E-4</v>
      </c>
      <c r="T14" s="2">
        <v>0.10831019918657145</v>
      </c>
      <c r="U14" s="2">
        <f t="shared" si="3"/>
        <v>-300.38830763650867</v>
      </c>
      <c r="V14" s="15">
        <f t="shared" si="4"/>
        <v>-300.17446475258413</v>
      </c>
      <c r="W14" s="13"/>
    </row>
    <row r="15" spans="1:27">
      <c r="A15" s="2" t="s">
        <v>31</v>
      </c>
      <c r="B15" s="2">
        <v>-205.179934</v>
      </c>
      <c r="C15" s="2">
        <f>B15+E15</f>
        <v>-204.84940045254248</v>
      </c>
      <c r="D15" s="2">
        <v>-205.31598299999999</v>
      </c>
      <c r="E15" s="2">
        <v>0.33053354745751901</v>
      </c>
      <c r="F15" s="2">
        <v>9.4993518885265998E-2</v>
      </c>
      <c r="G15" s="14">
        <v>3.1664506295088669E-4</v>
      </c>
      <c r="H15" s="2">
        <v>5.6853755493717018E-2</v>
      </c>
      <c r="I15" s="2">
        <f t="shared" si="5"/>
        <v>-204.9977357561298</v>
      </c>
      <c r="J15" s="2">
        <f t="shared" si="1"/>
        <v>-204.90274223724452</v>
      </c>
      <c r="K15" s="12"/>
      <c r="M15" s="2" t="s">
        <v>31</v>
      </c>
      <c r="N15" s="2">
        <v>-276.89197899999999</v>
      </c>
      <c r="O15" s="2">
        <f t="shared" si="2"/>
        <v>-276.54373423486555</v>
      </c>
      <c r="P15" s="2">
        <v>-277.07021200000003</v>
      </c>
      <c r="Q15" s="2">
        <v>0.34824476513441399</v>
      </c>
      <c r="R15" s="2">
        <v>7.7260937218850106E-2</v>
      </c>
      <c r="S15" s="14">
        <v>2.57536457396167E-4</v>
      </c>
      <c r="T15" s="2">
        <v>4.8437808447067555E-2</v>
      </c>
      <c r="U15" s="2">
        <f t="shared" si="3"/>
        <v>-276.72493690383311</v>
      </c>
      <c r="V15" s="15">
        <f t="shared" si="4"/>
        <v>-276.64767596661426</v>
      </c>
      <c r="W15" s="13"/>
    </row>
    <row r="16" spans="1:27">
      <c r="A16" s="2" t="s">
        <v>32</v>
      </c>
      <c r="B16" s="19">
        <v>-212.656408</v>
      </c>
      <c r="C16" s="2">
        <v>-212.32507442814688</v>
      </c>
      <c r="D16" s="2">
        <v>-212.81469999999999</v>
      </c>
      <c r="E16" s="2">
        <v>0.48962557185309924</v>
      </c>
      <c r="F16" s="2">
        <v>0.10714880071840489</v>
      </c>
      <c r="G16" s="14">
        <v>3.5716266906134968E-4</v>
      </c>
      <c r="H16" s="2">
        <v>6.3824172915594862E-2</v>
      </c>
      <c r="I16" s="2">
        <f t="shared" si="5"/>
        <v>-212.34254559614544</v>
      </c>
      <c r="J16" s="2">
        <f t="shared" si="1"/>
        <v>-212.23539679542705</v>
      </c>
      <c r="K16" s="12"/>
      <c r="M16" s="15" t="s">
        <v>32</v>
      </c>
      <c r="N16" s="2">
        <v>-284.462672</v>
      </c>
      <c r="O16" s="2">
        <v>-284.10625983533237</v>
      </c>
      <c r="P16" s="2">
        <v>-284.60212799999999</v>
      </c>
      <c r="Q16" s="2">
        <v>0.49586816466760031</v>
      </c>
      <c r="R16" s="2">
        <v>9.4451635807311307E-2</v>
      </c>
      <c r="S16" s="14">
        <v>3.1483878602437104E-4</v>
      </c>
      <c r="T16" s="2">
        <v>5.837726112077074E-2</v>
      </c>
      <c r="U16" s="2">
        <f t="shared" si="3"/>
        <v>-284.11648075021469</v>
      </c>
      <c r="V16" s="15">
        <f t="shared" si="4"/>
        <v>-284.02202911440736</v>
      </c>
    </row>
    <row r="17" spans="1:33">
      <c r="A17" s="15" t="s">
        <v>35</v>
      </c>
      <c r="B17" s="19">
        <v>-216.56951599999999</v>
      </c>
      <c r="C17" s="2">
        <v>-215.91676068086093</v>
      </c>
      <c r="D17" s="2">
        <v>-216.708843</v>
      </c>
      <c r="E17" s="2">
        <v>0.79208231913907234</v>
      </c>
      <c r="F17" s="2">
        <v>0.14322078314125039</v>
      </c>
      <c r="G17" s="14">
        <v>4.7740261047083462E-4</v>
      </c>
      <c r="H17" s="2">
        <v>7.9940156364138773E-2</v>
      </c>
      <c r="I17" s="2">
        <f t="shared" si="5"/>
        <v>-215.95418784783382</v>
      </c>
      <c r="J17" s="2">
        <f t="shared" si="1"/>
        <v>-215.81096706469256</v>
      </c>
      <c r="K17" s="12"/>
      <c r="M17" s="15" t="s">
        <v>35</v>
      </c>
      <c r="N17" s="2">
        <v>-288.100818</v>
      </c>
      <c r="O17" s="2">
        <v>-287.5506379385393</v>
      </c>
      <c r="P17" s="2">
        <v>-288.33983599999999</v>
      </c>
      <c r="Q17" s="2">
        <v>0.78919806146069904</v>
      </c>
      <c r="R17" s="2">
        <v>0.12556796974625731</v>
      </c>
      <c r="S17" s="14">
        <v>4.1855989915419098E-4</v>
      </c>
      <c r="T17" s="2">
        <v>7.458154068725284E-2</v>
      </c>
      <c r="U17" s="2">
        <f t="shared" si="3"/>
        <v>-287.57577090779409</v>
      </c>
      <c r="V17" s="15">
        <f t="shared" si="4"/>
        <v>-287.45020293804782</v>
      </c>
    </row>
    <row r="18" spans="1:33">
      <c r="A18" s="15" t="s">
        <v>36</v>
      </c>
      <c r="B18" s="19">
        <v>-212.743607</v>
      </c>
      <c r="C18" s="2">
        <v>-212.48953467490608</v>
      </c>
      <c r="D18" s="2">
        <v>-212.95032399999999</v>
      </c>
      <c r="E18" s="2">
        <v>0.46078932509392628</v>
      </c>
      <c r="F18" s="2">
        <v>0.10431382803714188</v>
      </c>
      <c r="G18" s="14">
        <v>3.4771276012380626E-4</v>
      </c>
      <c r="H18" s="2">
        <v>5.9301413444809652E-2</v>
      </c>
      <c r="I18" s="2">
        <f t="shared" si="5"/>
        <v>-212.50869362969416</v>
      </c>
      <c r="J18" s="2">
        <f t="shared" si="1"/>
        <v>-212.40437980165703</v>
      </c>
      <c r="K18" s="12"/>
      <c r="M18" s="15" t="s">
        <v>36</v>
      </c>
      <c r="N18" s="2">
        <v>-284.502591</v>
      </c>
      <c r="O18" s="2">
        <v>-284.22681562923668</v>
      </c>
      <c r="P18" s="2">
        <v>-284.69110999999998</v>
      </c>
      <c r="Q18" s="22">
        <v>0.46429437076330382</v>
      </c>
      <c r="R18" s="2">
        <v>0.15619292739394469</v>
      </c>
      <c r="S18" s="14">
        <v>5.2064309131314899E-4</v>
      </c>
      <c r="T18" s="2">
        <v>8.1238262024277794E-2</v>
      </c>
      <c r="U18" s="2">
        <f>P18+Q18-R18+T18+$G$1</f>
        <v>-284.2759168348021</v>
      </c>
      <c r="V18" s="15">
        <f t="shared" si="4"/>
        <v>-284.11972390740817</v>
      </c>
    </row>
    <row r="19" spans="1:33">
      <c r="A19" s="2" t="s">
        <v>37</v>
      </c>
      <c r="B19" s="2">
        <v>-218.736088</v>
      </c>
      <c r="C19" s="2">
        <f>B19+E19</f>
        <v>-218.18483310752367</v>
      </c>
      <c r="D19" s="2">
        <v>-218.756911</v>
      </c>
      <c r="E19" s="2">
        <v>0.55125489247633164</v>
      </c>
      <c r="F19" s="2">
        <v>0.20301481582358347</v>
      </c>
      <c r="G19" s="14">
        <v>6.7671605274527826E-4</v>
      </c>
      <c r="H19" s="2">
        <v>9.5711975572539465E-2</v>
      </c>
      <c r="I19" s="2">
        <f t="shared" si="5"/>
        <v>-218.28710548797051</v>
      </c>
      <c r="J19" s="2">
        <f t="shared" si="1"/>
        <v>-218.08409067214691</v>
      </c>
      <c r="K19" s="12"/>
      <c r="M19" s="15" t="s">
        <v>37</v>
      </c>
      <c r="N19" s="2">
        <v>-290.22773899999999</v>
      </c>
      <c r="O19" s="2">
        <f>N19+Q19</f>
        <v>-289.66004603219005</v>
      </c>
      <c r="P19" s="2">
        <v>-290.28225300000003</v>
      </c>
      <c r="Q19" s="2">
        <v>0.56769296780995371</v>
      </c>
      <c r="R19" s="2">
        <v>0.18707182378344039</v>
      </c>
      <c r="S19" s="14">
        <v>6.2357274594480134E-4</v>
      </c>
      <c r="T19" s="2">
        <v>8.9647395035739152E-2</v>
      </c>
      <c r="U19" s="2">
        <f>P19+Q19-R19+T19+$G$1</f>
        <v>-289.78613100113353</v>
      </c>
      <c r="V19" s="15">
        <f t="shared" si="4"/>
        <v>-289.59905917735011</v>
      </c>
    </row>
    <row r="20" spans="1:33" ht="18">
      <c r="A20" s="2" t="s">
        <v>38</v>
      </c>
      <c r="B20" s="2">
        <v>-214.8751</v>
      </c>
      <c r="C20" s="2">
        <f>B20+E20</f>
        <v>-214.5907091232676</v>
      </c>
      <c r="D20" s="2">
        <v>-214.910225</v>
      </c>
      <c r="E20" s="2">
        <v>0.28439087673241498</v>
      </c>
      <c r="F20" s="2">
        <v>0.20879085383248536</v>
      </c>
      <c r="G20" s="14">
        <v>6.9596951277495114E-4</v>
      </c>
      <c r="H20" s="2">
        <v>9.9494729912416674E-2</v>
      </c>
      <c r="I20" s="2">
        <f>D20+E20-F20+H20+$G$1</f>
        <v>-214.70927678738343</v>
      </c>
      <c r="J20" s="2">
        <f t="shared" si="1"/>
        <v>-214.50048593355095</v>
      </c>
      <c r="M20" s="15" t="s">
        <v>38</v>
      </c>
      <c r="N20" s="2">
        <v>-286.59864499999998</v>
      </c>
      <c r="O20" s="2">
        <f>N20+Q20</f>
        <v>-286.30971341142578</v>
      </c>
      <c r="P20" s="2">
        <v>-286.65688899999998</v>
      </c>
      <c r="Q20" s="2">
        <v>0.2889315885742148</v>
      </c>
      <c r="R20" s="2">
        <v>0.17780160964678882</v>
      </c>
      <c r="S20" s="14">
        <v>5.926413189864465E-4</v>
      </c>
      <c r="T20" s="2">
        <v>9.1209643937601767E-2</v>
      </c>
      <c r="U20" s="2">
        <f>P20+Q20-R20+T20+$G$1</f>
        <v>-286.42869591733074</v>
      </c>
      <c r="V20" s="15">
        <f t="shared" si="4"/>
        <v>-286.25089430768395</v>
      </c>
      <c r="AD20" s="6"/>
      <c r="AE20" s="6"/>
      <c r="AF20" s="6"/>
      <c r="AG20" s="6"/>
    </row>
    <row r="21" spans="1:33" ht="18">
      <c r="A21" s="2" t="s">
        <v>39</v>
      </c>
      <c r="B21" s="2">
        <v>-209.68417500000001</v>
      </c>
      <c r="C21" s="2">
        <f>B21+E21</f>
        <v>-209.05039986236389</v>
      </c>
      <c r="D21" s="2">
        <v>-209.87033299999999</v>
      </c>
      <c r="E21" s="2">
        <v>0.63377513763611681</v>
      </c>
      <c r="F21" s="2">
        <v>0.13630906494218656</v>
      </c>
      <c r="G21" s="14">
        <v>4.5436354980728856E-4</v>
      </c>
      <c r="H21" s="2">
        <v>6.8374597073263252E-2</v>
      </c>
      <c r="I21" s="2">
        <f t="shared" si="5"/>
        <v>-209.27863887042855</v>
      </c>
      <c r="J21" s="2">
        <f>D21+E21+H21+$G$1</f>
        <v>-209.14232980548636</v>
      </c>
      <c r="M21" s="2" t="s">
        <v>39</v>
      </c>
      <c r="N21" s="2">
        <v>-280.90447999999998</v>
      </c>
      <c r="O21" s="2">
        <f>N21+Q21</f>
        <v>-280.26070566803071</v>
      </c>
      <c r="P21" s="2">
        <v>-281.118809</v>
      </c>
      <c r="Q21" s="2">
        <v>0.64377433196929323</v>
      </c>
      <c r="R21" s="2">
        <v>0.16654477940656601</v>
      </c>
      <c r="S21" s="14">
        <v>5.5514926468855201E-4</v>
      </c>
      <c r="T21" s="2">
        <v>8.3105671503254375E-2</v>
      </c>
      <c r="U21" s="2">
        <f>P21+Q21-R21+T21+$G$1</f>
        <v>-280.53262031612985</v>
      </c>
      <c r="V21" s="15">
        <f>P21+Q21+T21+$G$1</f>
        <v>-280.36607553672326</v>
      </c>
      <c r="X21" s="6"/>
      <c r="Y21" s="6"/>
    </row>
    <row r="22" spans="1:33">
      <c r="B22" s="2">
        <f>B13+B3-2*B7</f>
        <v>0.82095099999997956</v>
      </c>
      <c r="G22" s="14"/>
      <c r="K22" s="4"/>
      <c r="L22" s="4"/>
      <c r="M22" s="92"/>
      <c r="N22" s="92"/>
      <c r="O22" s="92"/>
      <c r="P22" s="92"/>
      <c r="Q22" s="92"/>
      <c r="R22" s="92"/>
      <c r="S22" s="113"/>
      <c r="T22" s="92"/>
      <c r="U22" s="92"/>
      <c r="V22" s="114"/>
      <c r="X22" s="21"/>
    </row>
    <row r="23" spans="1:33" ht="18">
      <c r="A23" s="4"/>
      <c r="B23" s="4">
        <f>C23+O63</f>
        <v>3.3373603332474744E-2</v>
      </c>
      <c r="C23" s="4">
        <f>J51+I3-I13</f>
        <v>0.51593928333247163</v>
      </c>
      <c r="D23" s="4"/>
      <c r="E23" s="4"/>
      <c r="F23" s="4"/>
      <c r="G23" s="23"/>
      <c r="H23" s="4"/>
      <c r="I23" s="4"/>
      <c r="J23" s="4"/>
      <c r="K23" s="4"/>
      <c r="L23" s="4"/>
      <c r="S23" s="14"/>
      <c r="X23" s="21"/>
      <c r="Z23" s="6"/>
    </row>
    <row r="24" spans="1:33" s="6" customFormat="1" ht="18">
      <c r="A24" s="8" t="s">
        <v>40</v>
      </c>
      <c r="B24" s="7" t="s">
        <v>3</v>
      </c>
      <c r="C24" s="7" t="s">
        <v>4</v>
      </c>
      <c r="D24" s="7" t="s">
        <v>5</v>
      </c>
      <c r="E24" s="7" t="s">
        <v>6</v>
      </c>
      <c r="F24" s="7" t="s">
        <v>7</v>
      </c>
      <c r="G24" s="7" t="s">
        <v>8</v>
      </c>
      <c r="H24" s="7" t="s">
        <v>9</v>
      </c>
      <c r="I24" s="7" t="s">
        <v>10</v>
      </c>
      <c r="J24" s="7" t="s">
        <v>11</v>
      </c>
      <c r="K24" s="8"/>
      <c r="L24" s="9"/>
      <c r="M24" s="8" t="s">
        <v>40</v>
      </c>
      <c r="N24" s="7" t="s">
        <v>3</v>
      </c>
      <c r="O24" s="7" t="s">
        <v>4</v>
      </c>
      <c r="P24" s="7" t="s">
        <v>5</v>
      </c>
      <c r="Q24" s="7" t="s">
        <v>6</v>
      </c>
      <c r="R24" s="7" t="s">
        <v>7</v>
      </c>
      <c r="S24" s="7" t="s">
        <v>8</v>
      </c>
      <c r="T24" s="7" t="s">
        <v>9</v>
      </c>
      <c r="U24" s="7" t="s">
        <v>10</v>
      </c>
      <c r="V24" s="7" t="s">
        <v>11</v>
      </c>
      <c r="X24" s="21"/>
      <c r="Y24" s="2"/>
      <c r="Z24" s="28"/>
      <c r="AD24" s="27"/>
      <c r="AE24" s="27"/>
      <c r="AF24" s="2"/>
      <c r="AG24" s="2"/>
    </row>
    <row r="25" spans="1:33">
      <c r="A25" s="12" t="s">
        <v>41</v>
      </c>
      <c r="B25" s="15">
        <v>-218.736088</v>
      </c>
      <c r="C25" s="15">
        <v>-218.18483310752367</v>
      </c>
      <c r="D25" s="15">
        <v>-218.756911</v>
      </c>
      <c r="E25" s="15">
        <v>0.55125489247633164</v>
      </c>
      <c r="F25" s="15">
        <v>0.357027467822642</v>
      </c>
      <c r="G25" s="17">
        <v>5.1330778927382095E-4</v>
      </c>
      <c r="H25" s="15">
        <v>9.5711975572539507E-2</v>
      </c>
      <c r="I25" s="15">
        <v>-218.44111813997</v>
      </c>
      <c r="J25" s="15">
        <v>-218.10994413195101</v>
      </c>
      <c r="K25" s="15"/>
      <c r="L25" s="4"/>
      <c r="M25" s="12" t="s">
        <v>41</v>
      </c>
      <c r="N25" s="2">
        <v>-290.22773899999999</v>
      </c>
      <c r="O25" s="2">
        <f t="shared" ref="O25:O34" si="6">N25+Q25</f>
        <v>-289.66004603219005</v>
      </c>
      <c r="P25" s="2">
        <v>-290.28225300000003</v>
      </c>
      <c r="Q25" s="2">
        <v>0.56769296780995371</v>
      </c>
      <c r="R25" s="2">
        <f>S25*300</f>
        <v>0.41330390916294896</v>
      </c>
      <c r="S25" s="17">
        <v>1.3776796972098299E-3</v>
      </c>
      <c r="T25" s="2">
        <v>8.9647395035739152E-2</v>
      </c>
      <c r="U25" s="2">
        <f>P25+Q25-R25+T25+$G$1</f>
        <v>-290.01236308651306</v>
      </c>
      <c r="V25" s="2">
        <f t="shared" ref="V25:V36" si="7">(((P25+Q25+T25)+0.0258534598042467))</f>
        <v>-289.59905917735011</v>
      </c>
      <c r="W25" s="20"/>
      <c r="X25" s="21"/>
    </row>
    <row r="26" spans="1:33">
      <c r="A26" s="12" t="s">
        <v>42</v>
      </c>
      <c r="B26" s="15">
        <v>-218.736088</v>
      </c>
      <c r="C26" s="15">
        <v>-218.18483310752367</v>
      </c>
      <c r="D26" s="15">
        <v>-218.756911</v>
      </c>
      <c r="E26" s="15">
        <v>0.55125489247633197</v>
      </c>
      <c r="F26" s="15">
        <v>0.78538107427391446</v>
      </c>
      <c r="G26" s="17">
        <v>1.7452912761642542E-3</v>
      </c>
      <c r="H26" s="15">
        <v>9.5711975572539507E-2</v>
      </c>
      <c r="I26" s="15">
        <f>D26+E26-F26+H26+$G$1</f>
        <v>-218.86947174642083</v>
      </c>
      <c r="J26" s="15">
        <v>-218.10994413195101</v>
      </c>
      <c r="K26" s="15"/>
      <c r="M26" s="12" t="s">
        <v>42</v>
      </c>
      <c r="N26" s="2">
        <v>-290.22773899999999</v>
      </c>
      <c r="O26" s="2">
        <f t="shared" si="6"/>
        <v>-289.66004603219005</v>
      </c>
      <c r="P26" s="2">
        <v>-290.28225300000003</v>
      </c>
      <c r="Q26" s="2">
        <v>0.56769296780995404</v>
      </c>
      <c r="R26" s="2">
        <f>S26*300</f>
        <v>0.57867244891815817</v>
      </c>
      <c r="S26" s="24">
        <v>1.9289081630605273E-3</v>
      </c>
      <c r="T26" s="2">
        <v>8.9647395035739194E-2</v>
      </c>
      <c r="U26" s="2">
        <f t="shared" ref="U26:U42" si="8">P26+Q26-R26+T26+$G$1</f>
        <v>-290.17773162626827</v>
      </c>
      <c r="V26" s="2">
        <f>(((P26+Q26+T26)+0.0258534598042467))</f>
        <v>-289.59905917735011</v>
      </c>
      <c r="W26" s="20"/>
      <c r="X26" s="21"/>
    </row>
    <row r="27" spans="1:33">
      <c r="A27" s="12" t="s">
        <v>43</v>
      </c>
      <c r="B27" s="15">
        <v>-214.32012</v>
      </c>
      <c r="C27" s="15">
        <v>-214.10360596810091</v>
      </c>
      <c r="D27" s="15">
        <v>-214.333324</v>
      </c>
      <c r="E27" s="15">
        <v>0.216514031899085</v>
      </c>
      <c r="F27" s="15">
        <v>0.19369011710468018</v>
      </c>
      <c r="G27" s="17">
        <v>6.4563372368226727E-4</v>
      </c>
      <c r="H27" s="15">
        <v>9.8255224969684807E-2</v>
      </c>
      <c r="I27" s="15">
        <f>D27+E27-F27+H27+$G$1</f>
        <v>-214.18639140043169</v>
      </c>
      <c r="J27" s="15">
        <v>-214.01855474313101</v>
      </c>
      <c r="K27" s="15"/>
      <c r="L27" s="4"/>
      <c r="M27" s="12" t="s">
        <v>43</v>
      </c>
      <c r="N27" s="2">
        <v>-286.33515299999999</v>
      </c>
      <c r="O27" s="2">
        <v>-286.10850315622486</v>
      </c>
      <c r="P27" s="2">
        <v>-286.34601199999997</v>
      </c>
      <c r="Q27" s="2">
        <v>0.23750884377513501</v>
      </c>
      <c r="R27" s="2">
        <v>0.173354182760836</v>
      </c>
      <c r="S27" s="17">
        <v>5.778472758694533E-4</v>
      </c>
      <c r="T27" s="25">
        <v>8.8766488615500169E-2</v>
      </c>
      <c r="U27" s="2">
        <f>P27+Q27-R27+T27+$G$1</f>
        <v>-286.16723739056596</v>
      </c>
      <c r="V27" s="2">
        <f>(P27+Q27+T27+$G$1)</f>
        <v>-285.99388320780514</v>
      </c>
      <c r="X27" s="4"/>
    </row>
    <row r="28" spans="1:33">
      <c r="A28" s="26" t="s">
        <v>44</v>
      </c>
      <c r="B28" s="15">
        <v>-201.849468</v>
      </c>
      <c r="C28" s="15">
        <v>-201.55105965425076</v>
      </c>
      <c r="D28" s="15">
        <v>-201.81851900000001</v>
      </c>
      <c r="E28" s="15">
        <v>0.29840834574924602</v>
      </c>
      <c r="F28" s="15">
        <v>8.3552448594846188E-2</v>
      </c>
      <c r="G28" s="17">
        <v>3.7761824976641835E-4</v>
      </c>
      <c r="H28" s="15">
        <v>4.5431259000755661E-2</v>
      </c>
      <c r="I28" s="15">
        <f t="shared" ref="I28:I42" si="9">D28+E28-F28+H28+$G$1</f>
        <v>-201.53237838404061</v>
      </c>
      <c r="J28" s="15">
        <v>-201.47467939525001</v>
      </c>
      <c r="K28" s="15"/>
      <c r="L28" s="4"/>
      <c r="M28" s="12" t="s">
        <v>44</v>
      </c>
      <c r="N28" s="22">
        <v>-272.910236</v>
      </c>
      <c r="O28" s="22">
        <f t="shared" si="6"/>
        <v>-272.60614660272125</v>
      </c>
      <c r="P28" s="2">
        <v>-272.89095600000002</v>
      </c>
      <c r="Q28" s="2">
        <v>0.304089397278756</v>
      </c>
      <c r="R28" s="2">
        <f>S28*300</f>
        <v>0.45176501896101601</v>
      </c>
      <c r="S28" s="17">
        <v>1.5058833965367201E-3</v>
      </c>
      <c r="T28" s="2">
        <v>4.2978357260486599E-2</v>
      </c>
      <c r="U28" s="2">
        <f t="shared" si="8"/>
        <v>-272.96979980461754</v>
      </c>
      <c r="V28" s="2">
        <f t="shared" si="7"/>
        <v>-272.51803478565654</v>
      </c>
      <c r="X28" s="4"/>
    </row>
    <row r="29" spans="1:33">
      <c r="A29" s="26" t="s">
        <v>45</v>
      </c>
      <c r="B29" s="15">
        <v>-207.36672100000001</v>
      </c>
      <c r="C29" s="15">
        <v>-207.25067608772002</v>
      </c>
      <c r="D29" s="15">
        <v>-207.38650799999999</v>
      </c>
      <c r="E29" s="15">
        <v>0.11604491227998978</v>
      </c>
      <c r="F29" s="15">
        <v>7.715160502085372E-2</v>
      </c>
      <c r="G29" s="17">
        <v>2.5717201673617908E-4</v>
      </c>
      <c r="H29" s="15">
        <v>4.8521843079722592E-2</v>
      </c>
      <c r="I29" s="15">
        <f t="shared" si="9"/>
        <v>-207.27323938985688</v>
      </c>
      <c r="J29" s="15">
        <v>-207.22194124464028</v>
      </c>
      <c r="K29" s="15"/>
      <c r="L29" s="4"/>
      <c r="M29" s="12" t="s">
        <v>45</v>
      </c>
      <c r="N29" s="2">
        <v>-279.56732199999999</v>
      </c>
      <c r="O29" s="2">
        <f t="shared" si="6"/>
        <v>-279.44814801161118</v>
      </c>
      <c r="P29" s="2">
        <v>-279.60334899999998</v>
      </c>
      <c r="Q29" s="2">
        <v>0.11917398838880794</v>
      </c>
      <c r="R29" s="2">
        <v>7.7756429763225679E-2</v>
      </c>
      <c r="S29" s="17">
        <v>2.5918809921075228E-4</v>
      </c>
      <c r="T29" s="2">
        <v>4.8217023244975621E-2</v>
      </c>
      <c r="U29" s="2">
        <f t="shared" si="8"/>
        <v>-279.48786095832514</v>
      </c>
      <c r="V29" s="2">
        <f t="shared" si="7"/>
        <v>-279.41010452856193</v>
      </c>
      <c r="W29" s="20"/>
      <c r="X29" s="4"/>
    </row>
    <row r="30" spans="1:33">
      <c r="A30" s="26" t="s">
        <v>46</v>
      </c>
      <c r="B30" s="15">
        <v>-203.521513</v>
      </c>
      <c r="C30" s="15">
        <v>-203.35077762780546</v>
      </c>
      <c r="D30" s="15">
        <v>-203.931219</v>
      </c>
      <c r="E30" s="15">
        <v>0.17073537219454463</v>
      </c>
      <c r="F30" s="15">
        <v>4.8921877313434697E-2</v>
      </c>
      <c r="G30" s="17">
        <v>1.6307292437811575E-4</v>
      </c>
      <c r="H30" s="15">
        <v>3.1067647693473179E-2</v>
      </c>
      <c r="I30" s="15">
        <f t="shared" si="9"/>
        <v>-203.75248439762117</v>
      </c>
      <c r="J30" s="15">
        <v>-203.72941598011198</v>
      </c>
      <c r="K30" s="15"/>
      <c r="L30" s="4"/>
      <c r="M30" s="12" t="s">
        <v>46</v>
      </c>
      <c r="N30" s="2">
        <v>-274.47905800000001</v>
      </c>
      <c r="O30" s="2">
        <f t="shared" si="6"/>
        <v>-274.28880843438992</v>
      </c>
      <c r="P30" s="2">
        <v>-275.87851599999999</v>
      </c>
      <c r="Q30" s="2">
        <v>0.19024956561009562</v>
      </c>
      <c r="R30" s="2">
        <v>7.2301120285165832E-2</v>
      </c>
      <c r="S30" s="17">
        <v>2.41003734283886E-4</v>
      </c>
      <c r="T30" s="2">
        <v>4.42836125521315E-2</v>
      </c>
      <c r="U30" s="2">
        <f t="shared" si="8"/>
        <v>-275.69043048231867</v>
      </c>
      <c r="V30" s="2">
        <f t="shared" si="7"/>
        <v>-275.61812936203353</v>
      </c>
      <c r="W30" s="20"/>
      <c r="X30" s="4"/>
      <c r="Y30" s="4"/>
    </row>
    <row r="31" spans="1:33">
      <c r="A31" s="26" t="s">
        <v>47</v>
      </c>
      <c r="B31" s="15">
        <v>-208.521063</v>
      </c>
      <c r="C31" s="15">
        <v>-208.06067776522448</v>
      </c>
      <c r="D31" s="15">
        <v>-208.521063</v>
      </c>
      <c r="E31" s="15">
        <v>0.46038523477550819</v>
      </c>
      <c r="F31" s="15">
        <v>0.11426747847682349</v>
      </c>
      <c r="G31" s="17">
        <v>3.8089159492274497E-4</v>
      </c>
      <c r="H31" s="15">
        <v>6.0772961130919942E-2</v>
      </c>
      <c r="I31" s="15">
        <f>D31+E31-F31+H31+$G$1</f>
        <v>-208.08831882276615</v>
      </c>
      <c r="J31" s="15">
        <v>-207.99990480409357</v>
      </c>
      <c r="K31" s="29"/>
      <c r="L31" s="4"/>
      <c r="M31" s="12" t="s">
        <v>47</v>
      </c>
      <c r="N31" s="2">
        <v>-280.02353099999999</v>
      </c>
      <c r="O31" s="2">
        <f t="shared" si="6"/>
        <v>-279.59468061787658</v>
      </c>
      <c r="P31" s="2">
        <v>-280.11875700000002</v>
      </c>
      <c r="Q31" s="2">
        <v>0.42885038212341431</v>
      </c>
      <c r="R31" s="2">
        <v>0.109234593611213</v>
      </c>
      <c r="S31" s="17">
        <v>3.6411531203737801E-4</v>
      </c>
      <c r="T31" s="2">
        <v>6.2008154611639159E-2</v>
      </c>
      <c r="U31" s="2">
        <f t="shared" si="8"/>
        <v>-279.71127959707195</v>
      </c>
      <c r="V31" s="2">
        <f t="shared" si="7"/>
        <v>-279.60204500346072</v>
      </c>
    </row>
    <row r="32" spans="1:33">
      <c r="A32" s="26" t="s">
        <v>48</v>
      </c>
      <c r="B32" s="15">
        <v>-205.740961</v>
      </c>
      <c r="C32" s="15">
        <v>-205.52845902074878</v>
      </c>
      <c r="D32" s="15">
        <v>-205.721979</v>
      </c>
      <c r="E32" s="15">
        <v>0.2125019792512251</v>
      </c>
      <c r="F32" s="15">
        <v>6.3822522871438275E-2</v>
      </c>
      <c r="G32" s="17">
        <v>2.1274174290479401E-4</v>
      </c>
      <c r="H32" s="15">
        <v>3.8346987968489864E-2</v>
      </c>
      <c r="I32" s="15">
        <f>D32+E32-F32+H32+$G$1</f>
        <v>-205.50909909584752</v>
      </c>
      <c r="J32" s="15">
        <v>-205.47113003278031</v>
      </c>
      <c r="K32" s="15"/>
      <c r="L32" s="4"/>
      <c r="M32" s="12" t="s">
        <v>48</v>
      </c>
      <c r="N32" s="2">
        <v>-277.81051500000001</v>
      </c>
      <c r="O32" s="2">
        <f t="shared" si="6"/>
        <v>-277.59137232892539</v>
      </c>
      <c r="P32" s="2">
        <v>-277.80661199999997</v>
      </c>
      <c r="Q32" s="2">
        <v>0.21914267107461513</v>
      </c>
      <c r="R32" s="2">
        <v>5.0566500860132445E-2</v>
      </c>
      <c r="S32" s="17">
        <v>1.68555002867108E-4</v>
      </c>
      <c r="T32" s="2">
        <v>3.3606457379343771E-2</v>
      </c>
      <c r="U32" s="2">
        <f t="shared" si="8"/>
        <v>-277.57857591260193</v>
      </c>
      <c r="V32" s="2">
        <f t="shared" si="7"/>
        <v>-277.52800941174178</v>
      </c>
      <c r="W32" s="20"/>
      <c r="X32" s="4"/>
      <c r="Y32" s="4"/>
      <c r="Z32" s="4"/>
    </row>
    <row r="33" spans="1:34">
      <c r="A33" s="12" t="s">
        <v>49</v>
      </c>
      <c r="B33" s="15">
        <v>-210.04109800000001</v>
      </c>
      <c r="C33" s="15">
        <v>-209.56993632809892</v>
      </c>
      <c r="D33" s="15">
        <v>-210.144239</v>
      </c>
      <c r="E33" s="15">
        <v>0.47116167190108771</v>
      </c>
      <c r="F33" s="15">
        <v>6.2093609712163475E-2</v>
      </c>
      <c r="G33" s="17">
        <v>2.0697869904054493E-4</v>
      </c>
      <c r="H33" s="15">
        <v>4.1833662370292811E-2</v>
      </c>
      <c r="I33" s="15">
        <f t="shared" si="9"/>
        <v>-209.66748381563653</v>
      </c>
      <c r="J33" s="15">
        <v>-209.63124366572862</v>
      </c>
      <c r="K33" s="15"/>
      <c r="L33" s="4"/>
      <c r="M33" s="12" t="s">
        <v>49</v>
      </c>
      <c r="N33" s="2">
        <v>-281.738203</v>
      </c>
      <c r="O33" s="2">
        <f t="shared" si="6"/>
        <v>-281.21494849593296</v>
      </c>
      <c r="P33" s="2">
        <v>-281.88522599999999</v>
      </c>
      <c r="Q33" s="2">
        <v>0.52325450406703378</v>
      </c>
      <c r="R33" s="2">
        <v>7.0158474800014997E-2</v>
      </c>
      <c r="S33" s="17">
        <v>2.3386158266671672E-4</v>
      </c>
      <c r="T33" s="2">
        <v>4.4317226242346505E-2</v>
      </c>
      <c r="U33" s="2">
        <f t="shared" si="8"/>
        <v>-281.36195928468635</v>
      </c>
      <c r="V33" s="2">
        <f t="shared" si="7"/>
        <v>-281.29180080988635</v>
      </c>
      <c r="W33" s="20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4">
      <c r="A34" s="15" t="s">
        <v>50</v>
      </c>
      <c r="B34" s="15">
        <v>-213.95831100000001</v>
      </c>
      <c r="C34" s="15">
        <v>-213.11851753268925</v>
      </c>
      <c r="D34" s="15">
        <v>-214.16405499999999</v>
      </c>
      <c r="E34" s="15">
        <v>0.83979346731076765</v>
      </c>
      <c r="F34" s="15">
        <v>0.117201570839053</v>
      </c>
      <c r="G34" s="17">
        <v>3.9067190279684194E-4</v>
      </c>
      <c r="H34" s="15">
        <v>6.5300572178140101E-2</v>
      </c>
      <c r="I34" s="15">
        <f t="shared" si="9"/>
        <v>-213.35030907154592</v>
      </c>
      <c r="J34" s="15">
        <v>-213.2589609605111</v>
      </c>
      <c r="M34" s="12" t="s">
        <v>50</v>
      </c>
      <c r="N34" s="2">
        <v>-285.543138</v>
      </c>
      <c r="O34" s="2">
        <f t="shared" si="6"/>
        <v>-284.6898749358474</v>
      </c>
      <c r="P34" s="2">
        <v>-285.79728399999999</v>
      </c>
      <c r="Q34" s="2">
        <v>0.85326306415258935</v>
      </c>
      <c r="R34" s="2">
        <v>9.8125979633796392E-2</v>
      </c>
      <c r="S34" s="17">
        <v>3.270865987793213E-4</v>
      </c>
      <c r="T34" s="2">
        <v>5.8176300002798997E-2</v>
      </c>
      <c r="U34" s="2">
        <f t="shared" si="8"/>
        <v>-284.95811715567413</v>
      </c>
      <c r="V34" s="2">
        <f t="shared" si="7"/>
        <v>-284.85999117604035</v>
      </c>
      <c r="W34" s="20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4">
      <c r="A35" s="12" t="s">
        <v>51</v>
      </c>
      <c r="B35" s="15">
        <v>-215.58930599999999</v>
      </c>
      <c r="C35" s="15">
        <v>-214.57288535177881</v>
      </c>
      <c r="D35" s="15">
        <v>-215.93081359999999</v>
      </c>
      <c r="E35" s="15">
        <v>1.0164206482211908</v>
      </c>
      <c r="F35" s="15">
        <f>G35*300</f>
        <v>0.27196222147627808</v>
      </c>
      <c r="G35" s="17">
        <v>9.065407382542603E-4</v>
      </c>
      <c r="H35" s="15">
        <v>8.3897432701321453E-2</v>
      </c>
      <c r="I35" s="15">
        <f t="shared" si="9"/>
        <v>-215.07660428074954</v>
      </c>
      <c r="J35" s="15">
        <v>-214.83049551907749</v>
      </c>
      <c r="M35" s="12" t="s">
        <v>51</v>
      </c>
      <c r="N35" s="2">
        <f>N8</f>
        <v>-286.893824</v>
      </c>
      <c r="O35" s="2">
        <f>O8</f>
        <v>-285.86573361065041</v>
      </c>
      <c r="P35" s="2">
        <f>P8</f>
        <v>-287.19349599999998</v>
      </c>
      <c r="Q35" s="2">
        <f>Q8</f>
        <v>1.0280903893495845</v>
      </c>
      <c r="R35" s="2">
        <f>S35*300</f>
        <v>0.45941091594482403</v>
      </c>
      <c r="S35" s="17">
        <v>1.5313697198160801E-3</v>
      </c>
      <c r="T35" s="2">
        <f>T8</f>
        <v>7.3433744700624665E-2</v>
      </c>
      <c r="U35" s="2">
        <f>P35+Q35-R35+T35+$G$1</f>
        <v>-286.52552932209034</v>
      </c>
      <c r="V35" s="2">
        <f>(((P35+Q35+T35)+0.0258534598042467))</f>
        <v>-286.06611840614551</v>
      </c>
      <c r="W35" s="20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4">
      <c r="A36" s="12" t="s">
        <v>52</v>
      </c>
      <c r="B36" s="15">
        <v>-209.68417500000001</v>
      </c>
      <c r="C36" s="15">
        <v>-209.05039986236389</v>
      </c>
      <c r="D36" s="15">
        <v>-209.87033299999999</v>
      </c>
      <c r="E36" s="15">
        <v>0.63377513763611681</v>
      </c>
      <c r="F36" s="15">
        <v>0.136309064942187</v>
      </c>
      <c r="G36" s="17">
        <v>1.0308580740558781E-3</v>
      </c>
      <c r="H36" s="15">
        <v>6.8374597073263252E-2</v>
      </c>
      <c r="I36" s="15">
        <f t="shared" si="9"/>
        <v>-209.27863887042855</v>
      </c>
      <c r="J36" s="15">
        <v>-209.16818326529059</v>
      </c>
      <c r="K36" s="15"/>
      <c r="L36" s="4"/>
      <c r="M36" s="12" t="s">
        <v>52</v>
      </c>
      <c r="N36" s="2">
        <f>N40</f>
        <v>-283.80231600000002</v>
      </c>
      <c r="O36" s="2">
        <f>O40</f>
        <v>-283.50687724140857</v>
      </c>
      <c r="P36" s="2">
        <f>P40</f>
        <v>-283.92692499999998</v>
      </c>
      <c r="Q36" s="2">
        <f>Q40</f>
        <v>0.42004775859143689</v>
      </c>
      <c r="R36" s="2">
        <f>S36*300</f>
        <v>0.44556648715895003</v>
      </c>
      <c r="S36" s="17">
        <v>1.4852216238631667E-3</v>
      </c>
      <c r="T36" s="2">
        <f>T40</f>
        <v>6.2598736864640084E-2</v>
      </c>
      <c r="U36" s="2">
        <f t="shared" si="8"/>
        <v>-283.86399153189865</v>
      </c>
      <c r="V36" s="2">
        <f t="shared" si="7"/>
        <v>-283.41842504473971</v>
      </c>
      <c r="W36" s="20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4">
      <c r="A37" s="12" t="s">
        <v>53</v>
      </c>
      <c r="B37" s="4">
        <v>-211.70556999999999</v>
      </c>
      <c r="C37" s="4">
        <v>-211.40159830951706</v>
      </c>
      <c r="D37" s="4">
        <v>-211.69165799999999</v>
      </c>
      <c r="E37" s="4">
        <v>0.29005969048292546</v>
      </c>
      <c r="F37" s="4">
        <v>0.11495241003849382</v>
      </c>
      <c r="G37" s="17">
        <v>3.8317470012831276E-4</v>
      </c>
      <c r="H37" s="4">
        <v>6.649683907004024E-2</v>
      </c>
      <c r="I37" s="15">
        <f t="shared" si="9"/>
        <v>-211.42420042068127</v>
      </c>
      <c r="J37" s="4">
        <f t="shared" ref="J37:J43" si="10">D37+E37+H37+$G$1</f>
        <v>-211.30924801064279</v>
      </c>
      <c r="M37" s="12" t="s">
        <v>53</v>
      </c>
      <c r="N37" s="2">
        <v>-283.372545</v>
      </c>
      <c r="O37" s="2">
        <v>-283.09138734961692</v>
      </c>
      <c r="P37" s="2">
        <v>-283.38129600000002</v>
      </c>
      <c r="Q37" s="2">
        <v>0.28990865038307689</v>
      </c>
      <c r="R37" s="2">
        <v>0.11205844833893418</v>
      </c>
      <c r="S37" s="17">
        <v>3.7352816112978061E-4</v>
      </c>
      <c r="T37" s="2">
        <v>6.5279688165841662E-2</v>
      </c>
      <c r="U37" s="2">
        <f t="shared" si="8"/>
        <v>-283.11231264998577</v>
      </c>
      <c r="V37" s="2">
        <f t="shared" ref="V37:V39" si="11">P37+Q37+T37+$G$1</f>
        <v>-283.00025420164684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4">
      <c r="A38" s="12" t="s">
        <v>54</v>
      </c>
      <c r="B38" s="4">
        <v>-212.167473</v>
      </c>
      <c r="C38" s="4">
        <v>-211.87240958364808</v>
      </c>
      <c r="D38" s="4">
        <v>-212.15757500000001</v>
      </c>
      <c r="E38" s="15">
        <v>0.28516541635192189</v>
      </c>
      <c r="F38" s="4">
        <v>0.13715584069301109</v>
      </c>
      <c r="G38" s="17">
        <v>4.5718613564337028E-4</v>
      </c>
      <c r="H38" s="4">
        <v>7.6071764803604683E-2</v>
      </c>
      <c r="I38" s="15">
        <f t="shared" si="9"/>
        <v>-211.90764019973324</v>
      </c>
      <c r="J38" s="4">
        <f t="shared" si="10"/>
        <v>-211.77048435904024</v>
      </c>
      <c r="M38" s="12" t="s">
        <v>54</v>
      </c>
      <c r="N38" s="2">
        <v>-283.534088</v>
      </c>
      <c r="O38" s="2">
        <v>-283.22450589400904</v>
      </c>
      <c r="P38" s="2">
        <v>-283.52757800000001</v>
      </c>
      <c r="Q38" s="2">
        <v>0.30307210599097967</v>
      </c>
      <c r="R38" s="2">
        <v>0.12822041048638297</v>
      </c>
      <c r="S38" s="17">
        <v>4.2740136828794327E-4</v>
      </c>
      <c r="T38" s="2">
        <v>6.9663780459547853E-2</v>
      </c>
      <c r="U38" s="2">
        <f t="shared" si="8"/>
        <v>-283.25720906423163</v>
      </c>
      <c r="V38" s="2">
        <f t="shared" si="11"/>
        <v>-283.12898865374524</v>
      </c>
      <c r="W38" s="4"/>
      <c r="X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>
      <c r="A39" s="12" t="s">
        <v>55</v>
      </c>
      <c r="B39" s="4">
        <v>-215.85456500000001</v>
      </c>
      <c r="C39" s="4">
        <v>-214.98810733730468</v>
      </c>
      <c r="D39" s="4">
        <v>-215.54093</v>
      </c>
      <c r="E39" s="4">
        <v>0.55282266269533331</v>
      </c>
      <c r="F39" s="4">
        <v>0.16391653330928516</v>
      </c>
      <c r="G39" s="17">
        <v>5.4638844436428384E-4</v>
      </c>
      <c r="H39" s="4">
        <v>9.1098352691054818E-2</v>
      </c>
      <c r="I39" s="15">
        <f>D39+E39-F39+H39+$G$1</f>
        <v>-215.03507205811866</v>
      </c>
      <c r="J39" s="4">
        <f t="shared" si="10"/>
        <v>-214.87115552480938</v>
      </c>
      <c r="K39" s="4"/>
      <c r="L39" s="4"/>
      <c r="M39" s="12" t="s">
        <v>55</v>
      </c>
      <c r="N39" s="2">
        <v>-287.068285</v>
      </c>
      <c r="O39" s="2">
        <v>-286.68559217819495</v>
      </c>
      <c r="P39" s="2">
        <v>-287.243133</v>
      </c>
      <c r="Q39" s="2">
        <v>0.55754082180505193</v>
      </c>
      <c r="R39" s="2">
        <v>0.18222967281286725</v>
      </c>
      <c r="S39" s="17">
        <v>6.0743224270955751E-4</v>
      </c>
      <c r="T39" s="2">
        <v>9.6380179102038763E-2</v>
      </c>
      <c r="U39" s="2">
        <f t="shared" si="8"/>
        <v>-286.74558821210155</v>
      </c>
      <c r="V39" s="2">
        <f t="shared" si="11"/>
        <v>-286.56335853928869</v>
      </c>
      <c r="W39" s="4"/>
      <c r="X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8">
      <c r="A40" s="12" t="s">
        <v>56</v>
      </c>
      <c r="B40" s="4">
        <v>-211.81741600000001</v>
      </c>
      <c r="C40" s="4">
        <v>-211.5345698316913</v>
      </c>
      <c r="D40" s="4">
        <v>-211.943851</v>
      </c>
      <c r="E40" s="4">
        <v>0.40928116830870226</v>
      </c>
      <c r="F40" s="4">
        <v>0.12544713303778063</v>
      </c>
      <c r="G40" s="23">
        <v>4.1815711012593544E-4</v>
      </c>
      <c r="H40" s="4">
        <v>6.9612621993575097E-2</v>
      </c>
      <c r="I40" s="15">
        <f t="shared" si="9"/>
        <v>-211.56455088293126</v>
      </c>
      <c r="J40" s="4">
        <f t="shared" si="10"/>
        <v>-211.43910374989349</v>
      </c>
      <c r="K40" s="4"/>
      <c r="L40" s="4"/>
      <c r="M40" s="12" t="s">
        <v>56</v>
      </c>
      <c r="N40" s="2">
        <v>-283.80231600000002</v>
      </c>
      <c r="O40" s="2">
        <v>-283.50687724140857</v>
      </c>
      <c r="P40" s="2">
        <v>-283.92692499999998</v>
      </c>
      <c r="Q40" s="2">
        <v>0.42004775859143689</v>
      </c>
      <c r="R40" s="2">
        <v>0.10591959210006728</v>
      </c>
      <c r="S40" s="14">
        <v>3.5306530700022424E-4</v>
      </c>
      <c r="T40" s="2">
        <v>6.2598736864640084E-2</v>
      </c>
      <c r="U40" s="2">
        <f t="shared" si="8"/>
        <v>-283.52434463683977</v>
      </c>
      <c r="V40" s="2">
        <f>P40+Q40+T40+$G$1</f>
        <v>-283.41842504473971</v>
      </c>
      <c r="W40" s="4"/>
      <c r="X40" s="9"/>
      <c r="Y40" s="9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8">
      <c r="A41" s="12" t="s">
        <v>57</v>
      </c>
      <c r="B41" s="4">
        <v>-215.85456500000001</v>
      </c>
      <c r="C41" s="4">
        <v>-215.35855986670944</v>
      </c>
      <c r="D41" s="4">
        <v>-215.97590299999999</v>
      </c>
      <c r="E41" s="4">
        <v>0.61734313329053248</v>
      </c>
      <c r="F41" s="4">
        <v>0.14189798284401045</v>
      </c>
      <c r="G41" s="23">
        <v>4.7299327614670148E-4</v>
      </c>
      <c r="H41" s="4">
        <v>7.9815899509939961E-2</v>
      </c>
      <c r="I41" s="15">
        <f t="shared" si="9"/>
        <v>-215.39478849023925</v>
      </c>
      <c r="J41" s="4">
        <f t="shared" si="10"/>
        <v>-215.25289050739525</v>
      </c>
      <c r="K41" s="4"/>
      <c r="L41" s="4"/>
      <c r="M41" s="12" t="s">
        <v>57</v>
      </c>
      <c r="N41" s="2">
        <v>-287.553045</v>
      </c>
      <c r="O41" s="2">
        <v>-287.12542470531082</v>
      </c>
      <c r="P41" s="2">
        <v>-287.67144300000001</v>
      </c>
      <c r="Q41" s="2">
        <v>0.59538687675448687</v>
      </c>
      <c r="R41" s="2">
        <v>3.2916172390860594E-2</v>
      </c>
      <c r="S41" s="14">
        <v>1.0972057463620198E-4</v>
      </c>
      <c r="T41" s="2">
        <v>2.3892628547504995E-2</v>
      </c>
      <c r="U41" s="2">
        <f t="shared" si="8"/>
        <v>-287.05922620728461</v>
      </c>
      <c r="V41" s="2">
        <f t="shared" ref="V41:V42" si="12">P41+Q41+T41+$G$1</f>
        <v>-287.02631003489375</v>
      </c>
      <c r="W41" s="4"/>
      <c r="X41" s="9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8">
      <c r="A42" s="12" t="s">
        <v>58</v>
      </c>
      <c r="B42" s="4">
        <v>-211.41278700000001</v>
      </c>
      <c r="C42" s="4">
        <v>-211.11518828948044</v>
      </c>
      <c r="D42" s="4">
        <v>-211.540054</v>
      </c>
      <c r="E42" s="4">
        <v>0.4248657105195478</v>
      </c>
      <c r="F42" s="4">
        <v>9.3216968465853214E-2</v>
      </c>
      <c r="G42" s="23">
        <v>3.1072322821951073E-4</v>
      </c>
      <c r="H42" s="4">
        <v>5.7393506789766818E-2</v>
      </c>
      <c r="I42" s="15">
        <f t="shared" si="9"/>
        <v>-211.12515829135228</v>
      </c>
      <c r="J42" s="4">
        <f t="shared" si="10"/>
        <v>-211.03194132288644</v>
      </c>
      <c r="K42" s="4"/>
      <c r="L42" s="4"/>
      <c r="M42" s="12" t="s">
        <v>58</v>
      </c>
      <c r="N42" s="2">
        <v>-283.63529699999998</v>
      </c>
      <c r="O42" s="2">
        <v>-283.36031706952127</v>
      </c>
      <c r="P42" s="2">
        <v>-283.77300300000002</v>
      </c>
      <c r="Q42" s="2">
        <v>0.41268593047874624</v>
      </c>
      <c r="R42" s="2">
        <v>0.10944317852603953</v>
      </c>
      <c r="S42" s="14">
        <v>3.6481059508679844E-4</v>
      </c>
      <c r="T42" s="2">
        <v>6.101874268169756E-2</v>
      </c>
      <c r="U42" s="2">
        <f t="shared" si="8"/>
        <v>-283.38288804556134</v>
      </c>
      <c r="V42" s="2">
        <f t="shared" si="12"/>
        <v>-283.27344486703532</v>
      </c>
      <c r="W42" s="4"/>
      <c r="X42" s="4"/>
      <c r="Y42" s="29"/>
      <c r="Z42" s="9"/>
      <c r="AA42" s="4"/>
      <c r="AB42" s="41"/>
      <c r="AC42" s="41"/>
      <c r="AD42" s="41"/>
      <c r="AE42" s="41"/>
      <c r="AF42" s="4"/>
      <c r="AG42" s="4"/>
      <c r="AH42" s="4"/>
    </row>
    <row r="43" spans="1:34" ht="18">
      <c r="A43" s="12" t="s">
        <v>59</v>
      </c>
      <c r="B43" s="4">
        <v>-215.60027299999999</v>
      </c>
      <c r="C43" s="4">
        <v>-215.06506942817171</v>
      </c>
      <c r="D43" s="4">
        <v>-215.759128</v>
      </c>
      <c r="E43" s="4">
        <v>0.69405857182830455</v>
      </c>
      <c r="F43" s="4">
        <v>0.15641363352418333</v>
      </c>
      <c r="G43" s="23">
        <v>5.2137877841394449E-4</v>
      </c>
      <c r="H43" s="4">
        <v>8.5093368277583986E-2</v>
      </c>
      <c r="I43" s="15">
        <f>D43+E43-F43+H43+$G$1</f>
        <v>-215.11053623361406</v>
      </c>
      <c r="J43" s="4">
        <f t="shared" si="10"/>
        <v>-214.95412260008987</v>
      </c>
      <c r="M43" s="12" t="s">
        <v>59</v>
      </c>
      <c r="N43" s="2">
        <f t="shared" ref="N43:T43" si="13">N17</f>
        <v>-288.100818</v>
      </c>
      <c r="O43" s="2">
        <f>O17</f>
        <v>-287.5506379385393</v>
      </c>
      <c r="P43" s="2">
        <f t="shared" si="13"/>
        <v>-288.33983599999999</v>
      </c>
      <c r="Q43" s="2">
        <f t="shared" si="13"/>
        <v>0.78919806146069904</v>
      </c>
      <c r="R43" s="2">
        <f t="shared" si="13"/>
        <v>0.12556796974625731</v>
      </c>
      <c r="S43" s="14">
        <f t="shared" si="13"/>
        <v>4.1855989915419098E-4</v>
      </c>
      <c r="T43" s="2">
        <f t="shared" si="13"/>
        <v>7.458154068725284E-2</v>
      </c>
      <c r="U43" s="2">
        <f>P43+Q43-R43+T43+$G$1</f>
        <v>-287.57577090779409</v>
      </c>
      <c r="V43" s="2">
        <f>P43+Q43+T43+$G$1</f>
        <v>-287.45020293804782</v>
      </c>
      <c r="W43" s="4"/>
      <c r="X43" s="4"/>
      <c r="Y43" s="4"/>
      <c r="Z43" s="30"/>
      <c r="AA43" s="42"/>
      <c r="AB43" s="9"/>
      <c r="AC43" s="43"/>
      <c r="AD43" s="9"/>
      <c r="AE43" s="43"/>
      <c r="AF43" s="9"/>
      <c r="AG43" s="9"/>
      <c r="AH43" s="4"/>
    </row>
    <row r="44" spans="1:34">
      <c r="A44" s="4"/>
      <c r="B44" s="4"/>
      <c r="C44" s="4"/>
      <c r="D44" s="4"/>
      <c r="E44" s="4"/>
      <c r="F44" s="4"/>
      <c r="G44" s="4"/>
      <c r="H44" s="4"/>
      <c r="I44" s="4"/>
      <c r="J44" s="4"/>
      <c r="M44" s="30" t="s">
        <v>62</v>
      </c>
      <c r="N44" s="4">
        <v>-297.72532899999999</v>
      </c>
      <c r="O44" s="2">
        <v>-296.81676349268292</v>
      </c>
      <c r="P44" s="2">
        <v>-298.19953600000002</v>
      </c>
      <c r="Q44" s="4">
        <v>1.3827725073170725</v>
      </c>
      <c r="R44" s="4">
        <v>0.14441272938379199</v>
      </c>
      <c r="S44" s="23">
        <v>4.8137576461263951E-4</v>
      </c>
      <c r="T44" s="4">
        <v>8.3622524052005001E-2</v>
      </c>
      <c r="U44" s="2">
        <f>P44+Q44-R44+T44+$G$1</f>
        <v>-296.85170023821047</v>
      </c>
      <c r="V44" s="2">
        <f>P44+Q44+T44+$G$1</f>
        <v>-296.70728750882665</v>
      </c>
      <c r="W44" s="4"/>
      <c r="X44" s="4"/>
      <c r="Y44" s="4"/>
      <c r="Z44" s="30"/>
      <c r="AA44" s="4"/>
      <c r="AB44" s="4"/>
      <c r="AC44" s="4"/>
      <c r="AD44" s="4"/>
      <c r="AE44" s="4"/>
      <c r="AF44" s="4"/>
      <c r="AG44" s="4"/>
    </row>
    <row r="45" spans="1:34" ht="16.2" thickBo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30" t="s">
        <v>63</v>
      </c>
      <c r="N45" s="15">
        <f>N13</f>
        <v>-298.06231600000001</v>
      </c>
      <c r="O45" s="15">
        <f>O13</f>
        <v>-297.30451463201649</v>
      </c>
      <c r="P45" s="15">
        <f>P13</f>
        <v>-298.79987799999998</v>
      </c>
      <c r="Q45" s="15">
        <f>Q13</f>
        <v>1.495363367983459</v>
      </c>
      <c r="R45" s="15">
        <f>S45*300</f>
        <v>0.40469051640284726</v>
      </c>
      <c r="S45" s="17">
        <f>G69-S13</f>
        <v>1.3489683880094909E-3</v>
      </c>
      <c r="T45" s="15">
        <v>8.3622524052005015E-2</v>
      </c>
      <c r="U45" s="2">
        <f>P45+Q45-R45+T45+$G$1</f>
        <v>-297.59972916456309</v>
      </c>
      <c r="V45" s="2">
        <f>P45+Q45+T45+$G$1</f>
        <v>-297.19503864816022</v>
      </c>
      <c r="W45" s="4"/>
      <c r="X45" s="4"/>
      <c r="Y45" s="4"/>
      <c r="Z45" s="30"/>
      <c r="AA45" s="4"/>
      <c r="AB45" s="4"/>
      <c r="AC45" s="4"/>
      <c r="AD45" s="4"/>
      <c r="AE45" s="4"/>
      <c r="AF45" s="4"/>
      <c r="AG45" s="4"/>
    </row>
    <row r="46" spans="1:34" ht="18">
      <c r="A46" s="31" t="s">
        <v>64</v>
      </c>
      <c r="B46" s="32" t="s">
        <v>65</v>
      </c>
      <c r="C46" s="33">
        <v>3.25</v>
      </c>
      <c r="D46" s="32" t="s">
        <v>66</v>
      </c>
      <c r="E46" s="34">
        <f>8.314*300*(3.25-C46)*2.303*(1/(1000*96.485))</f>
        <v>0</v>
      </c>
      <c r="G46" s="4"/>
      <c r="H46" s="4"/>
      <c r="I46" s="4"/>
      <c r="J46" s="4"/>
      <c r="K46" s="4"/>
      <c r="L46" s="4"/>
      <c r="O46" s="4"/>
      <c r="P46" s="4"/>
      <c r="Q46" s="7"/>
      <c r="R46" s="7"/>
      <c r="S46" s="7"/>
      <c r="T46" s="7"/>
      <c r="U46" s="7"/>
      <c r="Y46" s="4"/>
      <c r="Z46" s="30"/>
      <c r="AA46" s="4"/>
      <c r="AB46" s="4"/>
      <c r="AC46" s="4"/>
      <c r="AD46" s="4"/>
      <c r="AE46" s="4"/>
      <c r="AF46" s="4"/>
      <c r="AG46" s="4"/>
    </row>
    <row r="47" spans="1:34" ht="16.2" thickBot="1">
      <c r="A47" s="35" t="s">
        <v>67</v>
      </c>
      <c r="B47" s="36" t="s">
        <v>65</v>
      </c>
      <c r="C47" s="37">
        <v>3.25</v>
      </c>
      <c r="D47" s="38" t="s">
        <v>68</v>
      </c>
      <c r="E47" s="39">
        <f>-2.303*8.314*300*(9.25-C47)*(1/1000/96.485)</f>
        <v>-0.35720428667668547</v>
      </c>
      <c r="F47" s="4"/>
      <c r="G47" s="4"/>
      <c r="H47" s="4"/>
      <c r="I47" s="4"/>
      <c r="J47" s="4"/>
      <c r="K47" s="4"/>
      <c r="L47" s="4"/>
      <c r="O47" s="4"/>
      <c r="P47" s="4"/>
      <c r="Q47" s="109"/>
      <c r="R47" s="122"/>
      <c r="S47" s="92"/>
      <c r="T47" s="92"/>
      <c r="Y47" s="4"/>
      <c r="Z47" s="30"/>
      <c r="AA47" s="4"/>
      <c r="AB47" s="4"/>
      <c r="AC47" s="4"/>
      <c r="AD47" s="4"/>
      <c r="AE47" s="4"/>
      <c r="AF47" s="4"/>
      <c r="AG47" s="4"/>
    </row>
    <row r="48" spans="1:34" s="6" customFormat="1" ht="18.600000000000001" thickBot="1">
      <c r="B48" s="7" t="s">
        <v>3</v>
      </c>
      <c r="C48" s="7" t="s">
        <v>4</v>
      </c>
      <c r="D48" s="7" t="s">
        <v>5</v>
      </c>
      <c r="E48" s="7" t="s">
        <v>6</v>
      </c>
      <c r="F48" s="7" t="s">
        <v>7</v>
      </c>
      <c r="G48" s="7" t="s">
        <v>8</v>
      </c>
      <c r="H48" s="7" t="s">
        <v>9</v>
      </c>
      <c r="I48" s="7" t="s">
        <v>70</v>
      </c>
      <c r="J48" s="7" t="s">
        <v>10</v>
      </c>
      <c r="K48" s="7" t="s">
        <v>11</v>
      </c>
      <c r="Q48" s="92"/>
      <c r="R48" s="92"/>
      <c r="S48" s="104"/>
      <c r="T48" s="104"/>
      <c r="X48" s="2"/>
      <c r="Y48" s="2"/>
      <c r="Z48" s="30"/>
      <c r="AA48" s="4"/>
      <c r="AB48" s="4"/>
      <c r="AC48" s="4"/>
      <c r="AD48" s="4"/>
      <c r="AE48" s="4"/>
      <c r="AF48" s="4"/>
      <c r="AG48" s="4"/>
    </row>
    <row r="49" spans="1:33" ht="21">
      <c r="A49" s="2" t="s">
        <v>71</v>
      </c>
      <c r="B49" s="2">
        <v>-19.519034189999999</v>
      </c>
      <c r="C49" s="2">
        <f>B49+E49</f>
        <v>-18.611340811045153</v>
      </c>
      <c r="D49" s="2">
        <v>-19.702974569999999</v>
      </c>
      <c r="E49" s="2">
        <v>0.9076933789548457</v>
      </c>
      <c r="F49" s="14">
        <v>0.60031144558240768</v>
      </c>
      <c r="G49" s="44">
        <v>2.0010381519413589E-3</v>
      </c>
      <c r="H49" s="2">
        <v>7.7560474935465348E-2</v>
      </c>
      <c r="I49" s="2">
        <v>-0.145035059918451</v>
      </c>
      <c r="J49" s="2">
        <f>D49+E49-F49+H49+$G$1+I49+E47</f>
        <v>-19.794418048482985</v>
      </c>
      <c r="K49" s="2">
        <f>D49+E49+H49+I49+$G$1+O66</f>
        <v>-19.145985086223895</v>
      </c>
      <c r="L49" s="45" t="s">
        <v>72</v>
      </c>
      <c r="N49" s="123"/>
      <c r="O49" s="124" t="s">
        <v>69</v>
      </c>
      <c r="P49" s="34"/>
      <c r="Q49" s="109"/>
      <c r="R49" s="111"/>
      <c r="S49" s="92"/>
      <c r="T49" s="92"/>
      <c r="Z49" s="30"/>
      <c r="AA49" s="4"/>
      <c r="AB49" s="4"/>
      <c r="AC49" s="4"/>
      <c r="AD49" s="4"/>
      <c r="AE49" s="4"/>
      <c r="AF49" s="4"/>
      <c r="AG49" s="4"/>
    </row>
    <row r="50" spans="1:33">
      <c r="A50" s="2" t="s">
        <v>74</v>
      </c>
      <c r="B50" s="2">
        <v>-14.21848771</v>
      </c>
      <c r="C50" s="2">
        <f t="shared" ref="C50:C54" si="14">B50+E50</f>
        <v>-13.652792185646433</v>
      </c>
      <c r="D50" s="2">
        <v>-14.53071066</v>
      </c>
      <c r="E50" s="2">
        <v>0.56569552435356663</v>
      </c>
      <c r="F50" s="14">
        <f t="shared" ref="F50" si="15">G50*300</f>
        <v>0.58716008431343503</v>
      </c>
      <c r="G50" s="14">
        <f>'[1]H2O-gas'!$F$20</f>
        <v>1.9572002810447835E-3</v>
      </c>
      <c r="H50" s="2">
        <v>7.7648330265751825E-2</v>
      </c>
      <c r="I50" s="2">
        <v>0.18676392426462099</v>
      </c>
      <c r="J50" s="2">
        <f>D50+E50-F50+H50+$G$1+I50</f>
        <v>-14.261909505625249</v>
      </c>
      <c r="K50" s="2">
        <f t="shared" ref="K50" si="16">D50+E50+H50+I50+$G$1</f>
        <v>-13.674749421311814</v>
      </c>
      <c r="L50" s="45" t="s">
        <v>75</v>
      </c>
      <c r="N50" s="86" t="s">
        <v>31</v>
      </c>
      <c r="O50" s="92">
        <f>N15</f>
        <v>-276.89197899999999</v>
      </c>
      <c r="P50" s="125"/>
      <c r="Q50" s="109"/>
      <c r="R50" s="111"/>
      <c r="S50" s="92"/>
      <c r="T50" s="92"/>
      <c r="X50" s="92"/>
      <c r="AA50" s="4"/>
      <c r="AB50" s="4"/>
      <c r="AC50" s="4"/>
      <c r="AD50" s="4"/>
      <c r="AE50" s="4"/>
      <c r="AF50" s="4"/>
      <c r="AG50" s="4"/>
    </row>
    <row r="51" spans="1:33">
      <c r="A51" s="2" t="s">
        <v>77</v>
      </c>
      <c r="B51" s="2">
        <v>-30.321909000000002</v>
      </c>
      <c r="C51" s="2">
        <f t="shared" si="14"/>
        <v>-28.879850634111072</v>
      </c>
      <c r="D51" s="2">
        <v>-30.594891000000001</v>
      </c>
      <c r="E51" s="2">
        <v>1.4420583658889301</v>
      </c>
      <c r="F51" s="14">
        <v>0.72944578062666798</v>
      </c>
      <c r="G51" s="14">
        <v>2.431359932108996E-3</v>
      </c>
      <c r="H51" s="2">
        <v>8.6506370487442336E-2</v>
      </c>
      <c r="I51" s="2">
        <v>-0.18506037939604</v>
      </c>
      <c r="J51" s="2">
        <f>D51+E51-F51+H51+$G$1+I51+O63</f>
        <v>-30.437544643842092</v>
      </c>
      <c r="K51" s="2">
        <f>D51+E51+H51+I51+$G$1+O63</f>
        <v>-29.708098863215422</v>
      </c>
      <c r="L51" s="45" t="s">
        <v>78</v>
      </c>
      <c r="N51" s="85" t="s">
        <v>60</v>
      </c>
      <c r="O51" s="109">
        <v>-287.62811399999998</v>
      </c>
      <c r="P51" s="125"/>
      <c r="Q51" s="119"/>
      <c r="R51" s="111"/>
      <c r="S51" s="92"/>
      <c r="T51" s="92"/>
      <c r="X51" s="109"/>
      <c r="AA51" s="4"/>
      <c r="AB51" s="4"/>
      <c r="AC51" s="4"/>
      <c r="AD51" s="4"/>
      <c r="AE51" s="4"/>
      <c r="AF51" s="4"/>
      <c r="AG51" s="4"/>
    </row>
    <row r="52" spans="1:33">
      <c r="A52" s="2" t="s">
        <v>80</v>
      </c>
      <c r="B52" s="2">
        <v>-22.829397</v>
      </c>
      <c r="C52" s="2">
        <f t="shared" si="14"/>
        <v>-22.295374831514525</v>
      </c>
      <c r="D52" s="2">
        <v>-23.054772</v>
      </c>
      <c r="E52" s="2">
        <v>0.5340221684854739</v>
      </c>
      <c r="F52" s="14">
        <f>G52*300</f>
        <v>0.77759494958131792</v>
      </c>
      <c r="G52" s="14">
        <v>2.5919831652710598E-3</v>
      </c>
      <c r="H52" s="2">
        <v>7.8005083190288635E-2</v>
      </c>
      <c r="I52" s="2">
        <v>-9.3829584892470397E-2</v>
      </c>
      <c r="J52" s="2">
        <f>D52+E52-F52+H52+$G$1+I52+E46</f>
        <v>-23.288315822993781</v>
      </c>
      <c r="K52" s="2">
        <f>D52+E52+H52+I52+$G$1+E46</f>
        <v>-22.510720873412463</v>
      </c>
      <c r="L52" s="45" t="s">
        <v>81</v>
      </c>
      <c r="N52" s="126" t="s">
        <v>61</v>
      </c>
      <c r="O52" s="119">
        <v>-298.39063700000003</v>
      </c>
      <c r="P52" s="96"/>
      <c r="Q52" s="109"/>
      <c r="R52" s="92"/>
      <c r="S52" s="92"/>
      <c r="T52" s="92"/>
      <c r="Z52" s="30"/>
      <c r="AA52" s="4"/>
      <c r="AB52" s="4"/>
      <c r="AC52" s="4"/>
      <c r="AD52" s="4"/>
      <c r="AE52" s="4"/>
      <c r="AF52" s="4"/>
      <c r="AG52" s="4"/>
    </row>
    <row r="53" spans="1:33">
      <c r="A53" s="2" t="s">
        <v>82</v>
      </c>
      <c r="B53" s="2">
        <v>-6.7619999999999996</v>
      </c>
      <c r="C53" s="2">
        <f>B53+E53</f>
        <v>-6.497155730110336</v>
      </c>
      <c r="D53" s="2" t="s">
        <v>83</v>
      </c>
      <c r="E53" s="2">
        <v>0.26484426988966359</v>
      </c>
      <c r="F53" s="14">
        <f>G53*300</f>
        <v>0.56505049389094197</v>
      </c>
      <c r="G53" s="14">
        <v>1.88350164630314E-3</v>
      </c>
      <c r="H53" s="2">
        <v>7.7560380082852029E-2</v>
      </c>
      <c r="I53" s="2" t="s">
        <v>83</v>
      </c>
      <c r="J53" s="2">
        <f>B53+E53-F53+H53+$G$1</f>
        <v>-6.9587923841141786</v>
      </c>
      <c r="K53" s="2">
        <f>B53+E53+H53+$G$1</f>
        <v>-6.3937418902232368</v>
      </c>
      <c r="L53" s="45" t="s">
        <v>84</v>
      </c>
      <c r="N53" s="86" t="s">
        <v>92</v>
      </c>
      <c r="O53" s="92">
        <v>-12.294924999999999</v>
      </c>
      <c r="P53" s="96"/>
      <c r="Q53" s="109"/>
      <c r="R53" s="111"/>
      <c r="S53" s="92"/>
      <c r="T53" s="92"/>
      <c r="Z53" s="30"/>
      <c r="AA53" s="4"/>
      <c r="AB53" s="4"/>
      <c r="AC53" s="4"/>
      <c r="AD53" s="4"/>
      <c r="AE53" s="4"/>
      <c r="AF53" s="4"/>
      <c r="AG53" s="4"/>
    </row>
    <row r="54" spans="1:33" ht="18">
      <c r="A54" s="2" t="s">
        <v>85</v>
      </c>
      <c r="B54" s="2">
        <v>-16.618625999999999</v>
      </c>
      <c r="C54" s="2">
        <f t="shared" si="14"/>
        <v>-16.466832596307331</v>
      </c>
      <c r="D54" s="2" t="s">
        <v>83</v>
      </c>
      <c r="E54" s="2">
        <v>0.15179340369266778</v>
      </c>
      <c r="F54" s="44">
        <v>0.72095257033815929</v>
      </c>
      <c r="G54" s="14">
        <v>8.7279622466204155E-9</v>
      </c>
      <c r="H54" s="2">
        <v>7.7562792319069845E-2</v>
      </c>
      <c r="I54" s="2" t="s">
        <v>83</v>
      </c>
      <c r="J54" s="2">
        <f>B54+E54-F54+H54+$G$1</f>
        <v>-17.084368914522173</v>
      </c>
      <c r="K54" s="2">
        <f>B54+E54+H54+$G$1</f>
        <v>-16.363416344184014</v>
      </c>
      <c r="L54" s="45" t="s">
        <v>86</v>
      </c>
      <c r="N54" s="86"/>
      <c r="O54" s="103" t="s">
        <v>3</v>
      </c>
      <c r="P54" s="96" t="s">
        <v>109</v>
      </c>
      <c r="Q54" s="92"/>
      <c r="R54" s="92"/>
      <c r="S54" s="92"/>
      <c r="T54" s="92"/>
      <c r="Z54" s="30"/>
      <c r="AA54" s="4"/>
      <c r="AB54" s="4"/>
      <c r="AC54" s="4"/>
      <c r="AD54" s="4"/>
      <c r="AE54" s="4"/>
      <c r="AF54" s="4"/>
      <c r="AG54" s="4"/>
    </row>
    <row r="55" spans="1:33">
      <c r="A55" s="2" t="s">
        <v>87</v>
      </c>
      <c r="B55" s="2">
        <f>B52</f>
        <v>-22.829397</v>
      </c>
      <c r="C55" s="2">
        <f>C52</f>
        <v>-22.295374831514525</v>
      </c>
      <c r="D55" s="2">
        <f>D52</f>
        <v>-23.054772</v>
      </c>
      <c r="E55" s="2">
        <f>E52</f>
        <v>0.5340221684854739</v>
      </c>
      <c r="F55" s="14">
        <f>G55*300</f>
        <v>1.0720488128177039</v>
      </c>
      <c r="G55" s="14">
        <v>3.57349604272568E-3</v>
      </c>
      <c r="H55" s="2">
        <f>H52</f>
        <v>7.8005083190288635E-2</v>
      </c>
      <c r="I55" s="2">
        <f>I52</f>
        <v>-9.3829584892470397E-2</v>
      </c>
      <c r="J55" s="2">
        <f>D55+E55-F55+H55+I55+$G$1+E46</f>
        <v>-23.582769686230169</v>
      </c>
      <c r="K55" s="2">
        <f>D55+E55+H55+I55+$G$1+E46</f>
        <v>-22.510720873412463</v>
      </c>
      <c r="L55" s="45" t="s">
        <v>81</v>
      </c>
      <c r="M55" s="45"/>
      <c r="N55" s="86" t="s">
        <v>73</v>
      </c>
      <c r="O55" s="92">
        <v>-291.80665699999997</v>
      </c>
      <c r="P55" s="96">
        <f>O55-O50-$O$53</f>
        <v>-2.6197529999999816</v>
      </c>
      <c r="Q55" s="92"/>
      <c r="R55" s="92"/>
      <c r="Z55" s="30"/>
      <c r="AA55" s="4"/>
      <c r="AB55" s="4"/>
      <c r="AC55" s="4"/>
      <c r="AD55" s="4"/>
      <c r="AE55" s="4"/>
      <c r="AF55" s="4"/>
      <c r="AG55" s="4"/>
    </row>
    <row r="56" spans="1:33">
      <c r="A56" s="2" t="s">
        <v>88</v>
      </c>
      <c r="B56" s="2">
        <f>B49</f>
        <v>-19.519034189999999</v>
      </c>
      <c r="C56" s="2">
        <f t="shared" ref="C56:I56" si="17">C49</f>
        <v>-18.611340811045153</v>
      </c>
      <c r="D56" s="2">
        <f t="shared" si="17"/>
        <v>-19.702974569999999</v>
      </c>
      <c r="E56" s="2">
        <f t="shared" si="17"/>
        <v>0.9076933789548457</v>
      </c>
      <c r="F56" s="14">
        <f t="shared" si="17"/>
        <v>0.60031144558240768</v>
      </c>
      <c r="G56" s="14">
        <f t="shared" si="17"/>
        <v>2.0010381519413589E-3</v>
      </c>
      <c r="H56" s="2">
        <f>H49</f>
        <v>7.7560474935465348E-2</v>
      </c>
      <c r="I56" s="2">
        <f t="shared" si="17"/>
        <v>-0.145035059918451</v>
      </c>
      <c r="J56" s="2">
        <f>J49+E47</f>
        <v>-20.151622335159672</v>
      </c>
      <c r="K56" s="2">
        <f>K49+E47</f>
        <v>-19.503189372900582</v>
      </c>
      <c r="M56" s="27"/>
      <c r="N56" s="86" t="s">
        <v>76</v>
      </c>
      <c r="O56" s="92">
        <v>-302.36418500000002</v>
      </c>
      <c r="P56" s="96">
        <f>O56-O51-$O$53</f>
        <v>-2.4411460000000389</v>
      </c>
      <c r="Q56" s="27"/>
      <c r="R56" s="27"/>
      <c r="Z56" s="30"/>
      <c r="AA56" s="4"/>
      <c r="AB56" s="4"/>
      <c r="AC56" s="4"/>
      <c r="AD56" s="4"/>
      <c r="AE56" s="4"/>
      <c r="AF56" s="4"/>
      <c r="AG56" s="4"/>
    </row>
    <row r="57" spans="1:33" ht="16.2" thickBot="1">
      <c r="A57" s="101" t="s">
        <v>89</v>
      </c>
      <c r="B57" s="98">
        <v>-59.565556999999998</v>
      </c>
      <c r="C57" s="98">
        <v>-57.427911429360456</v>
      </c>
      <c r="D57" s="98">
        <v>-60.138877999999998</v>
      </c>
      <c r="E57" s="98">
        <v>2.709825567806778</v>
      </c>
      <c r="F57" s="99">
        <v>1.1141480578392284</v>
      </c>
      <c r="G57" s="99">
        <v>3.7136344032864784E-3</v>
      </c>
      <c r="H57" s="98">
        <v>0.25564085871389758</v>
      </c>
      <c r="I57" s="98">
        <v>-0.20451774945422838</v>
      </c>
      <c r="J57" s="98">
        <f>D57+E57-F57+I57+H57+$G$1</f>
        <v>-58.466223920968531</v>
      </c>
      <c r="K57" s="98">
        <f>D57+E57+H57+I57+$G$1</f>
        <v>-57.352075863129301</v>
      </c>
      <c r="L57" s="97"/>
      <c r="M57" s="27"/>
      <c r="N57" s="127" t="s">
        <v>79</v>
      </c>
      <c r="O57" s="128">
        <v>-313.36490800000001</v>
      </c>
      <c r="P57" s="39">
        <f>O57-O52-$O$53</f>
        <v>-2.6793459999999882</v>
      </c>
      <c r="Q57" s="27"/>
      <c r="R57" s="27"/>
      <c r="Z57" s="30"/>
      <c r="AA57" s="4"/>
      <c r="AB57" s="4"/>
      <c r="AC57" s="4"/>
      <c r="AD57" s="4"/>
      <c r="AE57" s="4"/>
      <c r="AF57" s="4"/>
      <c r="AG57" s="4"/>
    </row>
    <row r="58" spans="1:33">
      <c r="A58" s="100" t="s">
        <v>90</v>
      </c>
      <c r="B58" s="98">
        <v>-28.665172999999999</v>
      </c>
      <c r="C58" s="98">
        <v>-27.993681647313707</v>
      </c>
      <c r="D58" s="98">
        <v>-29.203811999999999</v>
      </c>
      <c r="E58" s="98">
        <v>1.2101303526862937</v>
      </c>
      <c r="F58" s="99">
        <v>0.83274899564706606</v>
      </c>
      <c r="G58" s="99">
        <v>2.7756861377426175E-3</v>
      </c>
      <c r="H58" s="98">
        <v>0.17105090810099746</v>
      </c>
      <c r="I58" s="98">
        <v>0.1867639242646211</v>
      </c>
      <c r="J58" s="98">
        <f>D58+E58-F58+I58+H58+$G$1</f>
        <v>-28.442762350790908</v>
      </c>
      <c r="K58" s="98">
        <f>D58+E58+H58+I58+$G$1</f>
        <v>-27.610013355143842</v>
      </c>
      <c r="L58" s="97"/>
      <c r="M58" s="27"/>
      <c r="Q58" s="27"/>
      <c r="R58" s="27"/>
      <c r="Z58" s="30"/>
      <c r="AA58" s="4"/>
      <c r="AB58" s="4"/>
      <c r="AC58" s="4"/>
      <c r="AD58" s="4"/>
      <c r="AE58" s="4"/>
      <c r="AF58" s="4"/>
      <c r="AG58" s="4"/>
    </row>
    <row r="59" spans="1:33">
      <c r="A59" s="2" t="s">
        <v>91</v>
      </c>
      <c r="B59" s="2">
        <v>-34.124785000000003</v>
      </c>
      <c r="C59" s="49"/>
      <c r="D59" s="22">
        <v>-34.542768000000002</v>
      </c>
      <c r="E59" s="50"/>
      <c r="G59" s="2">
        <f>D51-B51</f>
        <v>-0.27298199999999895</v>
      </c>
      <c r="L59" s="97"/>
      <c r="M59" s="27"/>
      <c r="Q59" s="27"/>
      <c r="R59" s="27"/>
      <c r="Z59" s="30"/>
      <c r="AA59" s="4"/>
      <c r="AB59" s="4"/>
      <c r="AC59" s="4"/>
      <c r="AD59" s="4"/>
      <c r="AE59" s="4"/>
      <c r="AF59" s="4"/>
      <c r="AG59" s="4"/>
    </row>
    <row r="60" spans="1:33">
      <c r="L60" s="97"/>
      <c r="M60" s="27"/>
      <c r="N60" s="45"/>
      <c r="P60" s="13"/>
      <c r="Q60" s="27"/>
      <c r="R60" s="27"/>
      <c r="Z60" s="30"/>
      <c r="AA60" s="4"/>
      <c r="AB60" s="4"/>
      <c r="AC60" s="4"/>
      <c r="AD60" s="4"/>
      <c r="AE60" s="4"/>
      <c r="AF60" s="4"/>
      <c r="AG60" s="4"/>
    </row>
    <row r="61" spans="1:33" ht="16.2" thickBot="1">
      <c r="I61" s="13"/>
      <c r="J61" s="48"/>
      <c r="K61" s="48"/>
      <c r="M61" s="27"/>
      <c r="Q61" s="27"/>
      <c r="R61" s="27"/>
      <c r="X61" s="109"/>
      <c r="Y61" s="4"/>
      <c r="Z61" s="30"/>
      <c r="AA61" s="4"/>
      <c r="AB61" s="4"/>
      <c r="AC61" s="4"/>
      <c r="AD61" s="4"/>
      <c r="AE61" s="4"/>
      <c r="AF61" s="4"/>
      <c r="AG61" s="4"/>
    </row>
    <row r="62" spans="1:33" ht="18">
      <c r="A62" s="7" t="s">
        <v>93</v>
      </c>
      <c r="B62" s="7" t="s">
        <v>3</v>
      </c>
      <c r="C62" s="7" t="s">
        <v>4</v>
      </c>
      <c r="D62" s="7" t="s">
        <v>5</v>
      </c>
      <c r="E62" s="7" t="s">
        <v>6</v>
      </c>
      <c r="F62" s="7" t="s">
        <v>7</v>
      </c>
      <c r="G62" s="7" t="s">
        <v>8</v>
      </c>
      <c r="H62" s="7" t="s">
        <v>9</v>
      </c>
      <c r="I62" s="7" t="s">
        <v>70</v>
      </c>
      <c r="J62" s="7" t="s">
        <v>10</v>
      </c>
      <c r="K62" s="7" t="s">
        <v>11</v>
      </c>
      <c r="L62" s="55"/>
      <c r="M62" s="27"/>
      <c r="N62" s="123" t="s">
        <v>110</v>
      </c>
      <c r="O62" s="66"/>
      <c r="Q62" s="155" t="s">
        <v>120</v>
      </c>
      <c r="R62" s="156" t="s">
        <v>3</v>
      </c>
      <c r="X62" s="109"/>
      <c r="Y62" s="4"/>
      <c r="Z62" s="30"/>
      <c r="AA62" s="4"/>
      <c r="AB62" s="4"/>
      <c r="AC62" s="4"/>
      <c r="AD62" s="4"/>
      <c r="AE62" s="4"/>
      <c r="AF62" s="4"/>
      <c r="AG62" s="4"/>
    </row>
    <row r="63" spans="1:33">
      <c r="A63" s="2" t="s">
        <v>71</v>
      </c>
      <c r="B63" s="2">
        <v>-19.519034189999999</v>
      </c>
      <c r="C63" s="2">
        <f>B63+E63</f>
        <v>-18.611340811045153</v>
      </c>
      <c r="D63" s="2">
        <v>-19.702974569999999</v>
      </c>
      <c r="E63" s="2">
        <v>0.9076933789548457</v>
      </c>
      <c r="F63" s="2">
        <f>G63*300</f>
        <v>0.45941091594482403</v>
      </c>
      <c r="G63" s="2">
        <v>1.5313697198160801E-3</v>
      </c>
      <c r="H63" s="2">
        <v>7.7560474935465348E-2</v>
      </c>
      <c r="I63" s="2">
        <v>-0.145035059918451</v>
      </c>
      <c r="J63" s="2">
        <f>D63+E63-F63+H63+$G$1+I63</f>
        <v>-19.296313232168714</v>
      </c>
      <c r="K63" s="2">
        <f>D63+E63+H63+I63+$G$1</f>
        <v>-18.836902316223892</v>
      </c>
      <c r="L63" s="45" t="s">
        <v>72</v>
      </c>
      <c r="M63" s="27"/>
      <c r="N63" s="86" t="s">
        <v>108</v>
      </c>
      <c r="O63" s="96">
        <f>D57-2*D50-D51</f>
        <v>-0.48256567999999689</v>
      </c>
      <c r="Q63" s="157"/>
      <c r="R63" s="96"/>
      <c r="X63" s="4"/>
      <c r="Y63" s="4"/>
      <c r="Z63" s="30"/>
      <c r="AA63" s="4"/>
      <c r="AB63" s="4"/>
      <c r="AC63" s="4"/>
      <c r="AD63" s="4"/>
      <c r="AE63" s="4"/>
      <c r="AF63" s="4"/>
      <c r="AG63" s="4"/>
    </row>
    <row r="64" spans="1:33" ht="18">
      <c r="A64" s="2" t="s">
        <v>74</v>
      </c>
      <c r="B64" s="2">
        <v>-14.21848771</v>
      </c>
      <c r="C64" s="2">
        <f t="shared" ref="C64:C65" si="18">B64+E64</f>
        <v>-13.652792185646433</v>
      </c>
      <c r="D64" s="2">
        <v>-14.53071066</v>
      </c>
      <c r="E64" s="2">
        <v>0.56569552435356663</v>
      </c>
      <c r="F64" s="2">
        <f>G64*300</f>
        <v>0.44556648715895097</v>
      </c>
      <c r="G64" s="2">
        <v>1.48522162386317E-3</v>
      </c>
      <c r="H64" s="2">
        <v>7.7648330265751825E-2</v>
      </c>
      <c r="I64" s="2">
        <v>0.18676392426462099</v>
      </c>
      <c r="J64" s="2">
        <f>D64+E64-F64+H64+$G$1+I64</f>
        <v>-14.120315908470765</v>
      </c>
      <c r="K64" s="2">
        <f>D64+E64+H64+I64+$G$1</f>
        <v>-13.674749421311814</v>
      </c>
      <c r="L64" s="45" t="s">
        <v>75</v>
      </c>
      <c r="M64" s="27"/>
      <c r="N64" s="86"/>
      <c r="O64" s="96"/>
      <c r="Q64" s="86" t="s">
        <v>14</v>
      </c>
      <c r="R64" s="96">
        <v>-293.60823399999998</v>
      </c>
      <c r="T64" s="110"/>
      <c r="U64" s="92"/>
      <c r="V64" s="111"/>
      <c r="W64" s="109"/>
      <c r="X64" s="9"/>
      <c r="Y64" s="9"/>
      <c r="Z64" s="30"/>
      <c r="AA64" s="4"/>
      <c r="AB64" s="4"/>
      <c r="AC64" s="4"/>
      <c r="AD64" s="4"/>
      <c r="AE64" s="4"/>
      <c r="AF64" s="4"/>
      <c r="AG64" s="4"/>
    </row>
    <row r="65" spans="1:33">
      <c r="A65" s="2" t="s">
        <v>80</v>
      </c>
      <c r="B65" s="2">
        <v>-22.829397</v>
      </c>
      <c r="C65" s="2">
        <f t="shared" si="18"/>
        <v>-22.295374831514525</v>
      </c>
      <c r="D65" s="2">
        <v>-23.054772</v>
      </c>
      <c r="E65" s="2">
        <v>0.5340221684854739</v>
      </c>
      <c r="F65" s="2">
        <f>G65*300</f>
        <v>0.62360352304000499</v>
      </c>
      <c r="G65" s="2">
        <v>2.0786784101333501E-3</v>
      </c>
      <c r="H65" s="2">
        <v>7.8005083190288635E-2</v>
      </c>
      <c r="I65" s="2">
        <v>-9.3829584892470355E-2</v>
      </c>
      <c r="J65" s="2">
        <f>D65+E65-F65+H65+$G$1+I65+E46</f>
        <v>-23.134324396452467</v>
      </c>
      <c r="K65" s="2">
        <f>D65+E65+H65+I65+$G$1+E46</f>
        <v>-22.510720873412463</v>
      </c>
      <c r="L65" s="45" t="s">
        <v>81</v>
      </c>
      <c r="M65" s="27"/>
      <c r="N65" s="86" t="s">
        <v>111</v>
      </c>
      <c r="O65" s="96"/>
      <c r="Q65" s="86" t="s">
        <v>20</v>
      </c>
      <c r="R65" s="96">
        <v>-286.418972</v>
      </c>
      <c r="T65" s="110"/>
      <c r="U65" s="110"/>
      <c r="V65" s="111"/>
      <c r="W65" s="109"/>
      <c r="X65" s="4"/>
      <c r="Y65" s="52"/>
      <c r="Z65" s="30"/>
      <c r="AA65" s="4"/>
      <c r="AB65" s="4"/>
      <c r="AC65" s="4"/>
      <c r="AD65" s="4"/>
      <c r="AE65" s="4"/>
      <c r="AF65" s="4"/>
      <c r="AG65" s="4"/>
    </row>
    <row r="66" spans="1:33" ht="18.600000000000001" thickBot="1">
      <c r="A66" s="2" t="s">
        <v>82</v>
      </c>
      <c r="B66" s="2">
        <v>-6.7619999999999996</v>
      </c>
      <c r="C66" s="2">
        <f>B66+E66</f>
        <v>-6.497155730110336</v>
      </c>
      <c r="D66" s="2" t="s">
        <v>83</v>
      </c>
      <c r="E66" s="2">
        <v>0.26484426988966359</v>
      </c>
      <c r="F66" s="2">
        <f>G66*300</f>
        <v>0.45176501896101623</v>
      </c>
      <c r="G66" s="2">
        <v>1.5058833965367207E-3</v>
      </c>
      <c r="H66" s="2">
        <v>7.7560380082852001E-2</v>
      </c>
      <c r="I66" s="2" t="s">
        <v>83</v>
      </c>
      <c r="J66" s="2">
        <f>B66+E66-F66+H66+$G$1</f>
        <v>-6.8455069091842526</v>
      </c>
      <c r="K66" s="2">
        <f>B66+E66+H66+$G$1</f>
        <v>-6.3937418902232368</v>
      </c>
      <c r="L66" s="45" t="s">
        <v>84</v>
      </c>
      <c r="M66" s="27"/>
      <c r="N66" s="147" t="s">
        <v>107</v>
      </c>
      <c r="O66" s="39">
        <f>D59-D49-D50</f>
        <v>-0.30908277000000339</v>
      </c>
      <c r="Q66" s="86" t="s">
        <v>22</v>
      </c>
      <c r="R66" s="96">
        <v>-290.15353199999998</v>
      </c>
      <c r="T66" s="110"/>
      <c r="U66" s="110"/>
      <c r="V66" s="111"/>
      <c r="W66" s="109"/>
      <c r="X66" s="53"/>
      <c r="Y66" s="54"/>
      <c r="Z66" s="51"/>
      <c r="AA66" s="4"/>
      <c r="AB66" s="4"/>
      <c r="AC66" s="4"/>
      <c r="AD66" s="4"/>
      <c r="AE66" s="4"/>
      <c r="AF66" s="4"/>
      <c r="AG66" s="4"/>
    </row>
    <row r="67" spans="1:33" ht="18">
      <c r="A67" s="2" t="s">
        <v>94</v>
      </c>
      <c r="B67" s="2">
        <f>B65</f>
        <v>-22.829397</v>
      </c>
      <c r="C67" s="2">
        <f t="shared" ref="C67:E67" si="19">C65</f>
        <v>-22.295374831514525</v>
      </c>
      <c r="D67" s="2">
        <f t="shared" si="19"/>
        <v>-23.054772</v>
      </c>
      <c r="E67" s="2">
        <f t="shared" si="19"/>
        <v>0.5340221684854739</v>
      </c>
      <c r="F67" s="15">
        <f>G67*300</f>
        <v>0.65200353304250092</v>
      </c>
      <c r="G67" s="15">
        <v>2.1733451101416698E-3</v>
      </c>
      <c r="H67" s="15">
        <f>H65</f>
        <v>7.8005083190288635E-2</v>
      </c>
      <c r="I67" s="2">
        <f>I65</f>
        <v>-9.3829584892470355E-2</v>
      </c>
      <c r="J67" s="2">
        <f>D67+E67-F67+H67+I67+$G$1+E46</f>
        <v>-23.162724406454963</v>
      </c>
      <c r="K67" s="2">
        <f>D67+E67+H67+I67+$G$1+E46</f>
        <v>-22.510720873412463</v>
      </c>
      <c r="L67" s="45" t="s">
        <v>81</v>
      </c>
      <c r="M67" s="27"/>
      <c r="Q67" s="158" t="s">
        <v>25</v>
      </c>
      <c r="R67" s="96">
        <v>-294.09828700000003</v>
      </c>
      <c r="T67" s="92"/>
      <c r="U67" s="92"/>
      <c r="V67" s="111"/>
      <c r="W67" s="109"/>
      <c r="X67" s="57"/>
      <c r="Y67" s="15"/>
      <c r="Z67" s="30"/>
      <c r="AA67" s="9"/>
      <c r="AB67" s="9"/>
      <c r="AC67" s="9"/>
      <c r="AD67" s="9"/>
      <c r="AE67" s="9"/>
      <c r="AF67" s="9"/>
      <c r="AG67" s="9"/>
    </row>
    <row r="68" spans="1:33">
      <c r="A68" s="2" t="s">
        <v>88</v>
      </c>
      <c r="B68" s="2">
        <f t="shared" ref="B68:I68" si="20">B63</f>
        <v>-19.519034189999999</v>
      </c>
      <c r="C68" s="2">
        <f t="shared" si="20"/>
        <v>-18.611340811045153</v>
      </c>
      <c r="D68" s="2">
        <f t="shared" si="20"/>
        <v>-19.702974569999999</v>
      </c>
      <c r="E68" s="2">
        <f t="shared" si="20"/>
        <v>0.9076933789548457</v>
      </c>
      <c r="F68" s="2">
        <f t="shared" si="20"/>
        <v>0.45941091594482403</v>
      </c>
      <c r="G68" s="2">
        <f t="shared" si="20"/>
        <v>1.5313697198160801E-3</v>
      </c>
      <c r="H68" s="2">
        <f t="shared" si="20"/>
        <v>7.7560474935465348E-2</v>
      </c>
      <c r="I68" s="2">
        <f t="shared" si="20"/>
        <v>-0.145035059918451</v>
      </c>
      <c r="J68" s="2">
        <f>J63+E47+O66</f>
        <v>-19.962600288845405</v>
      </c>
      <c r="K68" s="2">
        <f>K63+E47+O66</f>
        <v>-19.503189372900582</v>
      </c>
      <c r="M68" s="27"/>
      <c r="Q68" s="86" t="s">
        <v>27</v>
      </c>
      <c r="R68" s="96">
        <v>-289.62895300000002</v>
      </c>
      <c r="T68" s="109"/>
      <c r="U68" s="112"/>
      <c r="V68" s="111"/>
      <c r="W68" s="109"/>
      <c r="X68" s="57"/>
      <c r="Y68" s="15"/>
      <c r="Z68" s="30"/>
      <c r="AA68" s="4"/>
      <c r="AB68" s="4"/>
      <c r="AC68" s="4"/>
      <c r="AD68" s="4"/>
      <c r="AE68" s="4"/>
      <c r="AF68" s="4"/>
      <c r="AG68" s="4"/>
    </row>
    <row r="69" spans="1:33">
      <c r="A69" s="2" t="s">
        <v>77</v>
      </c>
      <c r="B69" s="2">
        <f>B51</f>
        <v>-30.321909000000002</v>
      </c>
      <c r="C69" s="16">
        <f t="shared" ref="C69:E69" si="21">C51</f>
        <v>-28.879850634111072</v>
      </c>
      <c r="D69" s="16">
        <f t="shared" si="21"/>
        <v>-30.594891000000001</v>
      </c>
      <c r="E69" s="16">
        <f t="shared" si="21"/>
        <v>1.4420583658889301</v>
      </c>
      <c r="F69" s="2">
        <f>G69*300</f>
        <v>0.55451884535527607</v>
      </c>
      <c r="G69" s="2">
        <v>1.8483961511842535E-3</v>
      </c>
      <c r="H69" s="2">
        <f>H51</f>
        <v>8.6506370487442336E-2</v>
      </c>
      <c r="I69" s="16">
        <f>I51</f>
        <v>-0.18506037939604</v>
      </c>
      <c r="J69" s="2">
        <f>D69+E69-F69+H69+I69+$G$1+O63</f>
        <v>-30.262617708570698</v>
      </c>
      <c r="K69" s="2">
        <f>D69+E69+H69+I69+O63</f>
        <v>-29.733952323019668</v>
      </c>
      <c r="M69" s="27"/>
      <c r="Q69" s="86" t="s">
        <v>29</v>
      </c>
      <c r="R69" s="96">
        <v>-297.19927200000001</v>
      </c>
      <c r="T69" s="109"/>
      <c r="U69" s="109"/>
      <c r="V69" s="111"/>
      <c r="W69" s="109"/>
      <c r="X69" s="57"/>
      <c r="Y69" s="15"/>
      <c r="Z69" s="30"/>
      <c r="AA69" s="4"/>
      <c r="AB69" s="4"/>
      <c r="AC69" s="4"/>
      <c r="AD69" s="4"/>
      <c r="AE69" s="4"/>
      <c r="AF69" s="4"/>
      <c r="AG69" s="4"/>
    </row>
    <row r="70" spans="1:33" ht="18.600000000000001" thickBot="1">
      <c r="Q70" s="147" t="s">
        <v>30</v>
      </c>
      <c r="R70" s="39">
        <v>-299.24217199999998</v>
      </c>
      <c r="T70" s="46"/>
      <c r="U70" s="4"/>
      <c r="V70" s="13"/>
      <c r="W70" s="56"/>
      <c r="X70" s="53"/>
      <c r="Y70" s="53"/>
      <c r="Z70" s="51"/>
      <c r="AA70" s="6"/>
      <c r="AB70" s="6"/>
      <c r="AC70" s="6"/>
      <c r="AD70" s="6"/>
      <c r="AE70" s="6"/>
      <c r="AF70" s="6"/>
      <c r="AG70" s="6"/>
    </row>
    <row r="71" spans="1:33" ht="18">
      <c r="T71" s="46"/>
      <c r="U71" s="4"/>
      <c r="V71" s="13"/>
      <c r="W71" s="56"/>
      <c r="X71" s="40"/>
      <c r="Y71" s="40"/>
      <c r="AA71" s="6"/>
      <c r="AB71" s="6"/>
      <c r="AC71" s="6"/>
      <c r="AD71" s="6"/>
      <c r="AE71" s="6"/>
      <c r="AF71" s="6"/>
      <c r="AG71" s="6"/>
    </row>
    <row r="72" spans="1:33" ht="16.2" thickBot="1">
      <c r="T72" s="46"/>
      <c r="U72" s="4"/>
      <c r="V72" s="13"/>
      <c r="W72" s="56"/>
      <c r="X72" s="40"/>
      <c r="Y72" s="40"/>
    </row>
    <row r="73" spans="1:33" ht="18.600000000000001" thickBot="1">
      <c r="A73" s="58" t="s">
        <v>95</v>
      </c>
      <c r="B73" s="59"/>
      <c r="C73" s="60"/>
      <c r="D73" s="61"/>
      <c r="E73" s="62"/>
      <c r="F73" s="9"/>
      <c r="G73" s="58" t="s">
        <v>96</v>
      </c>
      <c r="H73" s="63"/>
      <c r="I73" s="64"/>
      <c r="J73" s="65"/>
      <c r="K73" s="66"/>
      <c r="Q73" s="4"/>
      <c r="R73" s="46"/>
      <c r="S73" s="4"/>
      <c r="T73" s="46"/>
      <c r="U73" s="4"/>
      <c r="V73" s="13"/>
      <c r="W73" s="56"/>
      <c r="X73" s="40"/>
      <c r="Y73" s="40"/>
    </row>
    <row r="74" spans="1:33" ht="38.4">
      <c r="A74" s="67" t="s">
        <v>97</v>
      </c>
      <c r="B74" s="148" t="s">
        <v>98</v>
      </c>
      <c r="C74" s="148" t="s">
        <v>99</v>
      </c>
      <c r="D74" s="148" t="s">
        <v>100</v>
      </c>
      <c r="E74" s="69" t="s">
        <v>101</v>
      </c>
      <c r="F74" s="6"/>
      <c r="G74" s="70" t="s">
        <v>102</v>
      </c>
      <c r="H74" s="71" t="s">
        <v>103</v>
      </c>
      <c r="I74" s="68" t="s">
        <v>104</v>
      </c>
      <c r="J74" s="68" t="s">
        <v>105</v>
      </c>
      <c r="K74" s="72" t="s">
        <v>97</v>
      </c>
      <c r="N74" s="136"/>
      <c r="O74" s="137" t="s">
        <v>33</v>
      </c>
      <c r="P74" s="32"/>
      <c r="Q74" s="138" t="s">
        <v>34</v>
      </c>
      <c r="R74" s="138"/>
      <c r="S74" s="138"/>
      <c r="T74" s="139"/>
      <c r="U74" s="4"/>
      <c r="V74" s="13"/>
      <c r="W74" s="56"/>
      <c r="X74" s="40"/>
      <c r="Y74" s="40"/>
    </row>
    <row r="75" spans="1:33" s="6" customFormat="1" ht="18">
      <c r="A75" s="74" t="s">
        <v>41</v>
      </c>
      <c r="B75" s="87">
        <f>I9+I15-2*I3-J52</f>
        <v>-1.4297645887226338</v>
      </c>
      <c r="C75" s="87">
        <f>U9+U15-2*U3-J52</f>
        <v>-2.3189820026505288</v>
      </c>
      <c r="D75" s="87">
        <f>J65-J52-E46</f>
        <v>0.15399142654131381</v>
      </c>
      <c r="E75" s="76">
        <f>J65-J52-E46</f>
        <v>0.15399142654131381</v>
      </c>
      <c r="F75" s="77"/>
      <c r="G75" s="78">
        <f>S9+S15-2*S3-G52</f>
        <v>-1.964553477929747E-3</v>
      </c>
      <c r="H75" s="79">
        <f>G65-G52</f>
        <v>-5.1330475513770976E-4</v>
      </c>
      <c r="I75" s="25">
        <f>V9+V15-2*V3-K52</f>
        <v>-2.9083480460295341</v>
      </c>
      <c r="J75" s="25">
        <f>K65-K52-E46</f>
        <v>0</v>
      </c>
      <c r="K75" s="80" t="s">
        <v>41</v>
      </c>
      <c r="L75" s="109"/>
      <c r="N75" s="140">
        <v>1</v>
      </c>
      <c r="O75" s="141" t="s">
        <v>112</v>
      </c>
      <c r="P75" s="92">
        <f>N6+N5+N4+N3-2*N4-2*N5</f>
        <v>-0.29088799999999537</v>
      </c>
      <c r="Q75" s="92">
        <f>R65+N4+2*N3-N5-N4-N6-N3</f>
        <v>1.337742999999989</v>
      </c>
      <c r="R75" s="92">
        <f>R66+3*N3-R65-N4-2*N3</f>
        <v>0.24260399999991478</v>
      </c>
      <c r="S75" s="92">
        <f>R67+N3-R66-N4</f>
        <v>3.2408999999915977E-2</v>
      </c>
      <c r="T75" s="96">
        <f>N13+N3-R67-N4</f>
        <v>1.3134999999977026E-2</v>
      </c>
      <c r="U75" s="9"/>
      <c r="V75" s="13"/>
      <c r="W75" s="56"/>
      <c r="X75" s="40"/>
      <c r="Y75" s="40"/>
      <c r="Z75" s="2"/>
      <c r="AA75" s="2"/>
      <c r="AB75" s="2"/>
      <c r="AC75" s="2"/>
      <c r="AD75" s="2"/>
      <c r="AE75" s="2"/>
      <c r="AF75" s="2"/>
      <c r="AG75" s="2"/>
    </row>
    <row r="76" spans="1:33" s="6" customFormat="1" ht="18">
      <c r="A76" s="74" t="s">
        <v>42</v>
      </c>
      <c r="B76" s="87">
        <f>I20+I4-2*I3-J52</f>
        <v>-0.37378263414294111</v>
      </c>
      <c r="C76" s="87">
        <f>U4+U20-2*U3-J52</f>
        <v>-0.89192133651638983</v>
      </c>
      <c r="D76" s="87">
        <f>J67-J55</f>
        <v>0.42004527977520567</v>
      </c>
      <c r="E76" s="76">
        <f>J67-J55</f>
        <v>0.42004527977520567</v>
      </c>
      <c r="F76" s="77"/>
      <c r="G76" s="78">
        <f>S20+S4-G52-2*S3</f>
        <v>-1.9754051233995176E-3</v>
      </c>
      <c r="H76" s="79">
        <f>G67-G55</f>
        <v>-1.4001509325840102E-3</v>
      </c>
      <c r="I76" s="25">
        <f>V20+V4-K52-2*V3</f>
        <v>-1.4845336595855088</v>
      </c>
      <c r="J76" s="25">
        <f>K67-K55</f>
        <v>0</v>
      </c>
      <c r="K76" s="80" t="s">
        <v>42</v>
      </c>
      <c r="L76" s="109"/>
      <c r="N76" s="140">
        <v>2</v>
      </c>
      <c r="O76" s="141" t="s">
        <v>113</v>
      </c>
      <c r="P76" s="92">
        <v>-0.29088799999999537</v>
      </c>
      <c r="Q76" s="92">
        <v>1.3377429999999899</v>
      </c>
      <c r="R76" s="92">
        <f>R68+N3-R65-N4</f>
        <v>0.76718300000004547</v>
      </c>
      <c r="S76" s="92">
        <f>R67+N3-R68-N4</f>
        <v>-0.49217000000004418</v>
      </c>
      <c r="T76" s="96">
        <f>N13+N3-R67-N4</f>
        <v>1.3134999999977026E-2</v>
      </c>
      <c r="U76" s="9"/>
      <c r="V76" s="13"/>
      <c r="W76" s="56"/>
      <c r="X76" s="40"/>
      <c r="Y76" s="40"/>
      <c r="Z76" s="2"/>
      <c r="AA76" s="2"/>
      <c r="AB76" s="2"/>
      <c r="AC76" s="2"/>
      <c r="AD76" s="2"/>
      <c r="AE76" s="2"/>
      <c r="AF76" s="2"/>
      <c r="AG76" s="2"/>
    </row>
    <row r="77" spans="1:33" ht="15" customHeight="1">
      <c r="A77" s="74" t="s">
        <v>43</v>
      </c>
      <c r="B77" s="87">
        <f>I9+I11-I20-I3</f>
        <v>-1.0478916061670134</v>
      </c>
      <c r="C77" s="87">
        <f>U11+U9-U20-U3</f>
        <v>-1.618264582276197</v>
      </c>
      <c r="D77" s="87">
        <f>I27-I20</f>
        <v>0.52288538695174225</v>
      </c>
      <c r="E77" s="76">
        <f>U27-U20</f>
        <v>0.26145852676478398</v>
      </c>
      <c r="F77" s="77"/>
      <c r="G77" s="78">
        <f>S9+S11-S20-S3</f>
        <v>-8.705440547320377E-5</v>
      </c>
      <c r="H77" s="79">
        <f>S27-S20</f>
        <v>-1.4794043116993206E-5</v>
      </c>
      <c r="I77" s="25">
        <f>V9+V11-V20-V3</f>
        <v>-1.6443901178690226</v>
      </c>
      <c r="J77" s="25">
        <f>V27-V20</f>
        <v>0.25701109987880955</v>
      </c>
      <c r="K77" s="80" t="s">
        <v>43</v>
      </c>
      <c r="L77" s="109"/>
      <c r="M77" s="6"/>
      <c r="N77" s="140">
        <v>3</v>
      </c>
      <c r="O77" s="141" t="s">
        <v>114</v>
      </c>
      <c r="P77" s="92">
        <f>N7+N5+2*N3-2*N4-2*N5</f>
        <v>-5.0083000000086031E-2</v>
      </c>
      <c r="Q77" s="92">
        <f>R68+N3-N7-N5</f>
        <v>1.8641210000000683</v>
      </c>
      <c r="R77" s="92">
        <f>R67+N3-R68-N4</f>
        <v>-0.49217000000004418</v>
      </c>
      <c r="S77" s="92">
        <f>N13+N3-R67-N4</f>
        <v>1.3134999999977026E-2</v>
      </c>
      <c r="T77" s="96"/>
      <c r="U77" s="4"/>
      <c r="V77" s="13"/>
      <c r="W77" s="47"/>
      <c r="X77" s="40"/>
      <c r="Y77" s="40"/>
    </row>
    <row r="78" spans="1:33" ht="18">
      <c r="A78" s="74" t="s">
        <v>44</v>
      </c>
      <c r="B78" s="87">
        <f>2*I4-2*I3-J53</f>
        <v>-0.73054755539233174</v>
      </c>
      <c r="C78" s="87">
        <f>2*U4-2*U3-J53</f>
        <v>-0.61454960024469774</v>
      </c>
      <c r="D78" s="87">
        <f>J66-J53</f>
        <v>0.11328547492992591</v>
      </c>
      <c r="E78" s="76">
        <f>J66-J53</f>
        <v>0.11328547492992591</v>
      </c>
      <c r="F78" s="77"/>
      <c r="G78" s="78">
        <f>2*S4-G53-2*S3</f>
        <v>-1.8356282005329487E-3</v>
      </c>
      <c r="H78" s="79">
        <f>G66-G53</f>
        <v>-3.7761824976641927E-4</v>
      </c>
      <c r="I78" s="25">
        <f>2*V4-K53-2*V3</f>
        <v>-1.1652380604045902</v>
      </c>
      <c r="J78" s="25">
        <f>K66-K53</f>
        <v>0</v>
      </c>
      <c r="K78" s="80" t="s">
        <v>44</v>
      </c>
      <c r="L78" s="109"/>
      <c r="M78" s="6"/>
      <c r="N78" s="140">
        <v>4</v>
      </c>
      <c r="O78" s="141" t="s">
        <v>115</v>
      </c>
      <c r="P78" s="92">
        <f>2*N6+2*N3-2*N5-2*N4</f>
        <v>-0.58177599999999074</v>
      </c>
      <c r="Q78" s="92">
        <f>R66+N3-2*N6</f>
        <v>1.871234999999956</v>
      </c>
      <c r="R78" s="92">
        <f>R67+N3-R66-N4</f>
        <v>3.2408999999915977E-2</v>
      </c>
      <c r="S78" s="92">
        <f>N13+N3-R67-N4</f>
        <v>1.3134999999977026E-2</v>
      </c>
      <c r="T78" s="96"/>
      <c r="U78" s="4"/>
      <c r="V78" s="13"/>
      <c r="W78" s="73"/>
      <c r="X78" s="40"/>
      <c r="Y78" s="40"/>
    </row>
    <row r="79" spans="1:33" ht="14.4" customHeight="1">
      <c r="A79" s="74" t="s">
        <v>45</v>
      </c>
      <c r="B79" s="87">
        <f>I5+I11-I9-I3</f>
        <v>0.41179754778539746</v>
      </c>
      <c r="C79" s="87">
        <f>U5+U11-U3-U9</f>
        <v>-0.81236191996077878</v>
      </c>
      <c r="D79" s="87">
        <f>I29-I9</f>
        <v>2.2308018657297453</v>
      </c>
      <c r="E79" s="76">
        <f>U29-U9</f>
        <v>1.4647594634860752</v>
      </c>
      <c r="F79" s="77"/>
      <c r="G79" s="78">
        <f>S5+S11-S9-S3</f>
        <v>-1.3358763314663539E-4</v>
      </c>
      <c r="H79" s="79">
        <f>S29-S9</f>
        <v>-1.1070513073439369E-4</v>
      </c>
      <c r="I79" s="25">
        <f>V5+V11-V9-V3</f>
        <v>-0.85243820990467611</v>
      </c>
      <c r="J79" s="25">
        <f>V29-V9</f>
        <v>1.4315479242657716</v>
      </c>
      <c r="K79" s="80" t="s">
        <v>45</v>
      </c>
      <c r="L79" s="109"/>
      <c r="M79" s="6"/>
      <c r="N79" s="140">
        <v>5</v>
      </c>
      <c r="O79" s="141" t="s">
        <v>116</v>
      </c>
      <c r="P79" s="92">
        <f>N7+N6+3*N3-2*N5-3*N4</f>
        <v>-0.34097099999974034</v>
      </c>
      <c r="Q79" s="92">
        <f>R67+N3-N6-N7</f>
        <v>1.6628389999999058</v>
      </c>
      <c r="R79" s="92">
        <f>N13+N3-R67-N4</f>
        <v>1.3134999999977026E-2</v>
      </c>
      <c r="S79" s="92"/>
      <c r="T79" s="96"/>
      <c r="U79" s="4"/>
      <c r="V79" s="13"/>
      <c r="W79" s="56"/>
      <c r="X79" s="40"/>
      <c r="Y79" s="40"/>
    </row>
    <row r="80" spans="1:33" ht="14.4" customHeight="1">
      <c r="A80" s="74" t="s">
        <v>46</v>
      </c>
      <c r="B80" s="87">
        <f>I3+I15-I4-I11</f>
        <v>-8.0903484127645697E-3</v>
      </c>
      <c r="C80" s="87">
        <f>U3+U15-U4-U11</f>
        <v>0.19120391614211485</v>
      </c>
      <c r="D80" s="87">
        <f>I30+I3-I4-I11</f>
        <v>1.237161010095889</v>
      </c>
      <c r="E80" s="76">
        <f>U30+U3-U4-U11</f>
        <v>1.2257103376564942</v>
      </c>
      <c r="F80" s="77"/>
      <c r="G80" s="78">
        <f>S15-S11-S4+S3</f>
        <v>9.7906050942974646E-5</v>
      </c>
      <c r="H80" s="79">
        <f>S30+S3-S4-S11</f>
        <v>8.1373327830693644E-5</v>
      </c>
      <c r="I80" s="25">
        <f>V15-V11-V4+V3</f>
        <v>0.22057573142495812</v>
      </c>
      <c r="J80" s="25">
        <f>V30+V3-V4-V11</f>
        <v>1.2501223360056883</v>
      </c>
      <c r="K80" s="80" t="s">
        <v>46</v>
      </c>
      <c r="L80" s="109"/>
      <c r="M80" s="6"/>
      <c r="N80" s="140">
        <v>6</v>
      </c>
      <c r="O80" s="141" t="s">
        <v>117</v>
      </c>
      <c r="P80" s="92">
        <f>N6+N8+4*N3-4*N4-2*N5</f>
        <v>-0.48006099999986418</v>
      </c>
      <c r="Q80" s="92">
        <f>R69+N3-N6-N8</f>
        <v>2.678107999999952</v>
      </c>
      <c r="R80" s="92">
        <f>R67+N4-R69-N3</f>
        <v>-0.87617899999997917</v>
      </c>
      <c r="S80" s="92">
        <f>N13+N3-N4-R67</f>
        <v>1.3134999999977026E-2</v>
      </c>
      <c r="T80" s="96"/>
      <c r="U80" s="4"/>
      <c r="V80" s="13"/>
      <c r="W80" s="56"/>
      <c r="X80" s="40"/>
      <c r="Y80" s="40"/>
    </row>
    <row r="81" spans="1:32" ht="14.4" customHeight="1">
      <c r="A81" s="74" t="s">
        <v>47</v>
      </c>
      <c r="B81" s="87">
        <f>I21+I3-I4-I15</f>
        <v>-0.436233144545497</v>
      </c>
      <c r="C81" s="87">
        <f>U21+U3-U4-U15</f>
        <v>-2.1012420117301644E-2</v>
      </c>
      <c r="D81" s="87">
        <f>I31+I3-I4-I15</f>
        <v>0.75408690311689952</v>
      </c>
      <c r="E81" s="76">
        <f>U31+U3-U4-U15</f>
        <v>0.80032829894065571</v>
      </c>
      <c r="F81" s="77"/>
      <c r="G81" s="78">
        <f>S21-S4-S15+S3</f>
        <v>2.7367608440728936E-4</v>
      </c>
      <c r="H81" s="79">
        <f>S31+S3-S4-S15</f>
        <v>8.2642131756115417E-5</v>
      </c>
      <c r="I81" s="25">
        <f>V21-V4-V15+V3</f>
        <v>6.109040520493636E-2</v>
      </c>
      <c r="J81" s="25">
        <f>V31+V3-V4-V15</f>
        <v>0.82512093846747803</v>
      </c>
      <c r="K81" s="80" t="s">
        <v>47</v>
      </c>
      <c r="L81" s="109"/>
      <c r="M81" s="6"/>
      <c r="N81" s="140">
        <v>7</v>
      </c>
      <c r="O81" s="141" t="s">
        <v>118</v>
      </c>
      <c r="P81" s="92">
        <v>-0.48006099999986418</v>
      </c>
      <c r="Q81" s="92">
        <v>2.678107999999952</v>
      </c>
      <c r="R81" s="114">
        <f>N14+N3-R69-N4</f>
        <v>0.24550799999997253</v>
      </c>
      <c r="S81" s="92">
        <f>-N14-N3+N4+N13</f>
        <v>-1.1085519999999747</v>
      </c>
      <c r="T81" s="96"/>
      <c r="U81" s="4"/>
      <c r="V81" s="13"/>
      <c r="W81" s="56"/>
      <c r="X81" s="40"/>
      <c r="Y81" s="40"/>
    </row>
    <row r="82" spans="1:32" ht="14.4" customHeight="1" thickBot="1">
      <c r="A82" s="74" t="s">
        <v>48</v>
      </c>
      <c r="B82" s="87">
        <f>I6+I3-I4-I5</f>
        <v>-0.17416665228665806</v>
      </c>
      <c r="C82" s="87">
        <f>U3+U6-U5-U4</f>
        <v>-0.25671216117450513</v>
      </c>
      <c r="D82" s="87">
        <f>I32+I3-I4-I5</f>
        <v>1.1746874437431529</v>
      </c>
      <c r="E82" s="76">
        <f>U32+U3-U4-U5</f>
        <v>0.87873734355378019</v>
      </c>
      <c r="F82" s="77"/>
      <c r="G82" s="78">
        <f>S6-S4-S5+S3</f>
        <v>-4.538615343684674E-7</v>
      </c>
      <c r="H82" s="79">
        <f>S32+S3-S4-S5</f>
        <v>4.4006366751598504E-5</v>
      </c>
      <c r="I82" s="25">
        <f>V6-V4-V5+V3</f>
        <v>-0.25684831963485522</v>
      </c>
      <c r="J82" s="25">
        <f>V32+V3-V4-V5</f>
        <v>0.89193925357926673</v>
      </c>
      <c r="K82" s="80" t="s">
        <v>48</v>
      </c>
      <c r="L82" s="109"/>
      <c r="M82" s="6"/>
      <c r="N82" s="142">
        <v>8</v>
      </c>
      <c r="O82" s="143" t="s">
        <v>119</v>
      </c>
      <c r="P82" s="144">
        <f>N13+N3-2*N7</f>
        <v>1.4351689999999735</v>
      </c>
      <c r="Q82" s="144"/>
      <c r="R82" s="144"/>
      <c r="S82" s="145"/>
      <c r="T82" s="146"/>
      <c r="U82" s="4"/>
      <c r="V82" s="13"/>
      <c r="W82" s="56"/>
      <c r="X82" s="4"/>
      <c r="Y82" s="46"/>
    </row>
    <row r="83" spans="1:32" ht="18">
      <c r="A83" s="74" t="s">
        <v>49</v>
      </c>
      <c r="B83" s="87">
        <f>I7+I3-I6-I4</f>
        <v>0.10476297838962978</v>
      </c>
      <c r="C83" s="87">
        <f>U7+U3-U4-U6</f>
        <v>0.30192775706399289</v>
      </c>
      <c r="D83" s="87">
        <f>I33+I3-I4-I6</f>
        <v>1.0351393459941107</v>
      </c>
      <c r="E83" s="76">
        <f>U33+U3-U4-U6</f>
        <v>1.138737124823308</v>
      </c>
      <c r="F83" s="77"/>
      <c r="G83" s="78">
        <f>S7-S6-S4+S3</f>
        <v>7.032240012132989E-5</v>
      </c>
      <c r="H83" s="79">
        <f>S33+S3-S4-S6</f>
        <v>8.5830085200480063E-5</v>
      </c>
      <c r="I83" s="25">
        <f>V7-V6-V4+V3</f>
        <v>0.32302447710048909</v>
      </c>
      <c r="J83" s="25">
        <f>V33+V3-V4-V6</f>
        <v>1.1644861503834818</v>
      </c>
      <c r="K83" s="80" t="s">
        <v>49</v>
      </c>
      <c r="L83" s="109"/>
      <c r="M83" s="6"/>
      <c r="N83" s="92"/>
      <c r="O83" s="92"/>
      <c r="P83" s="92"/>
      <c r="Q83" s="92"/>
      <c r="R83" s="92"/>
      <c r="U83" s="4"/>
      <c r="V83" s="13"/>
      <c r="W83" s="56"/>
    </row>
    <row r="84" spans="1:32" ht="18">
      <c r="A84" s="74" t="s">
        <v>50</v>
      </c>
      <c r="B84" s="87">
        <f>I8+I3-I7-I4</f>
        <v>-0.549560600747526</v>
      </c>
      <c r="C84" s="88">
        <f>U8+U3-U7-U4</f>
        <v>-0.22111093471511367</v>
      </c>
      <c r="D84" s="87">
        <f>I34+I3-I4-I7</f>
        <v>1.0922210814483435</v>
      </c>
      <c r="E84" s="76">
        <f>U34+U3-U4-U7</f>
        <v>1.0273224889509152</v>
      </c>
      <c r="F84" s="77"/>
      <c r="G84" s="78">
        <f>S8-S7-S4+S3</f>
        <v>2.2581662350928199E-4</v>
      </c>
      <c r="H84" s="79">
        <f>S34+S3-S4-S7</f>
        <v>8.4795978306659157E-5</v>
      </c>
      <c r="I84" s="25">
        <f>V8-V7-V4+V3</f>
        <v>-0.15336594766222333</v>
      </c>
      <c r="J84" s="25">
        <f>V34+V3-V4-V7</f>
        <v>1.0527612824429298</v>
      </c>
      <c r="K84" s="80" t="s">
        <v>50</v>
      </c>
      <c r="L84" s="109"/>
      <c r="M84" s="6"/>
      <c r="N84" s="92"/>
      <c r="O84" s="92"/>
      <c r="P84" s="92"/>
      <c r="Q84" s="92"/>
      <c r="R84" s="92"/>
      <c r="S84" s="16"/>
      <c r="T84" s="16"/>
      <c r="U84" s="4"/>
      <c r="V84" s="13"/>
      <c r="W84" s="56"/>
      <c r="X84" s="16"/>
      <c r="Y84" s="16"/>
      <c r="Z84" s="16"/>
      <c r="AA84" s="16"/>
      <c r="AB84" s="16"/>
      <c r="AC84" s="16"/>
      <c r="AD84" s="16"/>
      <c r="AE84" s="16"/>
      <c r="AF84" s="16"/>
    </row>
    <row r="85" spans="1:32" ht="18">
      <c r="A85" s="74" t="s">
        <v>51</v>
      </c>
      <c r="B85" s="87">
        <f>J49+I3-I8</f>
        <v>0.30582440525881793</v>
      </c>
      <c r="C85" s="149">
        <f>U3+J49-U8+O66</f>
        <v>6.792001085707966E-2</v>
      </c>
      <c r="D85" s="87">
        <f>J68+I3-I8</f>
        <v>0.13764216489639125</v>
      </c>
      <c r="E85" s="76">
        <f>J68+U3-U8</f>
        <v>0.20882054049468479</v>
      </c>
      <c r="F85" s="81"/>
      <c r="G85" s="78">
        <f>G49-S8+S3</f>
        <v>1.5329309079594147E-3</v>
      </c>
      <c r="H85" s="79">
        <f>G63-S8</f>
        <v>1.0632624758341359E-3</v>
      </c>
      <c r="I85" s="25">
        <f>K56-V8+V3</f>
        <v>0.52779928324491721</v>
      </c>
      <c r="J85" s="25">
        <f>K68+V3-V8</f>
        <v>0.52779928324491721</v>
      </c>
      <c r="K85" s="80" t="s">
        <v>51</v>
      </c>
      <c r="L85" s="109"/>
      <c r="M85" s="6"/>
      <c r="N85" s="92"/>
      <c r="O85" s="92"/>
      <c r="P85" s="92"/>
      <c r="Q85" s="130"/>
      <c r="R85" s="92"/>
      <c r="S85" s="16"/>
      <c r="T85" s="16"/>
      <c r="U85" s="4"/>
      <c r="V85" s="13"/>
      <c r="W85" s="56"/>
      <c r="X85" s="16"/>
      <c r="Y85" s="16"/>
      <c r="Z85" s="16"/>
      <c r="AA85" s="16"/>
      <c r="AB85" s="16"/>
      <c r="AC85" s="16"/>
      <c r="AD85" s="16"/>
      <c r="AE85" s="16"/>
      <c r="AF85" s="16"/>
    </row>
    <row r="86" spans="1:32">
      <c r="A86" s="74" t="s">
        <v>52</v>
      </c>
      <c r="B86" s="87">
        <f>I3+J50-I21</f>
        <v>0.1248810648033043</v>
      </c>
      <c r="C86" s="88">
        <f>U3+J50-U21</f>
        <v>0.23558106050461447</v>
      </c>
      <c r="D86" s="87">
        <f>J64+I3-I21</f>
        <v>0.26647466195780112</v>
      </c>
      <c r="E86" s="76">
        <f>J64+U3-U21</f>
        <v>0.37717465765905445</v>
      </c>
      <c r="F86" s="77"/>
      <c r="G86" s="78">
        <f>G50-S21+S3</f>
        <v>1.4020510163562316E-3</v>
      </c>
      <c r="H86" s="79">
        <f>G64-S21</f>
        <v>9.3007235917461799E-4</v>
      </c>
      <c r="I86" s="25">
        <f>K50-V21+V3</f>
        <v>0.65619636541146065</v>
      </c>
      <c r="J86" s="25">
        <f>K64+V3-V21</f>
        <v>0.65619636541146065</v>
      </c>
      <c r="K86" s="80" t="s">
        <v>52</v>
      </c>
      <c r="N86" s="92"/>
      <c r="O86" s="92"/>
      <c r="P86" s="92"/>
      <c r="Q86" s="130"/>
      <c r="R86" s="92"/>
      <c r="S86" s="16"/>
      <c r="T86" s="16"/>
      <c r="U86" s="4"/>
      <c r="V86" s="13"/>
      <c r="W86" s="56"/>
      <c r="X86" s="16"/>
      <c r="Y86" s="16"/>
      <c r="Z86" s="16"/>
      <c r="AA86" s="16"/>
      <c r="AB86" s="16"/>
      <c r="AC86" s="16"/>
      <c r="AD86" s="16"/>
      <c r="AE86" s="16"/>
      <c r="AF86" s="16"/>
    </row>
    <row r="87" spans="1:32" ht="18">
      <c r="A87" s="74" t="s">
        <v>53</v>
      </c>
      <c r="B87" s="87">
        <f>I18+I3-I4-I9</f>
        <v>0.84001759564571898</v>
      </c>
      <c r="C87" s="88">
        <f>U3+U18-U4-U9</f>
        <v>0.46337457918849623</v>
      </c>
      <c r="D87" s="87">
        <f>I37+I3-I4-I9</f>
        <v>1.9245108046586381</v>
      </c>
      <c r="E87" s="76">
        <f>U37+U3-U4-U9</f>
        <v>1.6269787640049458</v>
      </c>
      <c r="F87" s="77"/>
      <c r="G87" s="78">
        <f>S18-S9-S4+S3</f>
        <v>1.2681313848290739E-4</v>
      </c>
      <c r="H87" s="79">
        <f>S37+S3-S4-S9</f>
        <v>-2.0301791700460961E-5</v>
      </c>
      <c r="I87" s="25">
        <f>V18-V9-V4+V3</f>
        <v>0.50141852073346627</v>
      </c>
      <c r="J87" s="25">
        <f>V37+V3-V4-V9</f>
        <v>1.6208882264947988</v>
      </c>
      <c r="K87" s="80" t="s">
        <v>53</v>
      </c>
      <c r="N87" s="92"/>
      <c r="O87" s="92"/>
      <c r="P87" s="92"/>
      <c r="Q87" s="92"/>
      <c r="R87" s="92"/>
      <c r="U87" s="29"/>
      <c r="V87" s="11"/>
      <c r="W87" s="56"/>
    </row>
    <row r="88" spans="1:32">
      <c r="A88" s="74" t="s">
        <v>54</v>
      </c>
      <c r="B88" s="87">
        <f>I16+I3-I4-I9</f>
        <v>1.0061656291944416</v>
      </c>
      <c r="C88" s="88">
        <f>U16+U3-U4-U9</f>
        <v>0.62281066377596517</v>
      </c>
      <c r="D88" s="87">
        <f>I38+I3-I4-I9</f>
        <v>1.4410710256066466</v>
      </c>
      <c r="E88" s="76">
        <f>U38+U3-U4-U9</f>
        <v>1.4820823497589686</v>
      </c>
      <c r="F88" s="77"/>
      <c r="G88" s="78">
        <f>S16-S4-S9+S3</f>
        <v>-7.8991166805870538E-5</v>
      </c>
      <c r="H88" s="79">
        <f>S38+S3-S4-S9</f>
        <v>3.3571415457701696E-5</v>
      </c>
      <c r="I88" s="25">
        <f>V16-V4-V9+V3</f>
        <v>0.59911331373427856</v>
      </c>
      <c r="J88" s="25">
        <f>V38+V3-V4-V9</f>
        <v>1.4921537743963427</v>
      </c>
      <c r="K88" s="80" t="s">
        <v>54</v>
      </c>
      <c r="N88" s="92"/>
      <c r="O88" s="92"/>
      <c r="P88" s="102"/>
      <c r="Q88" s="92"/>
      <c r="R88" s="92"/>
      <c r="U88" s="4"/>
      <c r="V88" s="13"/>
      <c r="W88" s="46"/>
    </row>
    <row r="89" spans="1:32">
      <c r="A89" s="74" t="s">
        <v>55</v>
      </c>
      <c r="B89" s="87">
        <f>I17+I3-I4-I18</f>
        <v>0.39917575161356922</v>
      </c>
      <c r="C89" s="88">
        <f>U17+U3-U4-U18</f>
        <v>0.48681691918744718</v>
      </c>
      <c r="D89" s="87">
        <f>I39+I3-I4-I18</f>
        <v>1.3182915413287617</v>
      </c>
      <c r="E89" s="76">
        <f>U39+U3-U4-U18</f>
        <v>1.3169996148799896</v>
      </c>
      <c r="F89" s="77"/>
      <c r="G89" s="78">
        <f>S17-S18-S4+S3</f>
        <v>-1.2601991504405363E-4</v>
      </c>
      <c r="H89" s="79">
        <f>S39+S3-S4-S18</f>
        <v>6.2852428511312873E-5</v>
      </c>
      <c r="I89" s="25">
        <f>V17-V18-V4+V3</f>
        <v>0.44901094467428493</v>
      </c>
      <c r="J89" s="25">
        <f>V39+V3-V4-V18</f>
        <v>1.3358553434333658</v>
      </c>
      <c r="K89" s="80" t="s">
        <v>55</v>
      </c>
      <c r="N89" s="88"/>
      <c r="O89" s="88"/>
      <c r="P89" s="122"/>
      <c r="Q89" s="92"/>
      <c r="R89" s="92"/>
      <c r="U89" s="4"/>
      <c r="V89" s="13"/>
      <c r="W89" s="46"/>
    </row>
    <row r="90" spans="1:32">
      <c r="A90" s="74" t="s">
        <v>56</v>
      </c>
      <c r="B90" s="87">
        <f>I5+I15-I18-I3</f>
        <v>-0.4363103962730861</v>
      </c>
      <c r="C90" s="88">
        <f>U5+U15-U3-U18</f>
        <v>-1.0845325830071602</v>
      </c>
      <c r="D90" s="87">
        <f>I40-I18</f>
        <v>0.94414274676290688</v>
      </c>
      <c r="E90" s="76">
        <f>U40-U18</f>
        <v>0.75157219796233221</v>
      </c>
      <c r="F90" s="77"/>
      <c r="G90" s="78">
        <f>S5+S15-S18-S3</f>
        <v>-1.624947206865681E-4</v>
      </c>
      <c r="H90" s="79">
        <f>S40-S18</f>
        <v>-1.6757778431292474E-4</v>
      </c>
      <c r="I90" s="25">
        <f>V5+V15-V18-V3</f>
        <v>-1.1332809992132411</v>
      </c>
      <c r="J90" s="25">
        <f>V40-V18</f>
        <v>0.70129886266846597</v>
      </c>
      <c r="K90" s="80" t="s">
        <v>56</v>
      </c>
      <c r="N90" s="92"/>
      <c r="O90" s="92"/>
      <c r="P90" s="122"/>
      <c r="Q90" s="92"/>
      <c r="R90" s="92"/>
      <c r="U90" s="4"/>
      <c r="V90" s="13"/>
      <c r="W90" s="47"/>
    </row>
    <row r="91" spans="1:32">
      <c r="A91" s="74" t="s">
        <v>57</v>
      </c>
      <c r="B91" s="87">
        <f>I17+I3-I4-I16</f>
        <v>0.23302771806484657</v>
      </c>
      <c r="C91" s="88">
        <f>U3+U17-U4-U16</f>
        <v>0.32738083460003509</v>
      </c>
      <c r="D91" s="87">
        <f>I41+I3-I4-I16</f>
        <v>0.7924270756594467</v>
      </c>
      <c r="E91" s="76">
        <f>U41+U3-U4-U16</f>
        <v>0.84392553510951984</v>
      </c>
      <c r="F91" s="95"/>
      <c r="G91" s="89">
        <f>S17-S16-S4+S3</f>
        <v>7.9784390244724319E-5</v>
      </c>
      <c r="H91" s="79">
        <f>S41+S3-S4-S16</f>
        <v>-2.2905493427326467E-4</v>
      </c>
      <c r="I91" s="25">
        <f>V17-V16-V4+V3</f>
        <v>0.35131615167347263</v>
      </c>
      <c r="J91" s="25">
        <f>V41+V3-V4-V16</f>
        <v>0.77520905482754188</v>
      </c>
      <c r="K91" s="80" t="s">
        <v>57</v>
      </c>
      <c r="N91" s="92"/>
      <c r="O91" s="88"/>
      <c r="P91" s="122"/>
      <c r="Q91" s="92"/>
      <c r="R91" s="92"/>
      <c r="U91" s="4"/>
      <c r="V91" s="4"/>
      <c r="W91" s="4"/>
    </row>
    <row r="92" spans="1:32">
      <c r="A92" s="74" t="s">
        <v>58</v>
      </c>
      <c r="B92" s="87">
        <f>I6+I11-I16-I3</f>
        <v>-0.76853473369573067</v>
      </c>
      <c r="C92" s="88">
        <f>U6+U11-U3-U16</f>
        <v>-1.6918847449112491</v>
      </c>
      <c r="D92" s="87">
        <f>I42-I16</f>
        <v>1.2173873047931636</v>
      </c>
      <c r="E92" s="76">
        <f>U42-U16</f>
        <v>0.73359270465334703</v>
      </c>
      <c r="F92" s="95"/>
      <c r="G92" s="89">
        <f>S6+S11-S16-S3</f>
        <v>-5.5050327875133249E-5</v>
      </c>
      <c r="H92" s="89">
        <f>S42-S16</f>
        <v>4.9971809062427405E-5</v>
      </c>
      <c r="I92" s="88">
        <f>V6+V11-V16-V3</f>
        <v>-1.7083998432738099</v>
      </c>
      <c r="J92" s="88">
        <f>V42-V16</f>
        <v>0.74858424737203677</v>
      </c>
      <c r="K92" s="80" t="s">
        <v>58</v>
      </c>
      <c r="N92" s="88"/>
      <c r="O92" s="88"/>
      <c r="P92" s="102"/>
      <c r="Q92" s="92"/>
      <c r="R92" s="92"/>
      <c r="U92" s="4"/>
      <c r="V92" s="4"/>
      <c r="W92" s="4"/>
    </row>
    <row r="93" spans="1:32">
      <c r="A93" s="74" t="s">
        <v>59</v>
      </c>
      <c r="B93" s="87">
        <f>I6+I15-I17-I3</f>
        <v>-1.0096528001733134</v>
      </c>
      <c r="C93" s="88">
        <f>U6+U15-U3-U17</f>
        <v>-1.8280616633692262</v>
      </c>
      <c r="D93" s="87">
        <f>I43-I17</f>
        <v>0.84365161421976609</v>
      </c>
      <c r="E93" s="76">
        <f>U43-U17</f>
        <v>0</v>
      </c>
      <c r="F93" s="95"/>
      <c r="G93" s="89">
        <f>S15+S6-S17-S3</f>
        <v>-3.692866717688295E-5</v>
      </c>
      <c r="H93" s="89">
        <f>S43-S17</f>
        <v>0</v>
      </c>
      <c r="I93" s="88">
        <f>V15+V6-V17-V3</f>
        <v>-1.8391402635223812</v>
      </c>
      <c r="J93" s="88">
        <f>V43-V17</f>
        <v>0</v>
      </c>
      <c r="K93" s="80" t="s">
        <v>59</v>
      </c>
      <c r="N93" s="88"/>
      <c r="O93" s="88"/>
      <c r="P93" s="109"/>
      <c r="Q93" s="92"/>
      <c r="R93" s="92"/>
      <c r="U93" s="4"/>
      <c r="V93" s="4"/>
      <c r="W93" s="4"/>
    </row>
    <row r="94" spans="1:32">
      <c r="A94" s="150" t="s">
        <v>62</v>
      </c>
      <c r="B94" s="87" t="s">
        <v>83</v>
      </c>
      <c r="C94" s="88">
        <f>U13+U3-2*U7</f>
        <v>1.0200335038315416</v>
      </c>
      <c r="D94" s="152" t="s">
        <v>83</v>
      </c>
      <c r="E94" s="153">
        <f>U44+U3-2*U7</f>
        <v>1.5107073166807368</v>
      </c>
      <c r="F94" s="95"/>
      <c r="G94" s="117">
        <f>S13-2*S7</f>
        <v>6.2719967999629435E-5</v>
      </c>
      <c r="H94" s="115">
        <f>S44-2*S7</f>
        <v>4.4667969437506424E-5</v>
      </c>
      <c r="I94" s="116">
        <f>V13+V3-2*V7</f>
        <v>1.0388494942313855</v>
      </c>
      <c r="J94" s="116">
        <f>V44+V3-2*V7</f>
        <v>1.5241077075120302</v>
      </c>
      <c r="K94" s="93" t="s">
        <v>62</v>
      </c>
      <c r="N94" s="25"/>
      <c r="O94" s="25"/>
      <c r="P94" s="4"/>
      <c r="U94" s="4"/>
      <c r="V94" s="4"/>
      <c r="W94" s="4"/>
    </row>
    <row r="95" spans="1:32" ht="16.2" thickBot="1">
      <c r="A95" s="151" t="s">
        <v>106</v>
      </c>
      <c r="B95" s="36" t="s">
        <v>83</v>
      </c>
      <c r="C95" s="82">
        <f>J51+U3-U13</f>
        <v>0.869699657217609</v>
      </c>
      <c r="D95" s="82" t="s">
        <v>83</v>
      </c>
      <c r="E95" s="154">
        <f>J69+U3-U13</f>
        <v>1.0446265924890099</v>
      </c>
      <c r="F95" s="118"/>
      <c r="G95" s="83">
        <f>G51-S13</f>
        <v>1.9319321689342335E-3</v>
      </c>
      <c r="H95" s="84">
        <f>G69-S13</f>
        <v>1.3489683880094909E-3</v>
      </c>
      <c r="I95" s="82">
        <f>K51+V3-V13</f>
        <v>1.4493171088918757</v>
      </c>
      <c r="J95" s="82">
        <f>K51+V3-V13</f>
        <v>1.4493171088918757</v>
      </c>
      <c r="K95" s="94" t="s">
        <v>106</v>
      </c>
      <c r="N95" s="25"/>
      <c r="O95" s="25"/>
      <c r="P95" s="4"/>
      <c r="U95" s="29"/>
      <c r="V95" s="4"/>
      <c r="W95" s="4"/>
    </row>
    <row r="96" spans="1:32">
      <c r="A96" s="4"/>
      <c r="B96" s="75"/>
      <c r="C96" s="4"/>
      <c r="D96" s="4"/>
      <c r="E96" s="4"/>
      <c r="F96" s="4"/>
      <c r="G96" s="4"/>
      <c r="H96" s="4"/>
      <c r="I96" s="4"/>
      <c r="J96" s="4"/>
      <c r="K96" s="15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>
      <c r="A97" s="4"/>
      <c r="B97" s="109"/>
      <c r="C97" s="109"/>
      <c r="D97" s="92"/>
      <c r="E97" s="92"/>
      <c r="F97" s="109"/>
      <c r="G97" s="109"/>
      <c r="H97" s="109"/>
      <c r="I97" s="131"/>
      <c r="J97" s="131"/>
      <c r="K97" s="132"/>
      <c r="L97" s="92"/>
      <c r="M97" s="92"/>
      <c r="N97" s="109"/>
      <c r="O97" s="4"/>
      <c r="P97" s="4"/>
      <c r="Q97" s="4"/>
      <c r="R97" s="4"/>
      <c r="S97" s="4"/>
      <c r="T97" s="4"/>
      <c r="U97" s="4"/>
      <c r="V97" s="4"/>
      <c r="W97" s="4"/>
    </row>
    <row r="98" spans="1:23">
      <c r="A98" s="4"/>
      <c r="B98" s="134"/>
      <c r="C98" s="88"/>
      <c r="D98" s="88"/>
      <c r="E98" s="135"/>
      <c r="F98" s="87"/>
      <c r="G98" s="160"/>
      <c r="H98" s="120"/>
      <c r="I98" s="88"/>
      <c r="J98" s="88"/>
      <c r="K98" s="90"/>
      <c r="L98" s="92"/>
      <c r="M98" s="92"/>
      <c r="N98" s="109"/>
      <c r="O98" s="4"/>
    </row>
    <row r="99" spans="1:23">
      <c r="A99" s="4"/>
      <c r="B99" s="134"/>
      <c r="C99" s="88"/>
      <c r="D99" s="88"/>
      <c r="E99" s="135"/>
      <c r="F99" s="87"/>
      <c r="G99" s="160"/>
      <c r="H99" s="120"/>
      <c r="I99" s="88"/>
      <c r="J99" s="88"/>
      <c r="K99" s="90"/>
      <c r="L99" s="92"/>
      <c r="M99" s="92"/>
      <c r="N99" s="109"/>
      <c r="O99" s="4"/>
    </row>
    <row r="100" spans="1:23">
      <c r="A100" s="92"/>
      <c r="B100" s="134"/>
      <c r="C100" s="159"/>
      <c r="D100" s="159"/>
      <c r="E100" s="135"/>
      <c r="F100" s="87"/>
      <c r="G100" s="160"/>
      <c r="H100" s="120"/>
      <c r="I100" s="88"/>
      <c r="J100" s="88"/>
      <c r="K100" s="90"/>
      <c r="L100" s="92"/>
      <c r="M100" s="92"/>
      <c r="N100" s="109"/>
      <c r="O100" s="4"/>
    </row>
    <row r="101" spans="1:23">
      <c r="A101" s="92"/>
      <c r="B101" s="134"/>
      <c r="C101" s="88"/>
      <c r="D101" s="88"/>
      <c r="E101" s="135"/>
      <c r="F101" s="87"/>
      <c r="G101" s="160"/>
      <c r="H101" s="120"/>
      <c r="I101" s="88"/>
      <c r="J101" s="88"/>
      <c r="K101" s="90"/>
      <c r="L101" s="92"/>
      <c r="M101" s="92"/>
      <c r="N101" s="109"/>
      <c r="O101" s="4"/>
    </row>
    <row r="102" spans="1:23" ht="18">
      <c r="A102" s="103"/>
      <c r="B102" s="134"/>
      <c r="C102" s="88"/>
      <c r="D102" s="88"/>
      <c r="E102" s="135"/>
      <c r="F102" s="87"/>
      <c r="G102" s="160"/>
      <c r="H102" s="120"/>
      <c r="I102" s="88"/>
      <c r="J102" s="88"/>
      <c r="K102" s="90"/>
      <c r="L102" s="92"/>
      <c r="M102" s="92"/>
      <c r="N102" s="109"/>
      <c r="O102" s="4"/>
    </row>
    <row r="103" spans="1:23" ht="18">
      <c r="A103" s="105"/>
      <c r="B103" s="134"/>
      <c r="C103" s="88"/>
      <c r="D103" s="88"/>
      <c r="E103" s="135"/>
      <c r="F103" s="87"/>
      <c r="G103" s="160"/>
      <c r="H103" s="120"/>
      <c r="I103" s="88"/>
      <c r="J103" s="88"/>
      <c r="K103" s="90"/>
      <c r="L103" s="92"/>
      <c r="M103" s="92"/>
      <c r="N103" s="109"/>
      <c r="O103" s="4"/>
    </row>
    <row r="104" spans="1:23">
      <c r="A104" s="106"/>
      <c r="B104" s="134"/>
      <c r="C104" s="88"/>
      <c r="D104" s="88"/>
      <c r="E104" s="135"/>
      <c r="F104" s="87"/>
      <c r="G104" s="160"/>
      <c r="H104" s="120"/>
      <c r="I104" s="159"/>
      <c r="J104" s="159"/>
      <c r="K104" s="90"/>
      <c r="L104" s="92"/>
      <c r="M104" s="92"/>
      <c r="N104" s="109"/>
      <c r="O104" s="4"/>
    </row>
    <row r="105" spans="1:23">
      <c r="A105" s="88"/>
      <c r="B105" s="134"/>
      <c r="C105" s="159"/>
      <c r="D105" s="159"/>
      <c r="E105" s="135"/>
      <c r="F105" s="87"/>
      <c r="G105" s="160"/>
      <c r="H105" s="120"/>
      <c r="I105" s="88"/>
      <c r="J105" s="88"/>
      <c r="K105" s="90"/>
      <c r="L105" s="92"/>
      <c r="M105" s="92"/>
      <c r="N105" s="109"/>
      <c r="O105" s="4"/>
    </row>
    <row r="106" spans="1:23">
      <c r="A106" s="107"/>
      <c r="B106" s="134"/>
      <c r="C106" s="88"/>
      <c r="D106" s="88"/>
      <c r="E106" s="135"/>
      <c r="F106" s="87"/>
      <c r="G106" s="160"/>
      <c r="H106" s="120"/>
      <c r="I106" s="88"/>
      <c r="J106" s="88"/>
      <c r="K106" s="90"/>
      <c r="L106" s="92"/>
      <c r="M106" s="92"/>
      <c r="N106" s="109"/>
      <c r="O106" s="4"/>
    </row>
    <row r="107" spans="1:23">
      <c r="A107" s="108"/>
      <c r="B107" s="134"/>
      <c r="C107" s="88"/>
      <c r="D107" s="88"/>
      <c r="E107" s="135"/>
      <c r="F107" s="87"/>
      <c r="G107" s="160"/>
      <c r="H107" s="120"/>
      <c r="I107" s="159"/>
      <c r="J107" s="159"/>
      <c r="K107" s="90"/>
      <c r="L107" s="92"/>
      <c r="M107" s="92"/>
      <c r="N107" s="109"/>
      <c r="O107" s="4"/>
    </row>
    <row r="108" spans="1:23">
      <c r="A108" s="88"/>
      <c r="B108" s="134"/>
      <c r="C108" s="88"/>
      <c r="D108" s="88"/>
      <c r="E108" s="135"/>
      <c r="F108" s="87"/>
      <c r="G108" s="160"/>
      <c r="H108" s="120"/>
      <c r="I108" s="88"/>
      <c r="J108" s="88"/>
      <c r="K108" s="90"/>
      <c r="L108" s="92"/>
      <c r="M108" s="92"/>
      <c r="N108" s="109"/>
      <c r="O108" s="4"/>
    </row>
    <row r="109" spans="1:23">
      <c r="A109" s="92"/>
      <c r="B109" s="134"/>
      <c r="C109" s="88"/>
      <c r="D109" s="88"/>
      <c r="E109" s="135"/>
      <c r="F109" s="87"/>
      <c r="G109" s="160"/>
      <c r="H109" s="133"/>
      <c r="I109" s="88"/>
      <c r="J109" s="88"/>
      <c r="K109" s="90"/>
      <c r="L109" s="92"/>
      <c r="M109" s="92"/>
      <c r="N109" s="109"/>
      <c r="O109" s="4"/>
    </row>
    <row r="110" spans="1:23" ht="18">
      <c r="A110" s="103"/>
      <c r="B110" s="134"/>
      <c r="C110" s="88"/>
      <c r="D110" s="88"/>
      <c r="E110" s="135"/>
      <c r="F110" s="87"/>
      <c r="G110" s="160"/>
      <c r="H110" s="120"/>
      <c r="I110" s="88"/>
      <c r="J110" s="88"/>
      <c r="K110" s="90"/>
      <c r="L110" s="92"/>
      <c r="M110" s="92"/>
      <c r="N110" s="109"/>
      <c r="O110" s="4"/>
    </row>
    <row r="111" spans="1:23" ht="18">
      <c r="A111" s="105"/>
      <c r="B111" s="134"/>
      <c r="C111" s="88"/>
      <c r="D111" s="88"/>
      <c r="E111" s="135"/>
      <c r="F111" s="87"/>
      <c r="G111" s="160"/>
      <c r="H111" s="134"/>
      <c r="I111" s="88"/>
      <c r="J111" s="88"/>
      <c r="K111" s="90"/>
      <c r="L111" s="92"/>
      <c r="M111" s="92"/>
      <c r="N111" s="109"/>
      <c r="O111" s="4"/>
    </row>
    <row r="112" spans="1:23">
      <c r="A112" s="109"/>
      <c r="B112" s="134"/>
      <c r="C112" s="88"/>
      <c r="D112" s="88"/>
      <c r="E112" s="135"/>
      <c r="F112" s="87"/>
      <c r="G112" s="160"/>
      <c r="H112" s="120"/>
      <c r="I112" s="88"/>
      <c r="J112" s="88"/>
      <c r="K112" s="90"/>
      <c r="L112" s="92"/>
      <c r="M112" s="92"/>
      <c r="N112" s="109"/>
      <c r="O112" s="4"/>
    </row>
    <row r="113" spans="1:15">
      <c r="A113" s="92"/>
      <c r="B113" s="134"/>
      <c r="C113" s="88"/>
      <c r="D113" s="88"/>
      <c r="E113" s="135"/>
      <c r="F113" s="87"/>
      <c r="G113" s="160"/>
      <c r="H113" s="134"/>
      <c r="I113" s="88"/>
      <c r="J113" s="88"/>
      <c r="K113" s="90"/>
      <c r="L113" s="92"/>
      <c r="M113" s="92"/>
      <c r="N113" s="109"/>
      <c r="O113" s="4"/>
    </row>
    <row r="114" spans="1:15">
      <c r="A114" s="92"/>
      <c r="B114" s="134"/>
      <c r="C114" s="88"/>
      <c r="D114" s="88"/>
      <c r="E114" s="135"/>
      <c r="F114" s="87"/>
      <c r="G114" s="160"/>
      <c r="H114" s="120"/>
      <c r="I114" s="88"/>
      <c r="J114" s="88"/>
      <c r="K114" s="90"/>
      <c r="L114" s="92"/>
      <c r="M114" s="92"/>
      <c r="N114" s="109"/>
      <c r="O114" s="4"/>
    </row>
    <row r="115" spans="1:15">
      <c r="A115" s="109"/>
      <c r="B115" s="134"/>
      <c r="C115" s="88"/>
      <c r="D115" s="88"/>
      <c r="E115" s="135"/>
      <c r="F115" s="87"/>
      <c r="G115" s="160"/>
      <c r="H115" s="134"/>
      <c r="I115" s="88"/>
      <c r="J115" s="88"/>
      <c r="K115" s="90"/>
      <c r="L115" s="92"/>
      <c r="M115" s="92"/>
      <c r="N115" s="109"/>
      <c r="O115" s="4"/>
    </row>
    <row r="116" spans="1:15">
      <c r="A116" s="92"/>
      <c r="B116" s="134"/>
      <c r="C116" s="88"/>
      <c r="D116" s="88"/>
      <c r="E116" s="135"/>
      <c r="F116" s="87"/>
      <c r="G116" s="160"/>
      <c r="H116" s="134"/>
      <c r="I116" s="88"/>
      <c r="J116" s="88"/>
      <c r="K116" s="90"/>
      <c r="L116" s="92"/>
      <c r="M116" s="92"/>
      <c r="N116" s="92"/>
    </row>
    <row r="117" spans="1:15">
      <c r="A117" s="92"/>
      <c r="B117" s="134"/>
      <c r="C117" s="88"/>
      <c r="D117" s="88"/>
      <c r="E117" s="135"/>
      <c r="F117" s="87"/>
      <c r="G117" s="160"/>
      <c r="H117" s="134"/>
      <c r="I117" s="88"/>
      <c r="J117" s="88"/>
      <c r="K117" s="91"/>
      <c r="L117" s="92"/>
      <c r="M117" s="92"/>
      <c r="N117" s="92"/>
    </row>
    <row r="118" spans="1:15">
      <c r="A118" s="92"/>
      <c r="B118" s="134"/>
      <c r="C118" s="88"/>
      <c r="D118" s="88"/>
      <c r="E118" s="135"/>
      <c r="F118" s="87"/>
      <c r="G118" s="160"/>
      <c r="H118" s="134"/>
      <c r="I118" s="88"/>
      <c r="J118" s="88"/>
      <c r="K118" s="161"/>
      <c r="L118" s="92"/>
      <c r="M118" s="92"/>
      <c r="N118" s="92"/>
    </row>
    <row r="119" spans="1:15">
      <c r="A119" s="92"/>
      <c r="B119" s="92"/>
      <c r="C119" s="92"/>
      <c r="D119" s="92"/>
      <c r="E119" s="92"/>
      <c r="F119" s="92"/>
      <c r="G119" s="92"/>
      <c r="H119" s="92"/>
      <c r="I119" s="120"/>
      <c r="J119" s="120"/>
      <c r="K119" s="121"/>
      <c r="L119" s="121"/>
      <c r="M119" s="92"/>
      <c r="N119" s="92"/>
    </row>
    <row r="120" spans="1:15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</row>
    <row r="121" spans="1:15">
      <c r="F121" s="92"/>
      <c r="G121" s="92"/>
      <c r="H121" s="92"/>
      <c r="I121" s="92"/>
      <c r="J121" s="92"/>
      <c r="K121" s="92"/>
      <c r="L121" s="92"/>
    </row>
    <row r="122" spans="1:15">
      <c r="F122" s="92"/>
      <c r="G122" s="92"/>
      <c r="H122" s="92"/>
      <c r="I122" s="92"/>
      <c r="J122" s="92"/>
      <c r="K122" s="92"/>
      <c r="L122" s="92"/>
    </row>
  </sheetData>
  <mergeCells count="3">
    <mergeCell ref="Z6:AA6"/>
    <mergeCell ref="Q85:Q86"/>
    <mergeCell ref="Q62:Q63"/>
  </mergeCells>
  <conditionalFormatting sqref="E98:E1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:G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:M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 and Rh energies with N2H4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2019-10-09T22:19:35Z</dcterms:created>
  <dcterms:modified xsi:type="dcterms:W3CDTF">2019-10-10T18:20:23Z</dcterms:modified>
</cp:coreProperties>
</file>