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poojarani/gitProjects/replication-packages/RP-remodeling-szz-discussions/RQ1/"/>
    </mc:Choice>
  </mc:AlternateContent>
  <xr:revisionPtr revIDLastSave="0" documentId="13_ncr:1_{8D619272-F5AC-6A49-8B9E-B3F52A05ACF1}" xr6:coauthVersionLast="47" xr6:coauthVersionMax="47" xr10:uidLastSave="{00000000-0000-0000-0000-000000000000}"/>
  <bookViews>
    <workbookView xWindow="0" yWindow="640" windowWidth="34560" windowHeight="21700" xr2:uid="{00000000-000D-0000-FFFF-FFFF00000000}"/>
  </bookViews>
  <sheets>
    <sheet name="Aggregated_Data" sheetId="1" r:id="rId1"/>
    <sheet name="Rationales" sheetId="2" r:id="rId2"/>
    <sheet name="Pivot-agreement-disagreement" sheetId="3" r:id="rId3"/>
    <sheet name="Intermediate_Count" sheetId="4" r:id="rId4"/>
    <sheet name="End_Count" sheetId="5" r:id="rId5"/>
    <sheet name="Pivot_End_Count" sheetId="6" r:id="rId6"/>
    <sheet name="Paper-table" sheetId="7" r:id="rId7"/>
  </sheets>
  <definedNames>
    <definedName name="_xlnm._FilterDatabase" localSheetId="0" hidden="1">Aggregated_Data!$A$1:$AA$370</definedName>
  </definedNames>
  <calcPr calcId="191029"/>
  <pivotCaches>
    <pivotCache cacheId="6" r:id="rId8"/>
    <pivotCache cacheId="10"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9" i="7" l="1"/>
  <c r="M39" i="7"/>
  <c r="L39" i="7"/>
  <c r="K39" i="7"/>
  <c r="J39" i="7"/>
  <c r="F36" i="7"/>
  <c r="E36" i="7"/>
  <c r="D36" i="7"/>
  <c r="C36" i="7"/>
  <c r="B36" i="7"/>
  <c r="F35" i="7"/>
  <c r="E35" i="7"/>
  <c r="D35" i="7"/>
  <c r="C35" i="7"/>
  <c r="B35" i="7"/>
  <c r="N34" i="7"/>
  <c r="M34" i="7"/>
  <c r="L34" i="7"/>
  <c r="K34" i="7"/>
  <c r="C9" i="7" s="1"/>
  <c r="J34" i="7"/>
  <c r="B9" i="7" s="1"/>
  <c r="F34" i="7"/>
  <c r="E34" i="7"/>
  <c r="D34" i="7"/>
  <c r="F32" i="7"/>
  <c r="E32" i="7"/>
  <c r="D32" i="7"/>
  <c r="F31" i="7"/>
  <c r="E31" i="7"/>
  <c r="D31" i="7"/>
  <c r="C31" i="7"/>
  <c r="B31" i="7"/>
  <c r="N29" i="7"/>
  <c r="M29" i="7"/>
  <c r="L29" i="7"/>
  <c r="K29" i="7"/>
  <c r="J29" i="7"/>
  <c r="F29" i="7"/>
  <c r="E29" i="7"/>
  <c r="D29" i="7"/>
  <c r="F28" i="7"/>
  <c r="E28" i="7"/>
  <c r="D28" i="7"/>
  <c r="C28" i="7"/>
  <c r="B28" i="7"/>
  <c r="F27" i="7"/>
  <c r="E27" i="7"/>
  <c r="D27" i="7"/>
  <c r="C27" i="7"/>
  <c r="B27" i="7"/>
  <c r="N21" i="7"/>
  <c r="M21" i="7"/>
  <c r="L21" i="7"/>
  <c r="K21" i="7"/>
  <c r="C6" i="7" s="1"/>
  <c r="J21" i="7"/>
  <c r="B6" i="7" s="1"/>
  <c r="N11" i="7"/>
  <c r="M11" i="7"/>
  <c r="L11" i="7"/>
  <c r="K11" i="7"/>
  <c r="J11" i="7"/>
  <c r="F10" i="7"/>
  <c r="E10" i="7"/>
  <c r="D10" i="7"/>
  <c r="C10" i="7"/>
  <c r="C34" i="7" s="1"/>
  <c r="B10" i="7"/>
  <c r="B34" i="7" s="1"/>
  <c r="F9" i="7"/>
  <c r="F33" i="7" s="1"/>
  <c r="E9" i="7"/>
  <c r="E33" i="7" s="1"/>
  <c r="D9" i="7"/>
  <c r="D33" i="7" s="1"/>
  <c r="F8" i="7"/>
  <c r="F20" i="7" s="1"/>
  <c r="E8" i="7"/>
  <c r="E20" i="7" s="1"/>
  <c r="D8" i="7"/>
  <c r="C8" i="7"/>
  <c r="B8" i="7"/>
  <c r="F6" i="7"/>
  <c r="E6" i="7"/>
  <c r="D6" i="7"/>
  <c r="F5" i="7"/>
  <c r="F13" i="7" s="1"/>
  <c r="E5" i="7"/>
  <c r="E13" i="7" s="1"/>
  <c r="D5" i="7"/>
  <c r="D13" i="7" s="1"/>
  <c r="C5" i="7"/>
  <c r="C13" i="7" s="1"/>
  <c r="B5" i="7"/>
  <c r="B13" i="7" s="1"/>
  <c r="C57" i="5"/>
  <c r="B57" i="5"/>
  <c r="A57" i="5"/>
  <c r="C56" i="5"/>
  <c r="B56" i="5"/>
  <c r="A56" i="5"/>
  <c r="C55" i="5"/>
  <c r="B55" i="5"/>
  <c r="A55" i="5"/>
  <c r="C54" i="5"/>
  <c r="B54" i="5"/>
  <c r="A54" i="5"/>
  <c r="C53" i="5"/>
  <c r="B53" i="5"/>
  <c r="A53" i="5"/>
  <c r="C52" i="5"/>
  <c r="B52" i="5"/>
  <c r="A52" i="5"/>
  <c r="C51" i="5"/>
  <c r="B51" i="5"/>
  <c r="A51" i="5"/>
  <c r="C50" i="5"/>
  <c r="B50" i="5"/>
  <c r="A50" i="5"/>
  <c r="C49" i="5"/>
  <c r="B49" i="5"/>
  <c r="A49" i="5"/>
  <c r="C48" i="5"/>
  <c r="B48" i="5"/>
  <c r="A48" i="5"/>
  <c r="C47" i="5"/>
  <c r="B47" i="5"/>
  <c r="A47" i="5"/>
  <c r="C46" i="5"/>
  <c r="B46" i="5"/>
  <c r="A46" i="5"/>
  <c r="C45" i="5"/>
  <c r="B45" i="5"/>
  <c r="A45" i="5"/>
  <c r="C44" i="5"/>
  <c r="B44" i="5"/>
  <c r="A44" i="5"/>
  <c r="C43" i="5"/>
  <c r="B43" i="5"/>
  <c r="A43" i="5"/>
  <c r="C42" i="5"/>
  <c r="B42" i="5"/>
  <c r="A42" i="5"/>
  <c r="C41" i="5"/>
  <c r="B41" i="5"/>
  <c r="A41" i="5"/>
  <c r="C40" i="5"/>
  <c r="B40" i="5"/>
  <c r="A40" i="5"/>
  <c r="C39" i="5"/>
  <c r="B39" i="5"/>
  <c r="A39" i="5"/>
  <c r="C38" i="5"/>
  <c r="B38" i="5"/>
  <c r="A38" i="5"/>
  <c r="C37" i="5"/>
  <c r="B37" i="5"/>
  <c r="A37" i="5"/>
  <c r="C36" i="5"/>
  <c r="B36" i="5"/>
  <c r="A36" i="5"/>
  <c r="C35" i="5"/>
  <c r="B35" i="5"/>
  <c r="A35" i="5"/>
  <c r="C34" i="5"/>
  <c r="B34" i="5"/>
  <c r="A34" i="5"/>
  <c r="C33" i="5"/>
  <c r="B33" i="5"/>
  <c r="A33" i="5"/>
  <c r="C32" i="5"/>
  <c r="B32" i="5"/>
  <c r="A32" i="5"/>
  <c r="C31" i="5"/>
  <c r="B31" i="5"/>
  <c r="A31" i="5"/>
  <c r="C30" i="5"/>
  <c r="B30" i="5"/>
  <c r="A30" i="5"/>
  <c r="C29" i="5"/>
  <c r="B29" i="5"/>
  <c r="A29" i="5"/>
  <c r="C28" i="5"/>
  <c r="B28" i="5"/>
  <c r="A28" i="5"/>
  <c r="C27" i="5"/>
  <c r="B27" i="5"/>
  <c r="A27" i="5"/>
  <c r="C26" i="5"/>
  <c r="B26" i="5"/>
  <c r="A26" i="5"/>
  <c r="C25" i="5"/>
  <c r="B25" i="5"/>
  <c r="A25" i="5"/>
  <c r="C24" i="5"/>
  <c r="B24" i="5"/>
  <c r="A24" i="5"/>
  <c r="C23" i="5"/>
  <c r="B23" i="5"/>
  <c r="A23" i="5"/>
  <c r="C22" i="5"/>
  <c r="B22" i="5"/>
  <c r="A22" i="5"/>
  <c r="C21" i="5"/>
  <c r="B21" i="5"/>
  <c r="A21" i="5"/>
  <c r="C20" i="5"/>
  <c r="B20" i="5"/>
  <c r="A20" i="5"/>
  <c r="C19" i="5"/>
  <c r="B19" i="5"/>
  <c r="A19" i="5"/>
  <c r="C18" i="5"/>
  <c r="B18" i="5"/>
  <c r="A18" i="5"/>
  <c r="C17" i="5"/>
  <c r="B17" i="5"/>
  <c r="A17" i="5"/>
  <c r="C16" i="5"/>
  <c r="B16" i="5"/>
  <c r="A16" i="5"/>
  <c r="C15" i="5"/>
  <c r="B15" i="5"/>
  <c r="A15" i="5"/>
  <c r="C14" i="5"/>
  <c r="B14" i="5"/>
  <c r="A14" i="5"/>
  <c r="C13" i="5"/>
  <c r="B13" i="5"/>
  <c r="A13" i="5"/>
  <c r="C12" i="5"/>
  <c r="B12" i="5"/>
  <c r="A12" i="5"/>
  <c r="C11" i="5"/>
  <c r="B11" i="5"/>
  <c r="A11" i="5"/>
  <c r="C10" i="5"/>
  <c r="B10" i="5"/>
  <c r="A10" i="5"/>
  <c r="C9" i="5"/>
  <c r="B9" i="5"/>
  <c r="A9" i="5"/>
  <c r="C8" i="5"/>
  <c r="B8" i="5"/>
  <c r="A8" i="5"/>
  <c r="C7" i="5"/>
  <c r="B7" i="5"/>
  <c r="A7" i="5"/>
  <c r="C6" i="5"/>
  <c r="B6" i="5"/>
  <c r="A6" i="5"/>
  <c r="C5" i="5"/>
  <c r="B5" i="5"/>
  <c r="A5" i="5"/>
  <c r="C4" i="5"/>
  <c r="B4" i="5"/>
  <c r="A4" i="5"/>
  <c r="C3" i="5"/>
  <c r="B3" i="5"/>
  <c r="A3" i="5"/>
  <c r="C2" i="5"/>
  <c r="B2" i="5"/>
  <c r="A2" i="5"/>
  <c r="C1" i="5"/>
  <c r="B1" i="5"/>
  <c r="A1" i="5"/>
  <c r="C159" i="4"/>
  <c r="B159" i="4"/>
  <c r="A159" i="4"/>
  <c r="C158" i="4"/>
  <c r="B158" i="4"/>
  <c r="A158" i="4"/>
  <c r="C157" i="4"/>
  <c r="B157" i="4"/>
  <c r="A157" i="4"/>
  <c r="C156" i="4"/>
  <c r="B156" i="4"/>
  <c r="A156" i="4"/>
  <c r="C155" i="4"/>
  <c r="B155" i="4"/>
  <c r="A155" i="4"/>
  <c r="C154" i="4"/>
  <c r="B154" i="4"/>
  <c r="A154" i="4"/>
  <c r="C153" i="4"/>
  <c r="B153" i="4"/>
  <c r="A153" i="4"/>
  <c r="C152" i="4"/>
  <c r="B152" i="4"/>
  <c r="A152" i="4"/>
  <c r="C151" i="4"/>
  <c r="B151" i="4"/>
  <c r="A151" i="4"/>
  <c r="C150" i="4"/>
  <c r="B150" i="4"/>
  <c r="A150" i="4"/>
  <c r="C149" i="4"/>
  <c r="B149" i="4"/>
  <c r="A149" i="4"/>
  <c r="C148" i="4"/>
  <c r="B148" i="4"/>
  <c r="A148" i="4"/>
  <c r="C147" i="4"/>
  <c r="B147" i="4"/>
  <c r="A147" i="4"/>
  <c r="C146" i="4"/>
  <c r="B146" i="4"/>
  <c r="A146" i="4"/>
  <c r="C145" i="4"/>
  <c r="B145" i="4"/>
  <c r="A145" i="4"/>
  <c r="C144" i="4"/>
  <c r="B144" i="4"/>
  <c r="A144" i="4"/>
  <c r="C143" i="4"/>
  <c r="B143" i="4"/>
  <c r="A143" i="4"/>
  <c r="C142" i="4"/>
  <c r="B142" i="4"/>
  <c r="A142" i="4"/>
  <c r="C141" i="4"/>
  <c r="B141" i="4"/>
  <c r="A141" i="4"/>
  <c r="C140" i="4"/>
  <c r="B140" i="4"/>
  <c r="A140" i="4"/>
  <c r="C139" i="4"/>
  <c r="B139" i="4"/>
  <c r="A139" i="4"/>
  <c r="C138" i="4"/>
  <c r="B138" i="4"/>
  <c r="A138" i="4"/>
  <c r="C137" i="4"/>
  <c r="B137" i="4"/>
  <c r="A137" i="4"/>
  <c r="C136" i="4"/>
  <c r="B136" i="4"/>
  <c r="A136" i="4"/>
  <c r="C135" i="4"/>
  <c r="B135" i="4"/>
  <c r="A135" i="4"/>
  <c r="C134" i="4"/>
  <c r="B134" i="4"/>
  <c r="A134" i="4"/>
  <c r="C133" i="4"/>
  <c r="B133" i="4"/>
  <c r="A133" i="4"/>
  <c r="C132" i="4"/>
  <c r="B132" i="4"/>
  <c r="A132" i="4"/>
  <c r="C131" i="4"/>
  <c r="B131" i="4"/>
  <c r="A131" i="4"/>
  <c r="C130" i="4"/>
  <c r="B130" i="4"/>
  <c r="A130" i="4"/>
  <c r="C129" i="4"/>
  <c r="B129" i="4"/>
  <c r="A129" i="4"/>
  <c r="C128" i="4"/>
  <c r="B128" i="4"/>
  <c r="A128" i="4"/>
  <c r="C127" i="4"/>
  <c r="B127" i="4"/>
  <c r="A127" i="4"/>
  <c r="C126" i="4"/>
  <c r="B126" i="4"/>
  <c r="A126" i="4"/>
  <c r="C125" i="4"/>
  <c r="B125" i="4"/>
  <c r="A125" i="4"/>
  <c r="C124" i="4"/>
  <c r="B124" i="4"/>
  <c r="A124" i="4"/>
  <c r="C123" i="4"/>
  <c r="B123" i="4"/>
  <c r="A123" i="4"/>
  <c r="C122" i="4"/>
  <c r="B122" i="4"/>
  <c r="A122" i="4"/>
  <c r="C121" i="4"/>
  <c r="B121" i="4"/>
  <c r="A121" i="4"/>
  <c r="C120" i="4"/>
  <c r="B120" i="4"/>
  <c r="A120" i="4"/>
  <c r="C119" i="4"/>
  <c r="B119" i="4"/>
  <c r="A119" i="4"/>
  <c r="C118" i="4"/>
  <c r="B118" i="4"/>
  <c r="A118" i="4"/>
  <c r="C117" i="4"/>
  <c r="B117" i="4"/>
  <c r="A117" i="4"/>
  <c r="C87" i="4"/>
  <c r="B87" i="4"/>
  <c r="A87" i="4"/>
  <c r="C86" i="4"/>
  <c r="B86" i="4"/>
  <c r="A86" i="4"/>
  <c r="C85" i="4"/>
  <c r="B85" i="4"/>
  <c r="A85" i="4"/>
  <c r="C84" i="4"/>
  <c r="B84" i="4"/>
  <c r="A84" i="4"/>
  <c r="C83" i="4"/>
  <c r="B83" i="4"/>
  <c r="A83" i="4"/>
  <c r="C82" i="4"/>
  <c r="B82" i="4"/>
  <c r="A82" i="4"/>
  <c r="C81" i="4"/>
  <c r="B81" i="4"/>
  <c r="A81" i="4"/>
  <c r="C80" i="4"/>
  <c r="B80" i="4"/>
  <c r="A80" i="4"/>
  <c r="C79" i="4"/>
  <c r="B79" i="4"/>
  <c r="A79" i="4"/>
  <c r="C78" i="4"/>
  <c r="B78" i="4"/>
  <c r="A78" i="4"/>
  <c r="C77" i="4"/>
  <c r="B77" i="4"/>
  <c r="A77" i="4"/>
  <c r="C76" i="4"/>
  <c r="B76" i="4"/>
  <c r="A76" i="4"/>
  <c r="C75" i="4"/>
  <c r="B75" i="4"/>
  <c r="A75" i="4"/>
  <c r="C74" i="4"/>
  <c r="B74" i="4"/>
  <c r="A74" i="4"/>
  <c r="C73" i="4"/>
  <c r="B73" i="4"/>
  <c r="A73" i="4"/>
  <c r="C72" i="4"/>
  <c r="B72" i="4"/>
  <c r="A72" i="4"/>
  <c r="C71" i="4"/>
  <c r="B71" i="4"/>
  <c r="A71" i="4"/>
  <c r="C70" i="4"/>
  <c r="B70" i="4"/>
  <c r="A70" i="4"/>
  <c r="C69" i="4"/>
  <c r="B69" i="4"/>
  <c r="A69" i="4"/>
  <c r="C68" i="4"/>
  <c r="B68" i="4"/>
  <c r="A68" i="4"/>
  <c r="C67" i="4"/>
  <c r="B67" i="4"/>
  <c r="A67" i="4"/>
  <c r="C66" i="4"/>
  <c r="B66" i="4"/>
  <c r="A66" i="4"/>
  <c r="C65" i="4"/>
  <c r="B65" i="4"/>
  <c r="A65" i="4"/>
  <c r="C64" i="4"/>
  <c r="B64" i="4"/>
  <c r="A64" i="4"/>
  <c r="C63" i="4"/>
  <c r="B63" i="4"/>
  <c r="A63" i="4"/>
  <c r="C62" i="4"/>
  <c r="B62" i="4"/>
  <c r="A62" i="4"/>
  <c r="C61" i="4"/>
  <c r="B61" i="4"/>
  <c r="A61" i="4"/>
  <c r="C60" i="4"/>
  <c r="B60" i="4"/>
  <c r="A60" i="4"/>
  <c r="C59" i="4"/>
  <c r="B59" i="4"/>
  <c r="A59" i="4"/>
  <c r="C58" i="4"/>
  <c r="B58" i="4"/>
  <c r="A58" i="4"/>
  <c r="C57" i="4"/>
  <c r="B57" i="4"/>
  <c r="A57" i="4"/>
  <c r="C56" i="4"/>
  <c r="B56" i="4"/>
  <c r="A56" i="4"/>
  <c r="C55" i="4"/>
  <c r="B55" i="4"/>
  <c r="A55" i="4"/>
  <c r="C54" i="4"/>
  <c r="B54" i="4"/>
  <c r="A54" i="4"/>
  <c r="C53" i="4"/>
  <c r="B53" i="4"/>
  <c r="A53" i="4"/>
  <c r="C52" i="4"/>
  <c r="B52" i="4"/>
  <c r="A52" i="4"/>
  <c r="C51" i="4"/>
  <c r="B51" i="4"/>
  <c r="A51" i="4"/>
  <c r="C50" i="4"/>
  <c r="B50" i="4"/>
  <c r="A50" i="4"/>
  <c r="C49" i="4"/>
  <c r="B49" i="4"/>
  <c r="A49" i="4"/>
  <c r="C48" i="4"/>
  <c r="B48" i="4"/>
  <c r="A48" i="4"/>
  <c r="C47" i="4"/>
  <c r="B47" i="4"/>
  <c r="A47" i="4"/>
  <c r="C46" i="4"/>
  <c r="B46" i="4"/>
  <c r="A46" i="4"/>
  <c r="C45" i="4"/>
  <c r="B45" i="4"/>
  <c r="A45" i="4"/>
  <c r="C44" i="4"/>
  <c r="B44" i="4"/>
  <c r="A44" i="4"/>
  <c r="C43" i="4"/>
  <c r="B43" i="4"/>
  <c r="A43" i="4"/>
  <c r="C42" i="4"/>
  <c r="B42" i="4"/>
  <c r="A42" i="4"/>
  <c r="C28" i="4"/>
  <c r="B28" i="4"/>
  <c r="A28" i="4"/>
  <c r="C27" i="4"/>
  <c r="B27" i="4"/>
  <c r="A27" i="4"/>
  <c r="C26" i="4"/>
  <c r="B26" i="4"/>
  <c r="A26" i="4"/>
  <c r="C25" i="4"/>
  <c r="B25" i="4"/>
  <c r="A25" i="4"/>
  <c r="C24" i="4"/>
  <c r="B24" i="4"/>
  <c r="A24" i="4"/>
  <c r="C23" i="4"/>
  <c r="B23" i="4"/>
  <c r="A23" i="4"/>
  <c r="C22" i="4"/>
  <c r="B22" i="4"/>
  <c r="A22" i="4"/>
  <c r="C21" i="4"/>
  <c r="B21" i="4"/>
  <c r="A21" i="4"/>
  <c r="C20" i="4"/>
  <c r="B20" i="4"/>
  <c r="A20" i="4"/>
  <c r="C19" i="4"/>
  <c r="B19" i="4"/>
  <c r="A19" i="4"/>
  <c r="C18" i="4"/>
  <c r="B18" i="4"/>
  <c r="A18" i="4"/>
  <c r="C17" i="4"/>
  <c r="B17" i="4"/>
  <c r="A17" i="4"/>
  <c r="C16" i="4"/>
  <c r="B16" i="4"/>
  <c r="A16" i="4"/>
  <c r="C15" i="4"/>
  <c r="B15" i="4"/>
  <c r="A15" i="4"/>
  <c r="C14" i="4"/>
  <c r="B14" i="4"/>
  <c r="A14" i="4"/>
  <c r="C13" i="4"/>
  <c r="B13" i="4"/>
  <c r="A13" i="4"/>
  <c r="C12" i="4"/>
  <c r="B12" i="4"/>
  <c r="A12" i="4"/>
  <c r="C11" i="4"/>
  <c r="B11" i="4"/>
  <c r="A11" i="4"/>
  <c r="C10" i="4"/>
  <c r="B10" i="4"/>
  <c r="A10" i="4"/>
  <c r="C9" i="4"/>
  <c r="B9" i="4"/>
  <c r="A9" i="4"/>
  <c r="C8" i="4"/>
  <c r="B8" i="4"/>
  <c r="A8" i="4"/>
  <c r="C7" i="4"/>
  <c r="B7" i="4"/>
  <c r="A7" i="4"/>
  <c r="C6" i="4"/>
  <c r="B6" i="4"/>
  <c r="A6" i="4"/>
  <c r="C5" i="4"/>
  <c r="B5" i="4"/>
  <c r="A5" i="4"/>
  <c r="C4" i="4"/>
  <c r="B4" i="4"/>
  <c r="A4" i="4"/>
  <c r="C3" i="4"/>
  <c r="B3" i="4"/>
  <c r="A3" i="4"/>
  <c r="C2" i="4"/>
  <c r="B2" i="4"/>
  <c r="A2" i="4"/>
  <c r="C1" i="4"/>
  <c r="B1" i="4"/>
  <c r="A1" i="4"/>
  <c r="M3" i="2"/>
  <c r="L3" i="2"/>
  <c r="K3" i="2"/>
  <c r="J3" i="2"/>
  <c r="M2" i="2"/>
  <c r="L2" i="2"/>
  <c r="K2" i="2"/>
  <c r="J2" i="2"/>
  <c r="M370" i="1"/>
  <c r="L370" i="1"/>
  <c r="K370" i="1"/>
  <c r="J370" i="1"/>
  <c r="I370" i="1"/>
  <c r="H370" i="1"/>
  <c r="G370" i="1"/>
  <c r="F370" i="1"/>
  <c r="E370" i="1"/>
  <c r="D370" i="1"/>
  <c r="C370" i="1"/>
  <c r="N369" i="1"/>
  <c r="K369" i="1"/>
  <c r="J369" i="1"/>
  <c r="I369" i="1"/>
  <c r="H369" i="1"/>
  <c r="G369" i="1"/>
  <c r="F369" i="1"/>
  <c r="E369" i="1"/>
  <c r="D369" i="1"/>
  <c r="C369" i="1"/>
  <c r="L368" i="1"/>
  <c r="K368" i="1"/>
  <c r="J368" i="1"/>
  <c r="I368" i="1"/>
  <c r="H368" i="1"/>
  <c r="G368" i="1"/>
  <c r="F368" i="1"/>
  <c r="E368" i="1"/>
  <c r="D368" i="1"/>
  <c r="C368" i="1"/>
  <c r="M367" i="1"/>
  <c r="L367" i="1"/>
  <c r="K367" i="1"/>
  <c r="J367" i="1"/>
  <c r="I367" i="1"/>
  <c r="H367" i="1"/>
  <c r="G367" i="1"/>
  <c r="F367" i="1"/>
  <c r="E367" i="1"/>
  <c r="D367" i="1"/>
  <c r="C367" i="1"/>
  <c r="M366" i="1"/>
  <c r="L366" i="1"/>
  <c r="K366" i="1"/>
  <c r="J366" i="1"/>
  <c r="I366" i="1"/>
  <c r="H366" i="1"/>
  <c r="G366" i="1"/>
  <c r="F366" i="1"/>
  <c r="E366" i="1"/>
  <c r="D366" i="1"/>
  <c r="C366" i="1"/>
  <c r="N365" i="1"/>
  <c r="M365" i="1"/>
  <c r="L365" i="1"/>
  <c r="K365" i="1"/>
  <c r="J365" i="1"/>
  <c r="I365" i="1"/>
  <c r="H365" i="1"/>
  <c r="G365" i="1"/>
  <c r="F365" i="1"/>
  <c r="E365" i="1"/>
  <c r="D365" i="1"/>
  <c r="C365" i="1"/>
  <c r="L364" i="1"/>
  <c r="K364" i="1"/>
  <c r="J364" i="1"/>
  <c r="I364" i="1"/>
  <c r="H364" i="1"/>
  <c r="G364" i="1"/>
  <c r="F364" i="1"/>
  <c r="E364" i="1"/>
  <c r="D364" i="1"/>
  <c r="C364" i="1"/>
  <c r="L363" i="1"/>
  <c r="K363" i="1"/>
  <c r="J363" i="1"/>
  <c r="I363" i="1"/>
  <c r="H363" i="1"/>
  <c r="G363" i="1"/>
  <c r="F363" i="1"/>
  <c r="E363" i="1"/>
  <c r="D363" i="1"/>
  <c r="C363" i="1"/>
  <c r="L362" i="1"/>
  <c r="K362" i="1"/>
  <c r="J362" i="1"/>
  <c r="I362" i="1"/>
  <c r="H362" i="1"/>
  <c r="G362" i="1"/>
  <c r="F362" i="1"/>
  <c r="E362" i="1"/>
  <c r="D362" i="1"/>
  <c r="C362" i="1"/>
  <c r="O361" i="1"/>
  <c r="L361" i="1"/>
  <c r="K361" i="1"/>
  <c r="J361" i="1"/>
  <c r="I361" i="1"/>
  <c r="H361" i="1"/>
  <c r="G361" i="1"/>
  <c r="F361" i="1"/>
  <c r="E361" i="1"/>
  <c r="D361" i="1"/>
  <c r="C361" i="1"/>
  <c r="O360" i="1"/>
  <c r="L360" i="1"/>
  <c r="K360" i="1"/>
  <c r="J360" i="1"/>
  <c r="I360" i="1"/>
  <c r="H360" i="1"/>
  <c r="G360" i="1"/>
  <c r="F360" i="1"/>
  <c r="E360" i="1"/>
  <c r="D360" i="1"/>
  <c r="C360" i="1"/>
  <c r="L359" i="1"/>
  <c r="K359" i="1"/>
  <c r="J359" i="1"/>
  <c r="I359" i="1"/>
  <c r="H359" i="1"/>
  <c r="G359" i="1"/>
  <c r="F359" i="1"/>
  <c r="E359" i="1"/>
  <c r="D359" i="1"/>
  <c r="C359" i="1"/>
  <c r="L358" i="1"/>
  <c r="K358" i="1"/>
  <c r="J358" i="1"/>
  <c r="I358" i="1"/>
  <c r="H358" i="1"/>
  <c r="G358" i="1"/>
  <c r="F358" i="1"/>
  <c r="E358" i="1"/>
  <c r="D358" i="1"/>
  <c r="C358" i="1"/>
  <c r="O357" i="1"/>
  <c r="L357" i="1"/>
  <c r="K357" i="1"/>
  <c r="J357" i="1"/>
  <c r="I357" i="1"/>
  <c r="H357" i="1"/>
  <c r="G357" i="1"/>
  <c r="F357" i="1"/>
  <c r="E357" i="1"/>
  <c r="D357" i="1"/>
  <c r="C357" i="1"/>
  <c r="L356" i="1"/>
  <c r="K356" i="1"/>
  <c r="J356" i="1"/>
  <c r="I356" i="1"/>
  <c r="H356" i="1"/>
  <c r="G356" i="1"/>
  <c r="F356" i="1"/>
  <c r="E356" i="1"/>
  <c r="D356" i="1"/>
  <c r="C356" i="1"/>
  <c r="O355" i="1"/>
  <c r="N355" i="1"/>
  <c r="M355" i="1"/>
  <c r="L355" i="1"/>
  <c r="K355" i="1"/>
  <c r="J355" i="1"/>
  <c r="I355" i="1"/>
  <c r="H355" i="1"/>
  <c r="G355" i="1"/>
  <c r="F355" i="1"/>
  <c r="E355" i="1"/>
  <c r="D355" i="1"/>
  <c r="C355" i="1"/>
  <c r="L354" i="1"/>
  <c r="K354" i="1"/>
  <c r="J354" i="1"/>
  <c r="I354" i="1"/>
  <c r="H354" i="1"/>
  <c r="G354" i="1"/>
  <c r="F354" i="1"/>
  <c r="E354" i="1"/>
  <c r="D354" i="1"/>
  <c r="C354" i="1"/>
  <c r="L353" i="1"/>
  <c r="K353" i="1"/>
  <c r="J353" i="1"/>
  <c r="I353" i="1"/>
  <c r="H353" i="1"/>
  <c r="G353" i="1"/>
  <c r="F353" i="1"/>
  <c r="E353" i="1"/>
  <c r="D353" i="1"/>
  <c r="C353" i="1"/>
  <c r="K352" i="1"/>
  <c r="J352" i="1"/>
  <c r="I352" i="1"/>
  <c r="H352" i="1"/>
  <c r="G352" i="1"/>
  <c r="F352" i="1"/>
  <c r="E352" i="1"/>
  <c r="D352" i="1"/>
  <c r="C352" i="1"/>
  <c r="K351" i="1"/>
  <c r="J351" i="1"/>
  <c r="I351" i="1"/>
  <c r="H351" i="1"/>
  <c r="G351" i="1"/>
  <c r="F351" i="1"/>
  <c r="E351" i="1"/>
  <c r="D351" i="1"/>
  <c r="C351" i="1"/>
  <c r="L350" i="1"/>
  <c r="K350" i="1"/>
  <c r="J350" i="1"/>
  <c r="I350" i="1"/>
  <c r="H350" i="1"/>
  <c r="G350" i="1"/>
  <c r="F350" i="1"/>
  <c r="E350" i="1"/>
  <c r="D350" i="1"/>
  <c r="C350" i="1"/>
  <c r="K349" i="1"/>
  <c r="J349" i="1"/>
  <c r="I349" i="1"/>
  <c r="H349" i="1"/>
  <c r="G349" i="1"/>
  <c r="F349" i="1"/>
  <c r="E349" i="1"/>
  <c r="D349" i="1"/>
  <c r="C349" i="1"/>
  <c r="L348" i="1"/>
  <c r="K348" i="1"/>
  <c r="J348" i="1"/>
  <c r="I348" i="1"/>
  <c r="H348" i="1"/>
  <c r="G348" i="1"/>
  <c r="F348" i="1"/>
  <c r="E348" i="1"/>
  <c r="D348" i="1"/>
  <c r="C348" i="1"/>
  <c r="M347" i="1"/>
  <c r="L347" i="1"/>
  <c r="K347" i="1"/>
  <c r="J347" i="1"/>
  <c r="I347" i="1"/>
  <c r="H347" i="1"/>
  <c r="G347" i="1"/>
  <c r="F347" i="1"/>
  <c r="E347" i="1"/>
  <c r="D347" i="1"/>
  <c r="C347" i="1"/>
  <c r="L346" i="1"/>
  <c r="K346" i="1"/>
  <c r="J346" i="1"/>
  <c r="I346" i="1"/>
  <c r="H346" i="1"/>
  <c r="G346" i="1"/>
  <c r="F346" i="1"/>
  <c r="E346" i="1"/>
  <c r="D346" i="1"/>
  <c r="C346" i="1"/>
  <c r="L345" i="1"/>
  <c r="K345" i="1"/>
  <c r="J345" i="1"/>
  <c r="I345" i="1"/>
  <c r="H345" i="1"/>
  <c r="G345" i="1"/>
  <c r="F345" i="1"/>
  <c r="E345" i="1"/>
  <c r="D345" i="1"/>
  <c r="C345" i="1"/>
  <c r="L344" i="1"/>
  <c r="K344" i="1"/>
  <c r="J344" i="1"/>
  <c r="I344" i="1"/>
  <c r="H344" i="1"/>
  <c r="G344" i="1"/>
  <c r="F344" i="1"/>
  <c r="E344" i="1"/>
  <c r="D344" i="1"/>
  <c r="C344" i="1"/>
  <c r="L343" i="1"/>
  <c r="K343" i="1"/>
  <c r="J343" i="1"/>
  <c r="I343" i="1"/>
  <c r="H343" i="1"/>
  <c r="G343" i="1"/>
  <c r="F343" i="1"/>
  <c r="E343" i="1"/>
  <c r="D343" i="1"/>
  <c r="C343" i="1"/>
  <c r="K342" i="1"/>
  <c r="J342" i="1"/>
  <c r="I342" i="1"/>
  <c r="H342" i="1"/>
  <c r="G342" i="1"/>
  <c r="F342" i="1"/>
  <c r="E342" i="1"/>
  <c r="D342" i="1"/>
  <c r="C342" i="1"/>
  <c r="L341" i="1"/>
  <c r="K341" i="1"/>
  <c r="J341" i="1"/>
  <c r="I341" i="1"/>
  <c r="H341" i="1"/>
  <c r="G341" i="1"/>
  <c r="F341" i="1"/>
  <c r="E341" i="1"/>
  <c r="D341" i="1"/>
  <c r="C341" i="1"/>
  <c r="L340" i="1"/>
  <c r="K340" i="1"/>
  <c r="J340" i="1"/>
  <c r="I340" i="1"/>
  <c r="H340" i="1"/>
  <c r="G340" i="1"/>
  <c r="F340" i="1"/>
  <c r="E340" i="1"/>
  <c r="D340" i="1"/>
  <c r="C340" i="1"/>
  <c r="L339" i="1"/>
  <c r="K339" i="1"/>
  <c r="J339" i="1"/>
  <c r="I339" i="1"/>
  <c r="H339" i="1"/>
  <c r="G339" i="1"/>
  <c r="F339" i="1"/>
  <c r="E339" i="1"/>
  <c r="D339" i="1"/>
  <c r="C339" i="1"/>
  <c r="L338" i="1"/>
  <c r="K338" i="1"/>
  <c r="J338" i="1"/>
  <c r="I338" i="1"/>
  <c r="H338" i="1"/>
  <c r="G338" i="1"/>
  <c r="F338" i="1"/>
  <c r="E338" i="1"/>
  <c r="D338" i="1"/>
  <c r="C338" i="1"/>
  <c r="K337" i="1"/>
  <c r="J337" i="1"/>
  <c r="I337" i="1"/>
  <c r="H337" i="1"/>
  <c r="G337" i="1"/>
  <c r="F337" i="1"/>
  <c r="E337" i="1"/>
  <c r="D337" i="1"/>
  <c r="C337" i="1"/>
  <c r="M336" i="1"/>
  <c r="L336" i="1"/>
  <c r="K336" i="1"/>
  <c r="J336" i="1"/>
  <c r="I336" i="1"/>
  <c r="H336" i="1"/>
  <c r="G336" i="1"/>
  <c r="F336" i="1"/>
  <c r="E336" i="1"/>
  <c r="D336" i="1"/>
  <c r="C336" i="1"/>
  <c r="M335" i="1"/>
  <c r="L335" i="1"/>
  <c r="K335" i="1"/>
  <c r="J335" i="1"/>
  <c r="I335" i="1"/>
  <c r="H335" i="1"/>
  <c r="G335" i="1"/>
  <c r="F335" i="1"/>
  <c r="E335" i="1"/>
  <c r="D335" i="1"/>
  <c r="C335" i="1"/>
  <c r="M334" i="1"/>
  <c r="L334" i="1"/>
  <c r="K334" i="1"/>
  <c r="J334" i="1"/>
  <c r="I334" i="1"/>
  <c r="H334" i="1"/>
  <c r="G334" i="1"/>
  <c r="F334" i="1"/>
  <c r="E334" i="1"/>
  <c r="D334" i="1"/>
  <c r="C334" i="1"/>
  <c r="K333" i="1"/>
  <c r="J333" i="1"/>
  <c r="I333" i="1"/>
  <c r="H333" i="1"/>
  <c r="G333" i="1"/>
  <c r="F333" i="1"/>
  <c r="E333" i="1"/>
  <c r="D333" i="1"/>
  <c r="C333" i="1"/>
  <c r="K332" i="1"/>
  <c r="J332" i="1"/>
  <c r="I332" i="1"/>
  <c r="H332" i="1"/>
  <c r="G332" i="1"/>
  <c r="F332" i="1"/>
  <c r="E332" i="1"/>
  <c r="D332" i="1"/>
  <c r="C332" i="1"/>
  <c r="L331" i="1"/>
  <c r="K331" i="1"/>
  <c r="J331" i="1"/>
  <c r="I331" i="1"/>
  <c r="H331" i="1"/>
  <c r="G331" i="1"/>
  <c r="F331" i="1"/>
  <c r="E331" i="1"/>
  <c r="D331" i="1"/>
  <c r="C331" i="1"/>
  <c r="L330" i="1"/>
  <c r="K330" i="1"/>
  <c r="J330" i="1"/>
  <c r="I330" i="1"/>
  <c r="H330" i="1"/>
  <c r="G330" i="1"/>
  <c r="F330" i="1"/>
  <c r="E330" i="1"/>
  <c r="D330" i="1"/>
  <c r="C330" i="1"/>
  <c r="L329" i="1"/>
  <c r="K329" i="1"/>
  <c r="J329" i="1"/>
  <c r="I329" i="1"/>
  <c r="H329" i="1"/>
  <c r="G329" i="1"/>
  <c r="F329" i="1"/>
  <c r="E329" i="1"/>
  <c r="D329" i="1"/>
  <c r="C329" i="1"/>
  <c r="L328" i="1"/>
  <c r="K328" i="1"/>
  <c r="J328" i="1"/>
  <c r="I328" i="1"/>
  <c r="H328" i="1"/>
  <c r="G328" i="1"/>
  <c r="F328" i="1"/>
  <c r="E328" i="1"/>
  <c r="D328" i="1"/>
  <c r="C328" i="1"/>
  <c r="L327" i="1"/>
  <c r="K327" i="1"/>
  <c r="J327" i="1"/>
  <c r="I327" i="1"/>
  <c r="H327" i="1"/>
  <c r="G327" i="1"/>
  <c r="F327" i="1"/>
  <c r="E327" i="1"/>
  <c r="D327" i="1"/>
  <c r="C327" i="1"/>
  <c r="M326" i="1"/>
  <c r="L326" i="1"/>
  <c r="K326" i="1"/>
  <c r="J326" i="1"/>
  <c r="I326" i="1"/>
  <c r="H326" i="1"/>
  <c r="G326" i="1"/>
  <c r="F326" i="1"/>
  <c r="E326" i="1"/>
  <c r="D326" i="1"/>
  <c r="C326" i="1"/>
  <c r="K325" i="1"/>
  <c r="J325" i="1"/>
  <c r="I325" i="1"/>
  <c r="H325" i="1"/>
  <c r="G325" i="1"/>
  <c r="F325" i="1"/>
  <c r="E325" i="1"/>
  <c r="D325" i="1"/>
  <c r="C325" i="1"/>
  <c r="L324" i="1"/>
  <c r="K324" i="1"/>
  <c r="J324" i="1"/>
  <c r="I324" i="1"/>
  <c r="H324" i="1"/>
  <c r="G324" i="1"/>
  <c r="F324" i="1"/>
  <c r="E324" i="1"/>
  <c r="D324" i="1"/>
  <c r="C324" i="1"/>
  <c r="L323" i="1"/>
  <c r="K323" i="1"/>
  <c r="J323" i="1"/>
  <c r="I323" i="1"/>
  <c r="H323" i="1"/>
  <c r="G323" i="1"/>
  <c r="F323" i="1"/>
  <c r="E323" i="1"/>
  <c r="D323" i="1"/>
  <c r="C323" i="1"/>
  <c r="M322" i="1"/>
  <c r="L322" i="1"/>
  <c r="K322" i="1"/>
  <c r="J322" i="1"/>
  <c r="I322" i="1"/>
  <c r="H322" i="1"/>
  <c r="G322" i="1"/>
  <c r="F322" i="1"/>
  <c r="E322" i="1"/>
  <c r="D322" i="1"/>
  <c r="C322" i="1"/>
  <c r="L321" i="1"/>
  <c r="K321" i="1"/>
  <c r="J321" i="1"/>
  <c r="I321" i="1"/>
  <c r="H321" i="1"/>
  <c r="G321" i="1"/>
  <c r="F321" i="1"/>
  <c r="E321" i="1"/>
  <c r="D321" i="1"/>
  <c r="C321" i="1"/>
  <c r="L320" i="1"/>
  <c r="K320" i="1"/>
  <c r="J320" i="1"/>
  <c r="I320" i="1"/>
  <c r="H320" i="1"/>
  <c r="G320" i="1"/>
  <c r="F320" i="1"/>
  <c r="E320" i="1"/>
  <c r="D320" i="1"/>
  <c r="C320" i="1"/>
  <c r="L319" i="1"/>
  <c r="K319" i="1"/>
  <c r="J319" i="1"/>
  <c r="I319" i="1"/>
  <c r="H319" i="1"/>
  <c r="G319" i="1"/>
  <c r="F319" i="1"/>
  <c r="E319" i="1"/>
  <c r="D319" i="1"/>
  <c r="C319" i="1"/>
  <c r="N318" i="1"/>
  <c r="M318" i="1"/>
  <c r="L318" i="1"/>
  <c r="K318" i="1"/>
  <c r="J318" i="1"/>
  <c r="I318" i="1"/>
  <c r="H318" i="1"/>
  <c r="G318" i="1"/>
  <c r="F318" i="1"/>
  <c r="E318" i="1"/>
  <c r="D318" i="1"/>
  <c r="C318" i="1"/>
  <c r="L317" i="1"/>
  <c r="K317" i="1"/>
  <c r="J317" i="1"/>
  <c r="I317" i="1"/>
  <c r="H317" i="1"/>
  <c r="G317" i="1"/>
  <c r="F317" i="1"/>
  <c r="E317" i="1"/>
  <c r="D317" i="1"/>
  <c r="C317" i="1"/>
  <c r="L316" i="1"/>
  <c r="K316" i="1"/>
  <c r="J316" i="1"/>
  <c r="I316" i="1"/>
  <c r="H316" i="1"/>
  <c r="G316" i="1"/>
  <c r="F316" i="1"/>
  <c r="E316" i="1"/>
  <c r="D316" i="1"/>
  <c r="C316" i="1"/>
  <c r="K315" i="1"/>
  <c r="J315" i="1"/>
  <c r="I315" i="1"/>
  <c r="H315" i="1"/>
  <c r="G315" i="1"/>
  <c r="F315" i="1"/>
  <c r="E315" i="1"/>
  <c r="D315" i="1"/>
  <c r="C315" i="1"/>
  <c r="L314" i="1"/>
  <c r="K314" i="1"/>
  <c r="J314" i="1"/>
  <c r="I314" i="1"/>
  <c r="H314" i="1"/>
  <c r="G314" i="1"/>
  <c r="F314" i="1"/>
  <c r="E314" i="1"/>
  <c r="D314" i="1"/>
  <c r="C314" i="1"/>
  <c r="L313" i="1"/>
  <c r="K313" i="1"/>
  <c r="J313" i="1"/>
  <c r="I313" i="1"/>
  <c r="H313" i="1"/>
  <c r="G313" i="1"/>
  <c r="F313" i="1"/>
  <c r="E313" i="1"/>
  <c r="D313" i="1"/>
  <c r="C313" i="1"/>
  <c r="K312" i="1"/>
  <c r="J312" i="1"/>
  <c r="I312" i="1"/>
  <c r="H312" i="1"/>
  <c r="G312" i="1"/>
  <c r="F312" i="1"/>
  <c r="E312" i="1"/>
  <c r="D312" i="1"/>
  <c r="C312" i="1"/>
  <c r="L311" i="1"/>
  <c r="K311" i="1"/>
  <c r="J311" i="1"/>
  <c r="I311" i="1"/>
  <c r="H311" i="1"/>
  <c r="G311" i="1"/>
  <c r="F311" i="1"/>
  <c r="E311" i="1"/>
  <c r="D311" i="1"/>
  <c r="C311" i="1"/>
  <c r="K310" i="1"/>
  <c r="J310" i="1"/>
  <c r="I310" i="1"/>
  <c r="H310" i="1"/>
  <c r="G310" i="1"/>
  <c r="F310" i="1"/>
  <c r="E310" i="1"/>
  <c r="D310" i="1"/>
  <c r="C310" i="1"/>
  <c r="K309" i="1"/>
  <c r="J309" i="1"/>
  <c r="I309" i="1"/>
  <c r="H309" i="1"/>
  <c r="G309" i="1"/>
  <c r="F309" i="1"/>
  <c r="E309" i="1"/>
  <c r="D309" i="1"/>
  <c r="C309" i="1"/>
  <c r="O308" i="1"/>
  <c r="L308" i="1"/>
  <c r="K308" i="1"/>
  <c r="J308" i="1"/>
  <c r="I308" i="1"/>
  <c r="H308" i="1"/>
  <c r="G308" i="1"/>
  <c r="F308" i="1"/>
  <c r="E308" i="1"/>
  <c r="D308" i="1"/>
  <c r="C308" i="1"/>
  <c r="O307" i="1"/>
  <c r="K307" i="1"/>
  <c r="J307" i="1"/>
  <c r="I307" i="1"/>
  <c r="H307" i="1"/>
  <c r="G307" i="1"/>
  <c r="F307" i="1"/>
  <c r="E307" i="1"/>
  <c r="D307" i="1"/>
  <c r="C307" i="1"/>
  <c r="B307" i="1"/>
  <c r="O306" i="1"/>
  <c r="L306" i="1"/>
  <c r="K306" i="1"/>
  <c r="J306" i="1"/>
  <c r="I306" i="1"/>
  <c r="H306" i="1"/>
  <c r="G306" i="1"/>
  <c r="F306" i="1"/>
  <c r="E306" i="1"/>
  <c r="D306" i="1"/>
  <c r="C306" i="1"/>
  <c r="O305" i="1"/>
  <c r="L305" i="1"/>
  <c r="K305" i="1"/>
  <c r="J305" i="1"/>
  <c r="I305" i="1"/>
  <c r="H305" i="1"/>
  <c r="G305" i="1"/>
  <c r="F305" i="1"/>
  <c r="E305" i="1"/>
  <c r="D305" i="1"/>
  <c r="C305" i="1"/>
  <c r="K304" i="1"/>
  <c r="J304" i="1"/>
  <c r="I304" i="1"/>
  <c r="H304" i="1"/>
  <c r="G304" i="1"/>
  <c r="F304" i="1"/>
  <c r="E304" i="1"/>
  <c r="D304" i="1"/>
  <c r="C304" i="1"/>
  <c r="L303" i="1"/>
  <c r="K303" i="1"/>
  <c r="J303" i="1"/>
  <c r="I303" i="1"/>
  <c r="H303" i="1"/>
  <c r="G303" i="1"/>
  <c r="F303" i="1"/>
  <c r="E303" i="1"/>
  <c r="D303" i="1"/>
  <c r="C303" i="1"/>
  <c r="B303" i="1"/>
  <c r="O302" i="1"/>
  <c r="M302" i="1"/>
  <c r="L302" i="1"/>
  <c r="K302" i="1"/>
  <c r="J302" i="1"/>
  <c r="I302" i="1"/>
  <c r="H302" i="1"/>
  <c r="G302" i="1"/>
  <c r="F302" i="1"/>
  <c r="E302" i="1"/>
  <c r="D302" i="1"/>
  <c r="C302" i="1"/>
  <c r="O301" i="1"/>
  <c r="L301" i="1"/>
  <c r="K301" i="1"/>
  <c r="J301" i="1"/>
  <c r="I301" i="1"/>
  <c r="H301" i="1"/>
  <c r="G301" i="1"/>
  <c r="F301" i="1"/>
  <c r="E301" i="1"/>
  <c r="D301" i="1"/>
  <c r="C301" i="1"/>
  <c r="B301" i="1"/>
  <c r="O300" i="1"/>
  <c r="L300" i="1"/>
  <c r="K300" i="1"/>
  <c r="J300" i="1"/>
  <c r="I300" i="1"/>
  <c r="H300" i="1"/>
  <c r="G300" i="1"/>
  <c r="F300" i="1"/>
  <c r="E300" i="1"/>
  <c r="D300" i="1"/>
  <c r="C300" i="1"/>
  <c r="B300" i="1"/>
  <c r="L299" i="1"/>
  <c r="K299" i="1"/>
  <c r="J299" i="1"/>
  <c r="I299" i="1"/>
  <c r="H299" i="1"/>
  <c r="G299" i="1"/>
  <c r="F299" i="1"/>
  <c r="E299" i="1"/>
  <c r="D299" i="1"/>
  <c r="C299" i="1"/>
  <c r="M298" i="1"/>
  <c r="L298" i="1"/>
  <c r="K298" i="1"/>
  <c r="J298" i="1"/>
  <c r="I298" i="1"/>
  <c r="H298" i="1"/>
  <c r="G298" i="1"/>
  <c r="F298" i="1"/>
  <c r="E298" i="1"/>
  <c r="D298" i="1"/>
  <c r="C298" i="1"/>
  <c r="B298" i="1"/>
  <c r="M297" i="1"/>
  <c r="L297" i="1"/>
  <c r="K297" i="1"/>
  <c r="J297" i="1"/>
  <c r="I297" i="1"/>
  <c r="H297" i="1"/>
  <c r="G297" i="1"/>
  <c r="F297" i="1"/>
  <c r="E297" i="1"/>
  <c r="D297" i="1"/>
  <c r="C297" i="1"/>
  <c r="N296" i="1"/>
  <c r="M296" i="1"/>
  <c r="L296" i="1"/>
  <c r="K296" i="1"/>
  <c r="J296" i="1"/>
  <c r="I296" i="1"/>
  <c r="H296" i="1"/>
  <c r="G296" i="1"/>
  <c r="F296" i="1"/>
  <c r="E296" i="1"/>
  <c r="D296" i="1"/>
  <c r="C296" i="1"/>
  <c r="O295" i="1"/>
  <c r="M295" i="1"/>
  <c r="L295" i="1"/>
  <c r="K295" i="1"/>
  <c r="J295" i="1"/>
  <c r="I295" i="1"/>
  <c r="H295" i="1"/>
  <c r="G295" i="1"/>
  <c r="F295" i="1"/>
  <c r="E295" i="1"/>
  <c r="D295" i="1"/>
  <c r="C295" i="1"/>
  <c r="O294" i="1"/>
  <c r="L294" i="1"/>
  <c r="K294" i="1"/>
  <c r="J294" i="1"/>
  <c r="I294" i="1"/>
  <c r="H294" i="1"/>
  <c r="G294" i="1"/>
  <c r="F294" i="1"/>
  <c r="E294" i="1"/>
  <c r="D294" i="1"/>
  <c r="C294" i="1"/>
  <c r="L293" i="1"/>
  <c r="K293" i="1"/>
  <c r="J293" i="1"/>
  <c r="I293" i="1"/>
  <c r="H293" i="1"/>
  <c r="G293" i="1"/>
  <c r="F293" i="1"/>
  <c r="E293" i="1"/>
  <c r="D293" i="1"/>
  <c r="C293" i="1"/>
  <c r="L292" i="1"/>
  <c r="K292" i="1"/>
  <c r="J292" i="1"/>
  <c r="I292" i="1"/>
  <c r="H292" i="1"/>
  <c r="G292" i="1"/>
  <c r="F292" i="1"/>
  <c r="E292" i="1"/>
  <c r="D292" i="1"/>
  <c r="C292" i="1"/>
  <c r="N291" i="1"/>
  <c r="M291" i="1"/>
  <c r="L291" i="1"/>
  <c r="K291" i="1"/>
  <c r="J291" i="1"/>
  <c r="I291" i="1"/>
  <c r="H291" i="1"/>
  <c r="G291" i="1"/>
  <c r="F291" i="1"/>
  <c r="E291" i="1"/>
  <c r="D291" i="1"/>
  <c r="C291" i="1"/>
  <c r="K290" i="1"/>
  <c r="J290" i="1"/>
  <c r="I290" i="1"/>
  <c r="H290" i="1"/>
  <c r="G290" i="1"/>
  <c r="F290" i="1"/>
  <c r="E290" i="1"/>
  <c r="D290" i="1"/>
  <c r="C290" i="1"/>
  <c r="K289" i="1"/>
  <c r="J289" i="1"/>
  <c r="I289" i="1"/>
  <c r="H289" i="1"/>
  <c r="G289" i="1"/>
  <c r="F289" i="1"/>
  <c r="E289" i="1"/>
  <c r="D289" i="1"/>
  <c r="C289" i="1"/>
  <c r="L288" i="1"/>
  <c r="K288" i="1"/>
  <c r="J288" i="1"/>
  <c r="I288" i="1"/>
  <c r="H288" i="1"/>
  <c r="G288" i="1"/>
  <c r="F288" i="1"/>
  <c r="E288" i="1"/>
  <c r="D288" i="1"/>
  <c r="C288" i="1"/>
  <c r="B288" i="1"/>
  <c r="M287" i="1"/>
  <c r="L287" i="1"/>
  <c r="K287" i="1"/>
  <c r="J287" i="1"/>
  <c r="I287" i="1"/>
  <c r="H287" i="1"/>
  <c r="G287" i="1"/>
  <c r="F287" i="1"/>
  <c r="E287" i="1"/>
  <c r="D287" i="1"/>
  <c r="C287" i="1"/>
  <c r="O286" i="1"/>
  <c r="K286" i="1"/>
  <c r="J286" i="1"/>
  <c r="I286" i="1"/>
  <c r="H286" i="1"/>
  <c r="G286" i="1"/>
  <c r="F286" i="1"/>
  <c r="E286" i="1"/>
  <c r="D286" i="1"/>
  <c r="C286" i="1"/>
  <c r="B286" i="1"/>
  <c r="M285" i="1"/>
  <c r="L285" i="1"/>
  <c r="K285" i="1"/>
  <c r="J285" i="1"/>
  <c r="I285" i="1"/>
  <c r="H285" i="1"/>
  <c r="G285" i="1"/>
  <c r="F285" i="1"/>
  <c r="E285" i="1"/>
  <c r="D285" i="1"/>
  <c r="C285" i="1"/>
  <c r="K284" i="1"/>
  <c r="J284" i="1"/>
  <c r="I284" i="1"/>
  <c r="H284" i="1"/>
  <c r="G284" i="1"/>
  <c r="F284" i="1"/>
  <c r="E284" i="1"/>
  <c r="D284" i="1"/>
  <c r="C284" i="1"/>
  <c r="M283" i="1"/>
  <c r="L283" i="1"/>
  <c r="K283" i="1"/>
  <c r="J283" i="1"/>
  <c r="I283" i="1"/>
  <c r="H283" i="1"/>
  <c r="G283" i="1"/>
  <c r="F283" i="1"/>
  <c r="E283" i="1"/>
  <c r="D283" i="1"/>
  <c r="C283" i="1"/>
  <c r="L282" i="1"/>
  <c r="K282" i="1"/>
  <c r="J282" i="1"/>
  <c r="I282" i="1"/>
  <c r="H282" i="1"/>
  <c r="G282" i="1"/>
  <c r="F282" i="1"/>
  <c r="E282" i="1"/>
  <c r="D282" i="1"/>
  <c r="C282" i="1"/>
  <c r="O281" i="1"/>
  <c r="K281" i="1"/>
  <c r="J281" i="1"/>
  <c r="I281" i="1"/>
  <c r="H281" i="1"/>
  <c r="G281" i="1"/>
  <c r="F281" i="1"/>
  <c r="E281" i="1"/>
  <c r="D281" i="1"/>
  <c r="C281" i="1"/>
  <c r="B281" i="1"/>
  <c r="M280" i="1"/>
  <c r="L280" i="1"/>
  <c r="K280" i="1"/>
  <c r="J280" i="1"/>
  <c r="I280" i="1"/>
  <c r="H280" i="1"/>
  <c r="G280" i="1"/>
  <c r="F280" i="1"/>
  <c r="E280" i="1"/>
  <c r="D280" i="1"/>
  <c r="C280" i="1"/>
  <c r="O279" i="1"/>
  <c r="L279" i="1"/>
  <c r="K279" i="1"/>
  <c r="J279" i="1"/>
  <c r="I279" i="1"/>
  <c r="H279" i="1"/>
  <c r="G279" i="1"/>
  <c r="F279" i="1"/>
  <c r="E279" i="1"/>
  <c r="D279" i="1"/>
  <c r="C279" i="1"/>
  <c r="O278" i="1"/>
  <c r="K278" i="1"/>
  <c r="J278" i="1"/>
  <c r="I278" i="1"/>
  <c r="H278" i="1"/>
  <c r="G278" i="1"/>
  <c r="F278" i="1"/>
  <c r="E278" i="1"/>
  <c r="D278" i="1"/>
  <c r="C278" i="1"/>
  <c r="B278" i="1"/>
  <c r="K277" i="1"/>
  <c r="J277" i="1"/>
  <c r="I277" i="1"/>
  <c r="H277" i="1"/>
  <c r="G277" i="1"/>
  <c r="F277" i="1"/>
  <c r="E277" i="1"/>
  <c r="D277" i="1"/>
  <c r="C277" i="1"/>
  <c r="O276" i="1"/>
  <c r="M276" i="1"/>
  <c r="K276" i="1"/>
  <c r="J276" i="1"/>
  <c r="I276" i="1"/>
  <c r="H276" i="1"/>
  <c r="G276" i="1"/>
  <c r="F276" i="1"/>
  <c r="E276" i="1"/>
  <c r="D276" i="1"/>
  <c r="C276" i="1"/>
  <c r="B276" i="1"/>
  <c r="M275" i="1"/>
  <c r="L275" i="1"/>
  <c r="K275" i="1"/>
  <c r="J275" i="1"/>
  <c r="I275" i="1"/>
  <c r="H275" i="1"/>
  <c r="G275" i="1"/>
  <c r="F275" i="1"/>
  <c r="E275" i="1"/>
  <c r="D275" i="1"/>
  <c r="C275" i="1"/>
  <c r="O274" i="1"/>
  <c r="L274" i="1"/>
  <c r="K274" i="1"/>
  <c r="J274" i="1"/>
  <c r="I274" i="1"/>
  <c r="H274" i="1"/>
  <c r="G274" i="1"/>
  <c r="F274" i="1"/>
  <c r="E274" i="1"/>
  <c r="D274" i="1"/>
  <c r="C274" i="1"/>
  <c r="K273" i="1"/>
  <c r="J273" i="1"/>
  <c r="I273" i="1"/>
  <c r="H273" i="1"/>
  <c r="G273" i="1"/>
  <c r="F273" i="1"/>
  <c r="E273" i="1"/>
  <c r="D273" i="1"/>
  <c r="C273" i="1"/>
  <c r="O272" i="1"/>
  <c r="N272" i="1"/>
  <c r="M272" i="1"/>
  <c r="L272" i="1"/>
  <c r="K272" i="1"/>
  <c r="J272" i="1"/>
  <c r="I272" i="1"/>
  <c r="H272" i="1"/>
  <c r="G272" i="1"/>
  <c r="F272" i="1"/>
  <c r="E272" i="1"/>
  <c r="D272" i="1"/>
  <c r="C272" i="1"/>
  <c r="O271" i="1"/>
  <c r="L271" i="1"/>
  <c r="K271" i="1"/>
  <c r="J271" i="1"/>
  <c r="I271" i="1"/>
  <c r="H271" i="1"/>
  <c r="G271" i="1"/>
  <c r="F271" i="1"/>
  <c r="E271" i="1"/>
  <c r="D271" i="1"/>
  <c r="C271" i="1"/>
  <c r="M270" i="1"/>
  <c r="L270" i="1"/>
  <c r="K270" i="1"/>
  <c r="J270" i="1"/>
  <c r="I270" i="1"/>
  <c r="H270" i="1"/>
  <c r="G270" i="1"/>
  <c r="F270" i="1"/>
  <c r="E270" i="1"/>
  <c r="D270" i="1"/>
  <c r="C270" i="1"/>
  <c r="B270" i="1"/>
  <c r="M269" i="1"/>
  <c r="L269" i="1"/>
  <c r="K269" i="1"/>
  <c r="J269" i="1"/>
  <c r="I269" i="1"/>
  <c r="H269" i="1"/>
  <c r="G269" i="1"/>
  <c r="F269" i="1"/>
  <c r="E269" i="1"/>
  <c r="D269" i="1"/>
  <c r="C269" i="1"/>
  <c r="O268" i="1"/>
  <c r="L268" i="1"/>
  <c r="K268" i="1"/>
  <c r="J268" i="1"/>
  <c r="I268" i="1"/>
  <c r="H268" i="1"/>
  <c r="G268" i="1"/>
  <c r="F268" i="1"/>
  <c r="E268" i="1"/>
  <c r="D268" i="1"/>
  <c r="C268" i="1"/>
  <c r="B268" i="1"/>
  <c r="O267" i="1"/>
  <c r="L267" i="1"/>
  <c r="K267" i="1"/>
  <c r="J267" i="1"/>
  <c r="I267" i="1"/>
  <c r="H267" i="1"/>
  <c r="G267" i="1"/>
  <c r="F267" i="1"/>
  <c r="E267" i="1"/>
  <c r="D267" i="1"/>
  <c r="C267" i="1"/>
  <c r="B267" i="1"/>
  <c r="O266" i="1"/>
  <c r="M266" i="1"/>
  <c r="L266" i="1"/>
  <c r="K266" i="1"/>
  <c r="J266" i="1"/>
  <c r="I266" i="1"/>
  <c r="H266" i="1"/>
  <c r="G266" i="1"/>
  <c r="F266" i="1"/>
  <c r="E266" i="1"/>
  <c r="D266" i="1"/>
  <c r="C266" i="1"/>
  <c r="B266" i="1"/>
  <c r="K265" i="1"/>
  <c r="J265" i="1"/>
  <c r="I265" i="1"/>
  <c r="H265" i="1"/>
  <c r="G265" i="1"/>
  <c r="F265" i="1"/>
  <c r="E265" i="1"/>
  <c r="D265" i="1"/>
  <c r="C265" i="1"/>
  <c r="B265" i="1"/>
  <c r="O264" i="1"/>
  <c r="L264" i="1"/>
  <c r="K264" i="1"/>
  <c r="J264" i="1"/>
  <c r="I264" i="1"/>
  <c r="H264" i="1"/>
  <c r="G264" i="1"/>
  <c r="F264" i="1"/>
  <c r="E264" i="1"/>
  <c r="D264" i="1"/>
  <c r="C264" i="1"/>
  <c r="K263" i="1"/>
  <c r="J263" i="1"/>
  <c r="I263" i="1"/>
  <c r="H263" i="1"/>
  <c r="G263" i="1"/>
  <c r="F263" i="1"/>
  <c r="E263" i="1"/>
  <c r="D263" i="1"/>
  <c r="C263" i="1"/>
  <c r="L262" i="1"/>
  <c r="K262" i="1"/>
  <c r="J262" i="1"/>
  <c r="I262" i="1"/>
  <c r="H262" i="1"/>
  <c r="G262" i="1"/>
  <c r="F262" i="1"/>
  <c r="E262" i="1"/>
  <c r="D262" i="1"/>
  <c r="C262" i="1"/>
  <c r="L261" i="1"/>
  <c r="K261" i="1"/>
  <c r="J261" i="1"/>
  <c r="I261" i="1"/>
  <c r="H261" i="1"/>
  <c r="G261" i="1"/>
  <c r="F261" i="1"/>
  <c r="E261" i="1"/>
  <c r="D261" i="1"/>
  <c r="C261" i="1"/>
  <c r="L260" i="1"/>
  <c r="K260" i="1"/>
  <c r="J260" i="1"/>
  <c r="I260" i="1"/>
  <c r="H260" i="1"/>
  <c r="G260" i="1"/>
  <c r="F260" i="1"/>
  <c r="E260" i="1"/>
  <c r="D260" i="1"/>
  <c r="C260" i="1"/>
  <c r="M259" i="1"/>
  <c r="L259" i="1"/>
  <c r="K259" i="1"/>
  <c r="J259" i="1"/>
  <c r="I259" i="1"/>
  <c r="H259" i="1"/>
  <c r="G259" i="1"/>
  <c r="F259" i="1"/>
  <c r="E259" i="1"/>
  <c r="D259" i="1"/>
  <c r="C259" i="1"/>
  <c r="L258" i="1"/>
  <c r="K258" i="1"/>
  <c r="J258" i="1"/>
  <c r="I258" i="1"/>
  <c r="H258" i="1"/>
  <c r="G258" i="1"/>
  <c r="F258" i="1"/>
  <c r="E258" i="1"/>
  <c r="D258" i="1"/>
  <c r="C258" i="1"/>
  <c r="L257" i="1"/>
  <c r="K257" i="1"/>
  <c r="J257" i="1"/>
  <c r="I257" i="1"/>
  <c r="H257" i="1"/>
  <c r="G257" i="1"/>
  <c r="F257" i="1"/>
  <c r="E257" i="1"/>
  <c r="D257" i="1"/>
  <c r="C257" i="1"/>
  <c r="K256" i="1"/>
  <c r="J256" i="1"/>
  <c r="I256" i="1"/>
  <c r="H256" i="1"/>
  <c r="G256" i="1"/>
  <c r="F256" i="1"/>
  <c r="E256" i="1"/>
  <c r="D256" i="1"/>
  <c r="C256" i="1"/>
  <c r="L255" i="1"/>
  <c r="K255" i="1"/>
  <c r="J255" i="1"/>
  <c r="I255" i="1"/>
  <c r="H255" i="1"/>
  <c r="G255" i="1"/>
  <c r="F255" i="1"/>
  <c r="E255" i="1"/>
  <c r="D255" i="1"/>
  <c r="C255" i="1"/>
  <c r="L254" i="1"/>
  <c r="K254" i="1"/>
  <c r="J254" i="1"/>
  <c r="I254" i="1"/>
  <c r="H254" i="1"/>
  <c r="G254" i="1"/>
  <c r="F254" i="1"/>
  <c r="E254" i="1"/>
  <c r="D254" i="1"/>
  <c r="C254" i="1"/>
  <c r="O253" i="1"/>
  <c r="M253" i="1"/>
  <c r="L253" i="1"/>
  <c r="K253" i="1"/>
  <c r="J253" i="1"/>
  <c r="I253" i="1"/>
  <c r="H253" i="1"/>
  <c r="G253" i="1"/>
  <c r="F253" i="1"/>
  <c r="E253" i="1"/>
  <c r="D253" i="1"/>
  <c r="C253" i="1"/>
  <c r="K252" i="1"/>
  <c r="J252" i="1"/>
  <c r="I252" i="1"/>
  <c r="H252" i="1"/>
  <c r="G252" i="1"/>
  <c r="F252" i="1"/>
  <c r="E252" i="1"/>
  <c r="D252" i="1"/>
  <c r="C252" i="1"/>
  <c r="M251" i="1"/>
  <c r="L251" i="1"/>
  <c r="K251" i="1"/>
  <c r="J251" i="1"/>
  <c r="I251" i="1"/>
  <c r="H251" i="1"/>
  <c r="G251" i="1"/>
  <c r="F251" i="1"/>
  <c r="E251" i="1"/>
  <c r="D251" i="1"/>
  <c r="C251" i="1"/>
  <c r="L250" i="1"/>
  <c r="K250" i="1"/>
  <c r="J250" i="1"/>
  <c r="I250" i="1"/>
  <c r="H250" i="1"/>
  <c r="G250" i="1"/>
  <c r="F250" i="1"/>
  <c r="E250" i="1"/>
  <c r="D250" i="1"/>
  <c r="C250" i="1"/>
  <c r="L249" i="1"/>
  <c r="K249" i="1"/>
  <c r="J249" i="1"/>
  <c r="I249" i="1"/>
  <c r="H249" i="1"/>
  <c r="G249" i="1"/>
  <c r="F249" i="1"/>
  <c r="E249" i="1"/>
  <c r="D249" i="1"/>
  <c r="C249" i="1"/>
  <c r="L248" i="1"/>
  <c r="K248" i="1"/>
  <c r="J248" i="1"/>
  <c r="I248" i="1"/>
  <c r="H248" i="1"/>
  <c r="G248" i="1"/>
  <c r="F248" i="1"/>
  <c r="E248" i="1"/>
  <c r="D248" i="1"/>
  <c r="C248" i="1"/>
  <c r="L247" i="1"/>
  <c r="K247" i="1"/>
  <c r="J247" i="1"/>
  <c r="I247" i="1"/>
  <c r="H247" i="1"/>
  <c r="G247" i="1"/>
  <c r="F247" i="1"/>
  <c r="E247" i="1"/>
  <c r="D247" i="1"/>
  <c r="C247" i="1"/>
  <c r="O246" i="1"/>
  <c r="L246" i="1"/>
  <c r="K246" i="1"/>
  <c r="J246" i="1"/>
  <c r="I246" i="1"/>
  <c r="H246" i="1"/>
  <c r="G246" i="1"/>
  <c r="F246" i="1"/>
  <c r="E246" i="1"/>
  <c r="D246" i="1"/>
  <c r="C246" i="1"/>
  <c r="K245" i="1"/>
  <c r="J245" i="1"/>
  <c r="I245" i="1"/>
  <c r="H245" i="1"/>
  <c r="G245" i="1"/>
  <c r="F245" i="1"/>
  <c r="E245" i="1"/>
  <c r="D245" i="1"/>
  <c r="C245" i="1"/>
  <c r="O244" i="1"/>
  <c r="L244" i="1"/>
  <c r="K244" i="1"/>
  <c r="J244" i="1"/>
  <c r="I244" i="1"/>
  <c r="H244" i="1"/>
  <c r="G244" i="1"/>
  <c r="F244" i="1"/>
  <c r="E244" i="1"/>
  <c r="D244" i="1"/>
  <c r="C244" i="1"/>
  <c r="L243" i="1"/>
  <c r="K243" i="1"/>
  <c r="J243" i="1"/>
  <c r="I243" i="1"/>
  <c r="H243" i="1"/>
  <c r="G243" i="1"/>
  <c r="F243" i="1"/>
  <c r="E243" i="1"/>
  <c r="D243" i="1"/>
  <c r="C243" i="1"/>
  <c r="K242" i="1"/>
  <c r="J242" i="1"/>
  <c r="I242" i="1"/>
  <c r="H242" i="1"/>
  <c r="G242" i="1"/>
  <c r="F242" i="1"/>
  <c r="E242" i="1"/>
  <c r="D242" i="1"/>
  <c r="C242" i="1"/>
  <c r="L241" i="1"/>
  <c r="K241" i="1"/>
  <c r="J241" i="1"/>
  <c r="I241" i="1"/>
  <c r="H241" i="1"/>
  <c r="G241" i="1"/>
  <c r="F241" i="1"/>
  <c r="E241" i="1"/>
  <c r="D241" i="1"/>
  <c r="C241" i="1"/>
  <c r="L240" i="1"/>
  <c r="K240" i="1"/>
  <c r="J240" i="1"/>
  <c r="I240" i="1"/>
  <c r="H240" i="1"/>
  <c r="G240" i="1"/>
  <c r="F240" i="1"/>
  <c r="E240" i="1"/>
  <c r="D240" i="1"/>
  <c r="C240" i="1"/>
  <c r="K239" i="1"/>
  <c r="J239" i="1"/>
  <c r="I239" i="1"/>
  <c r="H239" i="1"/>
  <c r="G239" i="1"/>
  <c r="F239" i="1"/>
  <c r="E239" i="1"/>
  <c r="D239" i="1"/>
  <c r="C239" i="1"/>
  <c r="L238" i="1"/>
  <c r="K238" i="1"/>
  <c r="J238" i="1"/>
  <c r="I238" i="1"/>
  <c r="H238" i="1"/>
  <c r="G238" i="1"/>
  <c r="F238" i="1"/>
  <c r="E238" i="1"/>
  <c r="D238" i="1"/>
  <c r="C238" i="1"/>
  <c r="L237" i="1"/>
  <c r="K237" i="1"/>
  <c r="J237" i="1"/>
  <c r="I237" i="1"/>
  <c r="H237" i="1"/>
  <c r="G237" i="1"/>
  <c r="F237" i="1"/>
  <c r="E237" i="1"/>
  <c r="D237" i="1"/>
  <c r="C237" i="1"/>
  <c r="O236" i="1"/>
  <c r="K236" i="1"/>
  <c r="J236" i="1"/>
  <c r="I236" i="1"/>
  <c r="H236" i="1"/>
  <c r="G236" i="1"/>
  <c r="F236" i="1"/>
  <c r="E236" i="1"/>
  <c r="D236" i="1"/>
  <c r="C236" i="1"/>
  <c r="L235" i="1"/>
  <c r="K235" i="1"/>
  <c r="J235" i="1"/>
  <c r="I235" i="1"/>
  <c r="H235" i="1"/>
  <c r="G235" i="1"/>
  <c r="F235" i="1"/>
  <c r="E235" i="1"/>
  <c r="D235" i="1"/>
  <c r="C235" i="1"/>
  <c r="L234" i="1"/>
  <c r="K234" i="1"/>
  <c r="J234" i="1"/>
  <c r="I234" i="1"/>
  <c r="H234" i="1"/>
  <c r="G234" i="1"/>
  <c r="F234" i="1"/>
  <c r="E234" i="1"/>
  <c r="D234" i="1"/>
  <c r="C234" i="1"/>
  <c r="M233" i="1"/>
  <c r="L233" i="1"/>
  <c r="K233" i="1"/>
  <c r="J233" i="1"/>
  <c r="I233" i="1"/>
  <c r="H233" i="1"/>
  <c r="G233" i="1"/>
  <c r="F233" i="1"/>
  <c r="E233" i="1"/>
  <c r="D233" i="1"/>
  <c r="C233" i="1"/>
  <c r="L232" i="1"/>
  <c r="K232" i="1"/>
  <c r="J232" i="1"/>
  <c r="I232" i="1"/>
  <c r="H232" i="1"/>
  <c r="G232" i="1"/>
  <c r="F232" i="1"/>
  <c r="E232" i="1"/>
  <c r="D232" i="1"/>
  <c r="C232" i="1"/>
  <c r="L231" i="1"/>
  <c r="K231" i="1"/>
  <c r="J231" i="1"/>
  <c r="I231" i="1"/>
  <c r="H231" i="1"/>
  <c r="G231" i="1"/>
  <c r="F231" i="1"/>
  <c r="E231" i="1"/>
  <c r="D231" i="1"/>
  <c r="C231" i="1"/>
  <c r="O230" i="1"/>
  <c r="K230" i="1"/>
  <c r="J230" i="1"/>
  <c r="I230" i="1"/>
  <c r="H230" i="1"/>
  <c r="G230" i="1"/>
  <c r="F230" i="1"/>
  <c r="E230" i="1"/>
  <c r="D230" i="1"/>
  <c r="C230" i="1"/>
  <c r="O229" i="1"/>
  <c r="K229" i="1"/>
  <c r="J229" i="1"/>
  <c r="I229" i="1"/>
  <c r="H229" i="1"/>
  <c r="G229" i="1"/>
  <c r="F229" i="1"/>
  <c r="E229" i="1"/>
  <c r="D229" i="1"/>
  <c r="C229" i="1"/>
  <c r="K228" i="1"/>
  <c r="J228" i="1"/>
  <c r="I228" i="1"/>
  <c r="H228" i="1"/>
  <c r="G228" i="1"/>
  <c r="F228" i="1"/>
  <c r="E228" i="1"/>
  <c r="D228" i="1"/>
  <c r="C228" i="1"/>
  <c r="O227" i="1"/>
  <c r="K227" i="1"/>
  <c r="J227" i="1"/>
  <c r="I227" i="1"/>
  <c r="H227" i="1"/>
  <c r="G227" i="1"/>
  <c r="F227" i="1"/>
  <c r="E227" i="1"/>
  <c r="D227" i="1"/>
  <c r="C227" i="1"/>
  <c r="O226" i="1"/>
  <c r="K226" i="1"/>
  <c r="J226" i="1"/>
  <c r="I226" i="1"/>
  <c r="H226" i="1"/>
  <c r="G226" i="1"/>
  <c r="F226" i="1"/>
  <c r="E226" i="1"/>
  <c r="D226" i="1"/>
  <c r="C226" i="1"/>
  <c r="O225" i="1"/>
  <c r="M225" i="1"/>
  <c r="L225" i="1"/>
  <c r="K225" i="1"/>
  <c r="J225" i="1"/>
  <c r="I225" i="1"/>
  <c r="H225" i="1"/>
  <c r="G225" i="1"/>
  <c r="F225" i="1"/>
  <c r="E225" i="1"/>
  <c r="D225" i="1"/>
  <c r="C225" i="1"/>
  <c r="L224" i="1"/>
  <c r="K224" i="1"/>
  <c r="J224" i="1"/>
  <c r="I224" i="1"/>
  <c r="H224" i="1"/>
  <c r="G224" i="1"/>
  <c r="F224" i="1"/>
  <c r="E224" i="1"/>
  <c r="D224" i="1"/>
  <c r="C224" i="1"/>
  <c r="O223" i="1"/>
  <c r="K223" i="1"/>
  <c r="J223" i="1"/>
  <c r="I223" i="1"/>
  <c r="H223" i="1"/>
  <c r="G223" i="1"/>
  <c r="F223" i="1"/>
  <c r="E223" i="1"/>
  <c r="D223" i="1"/>
  <c r="C223" i="1"/>
  <c r="K222" i="1"/>
  <c r="J222" i="1"/>
  <c r="I222" i="1"/>
  <c r="H222" i="1"/>
  <c r="G222" i="1"/>
  <c r="F222" i="1"/>
  <c r="E222" i="1"/>
  <c r="D222" i="1"/>
  <c r="C222" i="1"/>
  <c r="O221" i="1"/>
  <c r="K221" i="1"/>
  <c r="J221" i="1"/>
  <c r="I221" i="1"/>
  <c r="H221" i="1"/>
  <c r="G221" i="1"/>
  <c r="F221" i="1"/>
  <c r="E221" i="1"/>
  <c r="D221" i="1"/>
  <c r="C221" i="1"/>
  <c r="M220" i="1"/>
  <c r="L220" i="1"/>
  <c r="K220" i="1"/>
  <c r="J220" i="1"/>
  <c r="I220" i="1"/>
  <c r="H220" i="1"/>
  <c r="G220" i="1"/>
  <c r="F220" i="1"/>
  <c r="E220" i="1"/>
  <c r="D220" i="1"/>
  <c r="C220" i="1"/>
  <c r="O219" i="1"/>
  <c r="K219" i="1"/>
  <c r="J219" i="1"/>
  <c r="I219" i="1"/>
  <c r="H219" i="1"/>
  <c r="G219" i="1"/>
  <c r="F219" i="1"/>
  <c r="E219" i="1"/>
  <c r="D219" i="1"/>
  <c r="C219" i="1"/>
  <c r="K218" i="1"/>
  <c r="J218" i="1"/>
  <c r="I218" i="1"/>
  <c r="H218" i="1"/>
  <c r="G218" i="1"/>
  <c r="F218" i="1"/>
  <c r="E218" i="1"/>
  <c r="D218" i="1"/>
  <c r="C218" i="1"/>
  <c r="K217" i="1"/>
  <c r="J217" i="1"/>
  <c r="I217" i="1"/>
  <c r="H217" i="1"/>
  <c r="G217" i="1"/>
  <c r="F217" i="1"/>
  <c r="E217" i="1"/>
  <c r="D217" i="1"/>
  <c r="C217" i="1"/>
  <c r="L216" i="1"/>
  <c r="K216" i="1"/>
  <c r="J216" i="1"/>
  <c r="I216" i="1"/>
  <c r="H216" i="1"/>
  <c r="G216" i="1"/>
  <c r="F216" i="1"/>
  <c r="E216" i="1"/>
  <c r="D216" i="1"/>
  <c r="C216" i="1"/>
  <c r="L215" i="1"/>
  <c r="K215" i="1"/>
  <c r="J215" i="1"/>
  <c r="I215" i="1"/>
  <c r="H215" i="1"/>
  <c r="G215" i="1"/>
  <c r="F215" i="1"/>
  <c r="E215" i="1"/>
  <c r="D215" i="1"/>
  <c r="C215" i="1"/>
  <c r="K214" i="1"/>
  <c r="J214" i="1"/>
  <c r="I214" i="1"/>
  <c r="H214" i="1"/>
  <c r="G214" i="1"/>
  <c r="F214" i="1"/>
  <c r="E214" i="1"/>
  <c r="D214" i="1"/>
  <c r="C214" i="1"/>
  <c r="M213" i="1"/>
  <c r="L213" i="1"/>
  <c r="K213" i="1"/>
  <c r="J213" i="1"/>
  <c r="I213" i="1"/>
  <c r="H213" i="1"/>
  <c r="G213" i="1"/>
  <c r="F213" i="1"/>
  <c r="E213" i="1"/>
  <c r="D213" i="1"/>
  <c r="C213" i="1"/>
  <c r="L212" i="1"/>
  <c r="K212" i="1"/>
  <c r="J212" i="1"/>
  <c r="I212" i="1"/>
  <c r="H212" i="1"/>
  <c r="G212" i="1"/>
  <c r="F212" i="1"/>
  <c r="E212" i="1"/>
  <c r="D212" i="1"/>
  <c r="C212" i="1"/>
  <c r="L211" i="1"/>
  <c r="K211" i="1"/>
  <c r="J211" i="1"/>
  <c r="I211" i="1"/>
  <c r="H211" i="1"/>
  <c r="G211" i="1"/>
  <c r="F211" i="1"/>
  <c r="E211" i="1"/>
  <c r="D211" i="1"/>
  <c r="C211" i="1"/>
  <c r="K210" i="1"/>
  <c r="J210" i="1"/>
  <c r="I210" i="1"/>
  <c r="H210" i="1"/>
  <c r="G210" i="1"/>
  <c r="F210" i="1"/>
  <c r="E210" i="1"/>
  <c r="D210" i="1"/>
  <c r="C210" i="1"/>
  <c r="K209" i="1"/>
  <c r="J209" i="1"/>
  <c r="I209" i="1"/>
  <c r="H209" i="1"/>
  <c r="G209" i="1"/>
  <c r="F209" i="1"/>
  <c r="E209" i="1"/>
  <c r="D209" i="1"/>
  <c r="C209" i="1"/>
  <c r="L208" i="1"/>
  <c r="K208" i="1"/>
  <c r="J208" i="1"/>
  <c r="I208" i="1"/>
  <c r="H208" i="1"/>
  <c r="G208" i="1"/>
  <c r="F208" i="1"/>
  <c r="E208" i="1"/>
  <c r="D208" i="1"/>
  <c r="C208" i="1"/>
  <c r="L207" i="1"/>
  <c r="K207" i="1"/>
  <c r="J207" i="1"/>
  <c r="I207" i="1"/>
  <c r="H207" i="1"/>
  <c r="G207" i="1"/>
  <c r="F207" i="1"/>
  <c r="E207" i="1"/>
  <c r="D207" i="1"/>
  <c r="C207" i="1"/>
  <c r="O206" i="1"/>
  <c r="K206" i="1"/>
  <c r="J206" i="1"/>
  <c r="I206" i="1"/>
  <c r="H206" i="1"/>
  <c r="G206" i="1"/>
  <c r="F206" i="1"/>
  <c r="E206" i="1"/>
  <c r="D206" i="1"/>
  <c r="C206" i="1"/>
  <c r="K205" i="1"/>
  <c r="J205" i="1"/>
  <c r="I205" i="1"/>
  <c r="H205" i="1"/>
  <c r="G205" i="1"/>
  <c r="F205" i="1"/>
  <c r="E205" i="1"/>
  <c r="D205" i="1"/>
  <c r="C205" i="1"/>
  <c r="O204" i="1"/>
  <c r="K204" i="1"/>
  <c r="J204" i="1"/>
  <c r="I204" i="1"/>
  <c r="H204" i="1"/>
  <c r="G204" i="1"/>
  <c r="F204" i="1"/>
  <c r="E204" i="1"/>
  <c r="D204" i="1"/>
  <c r="C204" i="1"/>
  <c r="M203" i="1"/>
  <c r="L203" i="1"/>
  <c r="K203" i="1"/>
  <c r="J203" i="1"/>
  <c r="I203" i="1"/>
  <c r="H203" i="1"/>
  <c r="G203" i="1"/>
  <c r="F203" i="1"/>
  <c r="E203" i="1"/>
  <c r="D203" i="1"/>
  <c r="C203" i="1"/>
  <c r="K202" i="1"/>
  <c r="J202" i="1"/>
  <c r="I202" i="1"/>
  <c r="H202" i="1"/>
  <c r="G202" i="1"/>
  <c r="F202" i="1"/>
  <c r="E202" i="1"/>
  <c r="D202" i="1"/>
  <c r="C202" i="1"/>
  <c r="K201" i="1"/>
  <c r="J201" i="1"/>
  <c r="I201" i="1"/>
  <c r="H201" i="1"/>
  <c r="G201" i="1"/>
  <c r="F201" i="1"/>
  <c r="E201" i="1"/>
  <c r="D201" i="1"/>
  <c r="C201" i="1"/>
  <c r="L200" i="1"/>
  <c r="K200" i="1"/>
  <c r="J200" i="1"/>
  <c r="I200" i="1"/>
  <c r="H200" i="1"/>
  <c r="G200" i="1"/>
  <c r="F200" i="1"/>
  <c r="E200" i="1"/>
  <c r="D200" i="1"/>
  <c r="C200" i="1"/>
  <c r="K199" i="1"/>
  <c r="J199" i="1"/>
  <c r="I199" i="1"/>
  <c r="H199" i="1"/>
  <c r="G199" i="1"/>
  <c r="F199" i="1"/>
  <c r="E199" i="1"/>
  <c r="D199" i="1"/>
  <c r="C199" i="1"/>
  <c r="K198" i="1"/>
  <c r="J198" i="1"/>
  <c r="I198" i="1"/>
  <c r="H198" i="1"/>
  <c r="G198" i="1"/>
  <c r="F198" i="1"/>
  <c r="E198" i="1"/>
  <c r="D198" i="1"/>
  <c r="C198" i="1"/>
  <c r="L197" i="1"/>
  <c r="K197" i="1"/>
  <c r="J197" i="1"/>
  <c r="I197" i="1"/>
  <c r="H197" i="1"/>
  <c r="G197" i="1"/>
  <c r="F197" i="1"/>
  <c r="E197" i="1"/>
  <c r="D197" i="1"/>
  <c r="C197" i="1"/>
  <c r="O196" i="1"/>
  <c r="L196" i="1"/>
  <c r="K196" i="1"/>
  <c r="J196" i="1"/>
  <c r="I196" i="1"/>
  <c r="H196" i="1"/>
  <c r="G196" i="1"/>
  <c r="F196" i="1"/>
  <c r="E196" i="1"/>
  <c r="D196" i="1"/>
  <c r="C196" i="1"/>
  <c r="O195" i="1"/>
  <c r="L195" i="1"/>
  <c r="K195" i="1"/>
  <c r="J195" i="1"/>
  <c r="I195" i="1"/>
  <c r="H195" i="1"/>
  <c r="G195" i="1"/>
  <c r="F195" i="1"/>
  <c r="E195" i="1"/>
  <c r="D195" i="1"/>
  <c r="C195" i="1"/>
  <c r="O194" i="1"/>
  <c r="L194" i="1"/>
  <c r="K194" i="1"/>
  <c r="J194" i="1"/>
  <c r="I194" i="1"/>
  <c r="H194" i="1"/>
  <c r="G194" i="1"/>
  <c r="F194" i="1"/>
  <c r="E194" i="1"/>
  <c r="D194" i="1"/>
  <c r="C194" i="1"/>
  <c r="M193" i="1"/>
  <c r="L193" i="1"/>
  <c r="K193" i="1"/>
  <c r="J193" i="1"/>
  <c r="I193" i="1"/>
  <c r="H193" i="1"/>
  <c r="G193" i="1"/>
  <c r="F193" i="1"/>
  <c r="E193" i="1"/>
  <c r="D193" i="1"/>
  <c r="C193" i="1"/>
  <c r="O192" i="1"/>
  <c r="L192" i="1"/>
  <c r="K192" i="1"/>
  <c r="J192" i="1"/>
  <c r="I192" i="1"/>
  <c r="H192" i="1"/>
  <c r="G192" i="1"/>
  <c r="F192" i="1"/>
  <c r="E192" i="1"/>
  <c r="D192" i="1"/>
  <c r="C192" i="1"/>
  <c r="K191" i="1"/>
  <c r="J191" i="1"/>
  <c r="I191" i="1"/>
  <c r="H191" i="1"/>
  <c r="G191" i="1"/>
  <c r="F191" i="1"/>
  <c r="E191" i="1"/>
  <c r="D191" i="1"/>
  <c r="C191" i="1"/>
  <c r="L190" i="1"/>
  <c r="K190" i="1"/>
  <c r="J190" i="1"/>
  <c r="I190" i="1"/>
  <c r="H190" i="1"/>
  <c r="G190" i="1"/>
  <c r="F190" i="1"/>
  <c r="E190" i="1"/>
  <c r="D190" i="1"/>
  <c r="C190" i="1"/>
  <c r="L189" i="1"/>
  <c r="K189" i="1"/>
  <c r="J189" i="1"/>
  <c r="I189" i="1"/>
  <c r="H189" i="1"/>
  <c r="G189" i="1"/>
  <c r="F189" i="1"/>
  <c r="E189" i="1"/>
  <c r="D189" i="1"/>
  <c r="C189" i="1"/>
  <c r="O188" i="1"/>
  <c r="K188" i="1"/>
  <c r="J188" i="1"/>
  <c r="I188" i="1"/>
  <c r="H188" i="1"/>
  <c r="G188" i="1"/>
  <c r="F188" i="1"/>
  <c r="E188" i="1"/>
  <c r="D188" i="1"/>
  <c r="C188" i="1"/>
  <c r="O187" i="1"/>
  <c r="M187" i="1"/>
  <c r="L187" i="1"/>
  <c r="K187" i="1"/>
  <c r="J187" i="1"/>
  <c r="I187" i="1"/>
  <c r="H187" i="1"/>
  <c r="G187" i="1"/>
  <c r="F187" i="1"/>
  <c r="E187" i="1"/>
  <c r="D187" i="1"/>
  <c r="C187" i="1"/>
  <c r="K186" i="1"/>
  <c r="J186" i="1"/>
  <c r="I186" i="1"/>
  <c r="H186" i="1"/>
  <c r="G186" i="1"/>
  <c r="F186" i="1"/>
  <c r="E186" i="1"/>
  <c r="D186" i="1"/>
  <c r="C186" i="1"/>
  <c r="O185" i="1"/>
  <c r="N185" i="1"/>
  <c r="M185" i="1"/>
  <c r="L185" i="1"/>
  <c r="K185" i="1"/>
  <c r="J185" i="1"/>
  <c r="I185" i="1"/>
  <c r="H185" i="1"/>
  <c r="G185" i="1"/>
  <c r="F185" i="1"/>
  <c r="E185" i="1"/>
  <c r="D185" i="1"/>
  <c r="C185" i="1"/>
  <c r="M184" i="1"/>
  <c r="L184" i="1"/>
  <c r="K184" i="1"/>
  <c r="J184" i="1"/>
  <c r="I184" i="1"/>
  <c r="H184" i="1"/>
  <c r="G184" i="1"/>
  <c r="F184" i="1"/>
  <c r="E184" i="1"/>
  <c r="D184" i="1"/>
  <c r="C184" i="1"/>
  <c r="O183" i="1"/>
  <c r="K183" i="1"/>
  <c r="J183" i="1"/>
  <c r="I183" i="1"/>
  <c r="H183" i="1"/>
  <c r="G183" i="1"/>
  <c r="F183" i="1"/>
  <c r="E183" i="1"/>
  <c r="D183" i="1"/>
  <c r="C183" i="1"/>
  <c r="O182" i="1"/>
  <c r="L182" i="1"/>
  <c r="K182" i="1"/>
  <c r="J182" i="1"/>
  <c r="I182" i="1"/>
  <c r="H182" i="1"/>
  <c r="G182" i="1"/>
  <c r="F182" i="1"/>
  <c r="E182" i="1"/>
  <c r="D182" i="1"/>
  <c r="C182" i="1"/>
  <c r="L181" i="1"/>
  <c r="K181" i="1"/>
  <c r="J181" i="1"/>
  <c r="I181" i="1"/>
  <c r="H181" i="1"/>
  <c r="G181" i="1"/>
  <c r="F181" i="1"/>
  <c r="E181" i="1"/>
  <c r="D181" i="1"/>
  <c r="C181" i="1"/>
  <c r="L180" i="1"/>
  <c r="K180" i="1"/>
  <c r="J180" i="1"/>
  <c r="I180" i="1"/>
  <c r="H180" i="1"/>
  <c r="G180" i="1"/>
  <c r="F180" i="1"/>
  <c r="E180" i="1"/>
  <c r="D180" i="1"/>
  <c r="C180" i="1"/>
  <c r="K179" i="1"/>
  <c r="J179" i="1"/>
  <c r="I179" i="1"/>
  <c r="H179" i="1"/>
  <c r="G179" i="1"/>
  <c r="F179" i="1"/>
  <c r="E179" i="1"/>
  <c r="D179" i="1"/>
  <c r="C179" i="1"/>
  <c r="K178" i="1"/>
  <c r="J178" i="1"/>
  <c r="I178" i="1"/>
  <c r="H178" i="1"/>
  <c r="G178" i="1"/>
  <c r="F178" i="1"/>
  <c r="E178" i="1"/>
  <c r="D178" i="1"/>
  <c r="C178" i="1"/>
  <c r="O177" i="1"/>
  <c r="K177" i="1"/>
  <c r="J177" i="1"/>
  <c r="I177" i="1"/>
  <c r="H177" i="1"/>
  <c r="G177" i="1"/>
  <c r="F177" i="1"/>
  <c r="E177" i="1"/>
  <c r="D177" i="1"/>
  <c r="C177" i="1"/>
  <c r="B177" i="1"/>
  <c r="O176" i="1"/>
  <c r="L176" i="1"/>
  <c r="K176" i="1"/>
  <c r="J176" i="1"/>
  <c r="I176" i="1"/>
  <c r="H176" i="1"/>
  <c r="G176" i="1"/>
  <c r="F176" i="1"/>
  <c r="E176" i="1"/>
  <c r="D176" i="1"/>
  <c r="C176" i="1"/>
  <c r="O175" i="1"/>
  <c r="L175" i="1"/>
  <c r="K175" i="1"/>
  <c r="J175" i="1"/>
  <c r="I175" i="1"/>
  <c r="H175" i="1"/>
  <c r="G175" i="1"/>
  <c r="F175" i="1"/>
  <c r="E175" i="1"/>
  <c r="D175" i="1"/>
  <c r="C175" i="1"/>
  <c r="B175" i="1"/>
  <c r="N174" i="1"/>
  <c r="M174" i="1"/>
  <c r="L174" i="1"/>
  <c r="K174" i="1"/>
  <c r="J174" i="1"/>
  <c r="I174" i="1"/>
  <c r="H174" i="1"/>
  <c r="G174" i="1"/>
  <c r="F174" i="1"/>
  <c r="E174" i="1"/>
  <c r="D174" i="1"/>
  <c r="C174" i="1"/>
  <c r="B174" i="1"/>
  <c r="K173" i="1"/>
  <c r="J173" i="1"/>
  <c r="I173" i="1"/>
  <c r="H173" i="1"/>
  <c r="G173" i="1"/>
  <c r="F173" i="1"/>
  <c r="E173" i="1"/>
  <c r="D173" i="1"/>
  <c r="C173" i="1"/>
  <c r="K172" i="1"/>
  <c r="J172" i="1"/>
  <c r="I172" i="1"/>
  <c r="H172" i="1"/>
  <c r="G172" i="1"/>
  <c r="F172" i="1"/>
  <c r="E172" i="1"/>
  <c r="D172" i="1"/>
  <c r="C172" i="1"/>
  <c r="L171" i="1"/>
  <c r="K171" i="1"/>
  <c r="J171" i="1"/>
  <c r="I171" i="1"/>
  <c r="H171" i="1"/>
  <c r="G171" i="1"/>
  <c r="F171" i="1"/>
  <c r="E171" i="1"/>
  <c r="D171" i="1"/>
  <c r="C171" i="1"/>
  <c r="L170" i="1"/>
  <c r="K170" i="1"/>
  <c r="J170" i="1"/>
  <c r="I170" i="1"/>
  <c r="H170" i="1"/>
  <c r="G170" i="1"/>
  <c r="F170" i="1"/>
  <c r="E170" i="1"/>
  <c r="D170" i="1"/>
  <c r="C170" i="1"/>
  <c r="O169" i="1"/>
  <c r="L169" i="1"/>
  <c r="K169" i="1"/>
  <c r="J169" i="1"/>
  <c r="I169" i="1"/>
  <c r="H169" i="1"/>
  <c r="G169" i="1"/>
  <c r="F169" i="1"/>
  <c r="E169" i="1"/>
  <c r="D169" i="1"/>
  <c r="C169" i="1"/>
  <c r="B169" i="1"/>
  <c r="O168" i="1"/>
  <c r="K168" i="1"/>
  <c r="J168" i="1"/>
  <c r="I168" i="1"/>
  <c r="H168" i="1"/>
  <c r="G168" i="1"/>
  <c r="F168" i="1"/>
  <c r="E168" i="1"/>
  <c r="D168" i="1"/>
  <c r="C168" i="1"/>
  <c r="K167" i="1"/>
  <c r="J167" i="1"/>
  <c r="I167" i="1"/>
  <c r="H167" i="1"/>
  <c r="G167" i="1"/>
  <c r="F167" i="1"/>
  <c r="E167" i="1"/>
  <c r="D167" i="1"/>
  <c r="C167" i="1"/>
  <c r="L166" i="1"/>
  <c r="K166" i="1"/>
  <c r="J166" i="1"/>
  <c r="I166" i="1"/>
  <c r="H166" i="1"/>
  <c r="G166" i="1"/>
  <c r="F166" i="1"/>
  <c r="E166" i="1"/>
  <c r="D166" i="1"/>
  <c r="C166" i="1"/>
  <c r="K165" i="1"/>
  <c r="J165" i="1"/>
  <c r="I165" i="1"/>
  <c r="H165" i="1"/>
  <c r="G165" i="1"/>
  <c r="F165" i="1"/>
  <c r="E165" i="1"/>
  <c r="D165" i="1"/>
  <c r="C165" i="1"/>
  <c r="O164" i="1"/>
  <c r="K164" i="1"/>
  <c r="J164" i="1"/>
  <c r="I164" i="1"/>
  <c r="H164" i="1"/>
  <c r="G164" i="1"/>
  <c r="F164" i="1"/>
  <c r="E164" i="1"/>
  <c r="D164" i="1"/>
  <c r="C164" i="1"/>
  <c r="O163" i="1"/>
  <c r="K163" i="1"/>
  <c r="J163" i="1"/>
  <c r="I163" i="1"/>
  <c r="H163" i="1"/>
  <c r="G163" i="1"/>
  <c r="F163" i="1"/>
  <c r="E163" i="1"/>
  <c r="D163" i="1"/>
  <c r="C163" i="1"/>
  <c r="O162" i="1"/>
  <c r="K162" i="1"/>
  <c r="J162" i="1"/>
  <c r="I162" i="1"/>
  <c r="H162" i="1"/>
  <c r="G162" i="1"/>
  <c r="F162" i="1"/>
  <c r="E162" i="1"/>
  <c r="D162" i="1"/>
  <c r="C162" i="1"/>
  <c r="B162" i="1"/>
  <c r="M161" i="1"/>
  <c r="L161" i="1"/>
  <c r="K161" i="1"/>
  <c r="J161" i="1"/>
  <c r="I161" i="1"/>
  <c r="H161" i="1"/>
  <c r="G161" i="1"/>
  <c r="F161" i="1"/>
  <c r="E161" i="1"/>
  <c r="D161" i="1"/>
  <c r="C161" i="1"/>
  <c r="B161" i="1"/>
  <c r="O160" i="1"/>
  <c r="M160" i="1"/>
  <c r="L160" i="1"/>
  <c r="K160" i="1"/>
  <c r="J160" i="1"/>
  <c r="I160" i="1"/>
  <c r="H160" i="1"/>
  <c r="G160" i="1"/>
  <c r="F160" i="1"/>
  <c r="E160" i="1"/>
  <c r="D160" i="1"/>
  <c r="C160" i="1"/>
  <c r="L159" i="1"/>
  <c r="K159" i="1"/>
  <c r="J159" i="1"/>
  <c r="I159" i="1"/>
  <c r="H159" i="1"/>
  <c r="G159" i="1"/>
  <c r="F159" i="1"/>
  <c r="E159" i="1"/>
  <c r="D159" i="1"/>
  <c r="C159" i="1"/>
  <c r="B159" i="1"/>
  <c r="K158" i="1"/>
  <c r="J158" i="1"/>
  <c r="I158" i="1"/>
  <c r="H158" i="1"/>
  <c r="G158" i="1"/>
  <c r="F158" i="1"/>
  <c r="E158" i="1"/>
  <c r="D158" i="1"/>
  <c r="C158" i="1"/>
  <c r="K157" i="1"/>
  <c r="J157" i="1"/>
  <c r="I157" i="1"/>
  <c r="H157" i="1"/>
  <c r="G157" i="1"/>
  <c r="F157" i="1"/>
  <c r="E157" i="1"/>
  <c r="D157" i="1"/>
  <c r="C157" i="1"/>
  <c r="L156" i="1"/>
  <c r="K156" i="1"/>
  <c r="J156" i="1"/>
  <c r="I156" i="1"/>
  <c r="H156" i="1"/>
  <c r="G156" i="1"/>
  <c r="F156" i="1"/>
  <c r="E156" i="1"/>
  <c r="D156" i="1"/>
  <c r="C156" i="1"/>
  <c r="M155" i="1"/>
  <c r="L155" i="1"/>
  <c r="K155" i="1"/>
  <c r="J155" i="1"/>
  <c r="I155" i="1"/>
  <c r="H155" i="1"/>
  <c r="G155" i="1"/>
  <c r="F155" i="1"/>
  <c r="E155" i="1"/>
  <c r="D155" i="1"/>
  <c r="C155" i="1"/>
  <c r="O154" i="1"/>
  <c r="L154" i="1"/>
  <c r="K154" i="1"/>
  <c r="J154" i="1"/>
  <c r="I154" i="1"/>
  <c r="H154" i="1"/>
  <c r="G154" i="1"/>
  <c r="F154" i="1"/>
  <c r="E154" i="1"/>
  <c r="D154" i="1"/>
  <c r="C154" i="1"/>
  <c r="B154" i="1"/>
  <c r="L153" i="1"/>
  <c r="K153" i="1"/>
  <c r="J153" i="1"/>
  <c r="I153" i="1"/>
  <c r="H153" i="1"/>
  <c r="G153" i="1"/>
  <c r="F153" i="1"/>
  <c r="E153" i="1"/>
  <c r="D153" i="1"/>
  <c r="C153" i="1"/>
  <c r="B153" i="1"/>
  <c r="O152" i="1"/>
  <c r="M152" i="1"/>
  <c r="L152" i="1"/>
  <c r="K152" i="1"/>
  <c r="J152" i="1"/>
  <c r="I152" i="1"/>
  <c r="H152" i="1"/>
  <c r="G152" i="1"/>
  <c r="F152" i="1"/>
  <c r="E152" i="1"/>
  <c r="D152" i="1"/>
  <c r="C152" i="1"/>
  <c r="B152" i="1"/>
  <c r="K151" i="1"/>
  <c r="J151" i="1"/>
  <c r="I151" i="1"/>
  <c r="H151" i="1"/>
  <c r="G151" i="1"/>
  <c r="F151" i="1"/>
  <c r="E151" i="1"/>
  <c r="D151" i="1"/>
  <c r="C151" i="1"/>
  <c r="B151" i="1"/>
  <c r="K150" i="1"/>
  <c r="J150" i="1"/>
  <c r="I150" i="1"/>
  <c r="H150" i="1"/>
  <c r="G150" i="1"/>
  <c r="F150" i="1"/>
  <c r="E150" i="1"/>
  <c r="D150" i="1"/>
  <c r="C150" i="1"/>
  <c r="O149" i="1"/>
  <c r="K149" i="1"/>
  <c r="J149" i="1"/>
  <c r="I149" i="1"/>
  <c r="H149" i="1"/>
  <c r="G149" i="1"/>
  <c r="F149" i="1"/>
  <c r="E149" i="1"/>
  <c r="D149" i="1"/>
  <c r="C149" i="1"/>
  <c r="B149" i="1"/>
  <c r="K148" i="1"/>
  <c r="J148" i="1"/>
  <c r="I148" i="1"/>
  <c r="H148" i="1"/>
  <c r="G148" i="1"/>
  <c r="F148" i="1"/>
  <c r="E148" i="1"/>
  <c r="D148" i="1"/>
  <c r="C148" i="1"/>
  <c r="O147" i="1"/>
  <c r="L147" i="1"/>
  <c r="K147" i="1"/>
  <c r="J147" i="1"/>
  <c r="I147" i="1"/>
  <c r="H147" i="1"/>
  <c r="G147" i="1"/>
  <c r="F147" i="1"/>
  <c r="E147" i="1"/>
  <c r="D147" i="1"/>
  <c r="C147" i="1"/>
  <c r="O146" i="1"/>
  <c r="K146" i="1"/>
  <c r="J146" i="1"/>
  <c r="I146" i="1"/>
  <c r="H146" i="1"/>
  <c r="G146" i="1"/>
  <c r="F146" i="1"/>
  <c r="E146" i="1"/>
  <c r="D146" i="1"/>
  <c r="C146" i="1"/>
  <c r="B146" i="1"/>
  <c r="O145" i="1"/>
  <c r="L145" i="1"/>
  <c r="K145" i="1"/>
  <c r="J145" i="1"/>
  <c r="I145" i="1"/>
  <c r="H145" i="1"/>
  <c r="G145" i="1"/>
  <c r="F145" i="1"/>
  <c r="E145" i="1"/>
  <c r="D145" i="1"/>
  <c r="C145" i="1"/>
  <c r="B145" i="1"/>
  <c r="L144" i="1"/>
  <c r="K144" i="1"/>
  <c r="J144" i="1"/>
  <c r="I144" i="1"/>
  <c r="H144" i="1"/>
  <c r="G144" i="1"/>
  <c r="F144" i="1"/>
  <c r="E144" i="1"/>
  <c r="D144" i="1"/>
  <c r="C144" i="1"/>
  <c r="O143" i="1"/>
  <c r="L143" i="1"/>
  <c r="K143" i="1"/>
  <c r="J143" i="1"/>
  <c r="I143" i="1"/>
  <c r="H143" i="1"/>
  <c r="G143" i="1"/>
  <c r="F143" i="1"/>
  <c r="E143" i="1"/>
  <c r="D143" i="1"/>
  <c r="C143" i="1"/>
  <c r="B143" i="1"/>
  <c r="O142" i="1"/>
  <c r="L142" i="1"/>
  <c r="K142" i="1"/>
  <c r="J142" i="1"/>
  <c r="I142" i="1"/>
  <c r="H142" i="1"/>
  <c r="G142" i="1"/>
  <c r="F142" i="1"/>
  <c r="E142" i="1"/>
  <c r="D142" i="1"/>
  <c r="C142" i="1"/>
  <c r="B142" i="1"/>
  <c r="O141" i="1"/>
  <c r="K141" i="1"/>
  <c r="J141" i="1"/>
  <c r="I141" i="1"/>
  <c r="H141" i="1"/>
  <c r="G141" i="1"/>
  <c r="F141" i="1"/>
  <c r="E141" i="1"/>
  <c r="D141" i="1"/>
  <c r="C141" i="1"/>
  <c r="B141" i="1"/>
  <c r="O140" i="1"/>
  <c r="K140" i="1"/>
  <c r="J140" i="1"/>
  <c r="I140" i="1"/>
  <c r="H140" i="1"/>
  <c r="G140" i="1"/>
  <c r="F140" i="1"/>
  <c r="E140" i="1"/>
  <c r="D140" i="1"/>
  <c r="C140" i="1"/>
  <c r="L139" i="1"/>
  <c r="K139" i="1"/>
  <c r="J139" i="1"/>
  <c r="I139" i="1"/>
  <c r="H139" i="1"/>
  <c r="G139" i="1"/>
  <c r="F139" i="1"/>
  <c r="E139" i="1"/>
  <c r="D139" i="1"/>
  <c r="C139" i="1"/>
  <c r="O138" i="1"/>
  <c r="K138" i="1"/>
  <c r="J138" i="1"/>
  <c r="I138" i="1"/>
  <c r="H138" i="1"/>
  <c r="G138" i="1"/>
  <c r="F138" i="1"/>
  <c r="E138" i="1"/>
  <c r="D138" i="1"/>
  <c r="C138" i="1"/>
  <c r="O137" i="1"/>
  <c r="K137" i="1"/>
  <c r="J137" i="1"/>
  <c r="I137" i="1"/>
  <c r="H137" i="1"/>
  <c r="G137" i="1"/>
  <c r="F137" i="1"/>
  <c r="E137" i="1"/>
  <c r="D137" i="1"/>
  <c r="C137" i="1"/>
  <c r="B137" i="1"/>
  <c r="M136" i="1"/>
  <c r="L136" i="1"/>
  <c r="K136" i="1"/>
  <c r="J136" i="1"/>
  <c r="I136" i="1"/>
  <c r="H136" i="1"/>
  <c r="G136" i="1"/>
  <c r="F136" i="1"/>
  <c r="E136" i="1"/>
  <c r="D136" i="1"/>
  <c r="C136" i="1"/>
  <c r="B136" i="1"/>
  <c r="L135" i="1"/>
  <c r="K135" i="1"/>
  <c r="J135" i="1"/>
  <c r="I135" i="1"/>
  <c r="H135" i="1"/>
  <c r="G135" i="1"/>
  <c r="F135" i="1"/>
  <c r="E135" i="1"/>
  <c r="D135" i="1"/>
  <c r="C135" i="1"/>
  <c r="K134" i="1"/>
  <c r="J134" i="1"/>
  <c r="I134" i="1"/>
  <c r="H134" i="1"/>
  <c r="G134" i="1"/>
  <c r="F134" i="1"/>
  <c r="E134" i="1"/>
  <c r="D134" i="1"/>
  <c r="C134" i="1"/>
  <c r="L133" i="1"/>
  <c r="K133" i="1"/>
  <c r="J133" i="1"/>
  <c r="I133" i="1"/>
  <c r="H133" i="1"/>
  <c r="G133" i="1"/>
  <c r="F133" i="1"/>
  <c r="E133" i="1"/>
  <c r="D133" i="1"/>
  <c r="C133" i="1"/>
  <c r="O132" i="1"/>
  <c r="K132" i="1"/>
  <c r="J132" i="1"/>
  <c r="I132" i="1"/>
  <c r="H132" i="1"/>
  <c r="G132" i="1"/>
  <c r="F132" i="1"/>
  <c r="E132" i="1"/>
  <c r="D132" i="1"/>
  <c r="C132" i="1"/>
  <c r="B132" i="1"/>
  <c r="O131" i="1"/>
  <c r="K131" i="1"/>
  <c r="J131" i="1"/>
  <c r="I131" i="1"/>
  <c r="H131" i="1"/>
  <c r="G131" i="1"/>
  <c r="F131" i="1"/>
  <c r="E131" i="1"/>
  <c r="D131" i="1"/>
  <c r="C131" i="1"/>
  <c r="B131" i="1"/>
  <c r="L130" i="1"/>
  <c r="K130" i="1"/>
  <c r="J130" i="1"/>
  <c r="I130" i="1"/>
  <c r="H130" i="1"/>
  <c r="G130" i="1"/>
  <c r="F130" i="1"/>
  <c r="E130" i="1"/>
  <c r="D130" i="1"/>
  <c r="C130" i="1"/>
  <c r="K129" i="1"/>
  <c r="J129" i="1"/>
  <c r="I129" i="1"/>
  <c r="H129" i="1"/>
  <c r="G129" i="1"/>
  <c r="F129" i="1"/>
  <c r="E129" i="1"/>
  <c r="D129" i="1"/>
  <c r="C129" i="1"/>
  <c r="K128" i="1"/>
  <c r="J128" i="1"/>
  <c r="I128" i="1"/>
  <c r="H128" i="1"/>
  <c r="G128" i="1"/>
  <c r="F128" i="1"/>
  <c r="E128" i="1"/>
  <c r="D128" i="1"/>
  <c r="C128" i="1"/>
  <c r="O127" i="1"/>
  <c r="L127" i="1"/>
  <c r="K127" i="1"/>
  <c r="J127" i="1"/>
  <c r="I127" i="1"/>
  <c r="H127" i="1"/>
  <c r="G127" i="1"/>
  <c r="F127" i="1"/>
  <c r="E127" i="1"/>
  <c r="D127" i="1"/>
  <c r="C127" i="1"/>
  <c r="B127" i="1"/>
  <c r="O126" i="1"/>
  <c r="K126" i="1"/>
  <c r="J126" i="1"/>
  <c r="I126" i="1"/>
  <c r="H126" i="1"/>
  <c r="G126" i="1"/>
  <c r="F126" i="1"/>
  <c r="E126" i="1"/>
  <c r="D126" i="1"/>
  <c r="C126" i="1"/>
  <c r="B126" i="1"/>
  <c r="M125" i="1"/>
  <c r="L125" i="1"/>
  <c r="K125" i="1"/>
  <c r="J125" i="1"/>
  <c r="I125" i="1"/>
  <c r="H125" i="1"/>
  <c r="G125" i="1"/>
  <c r="F125" i="1"/>
  <c r="E125" i="1"/>
  <c r="D125" i="1"/>
  <c r="C125" i="1"/>
  <c r="B125" i="1"/>
  <c r="L124" i="1"/>
  <c r="K124" i="1"/>
  <c r="J124" i="1"/>
  <c r="I124" i="1"/>
  <c r="H124" i="1"/>
  <c r="G124" i="1"/>
  <c r="F124" i="1"/>
  <c r="E124" i="1"/>
  <c r="D124" i="1"/>
  <c r="C124" i="1"/>
  <c r="B124" i="1"/>
  <c r="M123" i="1"/>
  <c r="L123" i="1"/>
  <c r="K123" i="1"/>
  <c r="J123" i="1"/>
  <c r="I123" i="1"/>
  <c r="H123" i="1"/>
  <c r="G123" i="1"/>
  <c r="F123" i="1"/>
  <c r="E123" i="1"/>
  <c r="D123" i="1"/>
  <c r="C123" i="1"/>
  <c r="O122" i="1"/>
  <c r="K122" i="1"/>
  <c r="J122" i="1"/>
  <c r="I122" i="1"/>
  <c r="H122" i="1"/>
  <c r="G122" i="1"/>
  <c r="F122" i="1"/>
  <c r="E122" i="1"/>
  <c r="D122" i="1"/>
  <c r="C122" i="1"/>
  <c r="K121" i="1"/>
  <c r="J121" i="1"/>
  <c r="I121" i="1"/>
  <c r="H121" i="1"/>
  <c r="G121" i="1"/>
  <c r="F121" i="1"/>
  <c r="E121" i="1"/>
  <c r="D121" i="1"/>
  <c r="C121" i="1"/>
  <c r="K120" i="1"/>
  <c r="J120" i="1"/>
  <c r="I120" i="1"/>
  <c r="H120" i="1"/>
  <c r="G120" i="1"/>
  <c r="F120" i="1"/>
  <c r="E120" i="1"/>
  <c r="D120" i="1"/>
  <c r="C120" i="1"/>
  <c r="M119" i="1"/>
  <c r="L119" i="1"/>
  <c r="K119" i="1"/>
  <c r="J119" i="1"/>
  <c r="I119" i="1"/>
  <c r="H119" i="1"/>
  <c r="G119" i="1"/>
  <c r="F119" i="1"/>
  <c r="E119" i="1"/>
  <c r="D119" i="1"/>
  <c r="C119" i="1"/>
  <c r="M118" i="1"/>
  <c r="L118" i="1"/>
  <c r="K118" i="1"/>
  <c r="J118" i="1"/>
  <c r="I118" i="1"/>
  <c r="H118" i="1"/>
  <c r="G118" i="1"/>
  <c r="F118" i="1"/>
  <c r="E118" i="1"/>
  <c r="D118" i="1"/>
  <c r="C118" i="1"/>
  <c r="O117" i="1"/>
  <c r="L117" i="1"/>
  <c r="K117" i="1"/>
  <c r="J117" i="1"/>
  <c r="I117" i="1"/>
  <c r="H117" i="1"/>
  <c r="G117" i="1"/>
  <c r="F117" i="1"/>
  <c r="E117" i="1"/>
  <c r="D117" i="1"/>
  <c r="C117" i="1"/>
  <c r="O116" i="1"/>
  <c r="K116" i="1"/>
  <c r="J116" i="1"/>
  <c r="I116" i="1"/>
  <c r="H116" i="1"/>
  <c r="G116" i="1"/>
  <c r="F116" i="1"/>
  <c r="E116" i="1"/>
  <c r="D116" i="1"/>
  <c r="C116" i="1"/>
  <c r="O115" i="1"/>
  <c r="L115" i="1"/>
  <c r="K115" i="1"/>
  <c r="J115" i="1"/>
  <c r="I115" i="1"/>
  <c r="H115" i="1"/>
  <c r="G115" i="1"/>
  <c r="F115" i="1"/>
  <c r="E115" i="1"/>
  <c r="D115" i="1"/>
  <c r="C115" i="1"/>
  <c r="B115" i="1"/>
  <c r="O114" i="1"/>
  <c r="L114" i="1"/>
  <c r="K114" i="1"/>
  <c r="J114" i="1"/>
  <c r="I114" i="1"/>
  <c r="H114" i="1"/>
  <c r="G114" i="1"/>
  <c r="F114" i="1"/>
  <c r="E114" i="1"/>
  <c r="D114" i="1"/>
  <c r="C114" i="1"/>
  <c r="B114" i="1"/>
  <c r="O113" i="1"/>
  <c r="K113" i="1"/>
  <c r="J113" i="1"/>
  <c r="I113" i="1"/>
  <c r="H113" i="1"/>
  <c r="G113" i="1"/>
  <c r="F113" i="1"/>
  <c r="E113" i="1"/>
  <c r="D113" i="1"/>
  <c r="C113" i="1"/>
  <c r="B113" i="1"/>
  <c r="K112" i="1"/>
  <c r="J112" i="1"/>
  <c r="I112" i="1"/>
  <c r="G112" i="1"/>
  <c r="F112" i="1"/>
  <c r="E112" i="1"/>
  <c r="D112" i="1"/>
  <c r="C112" i="1"/>
  <c r="K111" i="1"/>
  <c r="J111" i="1"/>
  <c r="I111" i="1"/>
  <c r="G111" i="1"/>
  <c r="F111" i="1"/>
  <c r="E111" i="1"/>
  <c r="D111" i="1"/>
  <c r="C111" i="1"/>
  <c r="O110" i="1"/>
  <c r="N110" i="1"/>
  <c r="M110" i="1"/>
  <c r="L110" i="1"/>
  <c r="K110" i="1"/>
  <c r="J110" i="1"/>
  <c r="I110" i="1"/>
  <c r="G110" i="1"/>
  <c r="F110" i="1"/>
  <c r="E110" i="1"/>
  <c r="D110" i="1"/>
  <c r="C110" i="1"/>
  <c r="B110" i="1"/>
  <c r="K109" i="1"/>
  <c r="J109" i="1"/>
  <c r="I109" i="1"/>
  <c r="G109" i="1"/>
  <c r="F109" i="1"/>
  <c r="E109" i="1"/>
  <c r="D109" i="1"/>
  <c r="C109" i="1"/>
  <c r="K108" i="1"/>
  <c r="J108" i="1"/>
  <c r="I108" i="1"/>
  <c r="G108" i="1"/>
  <c r="F108" i="1"/>
  <c r="E108" i="1"/>
  <c r="D108" i="1"/>
  <c r="C108" i="1"/>
  <c r="L107" i="1"/>
  <c r="K107" i="1"/>
  <c r="J107" i="1"/>
  <c r="I107" i="1"/>
  <c r="G107" i="1"/>
  <c r="F107" i="1"/>
  <c r="E107" i="1"/>
  <c r="D107" i="1"/>
  <c r="C107" i="1"/>
  <c r="K106" i="1"/>
  <c r="J106" i="1"/>
  <c r="I106" i="1"/>
  <c r="G106" i="1"/>
  <c r="F106" i="1"/>
  <c r="E106" i="1"/>
  <c r="D106" i="1"/>
  <c r="C106" i="1"/>
  <c r="K105" i="1"/>
  <c r="J105" i="1"/>
  <c r="I105" i="1"/>
  <c r="G105" i="1"/>
  <c r="F105" i="1"/>
  <c r="E105" i="1"/>
  <c r="D105" i="1"/>
  <c r="C105" i="1"/>
  <c r="L104" i="1"/>
  <c r="K104" i="1"/>
  <c r="J104" i="1"/>
  <c r="I104" i="1"/>
  <c r="G104" i="1"/>
  <c r="F104" i="1"/>
  <c r="E104" i="1"/>
  <c r="D104" i="1"/>
  <c r="C104" i="1"/>
  <c r="M103" i="1"/>
  <c r="L103" i="1"/>
  <c r="K103" i="1"/>
  <c r="J103" i="1"/>
  <c r="I103" i="1"/>
  <c r="G103" i="1"/>
  <c r="F103" i="1"/>
  <c r="E103" i="1"/>
  <c r="D103" i="1"/>
  <c r="C103" i="1"/>
  <c r="K102" i="1"/>
  <c r="J102" i="1"/>
  <c r="I102" i="1"/>
  <c r="G102" i="1"/>
  <c r="F102" i="1"/>
  <c r="E102" i="1"/>
  <c r="D102" i="1"/>
  <c r="C102" i="1"/>
  <c r="K101" i="1"/>
  <c r="J101" i="1"/>
  <c r="I101" i="1"/>
  <c r="G101" i="1"/>
  <c r="F101" i="1"/>
  <c r="E101" i="1"/>
  <c r="D101" i="1"/>
  <c r="C101" i="1"/>
  <c r="L100" i="1"/>
  <c r="K100" i="1"/>
  <c r="J100" i="1"/>
  <c r="I100" i="1"/>
  <c r="G100" i="1"/>
  <c r="F100" i="1"/>
  <c r="E100" i="1"/>
  <c r="D100" i="1"/>
  <c r="C100" i="1"/>
  <c r="L99" i="1"/>
  <c r="K99" i="1"/>
  <c r="J99" i="1"/>
  <c r="I99" i="1"/>
  <c r="G99" i="1"/>
  <c r="F99" i="1"/>
  <c r="E99" i="1"/>
  <c r="D99" i="1"/>
  <c r="C99" i="1"/>
  <c r="L98" i="1"/>
  <c r="K98" i="1"/>
  <c r="J98" i="1"/>
  <c r="I98" i="1"/>
  <c r="G98" i="1"/>
  <c r="F98" i="1"/>
  <c r="E98" i="1"/>
  <c r="D98" i="1"/>
  <c r="C98" i="1"/>
  <c r="B98" i="1"/>
  <c r="K97" i="1"/>
  <c r="J97" i="1"/>
  <c r="I97" i="1"/>
  <c r="G97" i="1"/>
  <c r="F97" i="1"/>
  <c r="E97" i="1"/>
  <c r="D97" i="1"/>
  <c r="C97" i="1"/>
  <c r="K96" i="1"/>
  <c r="J96" i="1"/>
  <c r="I96" i="1"/>
  <c r="G96" i="1"/>
  <c r="F96" i="1"/>
  <c r="E96" i="1"/>
  <c r="D96" i="1"/>
  <c r="C96" i="1"/>
  <c r="L95" i="1"/>
  <c r="K95" i="1"/>
  <c r="J95" i="1"/>
  <c r="I95" i="1"/>
  <c r="G95" i="1"/>
  <c r="F95" i="1"/>
  <c r="E95" i="1"/>
  <c r="D95" i="1"/>
  <c r="C95" i="1"/>
  <c r="B95" i="1"/>
  <c r="L94" i="1"/>
  <c r="K94" i="1"/>
  <c r="J94" i="1"/>
  <c r="I94" i="1"/>
  <c r="G94" i="1"/>
  <c r="F94" i="1"/>
  <c r="E94" i="1"/>
  <c r="D94" i="1"/>
  <c r="C94" i="1"/>
  <c r="L93" i="1"/>
  <c r="K93" i="1"/>
  <c r="J93" i="1"/>
  <c r="I93" i="1"/>
  <c r="G93" i="1"/>
  <c r="F93" i="1"/>
  <c r="E93" i="1"/>
  <c r="D93" i="1"/>
  <c r="C93" i="1"/>
  <c r="B93" i="1"/>
  <c r="L92" i="1"/>
  <c r="K92" i="1"/>
  <c r="J92" i="1"/>
  <c r="I92" i="1"/>
  <c r="G92" i="1"/>
  <c r="F92" i="1"/>
  <c r="E92" i="1"/>
  <c r="D92" i="1"/>
  <c r="C92" i="1"/>
  <c r="B92" i="1"/>
  <c r="O91" i="1"/>
  <c r="N91" i="1"/>
  <c r="M91" i="1"/>
  <c r="L91" i="1"/>
  <c r="K91" i="1"/>
  <c r="J91" i="1"/>
  <c r="I91" i="1"/>
  <c r="G91" i="1"/>
  <c r="F91" i="1"/>
  <c r="E91" i="1"/>
  <c r="D91" i="1"/>
  <c r="C91" i="1"/>
  <c r="B91" i="1"/>
  <c r="O90" i="1"/>
  <c r="M90" i="1"/>
  <c r="L90" i="1"/>
  <c r="K90" i="1"/>
  <c r="J90" i="1"/>
  <c r="I90" i="1"/>
  <c r="G90" i="1"/>
  <c r="F90" i="1"/>
  <c r="E90" i="1"/>
  <c r="D90" i="1"/>
  <c r="C90" i="1"/>
  <c r="B90" i="1"/>
  <c r="L89" i="1"/>
  <c r="K89" i="1"/>
  <c r="J89" i="1"/>
  <c r="I89" i="1"/>
  <c r="G89" i="1"/>
  <c r="F89" i="1"/>
  <c r="E89" i="1"/>
  <c r="D89" i="1"/>
  <c r="C89" i="1"/>
  <c r="K88" i="1"/>
  <c r="J88" i="1"/>
  <c r="I88" i="1"/>
  <c r="G88" i="1"/>
  <c r="F88" i="1"/>
  <c r="E88" i="1"/>
  <c r="D88" i="1"/>
  <c r="C88" i="1"/>
  <c r="L87" i="1"/>
  <c r="K87" i="1"/>
  <c r="J87" i="1"/>
  <c r="I87" i="1"/>
  <c r="G87" i="1"/>
  <c r="F87" i="1"/>
  <c r="E87" i="1"/>
  <c r="D87" i="1"/>
  <c r="C87" i="1"/>
  <c r="K86" i="1"/>
  <c r="J86" i="1"/>
  <c r="I86" i="1"/>
  <c r="G86" i="1"/>
  <c r="F86" i="1"/>
  <c r="E86" i="1"/>
  <c r="D86" i="1"/>
  <c r="C86" i="1"/>
  <c r="K85" i="1"/>
  <c r="J85" i="1"/>
  <c r="I85" i="1"/>
  <c r="G85" i="1"/>
  <c r="F85" i="1"/>
  <c r="E85" i="1"/>
  <c r="D85" i="1"/>
  <c r="C85" i="1"/>
  <c r="L84" i="1"/>
  <c r="K84" i="1"/>
  <c r="J84" i="1"/>
  <c r="I84" i="1"/>
  <c r="G84" i="1"/>
  <c r="F84" i="1"/>
  <c r="E84" i="1"/>
  <c r="D84" i="1"/>
  <c r="C84" i="1"/>
  <c r="L83" i="1"/>
  <c r="K83" i="1"/>
  <c r="J83" i="1"/>
  <c r="I83" i="1"/>
  <c r="G83" i="1"/>
  <c r="F83" i="1"/>
  <c r="E83" i="1"/>
  <c r="D83" i="1"/>
  <c r="C83" i="1"/>
  <c r="B83" i="1"/>
  <c r="K82" i="1"/>
  <c r="J82" i="1"/>
  <c r="I82" i="1"/>
  <c r="G82" i="1"/>
  <c r="F82" i="1"/>
  <c r="E82" i="1"/>
  <c r="D82" i="1"/>
  <c r="C82" i="1"/>
  <c r="M81" i="1"/>
  <c r="L81" i="1"/>
  <c r="K81" i="1"/>
  <c r="J81" i="1"/>
  <c r="I81" i="1"/>
  <c r="G81" i="1"/>
  <c r="F81" i="1"/>
  <c r="E81" i="1"/>
  <c r="D81" i="1"/>
  <c r="C81" i="1"/>
  <c r="B81" i="1"/>
  <c r="K80" i="1"/>
  <c r="J80" i="1"/>
  <c r="I80" i="1"/>
  <c r="G80" i="1"/>
  <c r="F80" i="1"/>
  <c r="E80" i="1"/>
  <c r="D80" i="1"/>
  <c r="C80" i="1"/>
  <c r="L79" i="1"/>
  <c r="K79" i="1"/>
  <c r="J79" i="1"/>
  <c r="I79" i="1"/>
  <c r="G79" i="1"/>
  <c r="F79" i="1"/>
  <c r="E79" i="1"/>
  <c r="D79" i="1"/>
  <c r="C79" i="1"/>
  <c r="L78" i="1"/>
  <c r="K78" i="1"/>
  <c r="J78" i="1"/>
  <c r="I78" i="1"/>
  <c r="G78" i="1"/>
  <c r="F78" i="1"/>
  <c r="E78" i="1"/>
  <c r="D78" i="1"/>
  <c r="C78" i="1"/>
  <c r="B78" i="1"/>
  <c r="K77" i="1"/>
  <c r="J77" i="1"/>
  <c r="I77" i="1"/>
  <c r="G77" i="1"/>
  <c r="F77" i="1"/>
  <c r="E77" i="1"/>
  <c r="D77" i="1"/>
  <c r="C77" i="1"/>
  <c r="K76" i="1"/>
  <c r="J76" i="1"/>
  <c r="I76" i="1"/>
  <c r="G76" i="1"/>
  <c r="F76" i="1"/>
  <c r="E76" i="1"/>
  <c r="D76" i="1"/>
  <c r="C76" i="1"/>
  <c r="K75" i="1"/>
  <c r="J75" i="1"/>
  <c r="I75" i="1"/>
  <c r="G75" i="1"/>
  <c r="F75" i="1"/>
  <c r="E75" i="1"/>
  <c r="D75" i="1"/>
  <c r="C75" i="1"/>
  <c r="B75" i="1"/>
  <c r="K74" i="1"/>
  <c r="J74" i="1"/>
  <c r="I74" i="1"/>
  <c r="G74" i="1"/>
  <c r="F74" i="1"/>
  <c r="E74" i="1"/>
  <c r="D74" i="1"/>
  <c r="C74" i="1"/>
  <c r="O73" i="1"/>
  <c r="K73" i="1"/>
  <c r="J73" i="1"/>
  <c r="I73" i="1"/>
  <c r="G73" i="1"/>
  <c r="F73" i="1"/>
  <c r="E73" i="1"/>
  <c r="D73" i="1"/>
  <c r="C73" i="1"/>
  <c r="K72" i="1"/>
  <c r="J72" i="1"/>
  <c r="I72" i="1"/>
  <c r="G72" i="1"/>
  <c r="F72" i="1"/>
  <c r="E72" i="1"/>
  <c r="D72" i="1"/>
  <c r="C72" i="1"/>
  <c r="O71" i="1"/>
  <c r="N71" i="1"/>
  <c r="M71" i="1"/>
  <c r="L71" i="1"/>
  <c r="K71" i="1"/>
  <c r="J71" i="1"/>
  <c r="I71" i="1"/>
  <c r="G71" i="1"/>
  <c r="F71" i="1"/>
  <c r="E71" i="1"/>
  <c r="D71" i="1"/>
  <c r="C71" i="1"/>
  <c r="B71" i="1"/>
  <c r="O70" i="1"/>
  <c r="K70" i="1"/>
  <c r="J70" i="1"/>
  <c r="I70" i="1"/>
  <c r="G70" i="1"/>
  <c r="F70" i="1"/>
  <c r="E70" i="1"/>
  <c r="D70" i="1"/>
  <c r="C70" i="1"/>
  <c r="B70" i="1"/>
  <c r="K69" i="1"/>
  <c r="J69" i="1"/>
  <c r="I69" i="1"/>
  <c r="G69" i="1"/>
  <c r="F69" i="1"/>
  <c r="E69" i="1"/>
  <c r="D69" i="1"/>
  <c r="C69" i="1"/>
  <c r="O68" i="1"/>
  <c r="N68" i="1"/>
  <c r="M68" i="1"/>
  <c r="L68" i="1"/>
  <c r="K68" i="1"/>
  <c r="J68" i="1"/>
  <c r="I68" i="1"/>
  <c r="G68" i="1"/>
  <c r="F68" i="1"/>
  <c r="E68" i="1"/>
  <c r="D68" i="1"/>
  <c r="C68" i="1"/>
  <c r="M67" i="1"/>
  <c r="L67" i="1"/>
  <c r="K67" i="1"/>
  <c r="J67" i="1"/>
  <c r="I67" i="1"/>
  <c r="G67" i="1"/>
  <c r="F67" i="1"/>
  <c r="E67" i="1"/>
  <c r="D67" i="1"/>
  <c r="C67" i="1"/>
  <c r="B67" i="1"/>
  <c r="O66" i="1"/>
  <c r="L66" i="1"/>
  <c r="K66" i="1"/>
  <c r="J66" i="1"/>
  <c r="I66" i="1"/>
  <c r="G66" i="1"/>
  <c r="F66" i="1"/>
  <c r="E66" i="1"/>
  <c r="D66" i="1"/>
  <c r="C66" i="1"/>
  <c r="B66" i="1"/>
  <c r="L65" i="1"/>
  <c r="K65" i="1"/>
  <c r="J65" i="1"/>
  <c r="I65" i="1"/>
  <c r="G65" i="1"/>
  <c r="F65" i="1"/>
  <c r="E65" i="1"/>
  <c r="D65" i="1"/>
  <c r="C65" i="1"/>
  <c r="K64" i="1"/>
  <c r="J64" i="1"/>
  <c r="I64" i="1"/>
  <c r="G64" i="1"/>
  <c r="F64" i="1"/>
  <c r="E64" i="1"/>
  <c r="D64" i="1"/>
  <c r="C64" i="1"/>
  <c r="O63" i="1"/>
  <c r="K63" i="1"/>
  <c r="J63" i="1"/>
  <c r="I63" i="1"/>
  <c r="G63" i="1"/>
  <c r="F63" i="1"/>
  <c r="E63" i="1"/>
  <c r="D63" i="1"/>
  <c r="C63" i="1"/>
  <c r="K62" i="1"/>
  <c r="J62" i="1"/>
  <c r="I62" i="1"/>
  <c r="G62" i="1"/>
  <c r="F62" i="1"/>
  <c r="E62" i="1"/>
  <c r="D62" i="1"/>
  <c r="C62" i="1"/>
  <c r="K61" i="1"/>
  <c r="J61" i="1"/>
  <c r="I61" i="1"/>
  <c r="G61" i="1"/>
  <c r="F61" i="1"/>
  <c r="E61" i="1"/>
  <c r="D61" i="1"/>
  <c r="C61" i="1"/>
  <c r="O60" i="1"/>
  <c r="L60" i="1"/>
  <c r="K60" i="1"/>
  <c r="J60" i="1"/>
  <c r="I60" i="1"/>
  <c r="G60" i="1"/>
  <c r="F60" i="1"/>
  <c r="E60" i="1"/>
  <c r="D60" i="1"/>
  <c r="C60" i="1"/>
  <c r="K59" i="1"/>
  <c r="J59" i="1"/>
  <c r="I59" i="1"/>
  <c r="G59" i="1"/>
  <c r="F59" i="1"/>
  <c r="E59" i="1"/>
  <c r="D59" i="1"/>
  <c r="C59" i="1"/>
  <c r="O58" i="1"/>
  <c r="L58" i="1"/>
  <c r="K58" i="1"/>
  <c r="J58" i="1"/>
  <c r="I58" i="1"/>
  <c r="G58" i="1"/>
  <c r="F58" i="1"/>
  <c r="E58" i="1"/>
  <c r="D58" i="1"/>
  <c r="C58" i="1"/>
  <c r="B58" i="1"/>
  <c r="O57" i="1"/>
  <c r="L57" i="1"/>
  <c r="K57" i="1"/>
  <c r="J57" i="1"/>
  <c r="I57" i="1"/>
  <c r="G57" i="1"/>
  <c r="F57" i="1"/>
  <c r="E57" i="1"/>
  <c r="D57" i="1"/>
  <c r="C57" i="1"/>
  <c r="K56" i="1"/>
  <c r="J56" i="1"/>
  <c r="I56" i="1"/>
  <c r="G56" i="1"/>
  <c r="F56" i="1"/>
  <c r="E56" i="1"/>
  <c r="D56" i="1"/>
  <c r="C56" i="1"/>
  <c r="M55" i="1"/>
  <c r="L55" i="1"/>
  <c r="K55" i="1"/>
  <c r="J55" i="1"/>
  <c r="I55" i="1"/>
  <c r="G55" i="1"/>
  <c r="F55" i="1"/>
  <c r="E55" i="1"/>
  <c r="D55" i="1"/>
  <c r="C55" i="1"/>
  <c r="M54" i="1"/>
  <c r="L54" i="1"/>
  <c r="K54" i="1"/>
  <c r="J54" i="1"/>
  <c r="I54" i="1"/>
  <c r="G54" i="1"/>
  <c r="F54" i="1"/>
  <c r="E54" i="1"/>
  <c r="D54" i="1"/>
  <c r="C54" i="1"/>
  <c r="B54" i="1"/>
  <c r="L53" i="1"/>
  <c r="K53" i="1"/>
  <c r="J53" i="1"/>
  <c r="I53" i="1"/>
  <c r="G53" i="1"/>
  <c r="F53" i="1"/>
  <c r="E53" i="1"/>
  <c r="D53" i="1"/>
  <c r="C53" i="1"/>
  <c r="L52" i="1"/>
  <c r="K52" i="1"/>
  <c r="J52" i="1"/>
  <c r="I52" i="1"/>
  <c r="G52" i="1"/>
  <c r="F52" i="1"/>
  <c r="E52" i="1"/>
  <c r="D52" i="1"/>
  <c r="C52" i="1"/>
  <c r="B52" i="1"/>
  <c r="K51" i="1"/>
  <c r="J51" i="1"/>
  <c r="I51" i="1"/>
  <c r="G51" i="1"/>
  <c r="F51" i="1"/>
  <c r="E51" i="1"/>
  <c r="D51" i="1"/>
  <c r="C51" i="1"/>
  <c r="O50" i="1"/>
  <c r="K50" i="1"/>
  <c r="J50" i="1"/>
  <c r="I50" i="1"/>
  <c r="G50" i="1"/>
  <c r="F50" i="1"/>
  <c r="E50" i="1"/>
  <c r="D50" i="1"/>
  <c r="C50" i="1"/>
  <c r="M49" i="1"/>
  <c r="L49" i="1"/>
  <c r="K49" i="1"/>
  <c r="J49" i="1"/>
  <c r="I49" i="1"/>
  <c r="G49" i="1"/>
  <c r="F49" i="1"/>
  <c r="E49" i="1"/>
  <c r="D49" i="1"/>
  <c r="C49" i="1"/>
  <c r="O48" i="1"/>
  <c r="L48" i="1"/>
  <c r="K48" i="1"/>
  <c r="J48" i="1"/>
  <c r="I48" i="1"/>
  <c r="G48" i="1"/>
  <c r="F48" i="1"/>
  <c r="E48" i="1"/>
  <c r="D48" i="1"/>
  <c r="C48" i="1"/>
  <c r="B48" i="1"/>
  <c r="L47" i="1"/>
  <c r="K47" i="1"/>
  <c r="J47" i="1"/>
  <c r="I47" i="1"/>
  <c r="G47" i="1"/>
  <c r="F47" i="1"/>
  <c r="E47" i="1"/>
  <c r="D47" i="1"/>
  <c r="C47" i="1"/>
  <c r="B47" i="1"/>
  <c r="K46" i="1"/>
  <c r="J46" i="1"/>
  <c r="I46" i="1"/>
  <c r="G46" i="1"/>
  <c r="F46" i="1"/>
  <c r="E46" i="1"/>
  <c r="D46" i="1"/>
  <c r="C46" i="1"/>
  <c r="K45" i="1"/>
  <c r="J45" i="1"/>
  <c r="I45" i="1"/>
  <c r="G45" i="1"/>
  <c r="F45" i="1"/>
  <c r="E45" i="1"/>
  <c r="D45" i="1"/>
  <c r="C45" i="1"/>
  <c r="K44" i="1"/>
  <c r="J44" i="1"/>
  <c r="I44" i="1"/>
  <c r="G44" i="1"/>
  <c r="F44" i="1"/>
  <c r="E44" i="1"/>
  <c r="D44" i="1"/>
  <c r="C44" i="1"/>
  <c r="K43" i="1"/>
  <c r="J43" i="1"/>
  <c r="I43" i="1"/>
  <c r="G43" i="1"/>
  <c r="F43" i="1"/>
  <c r="E43" i="1"/>
  <c r="D43" i="1"/>
  <c r="C43" i="1"/>
  <c r="O42" i="1"/>
  <c r="M42" i="1"/>
  <c r="L42" i="1"/>
  <c r="K42" i="1"/>
  <c r="J42" i="1"/>
  <c r="I42" i="1"/>
  <c r="G42" i="1"/>
  <c r="F42" i="1"/>
  <c r="E42" i="1"/>
  <c r="D42" i="1"/>
  <c r="C42" i="1"/>
  <c r="B42" i="1"/>
  <c r="L41" i="1"/>
  <c r="K41" i="1"/>
  <c r="J41" i="1"/>
  <c r="I41" i="1"/>
  <c r="G41" i="1"/>
  <c r="F41" i="1"/>
  <c r="E41" i="1"/>
  <c r="D41" i="1"/>
  <c r="C41" i="1"/>
  <c r="K40" i="1"/>
  <c r="J40" i="1"/>
  <c r="I40" i="1"/>
  <c r="G40" i="1"/>
  <c r="F40" i="1"/>
  <c r="E40" i="1"/>
  <c r="D40" i="1"/>
  <c r="C40" i="1"/>
  <c r="L39" i="1"/>
  <c r="K39" i="1"/>
  <c r="J39" i="1"/>
  <c r="I39" i="1"/>
  <c r="G39" i="1"/>
  <c r="F39" i="1"/>
  <c r="E39" i="1"/>
  <c r="D39" i="1"/>
  <c r="C39" i="1"/>
  <c r="K38" i="1"/>
  <c r="J38" i="1"/>
  <c r="I38" i="1"/>
  <c r="G38" i="1"/>
  <c r="F38" i="1"/>
  <c r="E38" i="1"/>
  <c r="D38" i="1"/>
  <c r="C38" i="1"/>
  <c r="M37" i="1"/>
  <c r="L37" i="1"/>
  <c r="K37" i="1"/>
  <c r="J37" i="1"/>
  <c r="I37" i="1"/>
  <c r="G37" i="1"/>
  <c r="F37" i="1"/>
  <c r="E37" i="1"/>
  <c r="D37" i="1"/>
  <c r="C37" i="1"/>
  <c r="B37" i="1"/>
  <c r="L36" i="1"/>
  <c r="K36" i="1"/>
  <c r="J36" i="1"/>
  <c r="I36" i="1"/>
  <c r="G36" i="1"/>
  <c r="F36" i="1"/>
  <c r="E36" i="1"/>
  <c r="D36" i="1"/>
  <c r="C36" i="1"/>
  <c r="B36" i="1"/>
  <c r="O35" i="1"/>
  <c r="K35" i="1"/>
  <c r="J35" i="1"/>
  <c r="I35" i="1"/>
  <c r="G35" i="1"/>
  <c r="F35" i="1"/>
  <c r="E35" i="1"/>
  <c r="D35" i="1"/>
  <c r="C35" i="1"/>
  <c r="K34" i="1"/>
  <c r="J34" i="1"/>
  <c r="I34" i="1"/>
  <c r="G34" i="1"/>
  <c r="F34" i="1"/>
  <c r="E34" i="1"/>
  <c r="D34" i="1"/>
  <c r="C34" i="1"/>
  <c r="L33" i="1"/>
  <c r="K33" i="1"/>
  <c r="J33" i="1"/>
  <c r="I33" i="1"/>
  <c r="G33" i="1"/>
  <c r="F33" i="1"/>
  <c r="E33" i="1"/>
  <c r="D33" i="1"/>
  <c r="C33" i="1"/>
  <c r="B33" i="1"/>
  <c r="K32" i="1"/>
  <c r="J32" i="1"/>
  <c r="I32" i="1"/>
  <c r="G32" i="1"/>
  <c r="F32" i="1"/>
  <c r="E32" i="1"/>
  <c r="D32" i="1"/>
  <c r="C32" i="1"/>
  <c r="L31" i="1"/>
  <c r="K31" i="1"/>
  <c r="J31" i="1"/>
  <c r="I31" i="1"/>
  <c r="G31" i="1"/>
  <c r="F31" i="1"/>
  <c r="E31" i="1"/>
  <c r="D31" i="1"/>
  <c r="C31" i="1"/>
  <c r="B31" i="1"/>
  <c r="O30" i="1"/>
  <c r="L30" i="1"/>
  <c r="K30" i="1"/>
  <c r="J30" i="1"/>
  <c r="I30" i="1"/>
  <c r="G30" i="1"/>
  <c r="F30" i="1"/>
  <c r="E30" i="1"/>
  <c r="D30" i="1"/>
  <c r="C30" i="1"/>
  <c r="O29" i="1"/>
  <c r="L29" i="1"/>
  <c r="K29" i="1"/>
  <c r="J29" i="1"/>
  <c r="I29" i="1"/>
  <c r="G29" i="1"/>
  <c r="F29" i="1"/>
  <c r="E29" i="1"/>
  <c r="D29" i="1"/>
  <c r="C29" i="1"/>
  <c r="B29" i="1"/>
  <c r="K28" i="1"/>
  <c r="J28" i="1"/>
  <c r="I28" i="1"/>
  <c r="G28" i="1"/>
  <c r="F28" i="1"/>
  <c r="E28" i="1"/>
  <c r="D28" i="1"/>
  <c r="C28" i="1"/>
  <c r="K27" i="1"/>
  <c r="J27" i="1"/>
  <c r="I27" i="1"/>
  <c r="G27" i="1"/>
  <c r="F27" i="1"/>
  <c r="E27" i="1"/>
  <c r="D27" i="1"/>
  <c r="C27" i="1"/>
  <c r="L26" i="1"/>
  <c r="K26" i="1"/>
  <c r="J26" i="1"/>
  <c r="I26" i="1"/>
  <c r="G26" i="1"/>
  <c r="F26" i="1"/>
  <c r="E26" i="1"/>
  <c r="D26" i="1"/>
  <c r="C26" i="1"/>
  <c r="O25" i="1"/>
  <c r="K25" i="1"/>
  <c r="J25" i="1"/>
  <c r="I25" i="1"/>
  <c r="G25" i="1"/>
  <c r="F25" i="1"/>
  <c r="E25" i="1"/>
  <c r="D25" i="1"/>
  <c r="C25" i="1"/>
  <c r="O24" i="1"/>
  <c r="M24" i="1"/>
  <c r="L24" i="1"/>
  <c r="K24" i="1"/>
  <c r="J24" i="1"/>
  <c r="I24" i="1"/>
  <c r="G24" i="1"/>
  <c r="F24" i="1"/>
  <c r="E24" i="1"/>
  <c r="D24" i="1"/>
  <c r="C24" i="1"/>
  <c r="B24" i="1"/>
  <c r="N23" i="1"/>
  <c r="L23" i="1"/>
  <c r="K23" i="1"/>
  <c r="J23" i="1"/>
  <c r="I23" i="1"/>
  <c r="G23" i="1"/>
  <c r="F23" i="1"/>
  <c r="E23" i="1"/>
  <c r="D23" i="1"/>
  <c r="C23" i="1"/>
  <c r="B23" i="1"/>
  <c r="K22" i="1"/>
  <c r="J22" i="1"/>
  <c r="I22" i="1"/>
  <c r="G22" i="1"/>
  <c r="F22" i="1"/>
  <c r="E22" i="1"/>
  <c r="D22" i="1"/>
  <c r="C22" i="1"/>
  <c r="L21" i="1"/>
  <c r="K21" i="1"/>
  <c r="J21" i="1"/>
  <c r="I21" i="1"/>
  <c r="G21" i="1"/>
  <c r="F21" i="1"/>
  <c r="E21" i="1"/>
  <c r="D21" i="1"/>
  <c r="C21" i="1"/>
  <c r="B21" i="1"/>
  <c r="K20" i="1"/>
  <c r="J20" i="1"/>
  <c r="I20" i="1"/>
  <c r="G20" i="1"/>
  <c r="F20" i="1"/>
  <c r="E20" i="1"/>
  <c r="D20" i="1"/>
  <c r="C20" i="1"/>
  <c r="K19" i="1"/>
  <c r="J19" i="1"/>
  <c r="I19" i="1"/>
  <c r="G19" i="1"/>
  <c r="F19" i="1"/>
  <c r="E19" i="1"/>
  <c r="D19" i="1"/>
  <c r="C19" i="1"/>
  <c r="L18" i="1"/>
  <c r="K18" i="1"/>
  <c r="J18" i="1"/>
  <c r="I18" i="1"/>
  <c r="G18" i="1"/>
  <c r="F18" i="1"/>
  <c r="E18" i="1"/>
  <c r="D18" i="1"/>
  <c r="C18" i="1"/>
  <c r="B18" i="1"/>
  <c r="K17" i="1"/>
  <c r="J17" i="1"/>
  <c r="I17" i="1"/>
  <c r="G17" i="1"/>
  <c r="F17" i="1"/>
  <c r="E17" i="1"/>
  <c r="D17" i="1"/>
  <c r="C17" i="1"/>
  <c r="L16" i="1"/>
  <c r="K16" i="1"/>
  <c r="J16" i="1"/>
  <c r="I16" i="1"/>
  <c r="G16" i="1"/>
  <c r="F16" i="1"/>
  <c r="E16" i="1"/>
  <c r="D16" i="1"/>
  <c r="C16" i="1"/>
  <c r="L15" i="1"/>
  <c r="K15" i="1"/>
  <c r="J15" i="1"/>
  <c r="I15" i="1"/>
  <c r="G15" i="1"/>
  <c r="F15" i="1"/>
  <c r="E15" i="1"/>
  <c r="D15" i="1"/>
  <c r="C15" i="1"/>
  <c r="B15" i="1"/>
  <c r="K14" i="1"/>
  <c r="J14" i="1"/>
  <c r="I14" i="1"/>
  <c r="G14" i="1"/>
  <c r="F14" i="1"/>
  <c r="E14" i="1"/>
  <c r="D14" i="1"/>
  <c r="C14" i="1"/>
  <c r="K13" i="1"/>
  <c r="J13" i="1"/>
  <c r="I13" i="1"/>
  <c r="G13" i="1"/>
  <c r="F13" i="1"/>
  <c r="E13" i="1"/>
  <c r="D13" i="1"/>
  <c r="C13" i="1"/>
  <c r="L12" i="1"/>
  <c r="K12" i="1"/>
  <c r="J12" i="1"/>
  <c r="I12" i="1"/>
  <c r="G12" i="1"/>
  <c r="F12" i="1"/>
  <c r="E12" i="1"/>
  <c r="D12" i="1"/>
  <c r="C12" i="1"/>
  <c r="B12" i="1"/>
  <c r="O11" i="1"/>
  <c r="M11" i="1"/>
  <c r="L11" i="1"/>
  <c r="K11" i="1"/>
  <c r="J11" i="1"/>
  <c r="I11" i="1"/>
  <c r="G11" i="1"/>
  <c r="F11" i="1"/>
  <c r="E11" i="1"/>
  <c r="D11" i="1"/>
  <c r="C11" i="1"/>
  <c r="B11" i="1"/>
  <c r="M10" i="1"/>
  <c r="L10" i="1"/>
  <c r="K10" i="1"/>
  <c r="J10" i="1"/>
  <c r="I10" i="1"/>
  <c r="G10" i="1"/>
  <c r="F10" i="1"/>
  <c r="E10" i="1"/>
  <c r="D10" i="1"/>
  <c r="C10" i="1"/>
  <c r="B10" i="1"/>
  <c r="K9" i="1"/>
  <c r="J9" i="1"/>
  <c r="I9" i="1"/>
  <c r="G9" i="1"/>
  <c r="F9" i="1"/>
  <c r="E9" i="1"/>
  <c r="D9" i="1"/>
  <c r="C9" i="1"/>
  <c r="L8" i="1"/>
  <c r="K8" i="1"/>
  <c r="J8" i="1"/>
  <c r="I8" i="1"/>
  <c r="G8" i="1"/>
  <c r="F8" i="1"/>
  <c r="E8" i="1"/>
  <c r="D8" i="1"/>
  <c r="C8" i="1"/>
  <c r="K7" i="1"/>
  <c r="J7" i="1"/>
  <c r="I7" i="1"/>
  <c r="G7" i="1"/>
  <c r="F7" i="1"/>
  <c r="E7" i="1"/>
  <c r="D7" i="1"/>
  <c r="C7" i="1"/>
  <c r="K6" i="1"/>
  <c r="J6" i="1"/>
  <c r="I6" i="1"/>
  <c r="G6" i="1"/>
  <c r="F6" i="1"/>
  <c r="E6" i="1"/>
  <c r="D6" i="1"/>
  <c r="C6" i="1"/>
  <c r="K5" i="1"/>
  <c r="J5" i="1"/>
  <c r="I5" i="1"/>
  <c r="G5" i="1"/>
  <c r="F5" i="1"/>
  <c r="E5" i="1"/>
  <c r="D5" i="1"/>
  <c r="C5" i="1"/>
  <c r="M4" i="1"/>
  <c r="L4" i="1"/>
  <c r="K4" i="1"/>
  <c r="J4" i="1"/>
  <c r="I4" i="1"/>
  <c r="G4" i="1"/>
  <c r="F4" i="1"/>
  <c r="E4" i="1"/>
  <c r="D4" i="1"/>
  <c r="C4" i="1"/>
  <c r="M3" i="1"/>
  <c r="L3" i="1"/>
  <c r="K3" i="1"/>
  <c r="J3" i="1"/>
  <c r="I3" i="1"/>
  <c r="G3" i="1"/>
  <c r="F3" i="1"/>
  <c r="E3" i="1"/>
  <c r="D3" i="1"/>
  <c r="C3" i="1"/>
  <c r="B3" i="1"/>
  <c r="O2" i="1"/>
  <c r="K2" i="1"/>
  <c r="J2" i="1"/>
  <c r="I2" i="1"/>
  <c r="G2" i="1"/>
  <c r="F2" i="1"/>
  <c r="E2" i="1"/>
  <c r="D2" i="1"/>
  <c r="C2" i="1"/>
  <c r="O1" i="1"/>
  <c r="N1" i="1"/>
  <c r="M1" i="1"/>
  <c r="L1" i="1"/>
  <c r="K1" i="1"/>
  <c r="J1" i="1"/>
  <c r="I1" i="1"/>
  <c r="H1" i="1"/>
  <c r="G1" i="1"/>
  <c r="F1" i="1"/>
  <c r="E1" i="1"/>
  <c r="D1" i="1"/>
  <c r="C1" i="1"/>
  <c r="B1" i="1"/>
  <c r="B25" i="7" l="1"/>
  <c r="B23" i="7"/>
  <c r="B16" i="7"/>
  <c r="B37" i="7"/>
  <c r="B24" i="7"/>
  <c r="B19" i="7"/>
  <c r="B15" i="7"/>
  <c r="D20" i="7"/>
  <c r="B33" i="7"/>
  <c r="B21" i="7"/>
  <c r="C33" i="7"/>
  <c r="C21" i="7"/>
  <c r="E25" i="7"/>
  <c r="E23" i="7"/>
  <c r="E16" i="7"/>
  <c r="E37" i="7"/>
  <c r="E24" i="7"/>
  <c r="E22" i="7"/>
  <c r="E19" i="7"/>
  <c r="E17" i="7"/>
  <c r="E15" i="7"/>
  <c r="C25" i="7"/>
  <c r="C23" i="7"/>
  <c r="C16" i="7"/>
  <c r="C37" i="7"/>
  <c r="C24" i="7"/>
  <c r="C19" i="7"/>
  <c r="C15" i="7"/>
  <c r="F25" i="7"/>
  <c r="F23" i="7"/>
  <c r="F16" i="7"/>
  <c r="F37" i="7"/>
  <c r="F24" i="7"/>
  <c r="F22" i="7"/>
  <c r="F19" i="7"/>
  <c r="F17" i="7"/>
  <c r="F15" i="7"/>
  <c r="D25" i="7"/>
  <c r="D23" i="7"/>
  <c r="D16" i="7"/>
  <c r="D37" i="7"/>
  <c r="D24" i="7"/>
  <c r="D22" i="7"/>
  <c r="D19" i="7"/>
  <c r="D17" i="7"/>
  <c r="D15" i="7"/>
  <c r="D18" i="7"/>
  <c r="E18" i="7"/>
  <c r="B18" i="7"/>
  <c r="B30" i="7"/>
  <c r="F18" i="7"/>
  <c r="C18" i="7"/>
  <c r="C30" i="7"/>
  <c r="B20" i="7"/>
  <c r="C20" i="7"/>
  <c r="B17" i="7"/>
  <c r="B22" i="7"/>
  <c r="B29" i="7"/>
  <c r="B32" i="7"/>
  <c r="C17" i="7"/>
  <c r="C22" i="7"/>
  <c r="C29" i="7"/>
  <c r="C32" i="7"/>
  <c r="D21" i="7"/>
  <c r="D30" i="7"/>
  <c r="E21" i="7"/>
  <c r="E30" i="7"/>
  <c r="F21" i="7"/>
  <c r="F30" i="7"/>
</calcChain>
</file>

<file path=xl/sharedStrings.xml><?xml version="1.0" encoding="utf-8"?>
<sst xmlns="http://schemas.openxmlformats.org/spreadsheetml/2006/main" count="559" uniqueCount="66">
  <si>
    <t>Sheet</t>
  </si>
  <si>
    <t>NoRef</t>
  </si>
  <si>
    <t>FixRef</t>
  </si>
  <si>
    <t>BugRef</t>
  </si>
  <si>
    <t>BothRef</t>
  </si>
  <si>
    <t>Rationale 1</t>
  </si>
  <si>
    <t>Backout</t>
  </si>
  <si>
    <t>Bug Dependency</t>
  </si>
  <si>
    <t>Bug Description</t>
  </si>
  <si>
    <t>File names are part of attachment title or commit messages</t>
  </si>
  <si>
    <t>File names are part of bug title, attachment title or commit messages</t>
  </si>
  <si>
    <t>File names are part of commit messages</t>
  </si>
  <si>
    <t>File to Reproduce the Bug</t>
  </si>
  <si>
    <t>Links</t>
  </si>
  <si>
    <t>Part of Code</t>
  </si>
  <si>
    <t>Solution Draft</t>
  </si>
  <si>
    <t>System Dumps</t>
  </si>
  <si>
    <t>Rationale 2</t>
  </si>
  <si>
    <t>Backout, so no file has been modified</t>
  </si>
  <si>
    <t>Bug Reproducibility</t>
  </si>
  <si>
    <t>Duplicate bug</t>
  </si>
  <si>
    <t xml:space="preserve">File contains the File to Reproduce the Bug that cause the failure </t>
  </si>
  <si>
    <t>File name in bug title and the commit message</t>
  </si>
  <si>
    <t>File name is in a link</t>
  </si>
  <si>
    <t>File names are part of bug title</t>
  </si>
  <si>
    <t>Incorrect filepath format</t>
  </si>
  <si>
    <t>Missing Mapping</t>
  </si>
  <si>
    <t>Solution draft</t>
  </si>
  <si>
    <t>Rationale 3</t>
  </si>
  <si>
    <t>Bug dependency</t>
  </si>
  <si>
    <t>Code Review</t>
  </si>
  <si>
    <t>File name in bug title</t>
  </si>
  <si>
    <t>No Fix</t>
  </si>
  <si>
    <t>Related to another bug</t>
  </si>
  <si>
    <t>Rationale 4</t>
  </si>
  <si>
    <t>Another file that is broken due to the bug</t>
  </si>
  <si>
    <t>The issue was not reproduced</t>
  </si>
  <si>
    <t>Iteration1: Disagreement</t>
  </si>
  <si>
    <t>COUNTA of Iteration1: Disagreement</t>
  </si>
  <si>
    <t>Agree</t>
  </si>
  <si>
    <t>Disagree</t>
  </si>
  <si>
    <t>Partial</t>
  </si>
  <si>
    <t>Grand Total</t>
  </si>
  <si>
    <t xml:space="preserve"> </t>
  </si>
  <si>
    <t>fix-related files -&gt; bug dependecy</t>
  </si>
  <si>
    <t>test cases -&gt; file to reproduce the bug</t>
  </si>
  <si>
    <t>log report, failure log -&gt; stack trace</t>
  </si>
  <si>
    <t>merge all backouts. the bug might be fixed or not by the backout</t>
  </si>
  <si>
    <t>merge links wiki logs or filename</t>
  </si>
  <si>
    <t>missing mapping and incorrect file path format not involved, it's a note</t>
  </si>
  <si>
    <t>duplicated -&gt; missing mapping</t>
  </si>
  <si>
    <t>caused by another bug -&gt; bug dependecy</t>
  </si>
  <si>
    <t>fix by another bug -&gt; bug dependency</t>
  </si>
  <si>
    <t>alert summary link -&gt; stack trace</t>
  </si>
  <si>
    <t>SUM of Count</t>
  </si>
  <si>
    <t>Cause</t>
  </si>
  <si>
    <t>FFC</t>
  </si>
  <si>
    <t>FBC</t>
  </si>
  <si>
    <t>FFBC</t>
  </si>
  <si>
    <t>FNC</t>
  </si>
  <si>
    <t>Artifact Reference</t>
  </si>
  <si>
    <t>Others</t>
  </si>
  <si>
    <t>Link to extra files</t>
  </si>
  <si>
    <t>FNC (NoRef)</t>
  </si>
  <si>
    <t>FBC (Extrinsic)</t>
  </si>
  <si>
    <t>FFC (Tangled)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</si>
</sst>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font>
      <sz val="10"/>
      <color rgb="FF000000"/>
      <name val="Arial"/>
      <scheme val="minor"/>
    </font>
    <font>
      <sz val="10"/>
      <color theme="1"/>
      <name val="Arial"/>
      <family val="2"/>
      <scheme val="minor"/>
    </font>
    <font>
      <u/>
      <sz val="10"/>
      <color rgb="FF0000FF"/>
      <name val="Arial"/>
      <family val="2"/>
    </font>
    <font>
      <sz val="9"/>
      <color rgb="FF000000"/>
      <name val="&quot;Google Sans Mono&quot;"/>
    </font>
    <font>
      <b/>
      <sz val="10"/>
      <color theme="1"/>
      <name val="Arial"/>
      <family val="2"/>
      <scheme val="minor"/>
    </font>
    <font>
      <sz val="10"/>
      <color rgb="FF000000"/>
      <name val="Arial"/>
      <family val="2"/>
    </font>
  </fonts>
  <fills count="6">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FF9900"/>
        <bgColor rgb="FFFF9900"/>
      </patternFill>
    </fill>
    <fill>
      <patternFill patternType="solid">
        <fgColor rgb="FFB6D7A8"/>
        <bgColor rgb="FFB6D7A8"/>
      </patternFill>
    </fill>
  </fills>
  <borders count="13">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right/>
      <top style="thin">
        <color rgb="FF999999"/>
      </top>
      <bottom/>
      <diagonal/>
    </border>
    <border>
      <left style="thin">
        <color rgb="FF999999"/>
      </left>
      <right style="thin">
        <color rgb="FF999999"/>
      </right>
      <top style="thin">
        <color rgb="FF999999"/>
      </top>
      <bottom/>
      <diagonal/>
    </border>
    <border>
      <left style="thin">
        <color rgb="FF999999"/>
      </left>
      <right/>
      <top/>
      <bottom/>
      <diagonal/>
    </border>
    <border>
      <left style="thin">
        <color rgb="FF999999"/>
      </left>
      <right style="thin">
        <color rgb="FF999999"/>
      </right>
      <top/>
      <bottom/>
      <diagonal/>
    </border>
    <border>
      <left style="thin">
        <color rgb="FF999999"/>
      </left>
      <right/>
      <top/>
      <bottom style="thin">
        <color rgb="FF999999"/>
      </bottom>
      <diagonal/>
    </border>
    <border>
      <left/>
      <right/>
      <top/>
      <bottom style="thin">
        <color rgb="FF999999"/>
      </bottom>
      <diagonal/>
    </border>
    <border>
      <left style="thin">
        <color rgb="FF999999"/>
      </left>
      <right style="thin">
        <color rgb="FF999999"/>
      </right>
      <top/>
      <bottom style="thin">
        <color rgb="FF999999"/>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s>
  <cellStyleXfs count="1">
    <xf numFmtId="0" fontId="0" fillId="0" borderId="0"/>
  </cellStyleXfs>
  <cellXfs count="38">
    <xf numFmtId="0" fontId="0" fillId="0" borderId="0" xfId="0"/>
    <xf numFmtId="0" fontId="1" fillId="2" borderId="0" xfId="0" applyFont="1" applyFill="1" applyAlignment="1">
      <alignment wrapText="1"/>
    </xf>
    <xf numFmtId="0" fontId="1" fillId="2" borderId="0" xfId="0" applyFont="1" applyFill="1"/>
    <xf numFmtId="0" fontId="1" fillId="0" borderId="0" xfId="0" applyFont="1" applyAlignment="1">
      <alignment wrapText="1"/>
    </xf>
    <xf numFmtId="0" fontId="2" fillId="0" borderId="0" xfId="0" applyFont="1" applyAlignment="1">
      <alignment wrapText="1"/>
    </xf>
    <xf numFmtId="0" fontId="3" fillId="3" borderId="0" xfId="0" applyFont="1" applyFill="1" applyAlignment="1">
      <alignment wrapText="1"/>
    </xf>
    <xf numFmtId="0" fontId="1" fillId="0" borderId="0" xfId="0" applyFont="1" applyAlignment="1">
      <alignment horizontal="center"/>
    </xf>
    <xf numFmtId="0" fontId="1" fillId="0" borderId="0" xfId="0" applyFont="1"/>
    <xf numFmtId="0" fontId="1" fillId="4" borderId="0" xfId="0" applyFont="1" applyFill="1"/>
    <xf numFmtId="0" fontId="1" fillId="4" borderId="0" xfId="0" applyFont="1" applyFill="1" applyAlignment="1">
      <alignment horizontal="center"/>
    </xf>
    <xf numFmtId="0" fontId="3" fillId="3" borderId="0" xfId="0" applyFont="1" applyFill="1"/>
    <xf numFmtId="0" fontId="4" fillId="5" borderId="0" xfId="0" applyFont="1" applyFill="1" applyAlignment="1">
      <alignment horizontal="left"/>
    </xf>
    <xf numFmtId="0" fontId="4" fillId="5" borderId="0" xfId="0" applyFont="1" applyFill="1" applyAlignment="1">
      <alignment horizontal="center"/>
    </xf>
    <xf numFmtId="0" fontId="1" fillId="5" borderId="0" xfId="0" applyFont="1" applyFill="1" applyAlignment="1">
      <alignment horizontal="center"/>
    </xf>
    <xf numFmtId="0" fontId="1" fillId="5" borderId="0" xfId="0" applyFont="1" applyFill="1" applyAlignment="1">
      <alignment horizontal="left"/>
    </xf>
    <xf numFmtId="0" fontId="1" fillId="5" borderId="0" xfId="0" applyFont="1" applyFill="1"/>
    <xf numFmtId="0" fontId="1" fillId="0" borderId="0" xfId="0" applyFont="1" applyAlignment="1">
      <alignment horizontal="left"/>
    </xf>
    <xf numFmtId="0" fontId="5" fillId="3" borderId="0" xfId="0" applyFont="1" applyFill="1" applyAlignment="1">
      <alignment horizontal="left"/>
    </xf>
    <xf numFmtId="164" fontId="1" fillId="0" borderId="0" xfId="0" applyNumberFormat="1" applyFont="1" applyAlignment="1">
      <alignment horizontal="center"/>
    </xf>
    <xf numFmtId="0" fontId="0" fillId="0" borderId="1" xfId="0" pivotButton="1" applyBorder="1"/>
    <xf numFmtId="0" fontId="0" fillId="0" borderId="2" xfId="0" applyBorder="1"/>
    <xf numFmtId="0" fontId="0" fillId="0" borderId="3" xfId="0" applyBorder="1"/>
    <xf numFmtId="0" fontId="0" fillId="0" borderId="1" xfId="0" applyBorder="1"/>
    <xf numFmtId="0" fontId="0" fillId="0" borderId="4" xfId="0" applyBorder="1"/>
    <xf numFmtId="0" fontId="0" fillId="0" borderId="5" xfId="0" applyBorder="1"/>
    <xf numFmtId="0" fontId="0" fillId="0" borderId="1" xfId="0" applyNumberFormat="1" applyBorder="1"/>
    <xf numFmtId="0" fontId="0" fillId="0" borderId="4" xfId="0" applyNumberFormat="1" applyBorder="1"/>
    <xf numFmtId="0" fontId="0" fillId="0" borderId="5" xfId="0" applyNumberFormat="1" applyBorder="1"/>
    <xf numFmtId="0" fontId="0" fillId="0" borderId="6" xfId="0" applyBorder="1"/>
    <xf numFmtId="0" fontId="0" fillId="0" borderId="6" xfId="0" applyNumberFormat="1" applyBorder="1"/>
    <xf numFmtId="0" fontId="0" fillId="0" borderId="0" xfId="0" applyNumberFormat="1"/>
    <xf numFmtId="0" fontId="0" fillId="0" borderId="7" xfId="0" applyNumberFormat="1" applyBorder="1"/>
    <xf numFmtId="0" fontId="0" fillId="0" borderId="8" xfId="0" applyBorder="1"/>
    <xf numFmtId="0" fontId="0" fillId="0" borderId="8" xfId="0" applyNumberFormat="1" applyBorder="1"/>
    <xf numFmtId="0" fontId="0" fillId="0" borderId="9" xfId="0" applyNumberFormat="1" applyBorder="1"/>
    <xf numFmtId="0" fontId="0" fillId="0" borderId="10" xfId="0" applyNumberFormat="1" applyBorder="1"/>
    <xf numFmtId="0" fontId="0" fillId="0" borderId="11" xfId="0" applyBorder="1"/>
    <xf numFmtId="0" fontId="0" fillId="0" borderId="12"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Pooja Rani, Pooja Rani (STUDENTS)" refreshedDate="45378.760399305553" refreshedVersion="8" recordCount="57" xr:uid="{00000000-000A-0000-FFFF-FFFF01000000}">
  <cacheSource type="worksheet">
    <worksheetSource ref="A1:Z1000" sheet="End_Count"/>
  </cacheSource>
  <cacheFields count="26">
    <cacheField name="Cause" numFmtId="0">
      <sharedItems containsBlank="1" count="26">
        <s v="Another file that is broken due to the bug"/>
        <s v="Backout"/>
        <s v="Bug Dependency"/>
        <s v="Bug Description"/>
        <s v="Bug Reproducibility"/>
        <s v="Code Review"/>
        <s v="Duplicate bug"/>
        <s v="File contains the File to Reproduce the Bug that cause the failure "/>
        <s v="File name in bug title"/>
        <s v="File name in bug title and the commit message"/>
        <s v="File name is in a link"/>
        <s v="File names are part of attachment title or commit messages"/>
        <s v="File names are part of bug title"/>
        <s v="File names are part of bug title, attachment title or commit messages"/>
        <s v="File names are part of commit messages"/>
        <s v="File to Reproduce the Bug"/>
        <s v="Incorrect filepath format"/>
        <s v="Links"/>
        <s v="Missing Mapping"/>
        <s v="No Fix"/>
        <s v="Part of Code"/>
        <s v="Related to another bug"/>
        <s v="Solution Draft"/>
        <s v="System Dumps"/>
        <s v="The issue was not reproduced"/>
        <m/>
      </sharedItems>
    </cacheField>
    <cacheField name="Sheet" numFmtId="0">
      <sharedItems containsBlank="1" count="5">
        <s v="NoRef"/>
        <s v="BothRef"/>
        <s v="BugRef"/>
        <s v="FixRef"/>
        <m/>
      </sharedItems>
    </cacheField>
    <cacheField name="Count" numFmtId="0">
      <sharedItems containsString="0" containsBlank="1" containsNumber="1" containsInteger="1" minValue="1" maxValue="118"/>
    </cacheField>
    <cacheField name=" " numFmtId="0">
      <sharedItems containsNonDate="0" containsString="0" containsBlank="1"/>
    </cacheField>
    <cacheField name=" 2" numFmtId="0">
      <sharedItems containsNonDate="0" containsString="0" containsBlank="1"/>
    </cacheField>
    <cacheField name=" 3" numFmtId="0">
      <sharedItems containsBlank="1"/>
    </cacheField>
    <cacheField name=" 4" numFmtId="0">
      <sharedItems containsNonDate="0" containsString="0" containsBlank="1"/>
    </cacheField>
    <cacheField name=" 5" numFmtId="0">
      <sharedItems containsNonDate="0" containsString="0" containsBlank="1"/>
    </cacheField>
    <cacheField name=" 6" numFmtId="0">
      <sharedItems containsNonDate="0" containsString="0" containsBlank="1"/>
    </cacheField>
    <cacheField name=" 7" numFmtId="0">
      <sharedItems containsNonDate="0" containsString="0" containsBlank="1"/>
    </cacheField>
    <cacheField name=" 8" numFmtId="0">
      <sharedItems containsNonDate="0" containsString="0" containsBlank="1"/>
    </cacheField>
    <cacheField name=" 9" numFmtId="0">
      <sharedItems containsNonDate="0" containsString="0" containsBlank="1"/>
    </cacheField>
    <cacheField name=" 10" numFmtId="0">
      <sharedItems containsNonDate="0" containsString="0" containsBlank="1"/>
    </cacheField>
    <cacheField name=" 11" numFmtId="0">
      <sharedItems containsNonDate="0" containsString="0" containsBlank="1"/>
    </cacheField>
    <cacheField name=" 12" numFmtId="0">
      <sharedItems containsNonDate="0" containsString="0" containsBlank="1"/>
    </cacheField>
    <cacheField name=" 13" numFmtId="0">
      <sharedItems containsNonDate="0" containsString="0" containsBlank="1"/>
    </cacheField>
    <cacheField name=" 14" numFmtId="0">
      <sharedItems containsNonDate="0" containsString="0" containsBlank="1"/>
    </cacheField>
    <cacheField name=" 15" numFmtId="0">
      <sharedItems containsNonDate="0" containsString="0" containsBlank="1"/>
    </cacheField>
    <cacheField name=" 16" numFmtId="0">
      <sharedItems containsNonDate="0" containsString="0" containsBlank="1"/>
    </cacheField>
    <cacheField name=" 17" numFmtId="0">
      <sharedItems containsNonDate="0" containsString="0" containsBlank="1"/>
    </cacheField>
    <cacheField name=" 18" numFmtId="0">
      <sharedItems containsNonDate="0" containsString="0" containsBlank="1"/>
    </cacheField>
    <cacheField name=" 19" numFmtId="0">
      <sharedItems containsNonDate="0" containsString="0" containsBlank="1"/>
    </cacheField>
    <cacheField name=" 20" numFmtId="0">
      <sharedItems containsNonDate="0" containsString="0" containsBlank="1"/>
    </cacheField>
    <cacheField name=" 21" numFmtId="0">
      <sharedItems containsNonDate="0" containsString="0" containsBlank="1"/>
    </cacheField>
    <cacheField name=" 22" numFmtId="0">
      <sharedItems containsNonDate="0" containsString="0" containsBlank="1"/>
    </cacheField>
    <cacheField name=" 23"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Pooja Rani, Pooja Rani (STUDENTS)" refreshedDate="45378.760399421299" refreshedVersion="8" recordCount="369" xr:uid="{00000000-000A-0000-FFFF-FFFF00000000}">
  <cacheSource type="worksheet">
    <worksheetSource ref="A1:N370" sheet="Aggregated_Data"/>
  </cacheSource>
  <cacheFields count="14">
    <cacheField name="Sheet" numFmtId="0">
      <sharedItems/>
    </cacheField>
    <cacheField name="Disagreement" numFmtId="0">
      <sharedItems containsBlank="1"/>
    </cacheField>
    <cacheField name="Iteration1: Disagreement" numFmtId="0">
      <sharedItems count="3">
        <s v="Agree"/>
        <s v="Partial"/>
        <s v="Disagree"/>
      </sharedItems>
    </cacheField>
    <cacheField name="index" numFmtId="0">
      <sharedItems containsSemiMixedTypes="0" containsString="0" containsNumber="1" containsInteger="1" minValue="0" maxValue="277"/>
    </cacheField>
    <cacheField name="Revision" numFmtId="0">
      <sharedItems/>
    </cacheField>
    <cacheField name="Reference Shared With" numFmtId="0">
      <sharedItems/>
    </cacheField>
    <cacheField name="fix_id" numFmtId="0">
      <sharedItems containsSemiMixedTypes="0" containsString="0" containsNumber="1" containsInteger="1" minValue="1200075" maxValue="1806780"/>
    </cacheField>
    <cacheField name="Bug ID" numFmtId="0">
      <sharedItems containsBlank="1"/>
    </cacheField>
    <cacheField name="fix_link" numFmtId="0">
      <sharedItems/>
    </cacheField>
    <cacheField name="referenced_files" numFmtId="0">
      <sharedItems/>
    </cacheField>
    <cacheField name="Rationale 1" numFmtId="0">
      <sharedItems/>
    </cacheField>
    <cacheField name="Rationale 2" numFmtId="0">
      <sharedItems containsBlank="1"/>
    </cacheField>
    <cacheField name="Rationale 3" numFmtId="0">
      <sharedItems containsBlank="1"/>
    </cacheField>
    <cacheField name="Rationale 4"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
  <r>
    <x v="0"/>
    <x v="0"/>
    <n v="1"/>
    <m/>
    <m/>
    <m/>
    <m/>
    <m/>
    <m/>
    <m/>
    <m/>
    <m/>
    <m/>
    <m/>
    <m/>
    <m/>
    <m/>
    <m/>
    <m/>
    <m/>
    <m/>
    <m/>
    <m/>
    <m/>
    <m/>
    <m/>
  </r>
  <r>
    <x v="1"/>
    <x v="1"/>
    <n v="3"/>
    <m/>
    <m/>
    <m/>
    <m/>
    <m/>
    <m/>
    <m/>
    <m/>
    <m/>
    <m/>
    <m/>
    <m/>
    <m/>
    <m/>
    <m/>
    <m/>
    <m/>
    <m/>
    <m/>
    <m/>
    <m/>
    <m/>
    <m/>
  </r>
  <r>
    <x v="1"/>
    <x v="2"/>
    <n v="7"/>
    <m/>
    <m/>
    <m/>
    <m/>
    <m/>
    <m/>
    <m/>
    <m/>
    <m/>
    <m/>
    <m/>
    <m/>
    <m/>
    <m/>
    <m/>
    <m/>
    <m/>
    <m/>
    <m/>
    <m/>
    <m/>
    <m/>
    <m/>
  </r>
  <r>
    <x v="1"/>
    <x v="3"/>
    <n v="2"/>
    <m/>
    <m/>
    <m/>
    <m/>
    <m/>
    <m/>
    <m/>
    <m/>
    <m/>
    <m/>
    <m/>
    <m/>
    <m/>
    <m/>
    <m/>
    <m/>
    <m/>
    <m/>
    <m/>
    <m/>
    <m/>
    <m/>
    <m/>
  </r>
  <r>
    <x v="1"/>
    <x v="0"/>
    <n v="7"/>
    <m/>
    <m/>
    <s v="fix-related files -&gt; bug dependecy"/>
    <m/>
    <m/>
    <m/>
    <m/>
    <m/>
    <m/>
    <m/>
    <m/>
    <m/>
    <m/>
    <m/>
    <m/>
    <m/>
    <m/>
    <m/>
    <m/>
    <m/>
    <m/>
    <m/>
    <m/>
  </r>
  <r>
    <x v="2"/>
    <x v="1"/>
    <n v="3"/>
    <m/>
    <m/>
    <s v="test cases -&gt; file to reproduce the bug"/>
    <m/>
    <m/>
    <m/>
    <m/>
    <m/>
    <m/>
    <m/>
    <m/>
    <m/>
    <m/>
    <m/>
    <m/>
    <m/>
    <m/>
    <m/>
    <m/>
    <m/>
    <m/>
    <m/>
    <m/>
  </r>
  <r>
    <x v="2"/>
    <x v="2"/>
    <n v="9"/>
    <m/>
    <m/>
    <m/>
    <m/>
    <m/>
    <m/>
    <m/>
    <m/>
    <m/>
    <m/>
    <m/>
    <m/>
    <m/>
    <m/>
    <m/>
    <m/>
    <m/>
    <m/>
    <m/>
    <m/>
    <m/>
    <m/>
    <m/>
  </r>
  <r>
    <x v="2"/>
    <x v="0"/>
    <n v="5"/>
    <m/>
    <m/>
    <m/>
    <m/>
    <m/>
    <m/>
    <m/>
    <m/>
    <m/>
    <m/>
    <m/>
    <m/>
    <m/>
    <m/>
    <m/>
    <m/>
    <m/>
    <m/>
    <m/>
    <m/>
    <m/>
    <m/>
    <m/>
  </r>
  <r>
    <x v="3"/>
    <x v="1"/>
    <n v="72"/>
    <m/>
    <m/>
    <m/>
    <m/>
    <m/>
    <m/>
    <m/>
    <m/>
    <m/>
    <m/>
    <m/>
    <m/>
    <m/>
    <m/>
    <m/>
    <m/>
    <m/>
    <m/>
    <m/>
    <m/>
    <m/>
    <m/>
    <m/>
  </r>
  <r>
    <x v="3"/>
    <x v="2"/>
    <n v="13"/>
    <m/>
    <m/>
    <m/>
    <m/>
    <m/>
    <m/>
    <m/>
    <m/>
    <m/>
    <m/>
    <m/>
    <m/>
    <m/>
    <m/>
    <m/>
    <m/>
    <m/>
    <m/>
    <m/>
    <m/>
    <m/>
    <m/>
    <m/>
  </r>
  <r>
    <x v="3"/>
    <x v="3"/>
    <n v="21"/>
    <m/>
    <m/>
    <m/>
    <m/>
    <m/>
    <m/>
    <m/>
    <m/>
    <m/>
    <m/>
    <m/>
    <m/>
    <m/>
    <m/>
    <m/>
    <m/>
    <m/>
    <m/>
    <m/>
    <m/>
    <m/>
    <m/>
    <m/>
  </r>
  <r>
    <x v="3"/>
    <x v="0"/>
    <n v="21"/>
    <m/>
    <m/>
    <m/>
    <m/>
    <m/>
    <m/>
    <m/>
    <m/>
    <m/>
    <m/>
    <m/>
    <m/>
    <m/>
    <m/>
    <m/>
    <m/>
    <m/>
    <m/>
    <m/>
    <m/>
    <m/>
    <m/>
    <m/>
  </r>
  <r>
    <x v="4"/>
    <x v="1"/>
    <n v="2"/>
    <m/>
    <m/>
    <s v="log report, failure log -&gt; stack trace"/>
    <m/>
    <m/>
    <m/>
    <m/>
    <m/>
    <m/>
    <m/>
    <m/>
    <m/>
    <m/>
    <m/>
    <m/>
    <m/>
    <m/>
    <m/>
    <m/>
    <m/>
    <m/>
    <m/>
    <m/>
  </r>
  <r>
    <x v="5"/>
    <x v="1"/>
    <n v="1"/>
    <m/>
    <m/>
    <m/>
    <m/>
    <m/>
    <m/>
    <m/>
    <m/>
    <m/>
    <m/>
    <m/>
    <m/>
    <m/>
    <m/>
    <m/>
    <m/>
    <m/>
    <m/>
    <m/>
    <m/>
    <m/>
    <m/>
    <m/>
  </r>
  <r>
    <x v="5"/>
    <x v="0"/>
    <n v="5"/>
    <m/>
    <m/>
    <m/>
    <m/>
    <m/>
    <m/>
    <m/>
    <m/>
    <m/>
    <m/>
    <m/>
    <m/>
    <m/>
    <m/>
    <m/>
    <m/>
    <m/>
    <m/>
    <m/>
    <m/>
    <m/>
    <m/>
    <m/>
  </r>
  <r>
    <x v="6"/>
    <x v="0"/>
    <n v="1"/>
    <m/>
    <m/>
    <m/>
    <m/>
    <m/>
    <m/>
    <m/>
    <m/>
    <m/>
    <m/>
    <m/>
    <m/>
    <m/>
    <m/>
    <m/>
    <m/>
    <m/>
    <m/>
    <m/>
    <m/>
    <m/>
    <m/>
    <m/>
  </r>
  <r>
    <x v="7"/>
    <x v="0"/>
    <n v="1"/>
    <m/>
    <m/>
    <m/>
    <m/>
    <m/>
    <m/>
    <m/>
    <m/>
    <m/>
    <m/>
    <m/>
    <m/>
    <m/>
    <m/>
    <m/>
    <m/>
    <m/>
    <m/>
    <m/>
    <m/>
    <m/>
    <m/>
    <m/>
  </r>
  <r>
    <x v="8"/>
    <x v="0"/>
    <n v="3"/>
    <m/>
    <m/>
    <s v="merge all backouts. the bug might be fixed or not by the backout"/>
    <m/>
    <m/>
    <m/>
    <m/>
    <m/>
    <m/>
    <m/>
    <m/>
    <m/>
    <m/>
    <m/>
    <m/>
    <m/>
    <m/>
    <m/>
    <m/>
    <m/>
    <m/>
    <m/>
    <m/>
  </r>
  <r>
    <x v="9"/>
    <x v="0"/>
    <n v="1"/>
    <m/>
    <m/>
    <s v="merge links wiki logs or filename"/>
    <m/>
    <m/>
    <m/>
    <m/>
    <m/>
    <m/>
    <m/>
    <m/>
    <m/>
    <m/>
    <m/>
    <m/>
    <m/>
    <m/>
    <m/>
    <m/>
    <m/>
    <m/>
    <m/>
    <m/>
  </r>
  <r>
    <x v="10"/>
    <x v="0"/>
    <n v="2"/>
    <m/>
    <m/>
    <s v="missing mapping and incorrect file path format not involved, it's a note"/>
    <m/>
    <m/>
    <m/>
    <m/>
    <m/>
    <m/>
    <m/>
    <m/>
    <m/>
    <m/>
    <m/>
    <m/>
    <m/>
    <m/>
    <m/>
    <m/>
    <m/>
    <m/>
    <m/>
    <m/>
  </r>
  <r>
    <x v="11"/>
    <x v="1"/>
    <n v="5"/>
    <m/>
    <m/>
    <s v="duplicated -&gt; missing mapping"/>
    <m/>
    <m/>
    <m/>
    <m/>
    <m/>
    <m/>
    <m/>
    <m/>
    <m/>
    <m/>
    <m/>
    <m/>
    <m/>
    <m/>
    <m/>
    <m/>
    <m/>
    <m/>
    <m/>
    <m/>
  </r>
  <r>
    <x v="11"/>
    <x v="3"/>
    <n v="3"/>
    <m/>
    <m/>
    <s v="caused by another bug -&gt; bug dependecy"/>
    <m/>
    <m/>
    <m/>
    <m/>
    <m/>
    <m/>
    <m/>
    <m/>
    <m/>
    <m/>
    <m/>
    <m/>
    <m/>
    <m/>
    <m/>
    <m/>
    <m/>
    <m/>
    <m/>
    <m/>
  </r>
  <r>
    <x v="12"/>
    <x v="1"/>
    <n v="27"/>
    <m/>
    <m/>
    <s v="fix by another bug -&gt; bug dependency"/>
    <m/>
    <m/>
    <m/>
    <m/>
    <m/>
    <m/>
    <m/>
    <m/>
    <m/>
    <m/>
    <m/>
    <m/>
    <m/>
    <m/>
    <m/>
    <m/>
    <m/>
    <m/>
    <m/>
    <m/>
  </r>
  <r>
    <x v="12"/>
    <x v="2"/>
    <n v="13"/>
    <m/>
    <m/>
    <s v="alert summary link -&gt; stack trace"/>
    <m/>
    <m/>
    <m/>
    <m/>
    <m/>
    <m/>
    <m/>
    <m/>
    <m/>
    <m/>
    <m/>
    <m/>
    <m/>
    <m/>
    <m/>
    <m/>
    <m/>
    <m/>
    <m/>
    <m/>
  </r>
  <r>
    <x v="12"/>
    <x v="3"/>
    <n v="4"/>
    <m/>
    <m/>
    <m/>
    <m/>
    <m/>
    <m/>
    <m/>
    <m/>
    <m/>
    <m/>
    <m/>
    <m/>
    <m/>
    <m/>
    <m/>
    <m/>
    <m/>
    <m/>
    <m/>
    <m/>
    <m/>
    <m/>
    <m/>
  </r>
  <r>
    <x v="13"/>
    <x v="1"/>
    <n v="46"/>
    <m/>
    <m/>
    <m/>
    <m/>
    <m/>
    <m/>
    <m/>
    <m/>
    <m/>
    <m/>
    <m/>
    <m/>
    <m/>
    <m/>
    <m/>
    <m/>
    <m/>
    <m/>
    <m/>
    <m/>
    <m/>
    <m/>
    <m/>
  </r>
  <r>
    <x v="13"/>
    <x v="2"/>
    <n v="8"/>
    <m/>
    <m/>
    <m/>
    <m/>
    <m/>
    <m/>
    <m/>
    <m/>
    <m/>
    <m/>
    <m/>
    <m/>
    <m/>
    <m/>
    <m/>
    <m/>
    <m/>
    <m/>
    <m/>
    <m/>
    <m/>
    <m/>
    <m/>
  </r>
  <r>
    <x v="13"/>
    <x v="3"/>
    <n v="8"/>
    <m/>
    <m/>
    <m/>
    <m/>
    <m/>
    <m/>
    <m/>
    <m/>
    <m/>
    <m/>
    <m/>
    <m/>
    <m/>
    <m/>
    <m/>
    <m/>
    <m/>
    <m/>
    <m/>
    <m/>
    <m/>
    <m/>
    <m/>
  </r>
  <r>
    <x v="13"/>
    <x v="0"/>
    <n v="1"/>
    <m/>
    <m/>
    <m/>
    <m/>
    <m/>
    <m/>
    <m/>
    <m/>
    <m/>
    <m/>
    <m/>
    <m/>
    <m/>
    <m/>
    <m/>
    <m/>
    <m/>
    <m/>
    <m/>
    <m/>
    <m/>
    <m/>
    <m/>
  </r>
  <r>
    <x v="14"/>
    <x v="1"/>
    <n v="1"/>
    <m/>
    <m/>
    <m/>
    <m/>
    <m/>
    <m/>
    <m/>
    <m/>
    <m/>
    <m/>
    <m/>
    <m/>
    <m/>
    <m/>
    <m/>
    <m/>
    <m/>
    <m/>
    <m/>
    <m/>
    <m/>
    <m/>
    <m/>
  </r>
  <r>
    <x v="15"/>
    <x v="1"/>
    <n v="9"/>
    <m/>
    <m/>
    <m/>
    <m/>
    <m/>
    <m/>
    <m/>
    <m/>
    <m/>
    <m/>
    <m/>
    <m/>
    <m/>
    <m/>
    <m/>
    <m/>
    <m/>
    <m/>
    <m/>
    <m/>
    <m/>
    <m/>
    <m/>
  </r>
  <r>
    <x v="15"/>
    <x v="2"/>
    <n v="4"/>
    <m/>
    <m/>
    <m/>
    <m/>
    <m/>
    <m/>
    <m/>
    <m/>
    <m/>
    <m/>
    <m/>
    <m/>
    <m/>
    <m/>
    <m/>
    <m/>
    <m/>
    <m/>
    <m/>
    <m/>
    <m/>
    <m/>
    <m/>
  </r>
  <r>
    <x v="15"/>
    <x v="3"/>
    <n v="3"/>
    <m/>
    <m/>
    <m/>
    <m/>
    <m/>
    <m/>
    <m/>
    <m/>
    <m/>
    <m/>
    <m/>
    <m/>
    <m/>
    <m/>
    <m/>
    <m/>
    <m/>
    <m/>
    <m/>
    <m/>
    <m/>
    <m/>
    <m/>
  </r>
  <r>
    <x v="15"/>
    <x v="0"/>
    <n v="29"/>
    <m/>
    <m/>
    <m/>
    <m/>
    <m/>
    <m/>
    <m/>
    <m/>
    <m/>
    <m/>
    <m/>
    <m/>
    <m/>
    <m/>
    <m/>
    <m/>
    <m/>
    <m/>
    <m/>
    <m/>
    <m/>
    <m/>
    <m/>
  </r>
  <r>
    <x v="15"/>
    <x v="2"/>
    <n v="1"/>
    <m/>
    <m/>
    <m/>
    <m/>
    <m/>
    <m/>
    <m/>
    <m/>
    <m/>
    <m/>
    <m/>
    <m/>
    <m/>
    <m/>
    <m/>
    <m/>
    <m/>
    <m/>
    <m/>
    <m/>
    <m/>
    <m/>
    <m/>
  </r>
  <r>
    <x v="16"/>
    <x v="2"/>
    <n v="1"/>
    <m/>
    <m/>
    <m/>
    <m/>
    <m/>
    <m/>
    <m/>
    <m/>
    <m/>
    <m/>
    <m/>
    <m/>
    <m/>
    <m/>
    <m/>
    <m/>
    <m/>
    <m/>
    <m/>
    <m/>
    <m/>
    <m/>
    <m/>
  </r>
  <r>
    <x v="16"/>
    <x v="0"/>
    <n v="6"/>
    <m/>
    <m/>
    <m/>
    <m/>
    <m/>
    <m/>
    <m/>
    <m/>
    <m/>
    <m/>
    <m/>
    <m/>
    <m/>
    <m/>
    <m/>
    <m/>
    <m/>
    <m/>
    <m/>
    <m/>
    <m/>
    <m/>
    <m/>
  </r>
  <r>
    <x v="17"/>
    <x v="1"/>
    <n v="3"/>
    <m/>
    <m/>
    <m/>
    <m/>
    <m/>
    <m/>
    <m/>
    <m/>
    <m/>
    <m/>
    <m/>
    <m/>
    <m/>
    <m/>
    <m/>
    <m/>
    <m/>
    <m/>
    <m/>
    <m/>
    <m/>
    <m/>
    <m/>
  </r>
  <r>
    <x v="17"/>
    <x v="2"/>
    <n v="3"/>
    <m/>
    <m/>
    <m/>
    <m/>
    <m/>
    <m/>
    <m/>
    <m/>
    <m/>
    <m/>
    <m/>
    <m/>
    <m/>
    <m/>
    <m/>
    <m/>
    <m/>
    <m/>
    <m/>
    <m/>
    <m/>
    <m/>
    <m/>
  </r>
  <r>
    <x v="17"/>
    <x v="3"/>
    <n v="2"/>
    <m/>
    <m/>
    <m/>
    <m/>
    <m/>
    <m/>
    <m/>
    <m/>
    <m/>
    <m/>
    <m/>
    <m/>
    <m/>
    <m/>
    <m/>
    <m/>
    <m/>
    <m/>
    <m/>
    <m/>
    <m/>
    <m/>
    <m/>
  </r>
  <r>
    <x v="17"/>
    <x v="0"/>
    <n v="10"/>
    <m/>
    <m/>
    <m/>
    <m/>
    <m/>
    <m/>
    <m/>
    <m/>
    <m/>
    <m/>
    <m/>
    <m/>
    <m/>
    <m/>
    <m/>
    <m/>
    <m/>
    <m/>
    <m/>
    <m/>
    <m/>
    <m/>
    <m/>
  </r>
  <r>
    <x v="18"/>
    <x v="0"/>
    <n v="12"/>
    <m/>
    <m/>
    <m/>
    <m/>
    <m/>
    <m/>
    <m/>
    <m/>
    <m/>
    <m/>
    <m/>
    <m/>
    <m/>
    <m/>
    <m/>
    <m/>
    <m/>
    <m/>
    <m/>
    <m/>
    <m/>
    <m/>
    <m/>
  </r>
  <r>
    <x v="19"/>
    <x v="1"/>
    <n v="1"/>
    <m/>
    <m/>
    <m/>
    <m/>
    <m/>
    <m/>
    <m/>
    <m/>
    <m/>
    <m/>
    <m/>
    <m/>
    <m/>
    <m/>
    <m/>
    <m/>
    <m/>
    <m/>
    <m/>
    <m/>
    <m/>
    <m/>
    <m/>
  </r>
  <r>
    <x v="19"/>
    <x v="2"/>
    <n v="1"/>
    <m/>
    <m/>
    <m/>
    <m/>
    <m/>
    <m/>
    <m/>
    <m/>
    <m/>
    <m/>
    <m/>
    <m/>
    <m/>
    <m/>
    <m/>
    <m/>
    <m/>
    <m/>
    <m/>
    <m/>
    <m/>
    <m/>
    <m/>
  </r>
  <r>
    <x v="20"/>
    <x v="1"/>
    <n v="2"/>
    <m/>
    <m/>
    <m/>
    <m/>
    <m/>
    <m/>
    <m/>
    <m/>
    <m/>
    <m/>
    <m/>
    <m/>
    <m/>
    <m/>
    <m/>
    <m/>
    <m/>
    <m/>
    <m/>
    <m/>
    <m/>
    <m/>
    <m/>
  </r>
  <r>
    <x v="20"/>
    <x v="0"/>
    <n v="2"/>
    <m/>
    <m/>
    <m/>
    <m/>
    <m/>
    <m/>
    <m/>
    <m/>
    <m/>
    <m/>
    <m/>
    <m/>
    <m/>
    <m/>
    <m/>
    <m/>
    <m/>
    <m/>
    <m/>
    <m/>
    <m/>
    <m/>
    <m/>
  </r>
  <r>
    <x v="21"/>
    <x v="0"/>
    <n v="1"/>
    <m/>
    <m/>
    <m/>
    <m/>
    <m/>
    <m/>
    <m/>
    <m/>
    <m/>
    <m/>
    <m/>
    <m/>
    <m/>
    <m/>
    <m/>
    <m/>
    <m/>
    <m/>
    <m/>
    <m/>
    <m/>
    <m/>
    <m/>
  </r>
  <r>
    <x v="22"/>
    <x v="1"/>
    <n v="21"/>
    <m/>
    <m/>
    <m/>
    <m/>
    <m/>
    <m/>
    <m/>
    <m/>
    <m/>
    <m/>
    <m/>
    <m/>
    <m/>
    <m/>
    <m/>
    <m/>
    <m/>
    <m/>
    <m/>
    <m/>
    <m/>
    <m/>
    <m/>
  </r>
  <r>
    <x v="22"/>
    <x v="2"/>
    <n v="5"/>
    <m/>
    <m/>
    <m/>
    <m/>
    <m/>
    <m/>
    <m/>
    <m/>
    <m/>
    <m/>
    <m/>
    <m/>
    <m/>
    <m/>
    <m/>
    <m/>
    <m/>
    <m/>
    <m/>
    <m/>
    <m/>
    <m/>
    <m/>
  </r>
  <r>
    <x v="22"/>
    <x v="3"/>
    <n v="4"/>
    <m/>
    <m/>
    <m/>
    <m/>
    <m/>
    <m/>
    <m/>
    <m/>
    <m/>
    <m/>
    <m/>
    <m/>
    <m/>
    <m/>
    <m/>
    <m/>
    <m/>
    <m/>
    <m/>
    <m/>
    <m/>
    <m/>
    <m/>
  </r>
  <r>
    <x v="22"/>
    <x v="0"/>
    <n v="19"/>
    <m/>
    <m/>
    <m/>
    <m/>
    <m/>
    <m/>
    <m/>
    <m/>
    <m/>
    <m/>
    <m/>
    <m/>
    <m/>
    <m/>
    <m/>
    <m/>
    <m/>
    <m/>
    <m/>
    <m/>
    <m/>
    <m/>
    <m/>
  </r>
  <r>
    <x v="23"/>
    <x v="1"/>
    <n v="118"/>
    <m/>
    <m/>
    <m/>
    <m/>
    <m/>
    <m/>
    <m/>
    <m/>
    <m/>
    <m/>
    <m/>
    <m/>
    <m/>
    <m/>
    <m/>
    <m/>
    <m/>
    <m/>
    <m/>
    <m/>
    <m/>
    <m/>
    <m/>
  </r>
  <r>
    <x v="23"/>
    <x v="2"/>
    <n v="38"/>
    <m/>
    <m/>
    <m/>
    <m/>
    <m/>
    <m/>
    <m/>
    <m/>
    <m/>
    <m/>
    <m/>
    <m/>
    <m/>
    <m/>
    <m/>
    <m/>
    <m/>
    <m/>
    <m/>
    <m/>
    <m/>
    <m/>
    <m/>
  </r>
  <r>
    <x v="23"/>
    <x v="3"/>
    <n v="20"/>
    <m/>
    <m/>
    <m/>
    <m/>
    <m/>
    <m/>
    <m/>
    <m/>
    <m/>
    <m/>
    <m/>
    <m/>
    <m/>
    <m/>
    <m/>
    <m/>
    <m/>
    <m/>
    <m/>
    <m/>
    <m/>
    <m/>
    <m/>
  </r>
  <r>
    <x v="23"/>
    <x v="0"/>
    <n v="64"/>
    <m/>
    <m/>
    <m/>
    <m/>
    <m/>
    <m/>
    <m/>
    <m/>
    <m/>
    <m/>
    <m/>
    <m/>
    <m/>
    <m/>
    <m/>
    <m/>
    <m/>
    <m/>
    <m/>
    <m/>
    <m/>
    <m/>
    <m/>
  </r>
  <r>
    <x v="24"/>
    <x v="2"/>
    <n v="1"/>
    <m/>
    <m/>
    <m/>
    <m/>
    <m/>
    <m/>
    <m/>
    <m/>
    <m/>
    <m/>
    <m/>
    <m/>
    <m/>
    <m/>
    <m/>
    <m/>
    <m/>
    <m/>
    <m/>
    <m/>
    <m/>
    <m/>
    <m/>
  </r>
  <r>
    <x v="25"/>
    <x v="4"/>
    <m/>
    <m/>
    <m/>
    <m/>
    <m/>
    <m/>
    <m/>
    <m/>
    <m/>
    <m/>
    <m/>
    <m/>
    <m/>
    <m/>
    <m/>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
  <r>
    <s v="NoRef"/>
    <m/>
    <x v="0"/>
    <n v="0"/>
    <s v="Yes"/>
    <s v="NoRef"/>
    <n v="1660100"/>
    <m/>
    <s v="https://bugzilla.mozilla.org/show_bug.cgi?id=1660100"/>
    <s v="['firefox-source-docs.mozilla.org/bug-mgmt/guides/priority.html']"/>
    <s v="Links"/>
    <m/>
    <m/>
    <m/>
  </r>
  <r>
    <s v="NoRef"/>
    <s v="Agree"/>
    <x v="1"/>
    <n v="1"/>
    <s v="Yes"/>
    <s v="NoRef"/>
    <n v="1664588"/>
    <m/>
    <s v="https://bugzilla.mozilla.org/show_bug.cgi?id=1664588"/>
    <s v="['treeherder.mozilla.org/logviewer.html', 'testing/mozbase/mozprofile/tests/test_preferences.py', 'builds/worker/checkouts/gecko/testing/mozbase/mozproxy/tests/test_utils.py', '%d/prefs_with_comments.js', 'builds/worker/checkouts/gecko/config/mozunit/mozu"/>
    <s v="System Dumps"/>
    <s v="Backout"/>
    <s v="File name in bug title"/>
    <m/>
  </r>
  <r>
    <s v="NoRef"/>
    <m/>
    <x v="0"/>
    <n v="2"/>
    <s v="Yes"/>
    <s v="NoRef"/>
    <n v="1535459"/>
    <m/>
    <s v="https://bugzilla.mozilla.org/show_bug.cgi?id=1535459"/>
    <s v="['marionette/content/driver.js', 'marionette/content/transport.js', 'marionette/content/evaluate.js', 'mochikit/content/browser-test.js', 'api.js', 'treeherder.mozilla.org/logviewer.html', 'missing_beta_status.py', 'mochikit/content/mochitest-e10s-utils.j"/>
    <s v="System Dumps"/>
    <s v="Links"/>
    <s v="File name in bug title"/>
    <m/>
  </r>
  <r>
    <s v="NoRef"/>
    <m/>
    <x v="0"/>
    <n v="3"/>
    <s v="Yes"/>
    <s v="NoRef"/>
    <n v="1662287"/>
    <m/>
    <s v="https://bugzilla.mozilla.org/show_bug.cgi?id=1662287"/>
    <s v="['support.txt']"/>
    <s v="File to Reproduce the Bug"/>
    <m/>
    <m/>
    <m/>
  </r>
  <r>
    <s v="NoRef"/>
    <m/>
    <x v="0"/>
    <n v="4"/>
    <s v="Yes"/>
    <s v="NoRef"/>
    <n v="1628660"/>
    <m/>
    <s v="https://bugzilla.mozilla.org/show_bug.cgi?id=1628660"/>
    <s v="['objdir/dom/bindings/TestExampleWorkerInterface-example.h', 'objdir/dom/bindings/TestExampleInterface-example.h', 'objdir/dom/bindings/TestExampleProxyInterface-example.cpp', 'objdir/dom/bindings/TestExampleWorkerInterface-example.cpp', 'objdir/dom/bindi"/>
    <s v="System Dumps"/>
    <m/>
    <m/>
    <m/>
  </r>
  <r>
    <s v="NoRef"/>
    <m/>
    <x v="0"/>
    <n v="5"/>
    <s v="Yes"/>
    <s v="NoRef"/>
    <n v="1716588"/>
    <m/>
    <s v="https://bugzilla.mozilla.org/show_bug.cgi?id=1716588"/>
    <s v="['library/core/src/panicking.rs', 'library/core/src/option.rs', 'mozglue/static/rust/lib.rs', 'library/std/src/sys_common/backtrace.rs', 'library/std/src/time.rs', '../88f19c6dab716c6281af7602e30f413e809c5974/library/core/src/ops/function.rs', 'library/st"/>
    <s v="System Dumps"/>
    <m/>
    <m/>
    <m/>
  </r>
  <r>
    <s v="NoRef"/>
    <m/>
    <x v="0"/>
    <n v="6"/>
    <s v="Yes"/>
    <s v="NoRef"/>
    <n v="1616113"/>
    <m/>
    <s v="https://bugzilla.mozilla.org/show_bug.cgi?id=1616113"/>
    <s v="['activity-stream/lib/Screenshots.jsm', 'treeherder.mozilla.org/logviewer.html', 'activity-stream/lib/TopSitesFeed.jsm', 'global/content/elements/panel.js', 'layout/inspector/tests/chrome/test_bug467669.xhtml', 'treeherder.mozilla.org/intermittent-failure"/>
    <s v="System Dumps"/>
    <s v="File to Reproduce the Bug"/>
    <m/>
    <m/>
  </r>
  <r>
    <s v="NoRef"/>
    <m/>
    <x v="0"/>
    <n v="7"/>
    <s v="Yes"/>
    <s v="NoRef"/>
    <n v="1787167"/>
    <m/>
    <s v="https://bugzilla.mozilla.org/show_bug.cgi?id=1787167"/>
    <s v="['mochitests/content/browser/browser/base/content/test/performance/browser_startup_images.js', 'searchfox.org/mozilla-central/rev/3b3339b3a56c5434dfbbc250c8e8fc5cd43d07ca/browser/base/content/test/performance/lowdpi/browser.ini', 'browser/base/content/tes"/>
    <s v="System Dumps"/>
    <m/>
    <m/>
    <m/>
  </r>
  <r>
    <s v="NoRef"/>
    <s v="Agree"/>
    <x v="1"/>
    <n v="8"/>
    <s v="Yes"/>
    <s v="NoRef"/>
    <n v="1617371"/>
    <m/>
    <s v="https://bugzilla.mozilla.org/show_bug.cgi?id=1617371"/>
    <s v="['searchfox.org/comm-central/rev/631e8b52544ba72abc8a1ab9551a57f3a6441960/mailnews/base/src/nsMailDirProvider.cpp', 'mozmill.jsm']"/>
    <s v="Solution Draft"/>
    <s v="File name in bug title and the commit message"/>
    <s v="Missing Mapping"/>
    <m/>
  </r>
  <r>
    <s v="NoRef"/>
    <s v="Agree"/>
    <x v="1"/>
    <n v="9"/>
    <s v="Yes"/>
    <s v="NoRef"/>
    <n v="1798863"/>
    <m/>
    <s v="https://bugzilla.mozilla.org/show_bug.cgi?id=1798863"/>
    <s v="['hg.mozilla.org/mozilla-central/raw-file/tip/layout/tools/reftest/reftest-analyzer.xhtml', 'opt/worker/tasks/task_1667461368/build/tests/reftest/tests/dom/media/test/reftest/reftest_video.html']"/>
    <s v="System Dumps"/>
    <s v="File name is in a link"/>
    <s v="File name is in a link"/>
    <m/>
  </r>
  <r>
    <s v="NoRef"/>
    <s v="Agree"/>
    <x v="2"/>
    <n v="10"/>
    <s v="Yes"/>
    <s v="NoRef"/>
    <n v="1730738"/>
    <m/>
    <s v="https://bugzilla.mozilla.org/show_bug.cgi?id=1730738"/>
    <s v="['nsMsgSendLater.cpp', 'MessageSend.jsm', 'SendLater.cpp']"/>
    <s v="Bug Description"/>
    <s v="Missing Mapping"/>
    <m/>
    <m/>
  </r>
  <r>
    <s v="NoRef"/>
    <m/>
    <x v="0"/>
    <n v="11"/>
    <s v="Yes"/>
    <s v="NoRef"/>
    <n v="1620458"/>
    <m/>
    <s v="https://bugzilla.mozilla.org/show_bug.cgi?id=1620458"/>
    <s v="['GeckoSurfaceTexture.java', 'Binder.java', 'SurfaceTexture.java', 'SurfaceAllocatorService.java', 'ISurfaceAllocator.java', 'searchfox.org/mozilla-central/rev/4166c15e2a99a23a9b38ad62c9fdfe8e5448b354/dom/media/AutoplayPolicy.cpp']"/>
    <s v="System Dumps"/>
    <m/>
    <m/>
    <m/>
  </r>
  <r>
    <s v="NoRef"/>
    <m/>
    <x v="0"/>
    <n v="12"/>
    <s v="Yes"/>
    <s v="NoRef"/>
    <n v="1649458"/>
    <m/>
    <s v="https://bugzilla.mozilla.org/show_bug.cgi?id=1649458"/>
    <s v="['usr/local/lib/python3.8/site-packages/build_decision/repository.py', 'usr/local/lib/python3.8/site-packages/build_decision/cli.py', 'usr/local/lib/python3.8/site-packages/build_decision/util/cli.py']"/>
    <s v="System Dumps"/>
    <m/>
    <m/>
    <m/>
  </r>
  <r>
    <s v="NoRef"/>
    <s v="Agree"/>
    <x v="1"/>
    <n v="13"/>
    <s v="Yes"/>
    <s v="NoRef"/>
    <n v="1667179"/>
    <m/>
    <s v="https://bugzilla.mozilla.org/show_bug.cgi?id=1667179"/>
    <s v="['advisory.txt', 'onecrl.json']"/>
    <s v="Bug Dependency"/>
    <s v="Bug Description"/>
    <m/>
    <m/>
  </r>
  <r>
    <s v="NoRef"/>
    <m/>
    <x v="0"/>
    <n v="14"/>
    <s v="Yes"/>
    <s v="NoRef"/>
    <n v="1522950"/>
    <m/>
    <s v="https://bugzilla.mozilla.org/show_bug.cgi?id=1522950"/>
    <s v="['builds/worker/workspace/build/tests/web-platform/prefs/lsan_suppressions.txt', 'treeherder.mozilla.org/logviewer.html', 'testing/mozbase/mozrunner/mozrunner/utils.py', 'treeherder.mozilla.org/intermittent-failures.html', 'runtests.py', 'fetch/api/abort/"/>
    <s v="System Dumps"/>
    <s v="File contains the File to Reproduce the Bug that cause the failure "/>
    <m/>
    <m/>
  </r>
  <r>
    <s v="NoRef"/>
    <m/>
    <x v="0"/>
    <n v="15"/>
    <s v="Yes"/>
    <s v="NoRef"/>
    <n v="1657581"/>
    <m/>
    <s v="https://bugzilla.mozilla.org/show_bug.cgi?id=1657581"/>
    <s v="['luke-chang.github.io/autofill-demo/basic_cc.html']"/>
    <s v="File to Reproduce the Bug"/>
    <m/>
    <m/>
    <m/>
  </r>
  <r>
    <s v="NoRef"/>
    <s v="Agree"/>
    <x v="1"/>
    <n v="16"/>
    <s v="Yes"/>
    <s v="NoRef"/>
    <n v="1645384"/>
    <m/>
    <s v="1645384 - &quot;More Information&quot; link of &quot;Install dependencies (non-Windows)&quot; in Firefox source docs Contributors’ Quick Reference is broken"/>
    <s v="['firefox-source-docs.mozilla.org/setup/macos_build.html', 'firefox-source-docs.mozilla.org/contributing/contribution_quickref.html', 'firefox-source-docs.mozilla.org/setup/linux_build.html']"/>
    <s v="Bug Description"/>
    <s v="Links"/>
    <m/>
    <m/>
  </r>
  <r>
    <s v="NoRef"/>
    <m/>
    <x v="0"/>
    <n v="17"/>
    <s v="Yes"/>
    <s v="NoRef"/>
    <n v="1722890"/>
    <m/>
    <s v="https://bugzilla.mozilla.org/show_bug.cgi?id=1722890"/>
    <s v="['footer_testing.html']"/>
    <s v="File to Reproduce the Bug"/>
    <m/>
    <m/>
    <m/>
  </r>
  <r>
    <s v="NoRef"/>
    <m/>
    <x v="0"/>
    <n v="18"/>
    <s v="Yes"/>
    <s v="NoRef"/>
    <n v="1598841"/>
    <m/>
    <s v="https://bugzilla.mozilla.org/show_bug.cgi?id=1598841"/>
    <s v="['helpx.adobe.com/flash-player.html']"/>
    <s v="File to Reproduce the Bug"/>
    <m/>
    <m/>
    <m/>
  </r>
  <r>
    <s v="NoRef"/>
    <s v="Agree"/>
    <x v="2"/>
    <n v="19"/>
    <s v="Yes"/>
    <s v="NoRef"/>
    <n v="1722958"/>
    <m/>
    <s v="https://bugzilla.mozilla.org/show_bug.cgi?id=1722958"/>
    <s v="['browser.xhtml']"/>
    <s v="Bug Description"/>
    <s v="Backout"/>
    <m/>
    <m/>
  </r>
  <r>
    <s v="NoRef"/>
    <m/>
    <x v="0"/>
    <n v="20"/>
    <s v="Yes"/>
    <s v="NoRef"/>
    <n v="1755569"/>
    <m/>
    <s v="https://bugzilla.mozilla.org/show_bug.cgi?id=1755569"/>
    <s v="['python/mozbuild/mozbuild/test/test_vendor.py', 'mach_virtualenv_packages.txt', 'builds/worker/checkouts/gecko/python/mozbuild/mozbuild/test/configure/test_toolchain_configure.py', 'python/mozbuild/mozbuild/test/configure/test_toolchain_configure.py', 'u"/>
    <s v="System Dumps"/>
    <m/>
    <m/>
    <m/>
  </r>
  <r>
    <s v="NoRef"/>
    <s v="Agree"/>
    <x v="2"/>
    <n v="21"/>
    <s v="Yes"/>
    <s v="NoRef"/>
    <n v="1709678"/>
    <m/>
    <s v="https://bugzilla.mozilla.org/show_bug.cgi?id=1709678"/>
    <s v="['searchfox.org/comm-central/rev/343b0f067aa13526b37b3254f614d1bfe9feeba2/mail/components/im/content/chat-conversation.js', 'comm/mail/components/im/test/browser/browser_logs.js']"/>
    <s v="Bug Description"/>
    <s v="Missing Mapping"/>
    <m/>
    <s v="Another file that is broken due to the bug"/>
  </r>
  <r>
    <s v="NoRef"/>
    <s v="Agree"/>
    <x v="1"/>
    <n v="22"/>
    <s v="Yes"/>
    <s v="NoRef"/>
    <n v="1692677"/>
    <m/>
    <s v="https://bugzilla.mozilla.org/show_bug.cgi?id=1692677"/>
    <s v="['searchfox.org/comm-central/rev/e041628b77df22c5f6e793733890e0c3709991d4/mail/components/compose/content/messengercompose.xhtml', 'hg.mozilla.org/comm-central/diff/8bb80263dee66803a38e74bc0bca714a1ab3620d/mail/themes/shared/mail/messengercompose.css', 'b"/>
    <s v="System Dumps"/>
    <s v="Bug Description"/>
    <s v="File name in bug title"/>
    <m/>
  </r>
  <r>
    <s v="NoRef"/>
    <m/>
    <x v="0"/>
    <n v="23"/>
    <s v="Yes"/>
    <s v="NoRef"/>
    <n v="1561450"/>
    <m/>
    <s v="https://bugzilla.mozilla.org/show_bug.cgi?id=1561450"/>
    <s v="['N.css', 'P.css']"/>
    <s v="Part of Code"/>
    <m/>
    <m/>
    <m/>
  </r>
  <r>
    <s v="NoRef"/>
    <m/>
    <x v="0"/>
    <n v="24"/>
    <s v="Yes"/>
    <s v="NoRef"/>
    <n v="1774125"/>
    <m/>
    <s v="https://bugzilla.mozilla.org/show_bug.cgi?id=1774125"/>
    <s v="['library/core/src/panicking.rs', 'mozglue/static/rust/lib.rs', 'library/std/src/sys_common/backtrace.rs', '../fe5b13d681f25ee6474be29d748c65adcd91f69e/library/core/src/ops/function.rs', 'library/std/src/panicking.rs', 'mozglue/static/rust/wrappers.cpp']"/>
    <s v="System Dumps"/>
    <s v="Backout"/>
    <m/>
    <m/>
  </r>
  <r>
    <s v="NoRef"/>
    <m/>
    <x v="0"/>
    <n v="25"/>
    <s v="Yes"/>
    <s v="NoRef"/>
    <n v="1764725"/>
    <m/>
    <s v="https://bugzilla.mozilla.org/show_bug.cgi?id=1764725"/>
    <s v="['builds/worker/workspace/obj-build/dist/include/gmock/internal/gmock-internal-utils.h', 'builds/worker/workspace/obj-build/dist/include/gtest/gtest.h', 'builds/worker/workspace/obj-build/dist/include/gmock/gmock-actions.h', 'builds/worker/workspace/obj-b"/>
    <s v="System Dumps"/>
    <m/>
    <m/>
    <m/>
  </r>
  <r>
    <s v="NoRef"/>
    <m/>
    <x v="0"/>
    <n v="26"/>
    <s v="Yes"/>
    <s v="NoRef"/>
    <n v="1659973"/>
    <m/>
    <s v="https://bugzilla.mozilla.org/show_bug.cgi?id=1659973"/>
    <s v="['8888/tests/SimpleTest/TestRunner.js', 'builds/worker/checkouts/gecko/xpcom/base/nsCycleCollector.cpp', 'builds/worker/checkouts/gecko/modules/libpref/Preferences.cpp', 'treeherder.mozilla.org/logviewer.html', 'builds/worker/checkouts/gecko/xpcom/base/ns"/>
    <s v="System Dumps"/>
    <m/>
    <m/>
    <m/>
  </r>
  <r>
    <s v="NoRef"/>
    <s v="Agree"/>
    <x v="2"/>
    <n v="27"/>
    <s v="Yes"/>
    <s v="NoRef"/>
    <n v="1781747"/>
    <m/>
    <s v="https://bugzilla.mozilla.org/show_bug.cgi?id=1781747"/>
    <s v="['\\moz\\mozilla-unified\\js\\xpconnect\\src\\XPCWrappedNative.cpp', '\\moz\\mozilla-unified\\js\\src\\vm\\Interpreter.cpp', '\\moz\\mozilla-unified\\widget\\nsIWidget.h', '\\moz\\mozilla-unified\\toolkit\\components\\windowwatcher\\nsWindowWatcher.cpp', "/>
    <s v="System Dumps"/>
    <s v="Incorrect filepath format"/>
    <m/>
    <m/>
  </r>
  <r>
    <s v="NoRef"/>
    <m/>
    <x v="0"/>
    <n v="28"/>
    <s v="Yes"/>
    <s v="NoRef"/>
    <n v="1464268"/>
    <m/>
    <s v="https://bugzilla.mozilla.org/show_bug.cgi?id=1464268"/>
    <s v="['main.js', 'index.html', 'Main.js', 'test_mediarecorder_onerror_pause.html']"/>
    <s v="File to Reproduce the Bug"/>
    <s v="Solution Draft"/>
    <m/>
    <m/>
  </r>
  <r>
    <s v="NoRef"/>
    <s v="Agree"/>
    <x v="2"/>
    <n v="29"/>
    <s v="Yes"/>
    <s v="NoRef"/>
    <n v="1646707"/>
    <m/>
    <s v="https://bugzilla.mozilla.org/show_bug.cgi?id=1646707"/>
    <s v="['\\task_1592479201\\build\\tests\\firefox-ui\\tests\\testing\\firefox-ui\\tests\\functional\\sessionstore\\test_restore_windows_after_restart_and_quit.py', '\\task_1592479201\\build\\venv\\lib\\site-packages\\marionette_driver\\marionette.py', '\\task_15"/>
    <s v="System Dumps"/>
    <s v="Incorrect filepath format"/>
    <m/>
    <m/>
  </r>
  <r>
    <s v="NoRef"/>
    <m/>
    <x v="0"/>
    <n v="30"/>
    <s v="Yes"/>
    <s v="NoRef"/>
    <n v="1646788"/>
    <m/>
    <s v="https://bugzilla.mozilla.org/show_bug.cgi?id=1646788"/>
    <s v="['mozglue/static/rust/wrappers.cpp', 'src/libcore/option.rs', 'src/libstd/panicking.rs', 'src/libcore/ops/function.rs', 'mozglue/static/rust/lib.rs', 'src/libcore/panicking.rs']"/>
    <s v="System Dumps"/>
    <m/>
    <m/>
    <m/>
  </r>
  <r>
    <s v="NoRef"/>
    <s v="Agree"/>
    <x v="1"/>
    <n v="31"/>
    <s v="Yes"/>
    <s v="NoRef"/>
    <n v="1692975"/>
    <m/>
    <s v="https://bugzilla.mozilla.org/show_bug.cgi?id=1692975"/>
    <s v="['options.html', 'l10n.js', 'mochitests/content/browser/comm/mail/test/browser/openpgp/browser_viewMessage.js', 'options.js', 'comm/mail/test/browser/openpgp/browser_viewMessage.js']"/>
    <s v="Bug Description"/>
    <s v="System Dumps"/>
    <m/>
    <m/>
  </r>
  <r>
    <s v="NoRef"/>
    <m/>
    <x v="0"/>
    <n v="32"/>
    <s v="Yes"/>
    <s v="NoRef"/>
    <n v="1605577"/>
    <m/>
    <s v="https://bugzilla.mozilla.org/show_bug.cgi?id=1605577"/>
    <s v="['treeherder.mozilla.org/logviewer.html', 'response.json', 'fetch/api/abort/serviceworker-intercepted.https.html']"/>
    <s v="System Dumps"/>
    <m/>
    <m/>
    <m/>
  </r>
  <r>
    <s v="NoRef"/>
    <m/>
    <x v="0"/>
    <n v="33"/>
    <s v="Yes"/>
    <s v="NoRef"/>
    <n v="1644798"/>
    <m/>
    <s v="https://bugzilla.mozilla.org/show_bug.cgi?id=1644798"/>
    <s v="['calendar/resources/content/mouseoverPreviews.js']"/>
    <s v="Solution Draft"/>
    <m/>
    <m/>
    <m/>
  </r>
  <r>
    <s v="NoRef"/>
    <s v="Agree"/>
    <x v="1"/>
    <n v="34"/>
    <s v="Yes"/>
    <s v="NoRef"/>
    <n v="1572116"/>
    <m/>
    <s v="https://bugzilla.mozilla.org/show_bug.cgi?id=1572116"/>
    <s v="['browser-sync.js', 'builds/worker/workspace/build/src/dom/media/MediaDecoderStateMachine.cpp', 'browser/content/browser-sync.js', 'builds/worker/workspace/build/src/widget/PuppetWidget.cpp', 'builds/worker/workspace/build/src/ipc/chromium/src/chrome/comm"/>
    <s v="System Dumps"/>
    <s v="Duplicate bug"/>
    <m/>
    <m/>
  </r>
  <r>
    <s v="NoRef"/>
    <s v="Agree"/>
    <x v="1"/>
    <n v="35"/>
    <s v="Yes"/>
    <s v="NoRef"/>
    <n v="1638148"/>
    <m/>
    <s v="https://bugzilla.mozilla.org/show_bug.cgi?id=1638148"/>
    <s v="['logs/localconfig.json', 'testing/marionette/harness/marionette_harness/tests/unit/test_crash.py', 'treeherder.mozilla.org/intermittent-failures.html', 'Users/cltbld/tasks/task_1589484627/build/tests/marionette/tests/testing/marionette/harness/marionette"/>
    <s v="File to Reproduce the Bug"/>
    <s v="System Dumps"/>
    <s v="Backout"/>
    <m/>
  </r>
  <r>
    <s v="NoRef"/>
    <m/>
    <x v="0"/>
    <n v="36"/>
    <s v="Yes"/>
    <s v="NoRef"/>
    <n v="1679472"/>
    <m/>
    <s v="https://bugzilla.mozilla.org/show_bug.cgi?id=1679472"/>
    <s v="['global/content/printUtils.js', 'remote/test/browser/page/browser_printToPDF.js']"/>
    <s v="System Dumps"/>
    <m/>
    <m/>
    <m/>
  </r>
  <r>
    <s v="NoRef"/>
    <m/>
    <x v="0"/>
    <n v="37"/>
    <s v="Yes"/>
    <s v="NoRef"/>
    <n v="1786128"/>
    <m/>
    <s v="https://bugzilla.mozilla.org/show_bug.cgi?id=1786128"/>
    <s v="['empty-blob-download.html']"/>
    <s v="File to Reproduce the Bug"/>
    <s v="Backout"/>
    <m/>
    <m/>
  </r>
  <r>
    <s v="NoRef"/>
    <m/>
    <x v="0"/>
    <n v="38"/>
    <s v="Yes"/>
    <s v="NoRef"/>
    <n v="1747345"/>
    <m/>
    <s v="https://bugzilla.mozilla.org/show_bug.cgi?id=1747345"/>
    <s v="['firefox_about_support.txt']"/>
    <s v="File to Reproduce the Bug"/>
    <m/>
    <m/>
    <m/>
  </r>
  <r>
    <s v="NoRef"/>
    <m/>
    <x v="0"/>
    <n v="39"/>
    <s v="Yes"/>
    <s v="NoRef"/>
    <n v="1606414"/>
    <m/>
    <s v="1606414 - Firefox ASan builds unable to update"/>
    <s v="['update-settings.ini', 'prod_comp_changed_with_priority.py', 'searchfox.org/mozilla-central/rev/053826b10f838f77c27507e5efecc96e34718541/toolkit/mozapps/update/common/updatererrors.h']"/>
    <s v="Solution Draft"/>
    <s v="Bug Dependency"/>
    <m/>
    <m/>
  </r>
  <r>
    <s v="NoRef"/>
    <s v="Agree"/>
    <x v="1"/>
    <n v="40"/>
    <s v="Yes"/>
    <s v="NoRef"/>
    <n v="1625218"/>
    <m/>
    <s v="https://bugzilla.mozilla.org/show_bug.cgi?id=1625218"/>
    <s v="['searchfox.org/mozilla-central/rev/dc4560dcaafd79375b9411fdbbaaebb0a59a93ac/editor/libeditor/HTMLEditor.cpp', 'mozilla-source/comm-central/editor/libeditor/HTMLEditorObjectResizer.cpp', 'searchfox.org/comm-central/rev/7979a5b153574449076ca28611f2e6afd567"/>
    <s v="Bug Description"/>
    <s v="System Dumps"/>
    <s v="Backout"/>
    <m/>
  </r>
  <r>
    <s v="NoRef"/>
    <m/>
    <x v="0"/>
    <n v="41"/>
    <s v="Yes"/>
    <s v="NoRef"/>
    <n v="1618122"/>
    <m/>
    <s v="https://bugzilla.mozilla.org/show_bug.cgi?id=1618122"/>
    <s v="['treeherder.mozilla.org/perf.html']"/>
    <s v="System Dumps"/>
    <m/>
    <m/>
    <m/>
  </r>
  <r>
    <s v="NoRef"/>
    <m/>
    <x v="0"/>
    <n v="42"/>
    <s v="Yes"/>
    <s v="NoRef"/>
    <n v="1725458"/>
    <m/>
    <s v="https://bugzilla.mozilla.org/show_bug.cgi?id=1725458"/>
    <s v="['file_bug1300461_back.html', 'SimpleTest.is@SimpleTest/SimpleTest.js', 'test@docshell/test/navigation/file_bug1300461_back.html', 'redirect.html', 'SimpleTest.ok@SimpleTest/SimpleTest.js', 'file_bug1300461.html', 'docshell/test/navigation/test_bug1300461"/>
    <s v="System Dumps"/>
    <m/>
    <m/>
    <m/>
  </r>
  <r>
    <s v="NoRef"/>
    <m/>
    <x v="0"/>
    <n v="43"/>
    <s v="Yes"/>
    <s v="NoRef"/>
    <n v="1672505"/>
    <m/>
    <s v="https://bugzilla.mozilla.org/show_bug.cgi?id=1672505"/>
    <s v="['searchfox.org/mozilla-central/rev/25d5a4443a7e13cfa58eff38f1faa5e69f0b170f/.cron.yml']"/>
    <s v="Links"/>
    <m/>
    <m/>
    <m/>
  </r>
  <r>
    <s v="NoRef"/>
    <m/>
    <x v="0"/>
    <n v="44"/>
    <s v="Yes"/>
    <s v="NoRef"/>
    <n v="1592791"/>
    <m/>
    <s v="https://bugzilla.mozilla.org/show_bug.cgi?id=1592791"/>
    <s v="['@tests/mochitest/runtests.py', 'marionette/content/evaluate.js', 'marionette/content/transport.js', 'example.com/browser/toolkit/components/pictureinpicture/tests/test-pointer-events-none.html', 'marionette/content/driver.js', 'api.js', 'treeherder.mozi"/>
    <s v="System Dumps"/>
    <m/>
    <m/>
    <m/>
  </r>
  <r>
    <s v="NoRef"/>
    <s v="Agree"/>
    <x v="2"/>
    <n v="45"/>
    <s v="Yes"/>
    <s v="NoRef"/>
    <n v="1659615"/>
    <m/>
    <s v="https://bugzilla.mozilla.org/show_bug.cgi?id=1659615"/>
    <s v="['\\mozilla-build\\python3\\lib\\ntpath.py', '\\src\\moz\\gecko\\python/mozboot\\mozboot\\bootstrap.py', '\\src\\moz\\gecko\\python/mozboot\\mozboot\\mozillabuild.py', '\\src\\moz\\gecko\\python/mozboot/mozboot/mach_commands.py']"/>
    <s v="System Dumps"/>
    <s v="Incorrect filepath format"/>
    <m/>
    <m/>
  </r>
  <r>
    <s v="NoRef"/>
    <s v="Agree"/>
    <x v="1"/>
    <n v="46"/>
    <s v="Yes"/>
    <s v="NoRef"/>
    <n v="1658084"/>
    <m/>
    <s v="https://bugzilla.mozilla.org/show_bug.cgi?id=1658084"/>
    <s v="['test_leak.html', 'builds/worker/checkouts/gecko/testing/mochitest/tests/python/test_basic_mochitest_plain.py', 'firefox-source-docs.mozilla.org/bug-mgmt/guides/priority.html', 'treeherder.mozilla.org/logviewer.html', 'testing/mochitest/tests/python/test"/>
    <s v="System Dumps"/>
    <s v="Links"/>
    <m/>
    <m/>
  </r>
  <r>
    <s v="NoRef"/>
    <m/>
    <x v="0"/>
    <n v="47"/>
    <s v="Yes"/>
    <s v="NoRef"/>
    <n v="1675360"/>
    <m/>
    <s v="https://bugzilla.mozilla.org/show_bug.cgi?id=1675360"/>
    <s v="['test.js', 'timeoutLog.js', 'injectScriptInIframe.html']"/>
    <s v="File to Reproduce the Bug"/>
    <s v="Bug Description"/>
    <s v="Solution Draft"/>
    <m/>
  </r>
  <r>
    <s v="NoRef"/>
    <m/>
    <x v="0"/>
    <n v="48"/>
    <s v="Yes"/>
    <s v="NoRef"/>
    <n v="1759325"/>
    <m/>
    <s v="https://bugzilla.mozilla.org/show_bug.cgi?id=1759325"/>
    <s v="['test.html']"/>
    <s v="File to Reproduce the Bug"/>
    <m/>
    <m/>
    <m/>
  </r>
  <r>
    <s v="NoRef"/>
    <m/>
    <x v="0"/>
    <n v="49"/>
    <s v="Yes"/>
    <s v="NoRef"/>
    <n v="1658673"/>
    <m/>
    <s v="https://bugzilla.mozilla.org/show_bug.cgi?id=1658673"/>
    <s v="['manifest.json', 'experiment-apis/trackingProtection.js', 'trackingProtection.js', 'DownloadCore.jsm', 'gre/modules/DownloadCore.jsm']"/>
    <s v="System Dumps"/>
    <m/>
    <m/>
    <m/>
  </r>
  <r>
    <s v="NoRef"/>
    <s v="Agree"/>
    <x v="2"/>
    <n v="50"/>
    <s v="Yes"/>
    <s v="NoRef"/>
    <n v="1731529"/>
    <m/>
    <s v="https://bugzilla.mozilla.org/show_bug.cgi?id=1731529"/>
    <s v="['bad-message-signed.txt', 'good-message.txt', 'good-message-signed.txt', 'bad-message.txt']"/>
    <s v="File to Reproduce the Bug"/>
    <s v="Missing Mapping"/>
    <m/>
    <m/>
  </r>
  <r>
    <s v="NoRef"/>
    <m/>
    <x v="0"/>
    <n v="51"/>
    <s v="Yes"/>
    <s v="NoRef"/>
    <n v="1581802"/>
    <m/>
    <s v="https://bugzilla.mozilla.org/show_bug.cgi?id=1581802"/>
    <s v="['hg.mozilla.org/mozilla-central/raw-file/tip/layout/tools/reftest/reftest-analyzer.xhtml', '8854/tests/layout/reftests/text-stroke/webkit-text-stroke-property-004-ref.html', '8854/tests/layout/reftests/text-stroke/webkit-text-stroke-property-002-ref.html"/>
    <s v="System Dumps"/>
    <s v="Bug Dependency"/>
    <m/>
    <m/>
  </r>
  <r>
    <s v="NoRef"/>
    <s v="Agree"/>
    <x v="2"/>
    <n v="52"/>
    <s v="Yes"/>
    <s v="NoRef"/>
    <n v="1689934"/>
    <m/>
    <s v="https://bugzilla.mozilla.org/show_bug.cgi?id=1689934"/>
    <s v="['mail/base/content/sharedsummary.css', 'multimessageview.xhtml', 'messenger.css']"/>
    <s v="Bug Description"/>
    <s v="Missing Mapping"/>
    <s v="Solution Draft"/>
    <m/>
  </r>
  <r>
    <s v="NoRef"/>
    <m/>
    <x v="0"/>
    <n v="53"/>
    <s v="Yes"/>
    <s v="NoRef"/>
    <n v="1759432"/>
    <m/>
    <s v="https://bugzilla.mozilla.org/show_bug.cgi?id=1759432"/>
    <s v="['builds/worker/checkouts/gecko/xpcom/base/nsCycleCollector.cpp', 'builds/worker/workspace/obj-build/dist/include/mozilla/Preferences.h', 'builds/worker/checkouts/gecko/dom/ipc/jsactor/JSWindowActorChild.cpp', 'builds/worker/checkouts/gecko/modules/libpre"/>
    <s v="System Dumps"/>
    <s v="Links"/>
    <s v="Related to another bug"/>
    <m/>
  </r>
  <r>
    <s v="NoRef"/>
    <m/>
    <x v="0"/>
    <n v="54"/>
    <s v="Yes"/>
    <s v="NoRef"/>
    <n v="1714276"/>
    <m/>
    <s v="https://bugzilla.mozilla.org/show_bug.cgi?id=1714276"/>
    <s v="['browser-custom-colors.inc.css', 'acrozilla.com/test1/soundtest.html', 'cat-in-136.github.io/2012/12/tip-how-to-run-new-firefox-instance-w.html']"/>
    <s v="File to Reproduce the Bug"/>
    <m/>
    <m/>
    <m/>
  </r>
  <r>
    <s v="NoRef"/>
    <m/>
    <x v="0"/>
    <n v="55"/>
    <s v="Yes"/>
    <s v="NoRef"/>
    <n v="1739924"/>
    <m/>
    <s v="widget.dmabuf-webgl.enabled: All tabs start and keep crashing after a while / Crash in [@ mozilla::dom::ipc::SharedStringMap"/>
    <s v="['build/firefox/src/firefox-94.0.1/dom/media/CubebUtils.cpp', 'searchfox.org/mozilla-central/rev/3881c4ca80d1b4b2f43be695438ecaf90ee4f86c/toolkit/crashreporter/breakpad-client/linux/crash_generation/crash_generation_client.cc', 'build/firefox/src/firefox-"/>
    <s v="System Dumps"/>
    <s v="Bug Description"/>
    <m/>
    <m/>
  </r>
  <r>
    <s v="NoRef"/>
    <s v="Agree"/>
    <x v="1"/>
    <n v="56"/>
    <s v="Yes"/>
    <s v="NoRef"/>
    <n v="1792253"/>
    <m/>
    <s v="https://bugzilla.mozilla.org/show_bug.cgi?id=1792253"/>
    <s v="['taskcluster/gecko_taskgraph/test/test_util_chunking.py']"/>
    <s v="System Dumps"/>
    <s v="File names are part of bug title, attachment title or commit messages"/>
    <m/>
    <m/>
  </r>
  <r>
    <s v="NoRef"/>
    <m/>
    <x v="0"/>
    <n v="57"/>
    <s v="Yes"/>
    <s v="NoRef"/>
    <n v="1768428"/>
    <m/>
    <s v="https://bugzilla.mozilla.org/show_bug.cgi?id=1768428"/>
    <s v="['workspace/gitpod-firefox-dev/mozilla-unified/configure.py', 'workspace/gitpod-firefox-dev/mozilla-unified/python/mozbuild/mozbuild/util.py']"/>
    <s v="System Dumps"/>
    <m/>
    <m/>
    <m/>
  </r>
  <r>
    <s v="NoRef"/>
    <m/>
    <x v="0"/>
    <n v="58"/>
    <s v="Yes"/>
    <s v="NoRef"/>
    <n v="1638675"/>
    <m/>
    <s v="https://bugzilla.mozilla.org/show_bug.cgi?id=1638675"/>
    <s v="['missing_beta_status.py']"/>
    <s v="Links"/>
    <s v="Solution Draft"/>
    <m/>
    <m/>
  </r>
  <r>
    <s v="NoRef"/>
    <m/>
    <x v="0"/>
    <n v="59"/>
    <s v="Yes"/>
    <s v="NoRef"/>
    <n v="1748577"/>
    <m/>
    <s v="https://bugzilla.mozilla.org/show_bug.cgi?id=1748577"/>
    <s v="['xxxxxxxxxxx.js', 'images-fe.ssl-images-amazon.com/images/I/xxxxxxxxxxx.js', 'html.spec.whatwg.org/multipage/webappapis.html']"/>
    <s v="System Dumps"/>
    <m/>
    <m/>
    <m/>
  </r>
  <r>
    <s v="NoRef"/>
    <m/>
    <x v="0"/>
    <n v="60"/>
    <s v="Yes"/>
    <s v="NoRef"/>
    <n v="1592996"/>
    <m/>
    <s v="1592996 - Markup view stuck at iframe root when using frame switcher"/>
    <s v="['gre/modules/Promise-backend.js', 'devtools/client/inspector/markup/markup.js', 'markup.js']"/>
    <s v="System Dumps"/>
    <m/>
    <m/>
    <m/>
  </r>
  <r>
    <s v="NoRef"/>
    <m/>
    <x v="0"/>
    <n v="61"/>
    <s v="Yes"/>
    <s v="NoRef"/>
    <n v="1767128"/>
    <m/>
    <s v="https://bugzilla.mozilla.org/show_bug.cgi?id=1767128"/>
    <s v="['severity_tracked.py', 'firefox-source-docs.mozilla.org/bug-mgmt/policies/triage-bugzilla.html']"/>
    <s v="Links"/>
    <m/>
    <m/>
    <m/>
  </r>
  <r>
    <s v="NoRef"/>
    <m/>
    <x v="0"/>
    <n v="62"/>
    <s v="Yes"/>
    <s v="NoRef"/>
    <n v="1575797"/>
    <m/>
    <s v="https://bugzilla.mozilla.org/show_bug.cgi?id=1575797"/>
    <s v="['react-dom.js', 'activity-stream/data/content/activity-stream.bundle.js', 'activity-stream/vendor/react-dom.js']"/>
    <s v="System Dumps"/>
    <m/>
    <m/>
    <m/>
  </r>
  <r>
    <s v="NoRef"/>
    <m/>
    <x v="0"/>
    <n v="63"/>
    <s v="Yes"/>
    <s v="NoRef"/>
    <n v="1745200"/>
    <m/>
    <s v="https://bugzilla.mozilla.org/show_bug.cgi?id=1745200"/>
    <s v="['firefox-source-docs.mozilla.org/testing/perfdocs/raptor.html', 'visualmetrics.py']"/>
    <s v="Solution Draft"/>
    <s v="System Dumps"/>
    <m/>
    <m/>
  </r>
  <r>
    <s v="NoRef"/>
    <s v="Agree"/>
    <x v="2"/>
    <n v="64"/>
    <s v="Yes"/>
    <s v="NoRef"/>
    <n v="1200075"/>
    <m/>
    <s v="1200075 - Fix malloc_usable_size situation for SQLite on Windows"/>
    <s v="['db/sqlite3/src/moz.build', 'dist/include/mozmemory.h']"/>
    <s v="Solution Draft"/>
    <s v="Part of Code"/>
    <m/>
    <m/>
  </r>
  <r>
    <s v="NoRef"/>
    <s v="Agree"/>
    <x v="1"/>
    <n v="65"/>
    <s v="Yes"/>
    <s v="NoRef"/>
    <n v="1793323"/>
    <m/>
    <s v="https://bugzilla.mozilla.org/show_bug.cgi?id=1793323"/>
    <s v="['github.com/LibreOffice/core/blob/2a7fcaf582df3ada57ca519b50e29011973a1b6f/shell/source/unix/misc/senddoc.sh', 'searchfox.org/comm-central/rev/bfefc713c577d1b7db4e06f16bd687ccb7875ea7/mail/components/MessengerContentHandler.jsm', 'home/xxxxx/Desktop/huhu"/>
    <s v="File to Reproduce the Bug"/>
    <s v="Bug Description"/>
    <s v="Missing Mapping"/>
    <m/>
  </r>
  <r>
    <s v="NoRef"/>
    <m/>
    <x v="0"/>
    <n v="66"/>
    <s v="Yes"/>
    <s v="NoRef"/>
    <n v="1623285"/>
    <m/>
    <s v="https://bugzilla.mozilla.org/show_bug.cgi?id=1623285"/>
    <s v="['searchfox.org/comm-central/rev/9f02dd21f41f406480da1b0b3fa1d38626ed0492/mail/components/compose/content/addressingWidgetOverlay.js', 'mail/components/compose/content/MsgComposeCommands.js', 'mail/components/compose/content/addressingWidgetOverlay.js']"/>
    <s v="Bug Description"/>
    <s v="File to Reproduce the Bug"/>
    <s v="Solution Draft"/>
    <s v="Code Review"/>
  </r>
  <r>
    <s v="NoRef"/>
    <m/>
    <x v="0"/>
    <n v="67"/>
    <s v="Yes"/>
    <s v="NoRef"/>
    <n v="1612723"/>
    <m/>
    <s v="https://bugzilla.mozilla.org/show_bug.cgi?id=1612723"/>
    <s v="['builds/worker/workspace/build/src/xpcom/ds/nsStringEnumerator.cpp', 'nsAppStartup.cpp', 'dom/media/test/test_vp9_superframes.html', 'builds/worker/workspace/build/src/startupcache/StartupCache.cpp', 'widget/cocoa/nsAppShell.mm', 'dom/media/test/mochites"/>
    <s v="System Dumps"/>
    <m/>
    <m/>
    <m/>
  </r>
  <r>
    <s v="NoRef"/>
    <s v="Agree"/>
    <x v="1"/>
    <n v="68"/>
    <s v="Yes"/>
    <s v="NoRef"/>
    <n v="1722188"/>
    <m/>
    <s v="1722188 - Print function fails on protonmail"/>
    <s v="['LoginRecipes.jsm', 'gre/actors/PrintingChild.jsm', 'searchfox.org/mozilla-central/rev/9c91451cc2392d942a42493fc895f5aeeddde45d/gfx/cairo/cairo/src/win32/cairo-win32-printing-surface.c', 'mail.protonmail.com/7.b3220512.chunk.js', 'Prompter.jsm', 'global/"/>
    <s v="System Dumps"/>
    <m/>
    <m/>
    <m/>
  </r>
  <r>
    <s v="NoRef"/>
    <s v="Agree"/>
    <x v="2"/>
    <n v="69"/>
    <s v="Yes"/>
    <s v="NoRef"/>
    <n v="1642279"/>
    <m/>
    <s v="1642279 - Email addresses with comma in display name cannot be entered via keyboard"/>
    <s v="['searchfox.org/comm-central/rev/5ed7de91a637b0b52125e6f40a8ee79e0396192b/mailnews/addrbook/src/AbAutoCompleteSearch.jsm', 'mail/components/compose/content/addressingWidgetOverlay.js', 'down.html', 'searchfox.org/comm-central/rev/1caf86b49b044958fed0b0d8d"/>
    <s v="Bug Description"/>
    <s v="Solution Draft"/>
    <s v="Missing Mapping"/>
    <s v="Code Review"/>
  </r>
  <r>
    <s v="NoRef"/>
    <m/>
    <x v="0"/>
    <n v="70"/>
    <s v="Yes"/>
    <s v="NoRef"/>
    <n v="1598615"/>
    <m/>
    <s v="1598615 - Some of the rstcheck output isn't displayed"/>
    <s v="['home/sylvestre/dev/mozilla/mozilla-central.hg/tools/lint/docs/coding-style/coding_style.rst']"/>
    <s v="System Dumps"/>
    <m/>
    <m/>
    <m/>
  </r>
  <r>
    <s v="NoRef"/>
    <m/>
    <x v="0"/>
    <n v="71"/>
    <s v="Yes"/>
    <s v="NoRef"/>
    <n v="1731792"/>
    <m/>
    <s v="https://bugzilla.mozilla.org/show_bug.cgi?id=1731792"/>
    <s v="['browser_console_error_source_click.js', 'browser_docshell_type_editor.js']"/>
    <s v="File to Reproduce the Bug"/>
    <m/>
    <m/>
    <m/>
  </r>
  <r>
    <s v="NoRef"/>
    <m/>
    <x v="0"/>
    <n v="72"/>
    <s v="Yes"/>
    <s v="NoRef"/>
    <n v="1715036"/>
    <m/>
    <s v="https://bugzilla.mozilla.org/show_bug.cgi?id=1715036"/>
    <s v="['Natives.h']"/>
    <s v="System Dumps"/>
    <m/>
    <m/>
    <m/>
  </r>
  <r>
    <s v="NoRef"/>
    <s v="Agree"/>
    <x v="1"/>
    <n v="73"/>
    <s v="Yes"/>
    <s v="NoRef"/>
    <n v="1733325"/>
    <m/>
    <s v="https://bugzilla.mozilla.org/show_bug.cgi?id=1733325"/>
    <s v="['nimbus/ExperimentAPI.jsm']"/>
    <s v="Bug Description"/>
    <m/>
    <m/>
    <m/>
  </r>
  <r>
    <s v="NoRef"/>
    <m/>
    <x v="0"/>
    <n v="74"/>
    <s v="Yes"/>
    <s v="NoRef"/>
    <n v="1744944"/>
    <m/>
    <s v="https://bugzilla.mozilla.org/show_bug.cgi?id=1744944"/>
    <s v="['messenger/content/messengercompose/MsgComposeCommands.js']"/>
    <s v="System Dumps"/>
    <m/>
    <m/>
    <m/>
  </r>
  <r>
    <s v="NoRef"/>
    <m/>
    <x v="0"/>
    <n v="75"/>
    <s v="Yes"/>
    <s v="NoRef"/>
    <n v="1724899"/>
    <m/>
    <s v="https://bugzilla.mozilla.org/show_bug.cgi?id=1724899"/>
    <s v="['mozilla.pettay.fi/moztests/suppressed_microtasks.html']"/>
    <s v="File to Reproduce the Bug"/>
    <m/>
    <m/>
    <m/>
  </r>
  <r>
    <s v="NoRef"/>
    <s v="Agree"/>
    <x v="2"/>
    <n v="76"/>
    <s v="Yes"/>
    <s v="NoRef"/>
    <n v="1691466"/>
    <m/>
    <s v="https://bugzilla.mozilla.org/show_bug.cgi?id=1691466"/>
    <s v="['messengercompose.xhtml']"/>
    <s v="Solution Draft"/>
    <s v="Missing Mapping"/>
    <m/>
    <m/>
  </r>
  <r>
    <s v="NoRef"/>
    <m/>
    <x v="0"/>
    <n v="77"/>
    <s v="Yes"/>
    <s v="NoRef"/>
    <n v="1679705"/>
    <m/>
    <s v="https://bugzilla.mozilla.org/show_bug.cgi?id=1679705"/>
    <s v="['tests/web-platform/tests/webdriver/tests/get_window_rect/user_prompts.py', 'webdriver/tests/get_window_rect/user_prompts.py', 'tests/web-platform/tests/webdriver/tests/support/asserts.py', 'doc.pytest.org/en/latest/warnings.html']"/>
    <s v="System Dumps"/>
    <s v="Bug Dependency"/>
    <m/>
    <m/>
  </r>
  <r>
    <s v="NoRef"/>
    <m/>
    <x v="0"/>
    <n v="78"/>
    <s v="Yes"/>
    <s v="NoRef"/>
    <n v="1607658"/>
    <m/>
    <s v="https://bugzilla.mozilla.org/show_bug.cgi?id=1607658"/>
    <s v="['hg.mozilla.org/mozilla-central/raw-file/tip/layout/tools/reftest/reftest-analyzer.xhtml', '8854/tests/layout/generic/crashtests/1032450.html', '1032450.html', 'treeherder.mozilla.org/logviewer.html', 'treeherder.mozilla.org/intermittent-failures.html']"/>
    <s v="System Dumps"/>
    <m/>
    <m/>
    <m/>
  </r>
  <r>
    <s v="NoRef"/>
    <s v="Agree"/>
    <x v="2"/>
    <n v="79"/>
    <s v="Yes"/>
    <s v="NoRef"/>
    <n v="1654984"/>
    <m/>
    <s v="https://bugzilla.mozilla.org/show_bug.cgi?id=1654984"/>
    <s v="['browser_startup_mainthreadio.js', 'comm/mailnews/compose/test/unit/test_sendMessageLater2.js', 'devtools/server/tests/xpcshell/test_addons_actor.js', 'comm/mailnews/compose/test/unit/test_autoReply.js', 'treeherder.mozilla.org/logviewer.html', 'browser/"/>
    <s v="File to Reproduce the Bug"/>
    <s v="System Dumps"/>
    <s v="Incorrect filepath format"/>
    <m/>
  </r>
  <r>
    <s v="NoRef"/>
    <m/>
    <x v="0"/>
    <n v="80"/>
    <s v="Yes"/>
    <s v="NoRef"/>
    <n v="1563241"/>
    <m/>
    <s v="https://bugzilla.mozilla.org/show_bug.cgi?id=1563241"/>
    <s v="['@/builds/worker/workspace/build/src/js/src/jit-test/tests/wasm/import-export.js', 'js/src/jit-test/tests/wasm/import-export-sigs.js', 'js/src/jit-test/tests/wasm/import-export.js', 'treeherder.mozilla.org/logviewer.html', 'builds/worker/workspace/build/"/>
    <s v="System Dumps"/>
    <m/>
    <m/>
    <m/>
  </r>
  <r>
    <s v="NoRef"/>
    <s v="Agree"/>
    <x v="1"/>
    <n v="81"/>
    <s v="Yes"/>
    <s v="NoRef"/>
    <n v="1560193"/>
    <m/>
    <s v="https://bugzilla.mozilla.org/show_bug.cgi?id=1560193"/>
    <s v="['internal/process/task_queues.js', 'home/barret/Workspace/src/hg.mozilla.org/mozilla-central/tools/browsertime/node_modules/browsertime/bin/browsertime.js', 'home/barret/Workspace/src/hg.mozilla.org/mozilla-central/tools/browsertime/node_modules/browsert"/>
    <s v="System Dumps"/>
    <s v="System Dumps"/>
    <m/>
    <m/>
  </r>
  <r>
    <s v="NoRef"/>
    <m/>
    <x v="0"/>
    <n v="82"/>
    <s v="Yes"/>
    <s v="NoRef"/>
    <n v="1676503"/>
    <m/>
    <s v="https://bugzilla.mozilla.org/show_bug.cgi?id=1676503"/>
    <s v="['xpcom/threads/nsThread.cpp', 'xpcom/threads/nsThreadUtils.h', 'widget/nsBaseAppShell.cpp', 'comm/mailnews/addrbook/src/nsAbLDAPDirectoryQuery.cpp', 'xpcom/threads/nsThreadUtils.cpp', 'hg.mozilla.org/releases/comm-beta/file/420fbcf6a85d8e26160b3afda06990"/>
    <s v="System Dumps"/>
    <s v="Bug Description"/>
    <m/>
    <m/>
  </r>
  <r>
    <s v="NoRef"/>
    <m/>
    <x v="0"/>
    <n v="83"/>
    <s v="Yes"/>
    <s v="NoRef"/>
    <n v="1618501"/>
    <m/>
    <s v="https://bugzilla.mozilla.org/show_bug.cgi?id=1618501"/>
    <s v="['testcase.html']"/>
    <s v="File to Reproduce the Bug"/>
    <m/>
    <m/>
    <m/>
  </r>
  <r>
    <s v="NoRef"/>
    <m/>
    <x v="0"/>
    <n v="84"/>
    <s v="Yes"/>
    <s v="NoRef"/>
    <n v="1710312"/>
    <m/>
    <s v="https://bugzilla.mozilla.org/show_bug.cgi?id=1710312"/>
    <s v="['Recover.cpp', 'JitFrames.cpp', 'Registers.h', 'Snapshots.h', 'BaselineBailouts.cpp', 'jit/JSJitFrameIter.h', 'Bailouts.cpp', 'JSJitFrameIter.h', 'jit/Registers.h', 'jit/JitFrames.cpp']"/>
    <s v="System Dumps"/>
    <m/>
    <m/>
    <m/>
  </r>
  <r>
    <s v="NoRef"/>
    <m/>
    <x v="0"/>
    <n v="85"/>
    <s v="Yes"/>
    <s v="NoRef"/>
    <n v="1589672"/>
    <m/>
    <s v="https://bugzilla.mozilla.org/show_bug.cgi?id=1589672"/>
    <s v="['tests/web-platform/tests/webdriver/tests/maximize_window/maximize.py', 'webdriver/tests/maximize_window/maximize.py', 'treeherder.mozilla.org/intermittent-failures.html', 'treeherder.mozilla.org/logviewer.html']"/>
    <s v="System Dumps"/>
    <s v="Bug Dependency"/>
    <m/>
    <m/>
  </r>
  <r>
    <s v="NoRef"/>
    <m/>
    <x v="0"/>
    <n v="86"/>
    <s v="Yes"/>
    <s v="NoRef"/>
    <n v="1650462"/>
    <m/>
    <s v="https://bugzilla.mozilla.org/show_bug.cgi?id=1650462"/>
    <s v="['w3c.github.io/aria-practices/examples/treeview/treeview-1/treeview-1a.html']"/>
    <s v="File to Reproduce the Bug"/>
    <m/>
    <m/>
    <m/>
  </r>
  <r>
    <s v="NoRef"/>
    <m/>
    <x v="0"/>
    <n v="87"/>
    <s v="Yes"/>
    <s v="NoRef"/>
    <n v="1719578"/>
    <m/>
    <s v="https://bugzilla.mozilla.org/show_bug.cgi?id=1719578"/>
    <s v="['PeerConnectionImpl.cpp', 'example.com/tests/SimpleTest/SimpleTest.js', 'dom/media/webrtc/tests/mochitests/test_setSinkId.html', 'example.com/tests/dom/media/webrtc/tests/mochitests/test_setSinkId.html']"/>
    <s v="System Dumps"/>
    <s v="File to Reproduce the Bug"/>
    <m/>
    <m/>
  </r>
  <r>
    <s v="NoRef"/>
    <s v="Agree"/>
    <x v="2"/>
    <n v="88"/>
    <s v="Yes"/>
    <s v="NoRef"/>
    <n v="1725896"/>
    <m/>
    <s v="https://bugzilla.mozilla.org/show_bug.cgi?id=1725896"/>
    <s v="['mail/components/im/themes/chat.css']"/>
    <s v="Solution Draft"/>
    <s v="Missing Mapping"/>
    <s v="Code Review"/>
    <m/>
  </r>
  <r>
    <s v="NoRef"/>
    <s v="Agree"/>
    <x v="2"/>
    <n v="89"/>
    <s v="Yes"/>
    <s v="NoRef"/>
    <n v="1665577"/>
    <m/>
    <s v="https://bugzilla.mozilla.org/show_bug.cgi?id=1665577"/>
    <s v="['cert_override.txt', 'mailnews/compose/src/MessageSend.jsm', 'exceptionDialog.xhtml', 'mailnews/compose/public/nsIMsgSendListener.idl', 'pippki/content/exceptionDialog.xhtml', 'mailnews/compose/src/nsMsgSend.cpp', 'mail/components/compose/content/MsgComp"/>
    <s v="Solution Draft"/>
    <s v="Bug Description"/>
    <s v="Missing Mapping"/>
    <s v="Code Review"/>
  </r>
  <r>
    <s v="NoRef"/>
    <s v="Agree"/>
    <x v="1"/>
    <n v="90"/>
    <s v="Yes"/>
    <s v="NoRef"/>
    <n v="1582857"/>
    <m/>
    <s v="https://bugzilla.mozilla.org/show_bug.cgi?id=1582857"/>
    <s v="['advisory.txt']"/>
    <s v="Solution Draft"/>
    <s v="Missing Mapping"/>
    <m/>
    <m/>
  </r>
  <r>
    <s v="NoRef"/>
    <s v="Agree"/>
    <x v="2"/>
    <n v="91"/>
    <s v="Yes"/>
    <s v="NoRef"/>
    <n v="1632688"/>
    <m/>
    <s v="1632688 - `mach try` now adds all untracked files in the source tree to the temporary commit before pushing"/>
    <s v="['try_task_config.json', 'hg.mozilla.org/users/mozilla_hocat.ca/hg-extra/file/tip/hgext3rd/esr_uplifts/include.py']"/>
    <s v="System Dumps"/>
    <s v="File to Reproduce the Bug"/>
    <m/>
    <m/>
  </r>
  <r>
    <s v="NoRef"/>
    <m/>
    <x v="0"/>
    <n v="92"/>
    <s v="Yes"/>
    <s v="NoRef"/>
    <n v="1642303"/>
    <m/>
    <s v="https://bugzilla.mozilla.org/show_bug.cgi?id=1642303"/>
    <s v="['treeherder.mozilla.org/perf.html', 'commons.js', 'ourworldindata.org/assets/js/commons.js']"/>
    <s v="System Dumps"/>
    <s v="System Dumps"/>
    <m/>
    <m/>
  </r>
  <r>
    <s v="NoRef"/>
    <s v="Agree"/>
    <x v="2"/>
    <n v="93"/>
    <s v="Yes"/>
    <s v="NoRef"/>
    <n v="1748997"/>
    <m/>
    <s v="1748997 - Local Windows builds don't bootstrap mozmake"/>
    <s v="['Users/Mathew/source/repos/mozilla-central\\configure.py']"/>
    <s v="System Dumps"/>
    <s v="Incorrect filepath format"/>
    <m/>
    <m/>
  </r>
  <r>
    <s v="NoRef"/>
    <m/>
    <x v="0"/>
    <n v="94"/>
    <s v="Yes"/>
    <s v="NoRef"/>
    <n v="1766430"/>
    <m/>
    <s v="https://bugzilla.mozilla.org/show_bug.cgi?id=1766430"/>
    <s v="['user.js']"/>
    <s v="File to Reproduce the Bug"/>
    <m/>
    <m/>
    <m/>
  </r>
  <r>
    <s v="NoRef"/>
    <m/>
    <x v="0"/>
    <n v="95"/>
    <s v="Yes"/>
    <s v="NoRef"/>
    <n v="1622751"/>
    <m/>
    <s v="https://bugzilla.mozilla.org/show_bug.cgi?id=1622751"/>
    <s v="['xpcom/threads/nsThread.cpp', 'ipc/glue/MessagePump.cpp', 'ipc/ipdl/PDocAccessibleChild.cpp', 'ipc/chromium/src/base/message_loop.cc', 'ipc/ipdl/PContentChild.cpp', 'xpcom/threads/SchedulerGroup.cpp', 'dom/ipc/ContentChild.cpp', 'ipc/glue/MessageChannel."/>
    <s v="System Dumps"/>
    <m/>
    <m/>
    <m/>
  </r>
  <r>
    <s v="NoRef"/>
    <s v="Agree"/>
    <x v="2"/>
    <n v="96"/>
    <s v="Yes"/>
    <s v="NoRef"/>
    <n v="1752593"/>
    <m/>
    <s v="https://bugzilla.mozilla.org/show_bug.cgi?id=1752593"/>
    <s v="['\\task_164339268047312\\build\\tests\\talos\\talos\\run_tests.py', 'builds/worker/checkouts/gecko/ipc/chromium/src/base/process_util_win.cc', '\\\\task_164339268047312\\\\build\\\\application\\\\firefox\\\\browser\\\\crashreporter-override.ini', '\\task"/>
    <s v="System Dumps"/>
    <s v="Incorrect filepath format"/>
    <m/>
    <m/>
  </r>
  <r>
    <s v="NoRef"/>
    <m/>
    <x v="0"/>
    <n v="97"/>
    <s v="Yes"/>
    <s v="NoRef"/>
    <n v="1643204"/>
    <m/>
    <s v="hear no audio when joining calls on MIT (W3C) WebEx instance"/>
    <s v="['reload.window.html', 'akamaicdn.webex.com/pb/web/40.4.3.173/thinClientSupportAPI.js', 'lists.w3.org/Archives/Member/w3c-css-wg/2017OctDec/0076.html', 'www.webex.com/test-meeting.html', 'treeherder.mozilla.org/logviewer.html', 'join-test.webex.com/webapp"/>
    <s v="Bug Description"/>
    <s v="File to Reproduce the Bug"/>
    <m/>
    <m/>
  </r>
  <r>
    <s v="NoRef"/>
    <m/>
    <x v="0"/>
    <n v="98"/>
    <s v="Yes"/>
    <s v="NoRef"/>
    <n v="1605402"/>
    <m/>
    <s v="1605402 - maven.mozilla.org: maven-metadata.xml is often outdated preventing Fenix to build with the most recent code"/>
    <s v="['maven-metadata.xml', 'snapshots.maven.mozilla.org/maven2/org/mozilla/components/feature-app-links/27.0.0-SNAPSHOT/maven-metadata.xml', 'github.com/mozilla-releng/maven-lambda/blob/cca6eb9c67af6300b821c26a072ff0e3aedd174d/maven_lambda/metadata.py', 'boto"/>
    <s v="Bug Description"/>
    <s v="Solution Draft"/>
    <m/>
    <m/>
  </r>
  <r>
    <s v="NoRef"/>
    <m/>
    <x v="0"/>
    <n v="99"/>
    <s v="Yes"/>
    <s v="NoRef"/>
    <n v="1697836"/>
    <m/>
    <s v="https://bugzilla.mozilla.org/show_bug.cgi?id=1697836"/>
    <s v="['PRINTBUG_MAIN.html', 'PRINTBUG_DATAPAGE.html']"/>
    <s v="File to Reproduce the Bug"/>
    <m/>
    <m/>
    <m/>
  </r>
  <r>
    <s v="NoRef"/>
    <m/>
    <x v="0"/>
    <n v="100"/>
    <s v="Yes"/>
    <s v="NoRef"/>
    <n v="1747269"/>
    <m/>
    <s v="https://bugzilla.mozilla.org/show_bug.cgi?id=1747269"/>
    <s v="['usr/lib/python3.9/ssl.py', 'builds/worker/checkouts/gecko/toolkit/crashreporter/tools/upload_symbols.py', 'builds/worker/checkouts/gecko/third_party/python/requests/requests/adapters.py', 'builds/worker/checkouts/gecko/third_party/python/requests/reques"/>
    <s v="System Dumps"/>
    <m/>
    <m/>
    <m/>
  </r>
  <r>
    <s v="NoRef"/>
    <m/>
    <x v="0"/>
    <n v="101"/>
    <s v="Yes"/>
    <s v="NoRef"/>
    <n v="1616620"/>
    <m/>
    <s v="https://bugzilla.mozilla.org/show_bug.cgi?id=1616620"/>
    <s v="['html.spec.whatwg.org/multipage/input.html', 'html.spec.whatwg.org/multipage/form-control-infrastructure.html']"/>
    <s v="Bug Description"/>
    <s v="File to Reproduce the Bug"/>
    <s v="Solution Draft"/>
    <m/>
  </r>
  <r>
    <s v="NoRef"/>
    <m/>
    <x v="0"/>
    <n v="102"/>
    <s v="Yes"/>
    <s v="NoRef"/>
    <n v="1747910"/>
    <m/>
    <s v="https://bugzilla.mozilla.org/show_bug.cgi?id=1747910"/>
    <s v="['logs/localconfig.json', 'home/cltbld/tasks/task_164078054761266/build/venv/lib/python3.6/site-packages/mozproxy/backends/mitm/mitm.py', 'home/cltbld/tasks/task_164078054761266/build/tests/raptor/raptor/perftest.py', 'home/cltbld/tasks/task_1640780547612"/>
    <s v="System Dumps"/>
    <s v="Backout"/>
    <m/>
    <m/>
  </r>
  <r>
    <s v="NoRef"/>
    <m/>
    <x v="0"/>
    <n v="103"/>
    <s v="Yes"/>
    <s v="NoRef"/>
    <n v="1636855"/>
    <m/>
    <s v="1636855 - paste clipboard ignores maxlength attribute"/>
    <s v="['html.spec.whatwg.org/multipage/input.html', 'www.w3.org/TR/html52/sec-forms.html', 'input_maxlength_withtitle.html', 'input_maxlength.html']"/>
    <s v="Links"/>
    <m/>
    <m/>
    <m/>
  </r>
  <r>
    <s v="NoRef"/>
    <m/>
    <x v="0"/>
    <n v="104"/>
    <s v="Yes"/>
    <s v="NoRef"/>
    <n v="1782313"/>
    <m/>
    <s v="https://bugzilla.mozilla.org/show_bug.cgi?id=1782313"/>
    <s v="['tracked_attention.py']"/>
    <s v="Links"/>
    <m/>
    <m/>
    <m/>
  </r>
  <r>
    <s v="NoRef"/>
    <m/>
    <x v="0"/>
    <n v="105"/>
    <s v="Yes"/>
    <s v="NoRef"/>
    <n v="1696691"/>
    <m/>
    <s v="https://bugzilla.mozilla.org/show_bug.cgi?id=1696691"/>
    <s v="['about-support.txt', 'support.txt', 'third_party/angle/src/gpu_info_util/SystemInfo_libpci.cpp']"/>
    <s v="File to Reproduce the Bug"/>
    <s v="Solution Draft"/>
    <m/>
    <m/>
  </r>
  <r>
    <s v="NoRef"/>
    <m/>
    <x v="0"/>
    <n v="106"/>
    <s v="Yes"/>
    <s v="NoRef"/>
    <n v="1740481"/>
    <m/>
    <s v="https://bugzilla.mozilla.org/show_bug.cgi?id=1740481"/>
    <s v="['Index.html']"/>
    <s v="File to Reproduce the Bug"/>
    <m/>
    <m/>
    <m/>
  </r>
  <r>
    <s v="NoRef"/>
    <m/>
    <x v="0"/>
    <n v="107"/>
    <s v="Yes"/>
    <s v="NoRef"/>
    <n v="1596696"/>
    <m/>
    <s v="https://bugzilla.mozilla.org/show_bug.cgi?id=1596696"/>
    <s v="['builds/worker/workspace/build/src/xpcom/threads/BlockingResourceBase.cpp', 'builds/worker/workspace/build/src/xpcom/base/nsTraceRefcnt.cpp', 'treeherder.mozilla.org/intermittent-failures.html']"/>
    <s v="System Dumps"/>
    <m/>
    <m/>
    <m/>
  </r>
  <r>
    <s v="NoRef"/>
    <s v="Agree"/>
    <x v="2"/>
    <n v="108"/>
    <s v="Yes"/>
    <s v="NoRef"/>
    <n v="1680757"/>
    <m/>
    <s v="https://bugzilla.mozilla.org/show_bug.cgi?id=1680757"/>
    <s v="['mail/extensions/openpgp/content/modules/dialog.jsm', 'openpgp/content/modules/files.jsm', 'files.jsm', 'searchfox.org/mozilla-central/rev/7067bbd8194f4346ec59d77c33cd88f06763e090/widget/gtk/nsFilePicker.cpp', 'openpgp/content/modules/key.jsm', 'openpgp/"/>
    <s v="System Dumps"/>
    <s v="Solution Draft"/>
    <s v="Missing Mapping"/>
    <s v="Code Review"/>
  </r>
  <r>
    <s v="NoRef"/>
    <m/>
    <x v="0"/>
    <n v="109"/>
    <s v="Yes"/>
    <s v="NoRef"/>
    <n v="1803542"/>
    <m/>
    <s v="https://bugzilla.mozilla.org/show_bug.cgi?id=1803542"/>
    <s v="['www.dhl.de/en/privatkunden.html']"/>
    <s v="File to Reproduce the Bug"/>
    <m/>
    <m/>
    <m/>
  </r>
  <r>
    <s v="NoRef"/>
    <m/>
    <x v="0"/>
    <n v="110"/>
    <s v="Yes"/>
    <s v="NoRef"/>
    <n v="1577987"/>
    <m/>
    <s v="https://bugzilla.mozilla.org/show_bug.cgi?id=1577987"/>
    <s v="['utilityOverlay.js']"/>
    <s v="Bug Description"/>
    <m/>
    <m/>
    <m/>
  </r>
  <r>
    <s v="FixRef"/>
    <s v="Agree"/>
    <x v="1"/>
    <n v="0"/>
    <s v="Yes"/>
    <s v="FixRef"/>
    <n v="1715155"/>
    <s v="{1713787}"/>
    <s v="https://bugzilla.mozilla.org/show_bug.cgi?id=1715155"/>
    <s v="['8000/css/css-properties-values-api/registered-property-cssom.html', '8000/css/css-properties-values-api/resources/utils.js', 'css/css-properties-values-api/registered-property-initial.html', '8000/css/css-properties-values-api/registered-property-comput"/>
    <s v="System Dumps"/>
    <m/>
    <m/>
    <m/>
  </r>
  <r>
    <s v="FixRef"/>
    <s v="Agree"/>
    <x v="1"/>
    <n v="1"/>
    <s v="Yes"/>
    <s v="BothRef"/>
    <n v="1770872"/>
    <s v="{1770061}"/>
    <s v="https://bugzilla.mozilla.org/show_bug.cgi?id=1770872"/>
    <s v="['mochitests/content/browser/browser/components/privatebrowsing/test/browser/browser_privatebrowsing_focus_promo.js', 'builds/worker/checkouts/gecko/gfx/gl/GLContext.cpp', 'browser/content/browser.xhtml', 'browser_privatebrowsing_focus_promo.js', 'actors/"/>
    <s v="System Dumps"/>
    <s v="File names are part of bug title, attachment title or commit messages"/>
    <m/>
    <m/>
  </r>
  <r>
    <s v="FixRef"/>
    <s v="Agree"/>
    <x v="1"/>
    <n v="2"/>
    <s v="Yes"/>
    <s v="BothRef"/>
    <n v="1668097"/>
    <s v="{1638974}"/>
    <s v="https://bugzilla.mozilla.org/show_bug.cgi?id=1668097"/>
    <s v="['usr/lib/python3.8/subprocess.py', 'requirements.txt', 'home/gbrown/src/testing/tools/websocketprocessbridge/websocketprocessbridge_requirements.txt', 'tmp/pip-install-46jxgxn7/ipaddr/setup.py', 'searchfox.org/mozilla-central/rev/dfd9c0f72f9765bd4a187444"/>
    <s v="System Dumps"/>
    <s v="File names are part of bug title, attachment title or commit messages"/>
    <m/>
    <m/>
  </r>
  <r>
    <s v="FixRef"/>
    <m/>
    <x v="0"/>
    <n v="3"/>
    <s v="Yes"/>
    <s v="FixRef"/>
    <n v="1540123"/>
    <s v="{1518932}"/>
    <s v="https://bugzilla.mozilla.org/show_bug.cgi?id=1540123"/>
    <s v="['browser_clientAuth_ui.js']"/>
    <s v="File names are part of bug title, attachment title or commit messages"/>
    <m/>
    <m/>
    <m/>
  </r>
  <r>
    <s v="FixRef"/>
    <m/>
    <x v="0"/>
    <n v="4"/>
    <s v="Yes"/>
    <s v="BothRef"/>
    <n v="1789278"/>
    <s v="{1788273}"/>
    <s v="https://bugzilla.mozilla.org/show_bug.cgi?id=1789278"/>
    <s v="['searchfox.org/mozilla-central/rev/918fd22032de3a0025d6e9f4fcc8b7f625315068/toolkit/themes/windows/global/popup.css']"/>
    <s v="Bug Description"/>
    <s v="Solution Draft"/>
    <m/>
    <m/>
  </r>
  <r>
    <s v="FixRef"/>
    <m/>
    <x v="0"/>
    <n v="5"/>
    <s v="Yes"/>
    <s v="BothRef"/>
    <n v="1678352"/>
    <s v="{1674283}"/>
    <s v="https://bugzilla.mozilla.org/show_bug.cgi?id=1678352"/>
    <s v="['searchfox.org/mozilla-central/source/dom/media/gtest/AudioVerifier.h', 'WavDumper.h', 'SineWaveGenerator.h', 'builds/worker/checkouts/gecko/dom/media/gtest/TestAudioTrackGraph.cpp']"/>
    <s v="File names are part of bug title, attachment title or commit messages"/>
    <s v="System Dumps"/>
    <s v="Bug Description"/>
    <m/>
  </r>
  <r>
    <s v="FixRef"/>
    <m/>
    <x v="0"/>
    <n v="6"/>
    <s v="Yes"/>
    <s v="FixRef"/>
    <n v="1598628"/>
    <s v="{1593414}"/>
    <s v="https://bugzilla.mozilla.org/show_bug.cgi?id=1598628"/>
    <s v="['task_1574426437/build/src/ipc/chromium/src/base/process_util_win.cc', 'people.com.cn/people.com.cn/index.html', '\\task_1574430151\\build\\tests\\talos\\talos\\run_tests.py', '\\task_1574430151\\build\\tests\\talos\\talos\\ttest.py', 'youtube.com/www.yo"/>
    <s v="Solution Draft"/>
    <s v="System Dumps"/>
    <s v="File names are part of bug title, attachment title or commit messages"/>
    <m/>
  </r>
  <r>
    <s v="FixRef"/>
    <m/>
    <x v="0"/>
    <n v="7"/>
    <s v="Yes"/>
    <s v="BothRef"/>
    <n v="1572923"/>
    <s v="{1481593}"/>
    <s v="https://bugzilla.mozilla.org/show_bug.cgi?id=1572923"/>
    <s v="['searchfox.org/mozilla-central/rev/c7e8bc4996f979e5876b33afae3de3b1ab4f3ae1/layout/style/res/forms.css']"/>
    <s v="Bug Description"/>
    <m/>
    <m/>
    <m/>
  </r>
  <r>
    <s v="FixRef"/>
    <m/>
    <x v="0"/>
    <n v="8"/>
    <s v="Yes"/>
    <s v="BothRef"/>
    <n v="1751882"/>
    <s v="{1738084}"/>
    <s v="https://bugzilla.mozilla.org/show_bug.cgi?id=1751882"/>
    <s v="['searchfox.org/mozilla-central/rev/7f1db1d2c556b82114b62f5aa4aa29397ad5bce4/toolkit/themes/windows/global/popup.css', 'searchfox.org/mozilla-central/rev/7f1db1d2c556b82114b62f5aa4aa29397ad5bce4/toolkit/themes/osx/global/popup.css']"/>
    <s v="Solution Draft"/>
    <m/>
    <m/>
    <m/>
  </r>
  <r>
    <s v="FixRef"/>
    <m/>
    <x v="0"/>
    <n v="9"/>
    <s v="Yes"/>
    <s v="BothRef"/>
    <n v="1576447"/>
    <s v="{1561533}"/>
    <s v="https://bugzilla.mozilla.org/show_bug.cgi?id=1576447"/>
    <s v="['searchfox.org/mozilla-central/rev/4d1b5b9a5c94a91b36802d4654c25bef57376861/browser/components/urlbar/UrlbarInput.jsm', 'search-one-offs.js']"/>
    <s v="Bug Description"/>
    <m/>
    <m/>
    <m/>
  </r>
  <r>
    <s v="FixRef"/>
    <m/>
    <x v="0"/>
    <n v="10"/>
    <s v="Yes"/>
    <s v="BothRef"/>
    <n v="1692351"/>
    <s v="{1686523}"/>
    <s v="https://bugzilla.mozilla.org/show_bug.cgi?id=1692351"/>
    <s v="['modules/CustomizableUI.jsm', 'browser_970511_undo_restore_default.js', 'searchfox.org/mozilla-central/rev/d3343662ce0aced933b30e053b33c93f759292eb/browser/components/customizableui/CustomizableUI.jsm']"/>
    <s v="System Dumps"/>
    <s v="Backout"/>
    <s v="File to Reproduce the Bug"/>
    <m/>
  </r>
  <r>
    <s v="FixRef"/>
    <s v="Agree"/>
    <x v="1"/>
    <n v="11"/>
    <s v="Yes"/>
    <s v="BothRef"/>
    <n v="1653135"/>
    <s v="{1652615}"/>
    <s v="https://bugzilla.mozilla.org/show_bug.cgi?id=1653135"/>
    <s v="['builds/worker/checkouts/gecko/python/mozbuild/mozbuild/telemetry.py', 'python/mach/mach/test/test_dispatcher.py', 'builds/worker/checkouts/gecko/python/mach/mach/test/test_conditions.py', 'builds/worker/checkouts/gecko/python/mach/mach/sentry.py', 'buil"/>
    <s v="System Dumps"/>
    <s v="File names are part of bug title, attachment title or commit messages"/>
    <m/>
    <m/>
  </r>
  <r>
    <s v="FixRef"/>
    <s v="Agree"/>
    <x v="1"/>
    <n v="12"/>
    <s v="Yes"/>
    <s v="BothRef"/>
    <n v="1717808"/>
    <s v="{1706374}"/>
    <s v="https://bugzilla.mozilla.org/show_bug.cgi?id=1717808"/>
    <s v="['nsLoadGroup.cpp', 'SerializedStructuredCloneBuffer.h', 'EventListenerBinding.cpp', 'message_loop.cc', 'BufferList.h', 'gre/modules/XULStore.jsm', 'nsWindowsWMain.cpp', 'nsThreadUtils.h', 'BrowserChild.cpp', 'SchedulerGroup.cpp', '\\task_1624444163\\buil"/>
    <s v="System Dumps"/>
    <s v="Bug Description"/>
    <s v="File names are part of bug title, attachment title or commit messages"/>
    <m/>
  </r>
  <r>
    <s v="FixRef"/>
    <s v="Agree"/>
    <x v="1"/>
    <n v="13"/>
    <s v="Yes"/>
    <s v="BothRef"/>
    <n v="1762725"/>
    <s v="{1759137}"/>
    <s v="https://bugzilla.mozilla.org/show_bug.cgi?id=1762725"/>
    <s v="['xpcom/threads/MozPromise.h', 'dom/media/platforms/ffmpeg/FFmpegDataDecoder.cpp', 'dom/media/platforms/ffmpeg/FFmpegVideoFramePool.cpp', 'dom/media/platforms/ffmpeg/FFmpegVideoDecoder.cpp', 'xpcom/threads/TaskQueue.cpp', 'libavcodec/h264_picture.c']"/>
    <s v="System Dumps"/>
    <m/>
    <m/>
    <m/>
  </r>
  <r>
    <s v="FixRef"/>
    <s v="Agree"/>
    <x v="1"/>
    <n v="14"/>
    <s v="Yes"/>
    <s v="FixRef"/>
    <n v="1633718"/>
    <s v="{1544435}"/>
    <s v="1633718 - ThemeSupportsWidget is extremely slow when WindowBlinds is installed"/>
    <s v="['googleprojectzero.blogspot.com/2016/11/breaking-chain.html', 'searchfox.org/mozilla-central/source/widget/windows/nsNativeThemeWin.cpp', 'searchfox.org/mozilla-central/rev/158bac3df3a1890da55bdb6ffdaf9a7ffc0bfb0a/widget/windows/nsUXThemeData.cpp', 'sear"/>
    <s v="File to Reproduce the Bug"/>
    <s v="Bug Description"/>
    <m/>
    <m/>
  </r>
  <r>
    <s v="FixRef"/>
    <m/>
    <x v="0"/>
    <n v="15"/>
    <s v="Yes"/>
    <s v="BothRef"/>
    <n v="1666095"/>
    <s v="{1515073}"/>
    <s v="https://bugzilla.mozilla.org/show_bug.cgi?id=1666095"/>
    <s v="['searchfox.org/mozilla-central/source/dom/events/EventStateManager.cpp']"/>
    <s v="Bug Description"/>
    <m/>
    <m/>
    <m/>
  </r>
  <r>
    <s v="FixRef"/>
    <m/>
    <x v="0"/>
    <n v="16"/>
    <s v="Yes"/>
    <s v="BothRef"/>
    <n v="1729338"/>
    <s v="{1714585}"/>
    <s v="https://bugzilla.mozilla.org/show_bug.cgi?id=1729338"/>
    <s v="['hg.mozilla.org/mozilla-central/file/tip/taskcluster/ci/test/awsy.yml']"/>
    <s v="Bug Description"/>
    <m/>
    <m/>
    <m/>
  </r>
  <r>
    <s v="FixRef"/>
    <m/>
    <x v="0"/>
    <n v="17"/>
    <s v="Yes"/>
    <s v="FixRef"/>
    <n v="1621173"/>
    <s v="{1617983}"/>
    <s v="1621173 - Intermittent browser/base/content/test/general/browser_bug724239.js | about:newtab was added to the session history when AS was enabled. - Got false, expected true"/>
    <s v="['browser/content/browser.xhtml', 'builds/worker/checkouts/gecko/netwerk/base/nsLoadGroup.cpp', 'treeherder.mozilla.org/logviewer.html', 'builds/worker/workspace/obj-build/dist/include/mozilla/MouseEvents.h', 'browser/base/content/test/general/browser_bug"/>
    <s v="System Dumps"/>
    <s v="File names are part of bug title, attachment title or commit messages"/>
    <m/>
    <m/>
  </r>
  <r>
    <s v="FixRef"/>
    <s v="Agree"/>
    <x v="1"/>
    <n v="18"/>
    <s v="Yes"/>
    <s v="BothRef"/>
    <n v="1663862"/>
    <s v="{1561521}"/>
    <s v="https://bugzilla.mozilla.org/show_bug.cgi?id=1663862"/>
    <s v="['js/src/wasm/WasmJS.cpp', 'js/src/builtin/Eval.cpp', 'js/src/vm/Interpreter.cpp', 'js/src/jit/BaselineIC.cpp']"/>
    <s v="System Dumps"/>
    <m/>
    <m/>
    <m/>
  </r>
  <r>
    <s v="FixRef"/>
    <s v="Agree"/>
    <x v="1"/>
    <n v="19"/>
    <s v="Yes"/>
    <s v="BothRef"/>
    <n v="1642480"/>
    <s v="{1572860}"/>
    <s v="https://bugzilla.mozilla.org/show_bug.cgi?id=1642480"/>
    <s v="['layout/base/nsRefreshDriver.cpp', 'accessible/base/nsAccUtils.cpp', 'accessible/base/nsEventShell.cpp', 'accessible/generic/Accessible.cpp', 'accessible/windows/msaa/AccessibleWrap.cpp', 'accessible/base/NotificationController.cpp']"/>
    <s v="System Dumps"/>
    <m/>
    <m/>
    <m/>
  </r>
  <r>
    <s v="FixRef"/>
    <m/>
    <x v="0"/>
    <n v="20"/>
    <s v="Yes"/>
    <s v="FixRef"/>
    <n v="1707652"/>
    <s v="{1700679}"/>
    <s v="1707652 - Wrong set of menu items is displayed in native context menu in Downloads panel"/>
    <s v="['searchfox.org/mozilla-central/rev/37edd2782e67e716dd07a85016da07b4d6275e5d/browser/components/downloads/content/downloads.css']"/>
    <s v="Bug Description"/>
    <s v="Links"/>
    <m/>
    <m/>
  </r>
  <r>
    <s v="FixRef"/>
    <m/>
    <x v="0"/>
    <n v="21"/>
    <s v="Yes"/>
    <s v="BothRef"/>
    <n v="1674437"/>
    <s v="{1565574}"/>
    <s v="1674437 - ContentDispatchChooser throws if no triggering principal is passed"/>
    <s v="['hg.mozilla.org/mozilla-unified/file/tip/toolkit/mozapps/handling/ContentDispatchChooser.jsm']"/>
    <s v="File to Reproduce the Bug"/>
    <m/>
    <m/>
    <m/>
  </r>
  <r>
    <s v="FixRef"/>
    <m/>
    <x v="0"/>
    <n v="22"/>
    <s v="Yes"/>
    <s v="BothRef"/>
    <n v="1731540"/>
    <s v="{1730699}"/>
    <s v="https://bugzilla.mozilla.org/show_bug.cgi?id=1731540"/>
    <s v="['searchfox.org/mozilla-central/source/js/src/jit/JitFrames.cpp', 'searchfox.org/mozilla-central/rev/13378066961f195595822d4f543c8ac5b7f46490/js/src/vm/Iteration.cpp']"/>
    <s v="Bug Description"/>
    <s v="Links"/>
    <m/>
    <m/>
  </r>
  <r>
    <s v="FixRef"/>
    <s v="Agree"/>
    <x v="1"/>
    <n v="23"/>
    <s v="Yes"/>
    <s v="FixRef"/>
    <n v="1691941"/>
    <s v="{1681567}"/>
    <s v="1691941 - Hide the rest-array in default derived class constructors"/>
    <s v="['devtools/shared/protocol/Front.js', 'searchfox.org/mozilla-central/rev/7067bbd8194f4346ec59d77c33cd88f06763e090/js/src/debugger/Debugger.cpp', 'devtools/server/actors/environment.js']"/>
    <s v="Solution Draft"/>
    <s v="Bug Description"/>
    <s v="System Dumps"/>
    <m/>
  </r>
  <r>
    <s v="FixRef"/>
    <s v="Agree"/>
    <x v="1"/>
    <n v="24"/>
    <s v="Yes"/>
    <s v="BothRef"/>
    <n v="1772968"/>
    <s v="{1771151}"/>
    <s v="Assertion failure: slowNode == node (These should always be in sync!), at /builds/worker/checkouts/gecko/dom/base/nsINode.cpp:518"/>
    <s v="['builds/worker/checkouts/gecko/dom/base/nsINode.cpp', 'pernos.co/debug/ZyiyaxH7Nf9cTRZwiQg2lg/index.html', 'builds/worker/workspace/obj-build/dom/bindings/DocumentBinding.cpp', 'builds/worker/workspace/obj-build/dist/include/mozilla/dom/PromiseBinding.h'"/>
    <s v="System Dumps"/>
    <m/>
    <m/>
    <m/>
  </r>
  <r>
    <s v="FixRef"/>
    <m/>
    <x v="0"/>
    <n v="25"/>
    <s v="Yes"/>
    <s v="BothRef"/>
    <n v="1584746"/>
    <s v="{1581067}"/>
    <s v="https://bugzilla.mozilla.org/show_bug.cgi?id=1584746"/>
    <s v="['Context.cpp', 'Nsrc/dom/cache/CacheOpChild.cpp', 'xpcom/threads/nsThread.cpp', 'build/build/src/dom/cache/FileUtils.cpp', 'runtests.py', 'nsprpub/pr/src/threads/combined/pruthr.c', 'd.cpp', 'FileUtils.cpp', 'treeherder.mozilla.org/intermittent-failures."/>
    <s v="System Dumps"/>
    <m/>
    <m/>
    <m/>
  </r>
  <r>
    <s v="FixRef"/>
    <m/>
    <x v="0"/>
    <n v="26"/>
    <s v="Yes"/>
    <s v="FixRef"/>
    <n v="1663731"/>
    <s v="{1620055}"/>
    <s v="https://bugzilla.mozilla.org/show_bug.cgi?id=1663731"/>
    <s v="['searchfox.org/mozilla-central/rev/9fab6c0021ed9b103a70bf5c296b45949a2950bc/gfx/layers/apz/util/APZEventState.cpp', 'searchfox.org/mozilla-central/rev/f21850ca45036ddb84cd25aa355a6969d7c94c4f/gfx/layers/apz/util/APZEventState.cpp', 'leaflet.js']"/>
    <s v="Bug Description"/>
    <s v="File to Reproduce the Bug"/>
    <m/>
    <m/>
  </r>
  <r>
    <s v="FixRef"/>
    <m/>
    <x v="0"/>
    <n v="27"/>
    <s v="Yes"/>
    <s v="BothRef"/>
    <n v="1581589"/>
    <s v="{1576690}"/>
    <s v="Assertion failure: aIdxInParent &lt;= static_cast&lt;int32_t&gt;(aNewParent-&gt;mChildren.Length()) (Wrong insertion point for a moving child), at src/accessible/generic/DocAccessible.cpp:2293"/>
    <s v="['src/accessible/base/NotificationController.cpp', 'src/xpcom/threads/nsThreadUtils.cpp', 'src/ipc/chromium/src/base/message_loop.cc', 'prefs.js', 'src/layout/ipc/VsyncChild.cpp', 'src/ipc/glue/MessagePump.cpp', 'src/browser/app/../../ipc/contentproc/plug"/>
    <s v="System Dumps"/>
    <m/>
    <m/>
    <m/>
  </r>
  <r>
    <s v="FixRef"/>
    <s v="Agree"/>
    <x v="1"/>
    <n v="28"/>
    <s v="Yes"/>
    <s v="BothRef"/>
    <n v="1768237"/>
    <s v="{1756474}"/>
    <s v="https://bugzilla.mozilla.org/show_bug.cgi?id=1768237"/>
    <s v="['gfx/thebes/gfxTextRun.cpp', 'gfx/src/nsFontCache.cpp', 'gfx/thebes/gfxPlatformFontList.cpp', 'layout/forms/nsTextControlFrame.cpp', 'gfx/thebes/gfxPlatform.cpp', 'gfx/src/nsThebesFontEnumerator.cpp', 'layout/base/nsLayoutUtils.cpp', 'gfx/thebes/gfxFontE"/>
    <s v="System Dumps"/>
    <m/>
    <m/>
    <m/>
  </r>
  <r>
    <s v="FixRef"/>
    <s v="Agree"/>
    <x v="1"/>
    <n v="29"/>
    <s v="Yes"/>
    <s v="FixRef"/>
    <n v="1594871"/>
    <s v="{1593560}"/>
    <s v="1594871 - Intermittent remote/test/browser/page/browser_captureScreenshot.js | Size of quality 10 is smaller than default -"/>
    <s v="['searchfox.org/mozilla-central/source/remote/test/browser/head.js', 'browser_captureScreenshot.js', 'remote/test/browser/page/browser_captureScreenshot.js', 'pernos.co/debug/PcSVEvwigawYDjCYc5L32g/index.html', 'mochitests/content/browser/remote/test/brow"/>
    <s v="System Dumps"/>
    <s v="File names are part of bug title, attachment title or commit messages"/>
    <m/>
    <m/>
  </r>
  <r>
    <s v="FixRef"/>
    <s v="Agree"/>
    <x v="1"/>
    <n v="30"/>
    <s v="Yes"/>
    <s v="BothRef"/>
    <n v="1569281"/>
    <s v="{1598930}"/>
    <s v="https://bugzilla.mozilla.org/show_bug.cgi?id=1569281"/>
    <s v="['toolkit/components/normandy/test/browser/browser_RecipeRunner.js', 'hg.mozilla.org/mozilla-central/raw-file/tip/layout/tools/reftest/reftest-analyzer.xhtml', 'treeherder.mozilla.org/logviewer.html', 'missing_beta_status.py', 'testing-common/PromiseTestU"/>
    <s v="System Dumps"/>
    <s v="File names are part of bug title, attachment title or commit messages"/>
    <m/>
    <m/>
  </r>
  <r>
    <s v="FixRef"/>
    <m/>
    <x v="0"/>
    <n v="31"/>
    <s v="Yes"/>
    <s v="BothRef"/>
    <n v="1603402"/>
    <s v="{1596682, 1598980}"/>
    <s v="https://bugzilla.mozilla.org/show_bug.cgi?id=1603402"/>
    <s v="['builds/worker/workspace/build/src/netwerk/ipc/DocumentChannelChild.cpp', 'builds/worker/workspace/build/src/layout/base/nsPresContext.cpp', 'builds/worker/workspace/build/src/dom/ipc/PropertyBagUtils.cpp', 'builds/worker/workspace/build/src/dom/cache/Ca"/>
    <s v="System Dumps"/>
    <s v="File names are part of bug title, attachment title or commit messages"/>
    <m/>
    <m/>
  </r>
  <r>
    <s v="FixRef"/>
    <s v="Agree"/>
    <x v="1"/>
    <n v="32"/>
    <s v="Yes"/>
    <s v="BothRef"/>
    <n v="1788895"/>
    <s v="{1758092}"/>
    <s v="https://bugzilla.mozilla.org/show_bug.cgi?id=1788895"/>
    <s v="['Unified_cpp_docshell_base0.cpp', 'builds/worker/workspace/obj-build/dist/include/mozilla/dom/quota/QuotaCommon.h', 'builds/worker/workspace/obj-build/dist/include/mozilla/MacroArgs.h', '-fsanitize-blacklist=/builds/worker/workspace/obj-build/ubsan_black"/>
    <s v="System Dumps"/>
    <s v="File names are part of bug title, attachment title or commit messages"/>
    <m/>
    <m/>
  </r>
  <r>
    <s v="FixRef"/>
    <s v="Agree"/>
    <x v="1"/>
    <n v="33"/>
    <s v="Yes"/>
    <s v="FixRef"/>
    <n v="1689155"/>
    <s v="{1618639}"/>
    <s v="1689155 - Focus ring on links after switching back to tabs after 85 update."/>
    <s v="['browser_outline_refocus.js']"/>
    <s v="Bug Description"/>
    <m/>
    <m/>
    <m/>
  </r>
  <r>
    <s v="FixRef"/>
    <m/>
    <x v="0"/>
    <n v="34"/>
    <s v="Yes"/>
    <s v="BothRef"/>
    <n v="1759281"/>
    <s v="{1753692}"/>
    <s v="https://bugzilla.mozilla.org/show_bug.cgi?id=1759281"/>
    <s v="['builds/worker/checkouts/gecko/js/src/wasm/WasmTlsData.h', 'builds/worker/workspace/sm-package/mozjs-100.0.0/js/src/wasm/WasmInstance.h', 'WasmInstance.h', 'builds/worker/checkouts/gecko/js/src/wasm/WasmInstance.h']"/>
    <s v="System Dumps"/>
    <s v="File names are part of bug title, attachment title or commit messages"/>
    <m/>
    <m/>
  </r>
  <r>
    <s v="FixRef"/>
    <m/>
    <x v="0"/>
    <n v="35"/>
    <s v="Yes"/>
    <s v="BothRef"/>
    <n v="1708217"/>
    <s v="{1700957}"/>
    <s v="https://bugzilla.mozilla.org/show_bug.cgi?id=1708217"/>
    <s v="['hg.mozilla.org/mozilla-central/file/e01ec8694924852acd5a4632c23f9dc8a6b19858/browser/themes/shared/controlcenter/panel.inc.css']"/>
    <s v="Bug Description"/>
    <m/>
    <m/>
    <m/>
  </r>
  <r>
    <s v="FixRef"/>
    <s v="Agree"/>
    <x v="1"/>
    <n v="36"/>
    <s v="Yes"/>
    <s v="BothRef"/>
    <n v="1684497"/>
    <s v="{1663230}"/>
    <s v="https://bugzilla.mozilla.org/show_bug.cgi?id=1684497"/>
    <s v="['src/view/nsViewManager.cpp', 'src/browser/app/../../ipc/contentproc/plugin-container.cpp', 'src/layout/mathml/nsMathMLContainerFrame.cpp', 'src/ipc/glue/MessagePump.cpp', 'src/gfx/thebes/gfxFont.cpp', 'builds/worker/workspace/obj-build/ipc/ipdl/PBackgro"/>
    <s v="System Dumps"/>
    <m/>
    <m/>
    <m/>
  </r>
  <r>
    <s v="FixRef"/>
    <m/>
    <x v="0"/>
    <n v="37"/>
    <s v="Yes"/>
    <s v="FixRef"/>
    <n v="1734984"/>
    <s v="{1729395}"/>
    <s v="1734984 - sender.url of the message sent at document_start is the previous page URL in this tab"/>
    <s v="['browser_ext_contentscript_sender_url.js']"/>
    <s v="Backout"/>
    <m/>
    <m/>
    <m/>
  </r>
  <r>
    <s v="FixRef"/>
    <s v="Agree"/>
    <x v="2"/>
    <n v="38"/>
    <s v="Yes"/>
    <s v="BothRef"/>
    <n v="1726532"/>
    <s v="{1718924, 1311934}"/>
    <s v="https://bugzilla.mozilla.org/show_bug.cgi?id=1726532"/>
    <s v="['searchfox.org/mozilla-central/diff/886c96059ef6408618040356017028621bc574b9/editor/spellchecker/TextServicesDocument.cpp']"/>
    <s v="Bug Description"/>
    <m/>
    <m/>
    <m/>
  </r>
  <r>
    <s v="FixRef"/>
    <s v="Agree"/>
    <x v="1"/>
    <n v="39"/>
    <s v="Yes"/>
    <s v="FixRef"/>
    <n v="1588259"/>
    <s v="{1602173}"/>
    <s v="Assertion failure: !chan (Why is there a document channel?), at src/toolkit/components/windowwatcher/nsWindowWatcher.cpp:996"/>
    <s v="['browser/app/nsBrowserApp.cpp', 'ipc/glue/MessageChannel.cpp', '1588259.html', 'xpcom/threads/nsThread.cpp', 'src/toolkit/components/windowwatcher/nsWindowWatcher.cpp', 'toolkit/components/windowwatcher/nsWindowWatcher.cpp', 'dom/bindings/BindingUtils.cp"/>
    <s v="System Dumps"/>
    <s v="Bug Description"/>
    <s v="File names are part of bug title, attachment title or commit messages"/>
    <m/>
  </r>
  <r>
    <s v="FixRef"/>
    <s v="Agree"/>
    <x v="1"/>
    <n v="40"/>
    <s v="Yes"/>
    <s v="FixRef"/>
    <n v="1720512"/>
    <s v="{1717739}"/>
    <s v="https://bugzilla.mozilla.org/show_bug.cgi?id=1720512"/>
    <s v="['devtools/shared/Loader.jsm', 'searchfox.org/mozilla-central/rev/c0fc8c4852e927b0ae75d893d35772b8c60ee06b/devtools/client/debugger/src/utils/breakpoint/index.js', 'devtools/shared/protocol/Actor.js', 'devtools/server/devtools-server-connection.js', 'Acto"/>
    <s v="System Dumps"/>
    <s v="File to Reproduce the Bug"/>
    <m/>
    <m/>
  </r>
  <r>
    <s v="FixRef"/>
    <s v="Agree"/>
    <x v="1"/>
    <n v="41"/>
    <s v="Yes"/>
    <s v="FixRef"/>
    <n v="1678413"/>
    <s v="{1465847}"/>
    <s v="1678413 - Blocking view-source via the WebsiteFilter causes a leak"/>
    <s v="['nsViewSourceChannel.h', 'searchfox.org/mozilla-central/rev/f081504642a115cb8236bea4d8250e5cb0f39b02/netwerk/protocol/http/nsHttpChannel.cpp', 'treeherder.mozilla.org/logviewer.html']"/>
    <s v="Bug Description"/>
    <s v="System Dumps"/>
    <m/>
    <m/>
  </r>
  <r>
    <s v="FixRef"/>
    <m/>
    <x v="0"/>
    <n v="42"/>
    <s v="Yes"/>
    <s v="FixRef"/>
    <n v="1618206"/>
    <s v="{1612106}"/>
    <s v="https://bugzilla.mozilla.org/show_bug.cgi?id=1618206"/>
    <s v="['update-and-send-events-replacement.html', 'web-animations/timing-model/timelines/update-and-send-events-replacement.html', 'treeherder.mozilla.org/logviewer.html']"/>
    <s v="System Dumps"/>
    <s v="File names are part of bug title, attachment title or commit messages"/>
    <s v="Links"/>
    <m/>
  </r>
  <r>
    <s v="FixRef"/>
    <m/>
    <x v="0"/>
    <n v="43"/>
    <s v="Yes"/>
    <s v="BothRef"/>
    <n v="1709311"/>
    <s v="{1694662}"/>
    <s v="https://bugzilla.mozilla.org/show_bug.cgi?id=1709311"/>
    <s v="['test_removeDataFromDomain.js', 'toolkit/components/forgetaboutsite/test/unit/test_removeDataFromDomain.js', 'xpcshell/head.js']"/>
    <s v="System Dumps"/>
    <s v="File names are part of bug title, attachment title or commit messages"/>
    <m/>
    <m/>
  </r>
  <r>
    <s v="FixRef"/>
    <m/>
    <x v="0"/>
    <n v="44"/>
    <s v="Yes"/>
    <s v="BothRef"/>
    <n v="1681948"/>
    <s v="{1674806}"/>
    <s v="https://bugzilla.mozilla.org/show_bug.cgi?id=1681948"/>
    <s v="['siteDataRemoveSelected.xhtml']"/>
    <s v="File names are part of bug title, attachment title or commit messages"/>
    <m/>
    <m/>
    <m/>
  </r>
  <r>
    <s v="FixRef"/>
    <m/>
    <x v="0"/>
    <n v="45"/>
    <s v="Yes"/>
    <s v="BothRef"/>
    <n v="1555936"/>
    <s v="{1547565}"/>
    <s v="https://bugzilla.mozilla.org/show_bug.cgi?id=1555936"/>
    <s v="['js/src/gc/RootMarking.cpp', 'task_1558609429/build/src/dom/base/nsJSEnvironment.cpp', 'js/src/gc/GC.cpp', 'js/src/vm/JSAtom.cpp', 'dom/base/nsJSEnvironment.cpp']"/>
    <s v="System Dumps"/>
    <m/>
    <m/>
    <m/>
  </r>
  <r>
    <s v="FixRef"/>
    <s v="Agree"/>
    <x v="1"/>
    <n v="46"/>
    <s v="Yes"/>
    <s v="BothRef"/>
    <n v="1625396"/>
    <s v="{1622699}"/>
    <s v="https://bugzilla.mozilla.org/show_bug.cgi?id=1625396"/>
    <s v="['XPCWrappedNativeJSOps.cpp', 'TimeoutExecutor.cpp', 'runtests.py', 'xpcAccessible.cpp', 'accessible/tests/mochitest/hittest/test_general.html', 'nsGlobalWindowInner.cpp', 'nsTimerImpl.cpp', 'treeherder.mozilla.org/intermittent-failures.html', 'TimeoutHan"/>
    <s v="System Dumps"/>
    <s v="File names are part of bug title, attachment title or commit messages"/>
    <m/>
    <m/>
  </r>
  <r>
    <s v="FixRef"/>
    <m/>
    <x v="0"/>
    <n v="47"/>
    <s v="Yes"/>
    <s v="BothRef"/>
    <n v="1560736"/>
    <s v="{1560040}"/>
    <s v="https://bugzilla.mozilla.org/show_bug.cgi?id=1560736"/>
    <s v="['searchfox.org/mozilla-central/rev/06bd14ced96f25ff1dbd5352cb985fc0fa12a64e/gfx/gl/GLContext.h', 'test_cryptomining_annotate.html', 'toolkit/components/url-classifier/tests/mochitest/test_socialtracking.html', 'nents/url-classifier/tests/mochitest/test_s"/>
    <s v="System Dumps"/>
    <s v="File names are part of bug title, attachment title or commit messages"/>
    <s v="Solution Draft"/>
    <m/>
  </r>
  <r>
    <s v="FixRef"/>
    <s v="Agree"/>
    <x v="1"/>
    <n v="48"/>
    <s v="Yes"/>
    <s v="BothRef"/>
    <n v="1617512"/>
    <s v="{1477756}"/>
    <s v="https://bugzilla.mozilla.org/show_bug.cgi?id=1617512"/>
    <s v="['test_conformance__ogles__GL__build__build_049_to_056.html', 'canvas/test/webgl-conf/generated-mochitest.ini', 'backslash-in-glsl-comment.html', 'treeherder.mozilla.org/logviewer.html', 'testcase-msvc-regex-nongreedy-eol.cpp', 'www.khronos.org/registry/w"/>
    <s v="Backout"/>
    <s v="File names are part of bug title, attachment title or commit messages"/>
    <s v="File to Reproduce the Bug"/>
    <m/>
  </r>
  <r>
    <s v="FixRef"/>
    <s v="Agree"/>
    <x v="1"/>
    <n v="49"/>
    <s v="Yes"/>
    <s v="BothRef"/>
    <n v="1580317"/>
    <s v="{1427639}"/>
    <s v="https://bugzilla.mozilla.org/show_bug.cgi?id=1580317"/>
    <s v="['mozilla-central/ipc/chromium/src/base/message_loop.cc', 'mozilla-central/ipc/glue/MessagePump.cpp', 'mozilla-central/xpcom/threads/nsThread.cpp', 'mozilla-central/xpcom/threads/nsThreadUtils.cpp', 'src/mozilla-central/image/StreamingLexer.h', 'mozilla-c"/>
    <s v="System Dumps"/>
    <m/>
    <m/>
    <m/>
  </r>
  <r>
    <s v="FixRef"/>
    <m/>
    <x v="0"/>
    <n v="50"/>
    <s v="Yes"/>
    <s v="FixRef"/>
    <n v="1562437"/>
    <s v="{1502733}"/>
    <s v="1562437 - LeakSanitizer: [@ js::Mutex::heldMutexStack]"/>
    <s v="['js/src/threading/Mutex.cpp', 'js/src/shell/js.cpp', 'home/ubuntu/shell-cache/js-dbg-64-dm-asan-linux-aarch64-900a0b127043/objdir-js/dist/include/js/Utility.h', 'js/src/threading/LockGuard.h']"/>
    <s v="System Dumps"/>
    <m/>
    <m/>
    <m/>
  </r>
  <r>
    <s v="FixRef"/>
    <m/>
    <x v="0"/>
    <n v="51"/>
    <s v="Yes"/>
    <s v="BothRef"/>
    <n v="1737865"/>
    <s v="{1714395}"/>
    <s v="https://bugzilla.mozilla.org/show_bug.cgi?id=1737865"/>
    <s v="['devtools/shared/protocol/Front/FrontClassWithSpec.js', 'devtools/shared/protocol/Front.js', 'devtools/shared/commands/target/legacy-target-watchers/legacy-serviceworkers-watcher.js', 'devtools/shared/commands/target/target-command.js', 'toolkit/componen"/>
    <s v="System Dumps"/>
    <m/>
    <m/>
    <m/>
  </r>
  <r>
    <s v="FixRef"/>
    <m/>
    <x v="0"/>
    <n v="52"/>
    <s v="Yes"/>
    <s v="BothRef"/>
    <n v="1562947"/>
    <s v="{1523741}"/>
    <s v="https://bugzilla.mozilla.org/show_bug.cgi?id=1562947"/>
    <s v="['aboutTelemetry.js']"/>
    <s v="Bug Description"/>
    <m/>
    <m/>
    <m/>
  </r>
  <r>
    <s v="FixRef"/>
    <m/>
    <x v="0"/>
    <n v="53"/>
    <s v="Yes"/>
    <s v="BothRef"/>
    <n v="1758536"/>
    <s v="{1272636}"/>
    <s v="https://bugzilla.mozilla.org/show_bug.cgi?id=1758536"/>
    <s v="['setup/&lt;@dom/media/test/test_played.html', 'SimpleTest.is@SimpleTest/SimpleTest.js', 'dom/media/test/test_played.html', 'test_played.html']"/>
    <s v="System Dumps"/>
    <s v="File names are part of bug title, attachment title or commit messages"/>
    <m/>
    <m/>
  </r>
  <r>
    <s v="FixRef"/>
    <m/>
    <x v="0"/>
    <n v="54"/>
    <s v="Yes"/>
    <s v="BothRef"/>
    <n v="1746814"/>
    <s v="{1678623}"/>
    <s v="https://bugzilla.mozilla.org/show_bug.cgi?id=1746814"/>
    <s v="['nsNavHistoryResult.cpp']"/>
    <s v="Bug Description"/>
    <m/>
    <m/>
    <m/>
  </r>
  <r>
    <s v="FixRef"/>
    <m/>
    <x v="0"/>
    <n v="55"/>
    <s v="Yes"/>
    <s v="BothRef"/>
    <n v="1632881"/>
    <s v="{1625151}"/>
    <s v="https://bugzilla.mozilla.org/show_bug.cgi?id=1632881"/>
    <s v="['modules/libpref/Preferences.cpp', 'searchfox.org/mozilla-central/rev/b8fbb6ead517720daf0b0211115f407b4b951c74/toolkit/xre/nsXREDirProvider.cpp', 'searchfox.org/mozilla-central/rev/4bb2401ecbfce89af06fb2b4d0ea3557682bd8ff/modules/libpref/Preferences.cpp'"/>
    <s v="System Dumps"/>
    <m/>
    <m/>
    <m/>
  </r>
  <r>
    <s v="FixRef"/>
    <s v="Agree"/>
    <x v="1"/>
    <n v="56"/>
    <s v="Yes"/>
    <s v="BothRef"/>
    <n v="1620222"/>
    <s v="{1620087}"/>
    <s v="1620222 - Intermittent [TV] devtools/client/webconsole/test/browser/browser_console_eager_eval.js | Test timed out -"/>
    <s v="['hg.mozilla.org/mozilla-central/raw-file/tip/layout/tools/reftest/reftest-analyzer.xhtml', '4638f0af-f762-4259-b80b-82f33dd18f3b/_generated_background_page.html', 'builds/worker/workspace/build/src/layout/base/nsPresContext.cpp', 'treeherder.mozilla.org/"/>
    <s v="System Dumps"/>
    <s v="File names are part of bug title, attachment title or commit messages"/>
    <m/>
    <m/>
  </r>
  <r>
    <s v="FixRef"/>
    <m/>
    <x v="0"/>
    <n v="57"/>
    <s v="Yes"/>
    <s v="BothRef"/>
    <n v="1764435"/>
    <s v="{1554571}"/>
    <s v="https://bugzilla.mozilla.org/show_bug.cgi?id=1764435"/>
    <s v="['mozilla-source/mozilla-central/widget/Theme.cpp', 'searchfox.org/mozilla-central/rev/d34f9713ae128a3138c2b70d8041a535f1049d19/toolkit/content/minimal-xul.css', 'searchfox.org/mozilla-central/rev/b72e9d7d63bf499d1d8168291b93d4ec7fde236e/widget/Theme.cpp'"/>
    <s v="Bug Description"/>
    <s v="Links"/>
    <m/>
    <m/>
  </r>
  <r>
    <s v="FixRef"/>
    <m/>
    <x v="0"/>
    <n v="58"/>
    <s v="Yes"/>
    <s v="BothRef"/>
    <n v="1572421"/>
    <s v="{1550640}"/>
    <s v="https://bugzilla.mozilla.org/show_bug.cgi?id=1572421"/>
    <s v="['raw_items.txt', 'wr-dl-dump.txt', 'searchfox.org/mozilla-central/rev/82c04b9cad5b98bdf682bd477f2b1e3071b004ad/gfx/wr/webrender_api/src/display_list.rs']"/>
    <s v="File to Reproduce the Bug"/>
    <s v="Solution Draft"/>
    <m/>
    <m/>
  </r>
  <r>
    <s v="FixRef"/>
    <m/>
    <x v="0"/>
    <n v="59"/>
    <s v="Yes"/>
    <s v="FixRef"/>
    <n v="1783610"/>
    <s v="{1782527}"/>
    <s v="https://bugzilla.mozilla.org/show_bug.cgi?id=1783610"/>
    <s v="['browser-toolbox.js']"/>
    <s v="File names are part of bug title, attachment title or commit messages"/>
    <m/>
    <m/>
    <m/>
  </r>
  <r>
    <s v="FixRef"/>
    <m/>
    <x v="0"/>
    <n v="60"/>
    <s v="Yes"/>
    <s v="FixRef"/>
    <n v="1624384"/>
    <s v="{1729423}"/>
    <s v="https://bugzilla.mozilla.org/show_bug.cgi?id=1624384"/>
    <s v="['searchfox.org/mozilla-central/rev/202a285024f174c2d2bf2152d9cba90a03723eab/dom/base/PlacesObservers.cpp', 'workflow.2Fno_priority.py']"/>
    <s v="Bug Description"/>
    <m/>
    <m/>
    <m/>
  </r>
  <r>
    <s v="FixRef"/>
    <s v="Agree"/>
    <x v="1"/>
    <n v="61"/>
    <s v="Yes"/>
    <s v="FixRef"/>
    <n v="1782562"/>
    <s v="{685783}"/>
    <s v="https://bugzilla.mozilla.org/show_bug.cgi?id=1782562"/>
    <s v="['home/skygentoo/trees/mozilla-central/js/src/vm/CompilationAndEvaluation.cpp', 'home/skygentoo/trees/mozilla-central/js/src/shell/js.cpp', 'home/skygentoo/trees/mozilla-central/js/src/vm/Interpreter.h', 'home/skygentoo/trees/mozilla-central/js/src/jit/Ba"/>
    <s v="System Dumps"/>
    <s v="Bug Description"/>
    <s v="Backout"/>
    <s v="File names are part of bug title, attachment title or commit messages"/>
  </r>
  <r>
    <s v="FixRef"/>
    <s v="Agree"/>
    <x v="1"/>
    <n v="62"/>
    <s v="Yes"/>
    <s v="BothRef"/>
    <n v="1641153"/>
    <s v="{1637226}"/>
    <s v="https://bugzilla.mozilla.org/show_bug.cgi?id=1641153"/>
    <s v="['layout/base/nsDocumentViewer.cpp', 'ClientSource.cpp', 'dom/base/nsGlobalWindowOuter.cpp', 'uriloader/base/nsURILoader.cpp', 'docshell/base/nsDocShell.cpp', 'docshell/base/nsDSURIContentListener.cpp', 'dom/clients/manager/ClientSource.cpp', 'dom/base/ns"/>
    <s v="System Dumps"/>
    <s v="File names are part of bug title, attachment title or commit messages"/>
    <m/>
    <m/>
  </r>
  <r>
    <s v="FixRef"/>
    <m/>
    <x v="0"/>
    <n v="63"/>
    <s v="Yes"/>
    <s v="BothRef"/>
    <n v="1641598"/>
    <s v="{1565515}"/>
    <s v="https://bugzilla.mozilla.org/show_bug.cgi?id=1641598"/>
    <s v="['browser/app/nsBrowserApp.cpp', '5abc72777d30ad0ea7b8b3e1392cd7961bd73b8cd08e5ab209f3b42251def563ee9c9a7cea98a24d0fa9d867edfc0c0297c165b0d167458ac5a2af4b7a0caebe/dist/include/mozilla/dom/EventHandlerBinding.h', 'dom/indexedDB/ActorsChild.cpp', 'xpcom/thr"/>
    <s v="System Dumps"/>
    <s v="File names are part of bug title, attachment title or commit messages"/>
    <m/>
    <m/>
  </r>
  <r>
    <s v="FixRef"/>
    <s v="Agree"/>
    <x v="1"/>
    <n v="64"/>
    <s v="Yes"/>
    <s v="FixRef"/>
    <n v="1733625"/>
    <s v="{1729060}"/>
    <s v="https://bugzilla.mozilla.org/show_bug.cgi?id=1733625"/>
    <s v="['home/ahal/dev/mozilla-central/taskcluster/taskgraph/util/perfile.py', 'home/ahal/dev/mozilla-central/python/mozbuild/mozbuild/util.py', 'home/ahal/dev/mozilla-central/taskcluster/taskgraph/files_changed.py']"/>
    <s v="System Dumps"/>
    <m/>
    <m/>
    <m/>
  </r>
  <r>
    <s v="FixRef"/>
    <m/>
    <x v="0"/>
    <n v="65"/>
    <s v="Yes"/>
    <s v="BothRef"/>
    <n v="1743807"/>
    <s v="{1731999}"/>
    <s v="https://bugzilla.mozilla.org/show_bug.cgi?id=1743807"/>
    <s v="['browser_partitionedServiceWorkers.js']"/>
    <s v="File names are part of bug title, attachment title or commit messages"/>
    <m/>
    <m/>
    <m/>
  </r>
  <r>
    <s v="FixRef"/>
    <m/>
    <x v="0"/>
    <n v="66"/>
    <s v="Yes"/>
    <s v="FixRef"/>
    <n v="1728063"/>
    <s v="{1663173}"/>
    <s v="https://bugzilla.mozilla.org/show_bug.cgi?id=1728063"/>
    <s v="['searchfox.org/mozilla-central/rev/5a362eb7d054740dc9d7c82c79a2efbc5f3e4776/toolkit/themes/windows/global/toolbarbutton.css']"/>
    <s v="Bug Description"/>
    <m/>
    <m/>
    <m/>
  </r>
  <r>
    <s v="FixRef"/>
    <m/>
    <x v="0"/>
    <n v="67"/>
    <s v="Yes"/>
    <s v="BothRef"/>
    <n v="1547237"/>
    <s v="{1544875}"/>
    <s v="https://bugzilla.mozilla.org/show_bug.cgi?id=1547237"/>
    <s v="['modules/EveryWindow.jsm', 'searchfox.org/mozilla-central/rev/75294521381b331f821aad3d6b60636844080ee2/browser/extensions/fxmonitor/privileged/api.js', 'privileged/api.js']"/>
    <s v="Bug Description"/>
    <s v="System Dumps"/>
    <m/>
    <m/>
  </r>
  <r>
    <s v="FixRef"/>
    <m/>
    <x v="0"/>
    <n v="68"/>
    <s v="Yes"/>
    <s v="BothRef"/>
    <n v="1793766"/>
    <s v="{15232}"/>
    <s v="https://bugzilla.mozilla.org/show_bug.cgi?id=1793766"/>
    <s v="['Unified_cpp_dom_xul0.cpp', 'builds/worker/workspace/obj-build/mozilla-config.h', 'builds/worker/checkouts/gecko/config/gcc_hidden.h', 'builds/worker/checkouts/gecko/gfx/angle/checkout/src/common/string_utils.cpp', 'builds/worker/checkouts/gecko/dom/xul/"/>
    <s v="System Dumps"/>
    <s v="File names are part of bug title, attachment title or commit messages"/>
    <m/>
    <m/>
  </r>
  <r>
    <s v="FixRef"/>
    <m/>
    <x v="0"/>
    <n v="69"/>
    <s v="Yes"/>
    <s v="BothRef"/>
    <n v="1759631"/>
    <s v="{1749190}"/>
    <s v="https://bugzilla.mozilla.org/show_bug.cgi?id=1759631"/>
    <s v="['XPCWrappedNativeJSOps.cpp', 'builds/worker/checkouts/gecko/dom/serviceworkers/ServiceWorkerRegistrar.cpp', 'XPCWrappedJSClass.cpp', 'nsObserverList.cpp', 'layout/base/crashtests/1749190.html', 'hg.mozilla.org/mozilla-central/raw-file/tip/layout/tools/re"/>
    <s v="System Dumps"/>
    <s v="File names are part of bug title, attachment title or commit messages"/>
    <m/>
    <m/>
  </r>
  <r>
    <s v="FixRef"/>
    <m/>
    <x v="0"/>
    <n v="70"/>
    <s v="Yes"/>
    <s v="BothRef"/>
    <n v="1647735"/>
    <s v="{1631568}"/>
    <s v="https://bugzilla.mozilla.org/show_bug.cgi?id=1647735"/>
    <s v="['searchfox.org/mozilla-central/rev/cfaa250d14e344834932de4c2eed0061701654da/dom/base/Document.cpp', 'nsIDocShell.h', 'treeherder.mozilla.org/logviewer.html']"/>
    <s v="Bug Description"/>
    <m/>
    <m/>
    <m/>
  </r>
  <r>
    <s v="FixRef"/>
    <m/>
    <x v="0"/>
    <n v="71"/>
    <s v="Yes"/>
    <s v="BothRef"/>
    <n v="1676417"/>
    <s v="{1674515}"/>
    <s v="https://bugzilla.mozilla.org/show_bug.cgi?id=1676417"/>
    <s v="['browser_autoshow_bookmarks_toolbar.js', 'browser/components/places/tests/browser/browser_autoshow_bookmarks_toolbar.js']"/>
    <s v="Bug Description"/>
    <s v="System Dumps"/>
    <s v="File names are part of bug title, attachment title or commit messages"/>
    <m/>
  </r>
  <r>
    <s v="FixRef"/>
    <m/>
    <x v="1"/>
    <n v="72"/>
    <s v="Yes"/>
    <s v="BothRef"/>
    <n v="1755242"/>
    <s v="{1694389}"/>
    <s v="https://bugzilla.mozilla.org/show_bug.cgi?id=1755242"/>
    <s v="['webdriver/tests/bidi/browsing_context/context_created/context_created.py', 'webdriver/tests/bidi/errors/errors.py', '8000/webdriver/tests/support/inline.py']"/>
    <s v="Bug Description"/>
    <s v="System Dumps"/>
    <s v="File names are part of bug title, attachment title or commit messages"/>
    <s v="Solution Draft"/>
  </r>
  <r>
    <s v="FixRef"/>
    <m/>
    <x v="0"/>
    <n v="73"/>
    <s v="Yes"/>
    <s v="BothRef"/>
    <n v="1783959"/>
    <s v="{1581971}"/>
    <s v="https://bugzilla.mozilla.org/show_bug.cgi?id=1783959"/>
    <s v="['home/hiro/android/python/mozbuild/mozbuild/mach_commands.py']"/>
    <s v="System Dumps"/>
    <m/>
    <m/>
    <m/>
  </r>
  <r>
    <s v="FixRef"/>
    <m/>
    <x v="1"/>
    <n v="74"/>
    <s v="Yes"/>
    <s v="BothRef"/>
    <n v="1686750"/>
    <s v="{1640607}"/>
    <s v="https://bugzilla.mozilla.org/show_bug.cgi?id=1686750"/>
    <s v="['dom/canvas/test/webgl-mochitest/test_video_fastpath_mp4.html', 'hg.mozilla.org/integration/autoland/file/4cff94ca98189769f21a855520a345c6c4e5c841/dom/canvas/TexUnpackBlob.cpp', 'TexUnpackBlob.cpp', 'remoteautomation.py', 'builds/worker/checkouts/gecko/d"/>
    <s v="Bug Description"/>
    <s v="System Dumps"/>
    <s v="File names are part of bug title"/>
    <m/>
  </r>
  <r>
    <s v="FixRef"/>
    <m/>
    <x v="0"/>
    <n v="75"/>
    <s v="Yes"/>
    <s v="BothRef"/>
    <n v="1603512"/>
    <s v="{1585482}"/>
    <s v="https://bugzilla.mozilla.org/show_bug.cgi?id=1603512"/>
    <s v="['searchfox.org/mozilla-central/rev/923eec8d2fb8078ebc7a33a9e1ce73eac01f7446/browser/components/preferences/in-content/subdialogs.js']"/>
    <s v="Bug Description"/>
    <m/>
    <m/>
    <m/>
  </r>
  <r>
    <s v="FixRef"/>
    <m/>
    <x v="1"/>
    <n v="76"/>
    <s v="Yes"/>
    <s v="BothRef"/>
    <n v="1772523"/>
    <s v="{1769485}"/>
    <s v="https://bugzilla.mozilla.org/show_bug.cgi?id=1772523"/>
    <s v="['builds/worker/checkouts/gecko/xpcom/build/XPCOMInit.cpp', 'Unified_cpp_xpcom_build0.cpp', '-fsanitize-blacklist=/builds/worker/workspace/obj-build/ubsan_blacklist.txt', 'builds/worker/workspace/obj-build/mozilla-config.h', 'builds/worker/workspace/obj-b"/>
    <s v="System Dumps"/>
    <s v="File names are part of bug title"/>
    <m/>
    <m/>
  </r>
  <r>
    <s v="FixRef"/>
    <m/>
    <x v="1"/>
    <n v="77"/>
    <s v="Yes"/>
    <s v="BothRef"/>
    <n v="1578951"/>
    <s v="{1552180}"/>
    <s v="https://bugzilla.mozilla.org/show_bug.cgi?id=1578951"/>
    <s v="['nsLayoutModule.cpp', 'Bootstrap.cpp', 'jsapi.cpp', 'XPCOMInit.cpp', 'StringType-inl.h', 'JSAtom.cpp', 'nsXPConnect.cpp', 'nsComponentManager.cpp', 'Heap-inl.h', 'XPCModule.cpp', 'browser_console_private_browsing.js', 'nsMailApp.cpp', 'nsAppRunner.cpp', "/>
    <s v="System Dumps"/>
    <s v="File names are part of bug title"/>
    <m/>
    <m/>
  </r>
  <r>
    <s v="FixRef"/>
    <m/>
    <x v="0"/>
    <n v="78"/>
    <s v="Yes"/>
    <s v="BothRef"/>
    <n v="1719963"/>
    <s v="{1711437}"/>
    <s v="https://bugzilla.mozilla.org/show_bug.cgi?id=1719963"/>
    <s v="['servo/components/style/stylesheets/rules_iterator.rs', 'layout/base/nsRefreshDriver.cpp', 'layout/style/ServoStyleSet.cpp', 'layout/base/PresShell.cpp', 'servo/components/style/stylist.rs', 'servo/ports/geckolib/glue.rs', 'servo/components/style/stylesh"/>
    <s v="System Dumps"/>
    <m/>
    <m/>
    <m/>
  </r>
  <r>
    <s v="FixRef"/>
    <m/>
    <x v="1"/>
    <n v="79"/>
    <s v="Yes"/>
    <s v="BothRef"/>
    <n v="1640051"/>
    <s v="{1622935}"/>
    <s v="https://bugzilla.mozilla.org/show_bug.cgi?id=1640051"/>
    <s v="['layout/generic/ViewportFrame.cpp', 'browser/app/nsBrowserApp.cpp', 'xpcom/threads/nsThread.cpp', 'layout/generic/nsFlexContainerFrame.cpp', 'prefs.js', 'layout/generic/nsContainerFrame.cpp', 'layout/generic/nsGfxScrollFrame.cpp', '75695bbbf1ec93aad4718f"/>
    <s v="System Dumps"/>
    <s v="File names are part of bug title"/>
    <m/>
    <m/>
  </r>
  <r>
    <s v="FixRef"/>
    <m/>
    <x v="1"/>
    <n v="80"/>
    <s v="Yes"/>
    <s v="FixRef"/>
    <n v="1777952"/>
    <s v="{1331109}"/>
    <s v="https://bugzilla.mozilla.org/show_bug.cgi?id=1777952"/>
    <s v="['GeckoSurface.java', 'searchfox.org/mozilla-central/rev/9379d512333cb143ed6ee5df5a40274f40d6ce87/mobile/android/geckoview/src/main/java/org/mozilla/gecko/gfx/SurfaceAllocator.java', 'GeckoThread.java', 'SurfaceAllocator.java']"/>
    <s v="System Dumps"/>
    <s v="File names are part of bug title"/>
    <s v="Bug Description"/>
    <m/>
  </r>
  <r>
    <s v="FixRef"/>
    <m/>
    <x v="0"/>
    <n v="81"/>
    <s v="Yes"/>
    <s v="BothRef"/>
    <n v="1749013"/>
    <s v="{1748688}"/>
    <s v="https://bugzilla.mozilla.org/show_bug.cgi?id=1749013"/>
    <s v="['hg.mozilla.org/mozilla-central/raw-file/tip/layout/tools/reftest/reftest-analyzer.xhtml', 'browser_jsonview_save_json.js', 'devtools/client/jsonview/test/browser_jsonview_save_json.js', 'mochitests/content/browser/devtools/client/jsonview/test/browser_j"/>
    <s v="System Dumps"/>
    <s v="File names are part of bug title"/>
    <m/>
    <m/>
  </r>
  <r>
    <s v="FixRef"/>
    <m/>
    <x v="0"/>
    <n v="82"/>
    <s v="Yes"/>
    <s v="BothRef"/>
    <n v="1673164"/>
    <s v="{1667113}"/>
    <s v="https://bugzilla.mozilla.org/show_bug.cgi?id=1673164"/>
    <s v="['xpcshell-icaljs.ini', 'modules/calendar/utils/calViewUtils.jsm', 'run@/builds/worker/workspace/build/tests/xpcshell/head.js', 'builds/worker/checkouts/gecko/dom/base/nsContentUtils.cpp', 'xpcshell/head.js', '_run_next_test/&lt;@/builds/worker/workspace/bui"/>
    <s v="System Dumps"/>
    <s v="Bug Description"/>
    <m/>
    <m/>
  </r>
  <r>
    <s v="FixRef"/>
    <m/>
    <x v="0"/>
    <n v="83"/>
    <s v="Yes"/>
    <s v="BothRef"/>
    <n v="1685773"/>
    <s v="{1685184}"/>
    <s v="https://bugzilla.mozilla.org/show_bug.cgi?id=1685773"/>
    <s v="['services-settings/RemoteSettingsClient.jsm', 'toolkit/components/printing/tests/browser_print_context_menu.js', 'builds/worker/checkouts/gecko/toolkit/xre/nsSigHandlers.cpp', 'browser_print_context_menu.js']"/>
    <s v="System Dumps"/>
    <s v="File names are part of bug title, attachment title or commit messages"/>
    <m/>
    <m/>
  </r>
  <r>
    <s v="FixRef"/>
    <m/>
    <x v="1"/>
    <n v="84"/>
    <s v="Yes"/>
    <s v="BothRef"/>
    <n v="1764690"/>
    <s v="{1763313}"/>
    <s v="https://bugzilla.mozilla.org/show_bug.cgi?id=1764690"/>
    <s v="['mochitests/content/browser/devtools/client/storage/test/browser_storage_delete.js', 'devtools/client/storage/test/browser_storage_delete.js', 'mochitests/content/browser/devtools/client/shared/test/shared-head.js', 'mochikit/content/browser-test.js', 'm"/>
    <s v="System Dumps"/>
    <s v="File names are part of bug title"/>
    <m/>
    <m/>
  </r>
  <r>
    <s v="FixRef"/>
    <m/>
    <x v="0"/>
    <n v="85"/>
    <s v="Yes"/>
    <s v="BothRef"/>
    <n v="1673341"/>
    <s v="{727668}"/>
    <s v="https://bugzilla.mozilla.org/show_bug.cgi?id=1673341"/>
    <s v="['hg.mozilla.org/mozilla-central/file/b1a74943bc51bd3e62ea52242ec5e403ea3760bb/browser/base/content/browser.js']"/>
    <s v="Bug Description"/>
    <m/>
    <m/>
    <m/>
  </r>
  <r>
    <s v="FixRef"/>
    <m/>
    <x v="0"/>
    <n v="86"/>
    <s v="Yes"/>
    <s v="BothRef"/>
    <n v="1717833"/>
    <s v="{1499092}"/>
    <s v="https://bugzilla.mozilla.org/show_bug.cgi?id=1717833"/>
    <s v="['searchfox.org/comm-central/rev/383d1860fd17e55f2c673fb388f07391a7b380b3/suite/chatzilla/js/lib/protocol-handlers.jsm', 'searchfox.org/mozilla-central/rev/9975889f5c0d5c59bd22121a454beba774cbae71/dom/base/Navigator.cpp']"/>
    <s v="Bug Description"/>
    <m/>
    <m/>
    <m/>
  </r>
  <r>
    <s v="FixRef"/>
    <m/>
    <x v="0"/>
    <n v="87"/>
    <s v="Yes"/>
    <s v="BothRef"/>
    <n v="1631276"/>
    <s v="{1598299}"/>
    <s v="https://bugzilla.mozilla.org/show_bug.cgi?id=1631276"/>
    <s v="['ipc/ipdl/PDocAccessibleParent.cpp', 'ipc/glue/ProtocolUtils.cpp', 'accessible/mac/mozAccessible.mm', 'accessible/ipc/other/ProxyAccessible.cpp']"/>
    <s v="System Dumps"/>
    <s v="File names are part of bug title, attachment title or commit messages"/>
    <m/>
    <m/>
  </r>
  <r>
    <s v="FixRef"/>
    <m/>
    <x v="0"/>
    <n v="88"/>
    <s v="Yes"/>
    <s v="BothRef"/>
    <n v="1707595"/>
    <s v="{1706987}"/>
    <s v="https://bugzilla.mozilla.org/show_bug.cgi?id=1707595"/>
    <s v="['encoding/sharedarraybuffer.https.html']"/>
    <s v="File names are part of bug title, attachment title or commit messages"/>
    <m/>
    <m/>
    <m/>
  </r>
  <r>
    <s v="FixRef"/>
    <m/>
    <x v="0"/>
    <n v="89"/>
    <s v="Yes"/>
    <s v="FixRef"/>
    <n v="1703625"/>
    <s v="{1682522}"/>
    <s v="https://bugzilla.mozilla.org/show_bug.cgi?id=1703625"/>
    <s v="['searchfox.org/mozilla-central/rev/21110f35dbb95d3c41c8c5bd363ec689900af30f/browser/themes/shared/customizableui/panelUI.inc.css']"/>
    <s v="Bug Description"/>
    <m/>
    <m/>
    <m/>
  </r>
  <r>
    <s v="FixRef"/>
    <m/>
    <x v="1"/>
    <n v="90"/>
    <s v="Yes"/>
    <s v="BothRef"/>
    <n v="1635783"/>
    <s v="{1478632}"/>
    <s v="https://bugzilla.mozilla.org/show_bug.cgi?id=1635783"/>
    <s v="['main@/builds/worker/workspace/build/src/js/src/jit-test/tests/wasm/ion-error-i64.js', 'wasm/ion-error-i64.js', 'builds/worker/workspace/build/src/js/src/jit-test/lib/wasm.js', 'treeherder.mozilla.org/logviewer.html', 'ion-error-ool.js', '@/builds/worker"/>
    <s v="System Dumps"/>
    <s v="File names are part of bug title"/>
    <s v="Bug Description"/>
    <m/>
  </r>
  <r>
    <s v="FixRef"/>
    <m/>
    <x v="0"/>
    <n v="91"/>
    <s v="Yes"/>
    <s v="FixRef"/>
    <n v="1637973"/>
    <s v="{1598216}"/>
    <s v="https://bugzilla.mozilla.org/show_bug.cgi?id=1637973"/>
    <s v="['background.js', 'manifest.json', 'searchfox.org/mozilla-central/rev/3ce874dc2703831af3e5ef3a1d216ffd08057fa5/toolkit/components/extensions/parent/ext-downloads.js']"/>
    <s v="Bug Description"/>
    <m/>
    <m/>
    <m/>
  </r>
  <r>
    <s v="FixRef"/>
    <m/>
    <x v="0"/>
    <n v="92"/>
    <s v="Yes"/>
    <s v="BothRef"/>
    <n v="1673680"/>
    <s v="{1169044}"/>
    <s v="https://bugzilla.mozilla.org/show_bug.cgi?id=1673680"/>
    <s v="['URLSearchParams.h']"/>
    <s v="File names are part of commit messages"/>
    <m/>
    <m/>
    <m/>
  </r>
  <r>
    <s v="FixRef"/>
    <m/>
    <x v="0"/>
    <n v="93"/>
    <s v="Yes"/>
    <s v="BothRef"/>
    <n v="1651928"/>
    <s v="{1631806}"/>
    <s v="https://bugzilla.mozilla.org/show_bug.cgi?id=1651928"/>
    <s v="['Users/cltbld/tasks/task_1594360574/checkouts/gecko/third_party/python/pytest/src/_pytest/setupplan.py', 'Users/cltbld/tasks/task_1594360574/checkouts/gecko/third_party/python/pytest/src/_pytest/resultlog.py', 'Users/cltbld/tasks/task_1594360574/checkout"/>
    <s v="System Dumps"/>
    <m/>
    <m/>
    <m/>
  </r>
  <r>
    <s v="FixRef"/>
    <m/>
    <x v="1"/>
    <n v="94"/>
    <s v="Yes"/>
    <s v="BothRef"/>
    <n v="1570684"/>
    <s v="{1493613}"/>
    <s v="https://bugzilla.mozilla.org/show_bug.cgi?id=1570684"/>
    <s v="['js/src/vm/Interpreter.cpp', 'dom/media/webaudio/MediaStreamAudioSourceNode.cpp', 'dom/media/webaudio/AudioContext.cpp', 'dom/bindings/AudioContextBinding.cpp', 'dom/media/MediaStreamTrack.cpp', 'hg.mozilla.org/mozilla-central/annotate/b0124f06562982dce6"/>
    <s v="System Dumps"/>
    <s v="Bug Description"/>
    <m/>
    <m/>
  </r>
  <r>
    <s v="FixRef"/>
    <m/>
    <x v="1"/>
    <n v="95"/>
    <s v="Yes"/>
    <s v="FixRef"/>
    <n v="1668265"/>
    <s v="{1607756}"/>
    <s v="https://bugzilla.mozilla.org/show_bug.cgi?id=1668265"/>
    <s v="['devtools/client/framework/test/browser_keybindings_01.js', 'devtools/shared/protocol/Front/FrontClassWithSpec.js', 'devtools/client/devtools-client.js', 'devtools/client/fronts/targets/browsing-context.js', 'devtools/client/fronts/targets/target-mixin.j"/>
    <s v="System Dumps"/>
    <s v="Bug Description"/>
    <m/>
    <m/>
  </r>
  <r>
    <s v="FixRef"/>
    <m/>
    <x v="0"/>
    <n v="96"/>
    <s v="Yes"/>
    <s v="BothRef"/>
    <n v="1733707"/>
    <s v="{1608202}"/>
    <s v="https://bugzilla.mozilla.org/show_bug.cgi?id=1733707"/>
    <s v="['searchfox.org/mozilla-central/rev/c3d7964c593e0bedabea2fea0b35ba243cf9e696/browser/components/downloads/content/downloadsContextMenu.inc.xhtml']"/>
    <s v="Bug Description"/>
    <m/>
    <m/>
    <m/>
  </r>
  <r>
    <s v="FixRef"/>
    <m/>
    <x v="0"/>
    <n v="97"/>
    <s v="Yes"/>
    <s v="BothRef"/>
    <n v="1645377"/>
    <s v="{1470369}"/>
    <s v="https://bugzilla.mozilla.org/show_bug.cgi?id=1645377"/>
    <s v="['builds/worker/checkouts/gecko/js/src/gc/StoreBuffer.h', 'pthread_create.c']"/>
    <s v="System Dumps"/>
    <m/>
    <m/>
    <m/>
  </r>
  <r>
    <s v="FixRef"/>
    <m/>
    <x v="0"/>
    <n v="98"/>
    <s v="Yes"/>
    <s v="BothRef"/>
    <n v="1772489"/>
    <s v="{1767488}"/>
    <s v="https://bugzilla.mozilla.org/show_bug.cgi?id=1772489"/>
    <s v="['usr/lib/python3.6/concurrent/futures/thread.py', 'usr/lib/python3.6/concurrent/futures/_base.py', 'searchfox.org/mozilla-central/source/taskcluster/ci/condprof/kind.yml']"/>
    <s v="System Dumps"/>
    <s v="Solution Draft"/>
    <m/>
    <m/>
  </r>
  <r>
    <s v="FixRef"/>
    <m/>
    <x v="1"/>
    <n v="99"/>
    <s v="Yes"/>
    <s v="BothRef"/>
    <n v="1570816"/>
    <s v="{1548339}"/>
    <s v="https://bugzilla.mozilla.org/show_bug.cgi?id=1570816"/>
    <s v="['src/toolkit/library/rust/shared/lib.rs', 'rustc/61d1607e0f6a18bb4897d6f9b10abeac9e11eb8e/src/libcore/ops/function.rs', 'src/gfx/wr/webrender/src/frame_builder.rs', 'gfx/wr/webrender/src/texture_cache.rs', 'src/gfx/wr/webrender/src/renderer.rs', 'src/too"/>
    <s v="System Dumps"/>
    <s v="File names are part of bug title"/>
    <m/>
    <m/>
  </r>
  <r>
    <s v="FixRef"/>
    <m/>
    <x v="1"/>
    <n v="100"/>
    <s v="Yes"/>
    <s v="BothRef"/>
    <n v="1578750"/>
    <s v="{1577456}"/>
    <s v="https://bugzilla.mozilla.org/show_bug.cgi?id=1578750"/>
    <s v="['interfaces.https.html', 'html/dom/idlharness.https.html', 'searchfox.org/mozilla-central/source/dom/webidl/HTMLIFrameElement.webidl', 'github.com/mozilla/wpt-sync/blob/master/sync/downstream.py', 'testing/web-platform/meta/html/dom/interfaces.https.html"/>
    <s v="System Dumps"/>
    <s v="File names are part of bug title"/>
    <s v="Bug Description"/>
    <m/>
  </r>
  <r>
    <s v="FixRef"/>
    <m/>
    <x v="0"/>
    <n v="101"/>
    <s v="Yes"/>
    <s v="BothRef"/>
    <n v="1570786"/>
    <s v="{1448058}"/>
    <s v="https://bugzilla.mozilla.org/show_bug.cgi?id=1570786"/>
    <s v="['searchfox.org/mozilla-central/rev/ac36d76c7aea37a18afc9dd094d121f40f7c5441/caps/SystemPrincipal.cpp']"/>
    <s v="Bug Description"/>
    <m/>
    <m/>
    <m/>
  </r>
  <r>
    <s v="FixRef"/>
    <m/>
    <x v="0"/>
    <n v="102"/>
    <s v="Yes"/>
    <s v="BothRef"/>
    <n v="1605347"/>
    <s v="{1588050}"/>
    <s v="https://bugzilla.mozilla.org/show_bug.cgi?id=1605347"/>
    <s v="['mochitests/content/browser/devtools/client/aboutdebugging/test/browser/browser_aboutdebugging_process_main.js', 'treeherder.mozilla.org/logviewer.html', 'builds/worker/workspace/build/src/dom/ipc/JSWindowActorService.cpp', 'devtools/client/aboutdebuggin"/>
    <s v="System Dumps"/>
    <s v="File names are part of bug title, attachment title or commit messages"/>
    <m/>
    <m/>
  </r>
  <r>
    <s v="FixRef"/>
    <m/>
    <x v="1"/>
    <n v="103"/>
    <s v="Yes"/>
    <s v="BothRef"/>
    <n v="1661454"/>
    <s v="{1660798}"/>
    <s v="https://bugzilla.mozilla.org/show_bug.cgi?id=1661454"/>
    <s v="['js/src/frontend/ParseContext.cpp', 'js/src/jit/BaselineIC.cpp', 'js/src/builtin/Eval.cpp', 'js/src/frontend/BytecodeCompiler.cpp', 'js/src/frontend/Parser.cpp']"/>
    <s v="System Dumps"/>
    <s v="File names are part of bug title"/>
    <m/>
    <m/>
  </r>
  <r>
    <s v="FixRef"/>
    <m/>
    <x v="0"/>
    <n v="104"/>
    <s v="Yes"/>
    <s v="BothRef"/>
    <n v="1560720"/>
    <s v="{1429847}"/>
    <s v="https://bugzilla.mozilla.org/show_bug.cgi?id=1560720"/>
    <s v="['searchfox.org/mozilla-central/source/xpcom/build/GeckoProcessTypes.h', 'third_party/rust/audio_thread_priority/src/lib.rs', 'searchfox.org/mozilla-central/rev/543e1fbd04a8/dom/media/CubebUtils.cpp', 'Unified_cpp_dom_media4.cpp']"/>
    <s v="System Dumps"/>
    <m/>
    <m/>
    <m/>
  </r>
  <r>
    <s v="FixRef"/>
    <m/>
    <x v="0"/>
    <n v="105"/>
    <s v="Yes"/>
    <s v="BothRef"/>
    <n v="1556360"/>
    <s v="{1530190}"/>
    <s v="https://bugzilla.mozilla.org/show_bug.cgi?id=1556360"/>
    <s v="['nsLoadGroup.cpp', 'hg.mozilla.org/mozilla-central/raw-file/tip/layout/tools/reftest/reftest-analyzer.xhtml', 'nsIconChannel.cpp', 'nsThreadUtils.cpp', 'RequestContextService.cpp', 'task_1559549016/build/tests/reftest/tests/image/test/reftest/downscaling"/>
    <s v="System Dumps"/>
    <m/>
    <m/>
    <m/>
  </r>
  <r>
    <s v="FixRef"/>
    <m/>
    <x v="0"/>
    <n v="106"/>
    <s v="Yes"/>
    <s v="BothRef"/>
    <n v="1691901"/>
    <s v="{1691373}"/>
    <s v="https://bugzilla.mozilla.org/show_bug.cgi?id=1691901"/>
    <s v="['home/skygentoo/shell-cache/js-dbg-64-linux-x86_64-89c5f958a3ac/objdir-js/dist/include/mozilla/Maybe.h', 'home/skygentoo/trees/mozilla-central/js/src/vm/CompilationAndEvaluation.cpp', 'home/skygentoo/shell-cache/js-dbg-64-linux-x86_64-89c5f958a3ac/objdir"/>
    <s v="System Dumps"/>
    <m/>
    <m/>
    <m/>
  </r>
  <r>
    <s v="FixRef"/>
    <m/>
    <x v="1"/>
    <n v="107"/>
    <s v="Yes"/>
    <s v="BothRef"/>
    <n v="1596761"/>
    <s v="{1582741}"/>
    <s v="https://bugzilla.mozilla.org/show_bug.cgi?id=1596761"/>
    <s v="['builds/worker/workspace/build/src/startupcache/StartupCache.cpp', 'do_report_result@/builds/worker/workspace/build/tests/xpcshell/head.js', 'xpcshell/head.js', 'searchfox.org/mozilla-central/rev/524bed6dfbc5ae21c62632d83b7573448b29e0ac/tools/profiler/co"/>
    <s v="System Dumps"/>
    <s v="File names are part of bug title"/>
    <s v="Bug Description"/>
    <m/>
  </r>
  <r>
    <s v="FixRef"/>
    <m/>
    <x v="0"/>
    <n v="108"/>
    <s v="Yes"/>
    <s v="BothRef"/>
    <n v="1669096"/>
    <s v="{1655866}"/>
    <s v="https://bugzilla.mozilla.org/show_bug.cgi?id=1669096"/>
    <s v="['builds/worker/workspace/obj-build/dist/include/mozilla/net/ChannelEventQueue.h', 'builds/worker/checkouts/gecko/toolkit/components/browser/nsWebBrowser.cpp', 'builds/worker/checkouts/gecko/browser/app/nsBrowserApp.cpp', 'builds/worker/checkouts/gecko/do"/>
    <s v="System Dumps"/>
    <m/>
    <m/>
    <m/>
  </r>
  <r>
    <s v="FixRef"/>
    <m/>
    <x v="0"/>
    <n v="109"/>
    <s v="Yes"/>
    <s v="BothRef"/>
    <n v="1637837"/>
    <s v="{1574965}"/>
    <s v="https://bugzilla.mozilla.org/show_bug.cgi?id=1637837"/>
    <s v="['builds/worker/workspace/obj-build/dist/include/mozilla/cxxalloc.h', 'builds/worker/checkouts/gecko/dom/media/MediaTrackGraph.cpp', 'builds/worker/workspace/obj-build/dom/bindings/AudioContextBinding.cpp', 'builds/worker/checkouts/gecko/xpcom/threads/nsT"/>
    <s v="System Dumps"/>
    <m/>
    <m/>
    <m/>
  </r>
  <r>
    <s v="FixRef"/>
    <m/>
    <x v="0"/>
    <n v="110"/>
    <s v="Yes"/>
    <s v="BothRef"/>
    <n v="1708729"/>
    <s v="{1698503}"/>
    <s v="https://bugzilla.mozilla.org/show_bug.cgi?id=1708729"/>
    <s v="['searchfox.org/mozilla-central/source/netwerk/base/nsIOService.cpp', 'not_landed.py']"/>
    <s v="Bug Description"/>
    <m/>
    <m/>
    <m/>
  </r>
  <r>
    <s v="FixRef"/>
    <m/>
    <x v="0"/>
    <n v="111"/>
    <s v="Yes"/>
    <s v="BothRef"/>
    <n v="1585158"/>
    <s v="{1575370}"/>
    <s v="https://bugzilla.mozilla.org/show_bug.cgi?id=1585158"/>
    <s v="['js/src/vm/CompilationAndEvaluation.cpp', 'js/src/vm/Interpreter.cpp', 'js/src/gc/Verifier.cpp', 'js/src/shell/js.cpp', 'test.js']"/>
    <s v="System Dumps"/>
    <s v="File names are part of bug title"/>
    <m/>
    <m/>
  </r>
  <r>
    <s v="FixRef"/>
    <m/>
    <x v="1"/>
    <n v="112"/>
    <s v="Yes"/>
    <s v="BothRef"/>
    <n v="1723198"/>
    <s v="{1635227}"/>
    <s v="https://bugzilla.mozilla.org/show_bug.cgi?id=1723198"/>
    <s v="['searchfox.org/mozilla-central/rev/2aa97aea1085cf1363582725407c514833ad47e4/testing/profiles/xpcshell/user.js', 'test_ext_cookieBehaviors.js', 'searchfox.org/mozilla-central/rev/4b88e0b8cca115009e82fdd65e5bf5812ff99128/toolkit/components/extensions/test/"/>
    <s v="Bug Description"/>
    <s v="File names are part of bug title, attachment title or commit messages"/>
    <s v="Solution Draft"/>
    <m/>
  </r>
  <r>
    <s v="FixRef"/>
    <m/>
    <x v="0"/>
    <n v="113"/>
    <s v="Yes"/>
    <s v="BothRef"/>
    <n v="1701785"/>
    <s v="{1685268}"/>
    <s v="https://bugzilla.mozilla.org/show_bug.cgi?id=1701785"/>
    <s v="['searchfox.org/mozilla-central/rev/0e3d2eb698a51006943f3b4fb74c035da80aa2ff/devtools/client/fronts/style-rule.js']"/>
    <s v="Bug Description"/>
    <m/>
    <m/>
    <m/>
  </r>
  <r>
    <s v="FixRef"/>
    <m/>
    <x v="0"/>
    <n v="114"/>
    <s v="Yes"/>
    <s v="BothRef"/>
    <n v="1674756"/>
    <s v="{1664053}"/>
    <s v="https://bugzilla.mozilla.org/show_bug.cgi?id=1674756"/>
    <s v="['places/tests/browser/browser_toolbar_other_bookmarks.js']"/>
    <s v="Bug Description"/>
    <m/>
    <m/>
    <m/>
  </r>
  <r>
    <s v="FixRef"/>
    <m/>
    <x v="0"/>
    <n v="115"/>
    <s v="Yes"/>
    <s v="FixRef"/>
    <n v="1607895"/>
    <s v="{1566466}"/>
    <s v="https://bugzilla.mozilla.org/show_bug.cgi?id=1607895"/>
    <s v="['BinAST.yaml']"/>
    <s v="File names are part of attachment title or commit messages"/>
    <m/>
    <m/>
    <m/>
  </r>
  <r>
    <s v="FixRef"/>
    <m/>
    <x v="0"/>
    <n v="116"/>
    <s v="Yes"/>
    <s v="BothRef"/>
    <n v="1685744"/>
    <s v="{1641751}"/>
    <s v="https://bugzilla.mozilla.org/show_bug.cgi?id=1685744"/>
    <s v="['searchfox.org/mozilla-central/rev/c59d9181cbcd8356ce9271723e31be11641e7010/gfx/wr/webrender/src/texture_cache.rs']"/>
    <s v="Bug Description"/>
    <m/>
    <m/>
    <m/>
  </r>
  <r>
    <s v="FixRef"/>
    <m/>
    <x v="0"/>
    <n v="117"/>
    <s v="Yes"/>
    <s v="FixRef"/>
    <n v="1664065"/>
    <s v="{1656494}"/>
    <s v="https://bugzilla.mozilla.org/show_bug.cgi?id=1664065"/>
    <s v="['searchfox.org/mozilla-central/rev/eb9d5c97927aea75f0c8e38bbc5b5d288099e687/toolkit/components/normandy/skin/osx/Heartbeat.css']"/>
    <s v="Bug Description"/>
    <m/>
    <m/>
    <m/>
  </r>
  <r>
    <s v="FixRef"/>
    <m/>
    <x v="0"/>
    <n v="118"/>
    <s v="Yes"/>
    <s v="BothRef"/>
    <n v="1635481"/>
    <s v="{1627163}"/>
    <s v="https://bugzilla.mozilla.org/show_bug.cgi?id=1635481"/>
    <s v="['searchfox.org/mozilla-central/rev/dc4560dcaafd79375b9411fdbbaaebb0a59a93ac/python/mozbuild/mozbuild/virtualenv.py', 'docs.python.org/3.7/whatsnew/changelog.html', 'easy_install.py', '.vscode/settings.json', 'obj-firefox/.mozbuild/last_log.json']"/>
    <s v="System Dumps"/>
    <s v="Bug Description"/>
    <m/>
    <m/>
  </r>
  <r>
    <s v="FixRef"/>
    <m/>
    <x v="1"/>
    <n v="119"/>
    <s v="Yes"/>
    <s v="BothRef"/>
    <n v="1582963"/>
    <s v="{1582810}"/>
    <s v="https://bugzilla.mozilla.org/show_bug.cgi?id=1582963"/>
    <s v="['hg.mozilla.org/mozilla-central/raw-file/tip/layout/tools/reftest/reftest-analyzer.xhtml', 'treeherder.mozilla.org/logviewer.html', '8854/tests/layout/reftests/svg/as-image/img-widthAndHeight-slice-1.html', '8854/tests/layout/reftests/svg/as-image/img-wi"/>
    <s v="System Dumps"/>
    <s v="File names are part of bug title"/>
    <m/>
    <m/>
  </r>
  <r>
    <s v="FixRef"/>
    <m/>
    <x v="0"/>
    <n v="120"/>
    <s v="Yes"/>
    <s v="BothRef"/>
    <n v="1587794"/>
    <s v="{1456995}"/>
    <s v="https://bugzilla.mozilla.org/show_bug.cgi?id=1587794"/>
    <s v="['testing/web-platform/mozilla/tests/service-workers/update_completes_in_disconnected_global.https.html', 'ipc/ipdl/PServiceWorkerRegistrationChild.cpp', 'xpcom/threads/nsThread.cpp', 'ipc/glue/MessagePump.cpp', 'task_1570615541/build/src/dom/serviceworke"/>
    <s v="System Dumps"/>
    <s v="Bug Description"/>
    <s v="Solution Draft"/>
    <m/>
  </r>
  <r>
    <s v="FixRef"/>
    <m/>
    <x v="1"/>
    <n v="121"/>
    <s v="Yes"/>
    <s v="BothRef"/>
    <n v="1710598"/>
    <s v="{1700169}"/>
    <s v="https://bugzilla.mozilla.org/show_bug.cgi?id=1710598"/>
    <s v="['builds/worker/checkouts/gecko/gfx/layers/ipc/CompositorThread.cpp', 'builds/worker/checkouts/gecko/nsprpub/pr/src/pthreads/ptthread.c', 'builds/worker/workspace/obj-build/ipc/ipdl/PContentParent.cpp', 'builds/worker/fetches/llvm-project/llvm/projects/co"/>
    <s v="System Dumps"/>
    <s v="File names are part of bug title"/>
    <m/>
    <m/>
  </r>
  <r>
    <s v="FixRef"/>
    <m/>
    <x v="0"/>
    <n v="122"/>
    <s v="Yes"/>
    <s v="BothRef"/>
    <n v="1800323"/>
    <s v="{1797329}"/>
    <s v="https://bugzilla.mozilla.org/show_bug.cgi?id=1800323"/>
    <s v="['largest-contentful-paint/web-font-styled-text-resize-swap-smaller.html', 'builds/worker/checkouts/gecko/dom/ipc/jsactor/JSWindowActorChild.cpp', 'builds/worker/checkouts/gecko/dom/events/IMEStateManager.cpp']"/>
    <s v="System Dumps"/>
    <s v="File names are part of bug title"/>
    <m/>
    <m/>
  </r>
  <r>
    <s v="FixRef"/>
    <m/>
    <x v="0"/>
    <n v="123"/>
    <s v="Yes"/>
    <s v="BothRef"/>
    <n v="1581934"/>
    <s v="{1574493}"/>
    <s v="https://bugzilla.mozilla.org/show_bug.cgi?id=1581934"/>
    <s v="['treeherder.mozilla.org/logviewer.html', '1081185-1.html', 'searchfox.org/mozilla-central/diff/13d6122e891489808ab438c3510013e032e5df47/gfx/wr/webrender/src/prim_store/mod.rs']"/>
    <s v="Bug Description"/>
    <m/>
    <m/>
    <m/>
  </r>
  <r>
    <s v="FixRef"/>
    <m/>
    <x v="1"/>
    <n v="124"/>
    <s v="Yes"/>
    <s v="BothRef"/>
    <n v="1637564"/>
    <s v="{1635534}"/>
    <s v="https://bugzilla.mozilla.org/show_bug.cgi?id=1637564"/>
    <s v="['builds/worker/checkouts/gecko/js/src/wasm/WasmStubs.h', 'builds/worker/checkouts/gecko/js/src/wasm/WasmOpIter.h', 'treeherder.mozilla.org/logviewer.html', 'builds/worker/checkouts/gecko/js/src/wasm/WasmValidate.h', 'builds/worker/checkouts/gecko/js/src/"/>
    <s v="System Dumps"/>
    <s v="File names are part of bug title"/>
    <m/>
    <m/>
  </r>
  <r>
    <s v="FixRef"/>
    <m/>
    <x v="1"/>
    <n v="125"/>
    <s v="Yes"/>
    <s v="BothRef"/>
    <n v="1600445"/>
    <s v="{1599119}"/>
    <s v="https://bugzilla.mozilla.org/show_bug.cgi?id=1600445"/>
    <s v="['encoding/streams/decode-utf8.any.serviceworker.html', 'hg.mozilla.org/mozilla-central/diff/47be1b3fdda63c7c1a5a256fa3f719f67b3f1a54/testing/web-platform/meta/encoding/streams/decode-utf8.any.js.ini', 'decode-utf8.any.serviceworker.html', 'treeherder.moz"/>
    <s v="System Dumps"/>
    <s v="File names are part of attachment title or commit messages"/>
    <m/>
    <m/>
  </r>
  <r>
    <s v="FixRef"/>
    <m/>
    <x v="0"/>
    <n v="126"/>
    <s v="Yes"/>
    <s v="BothRef"/>
    <n v="1541660"/>
    <s v="{1538770}"/>
    <s v="https://bugzilla.mozilla.org/show_bug.cgi?id=1541660"/>
    <s v="['home/emilio/src/moz/gecko/python/mozbuild/mozbuild/mach_commands.py']"/>
    <s v="System Dumps"/>
    <m/>
    <m/>
    <m/>
  </r>
  <r>
    <s v="FixRef"/>
    <m/>
    <x v="0"/>
    <n v="127"/>
    <s v="Yes"/>
    <s v="FixRef"/>
    <n v="1733957"/>
    <s v="{1731132}"/>
    <s v="https://bugzilla.mozilla.org/show_bug.cgi?id=1733957"/>
    <s v="['firefox-source-docs.mozilla.org/testing/perfdocs/talos.html', 'inline-style-cache-1.html']"/>
    <s v="Bug Description"/>
    <s v="File names are part of attachment title or commit messages"/>
    <m/>
    <m/>
  </r>
  <r>
    <s v="FixRef"/>
    <m/>
    <x v="1"/>
    <n v="128"/>
    <s v="Yes"/>
    <s v="BothRef"/>
    <n v="1564241"/>
    <s v="{1484251}"/>
    <s v="https://bugzilla.mozilla.org/show_bug.cgi?id=1564241"/>
    <s v="['build/build/src/obj-firefox/dist/include\\mozilla/RangeBoundary.h', 'browser/base/content/test/trackingUI/browser_trackingUI_telemetry.js', 'build/build/src/obj-firefox/dist/include\\nsIURIMutator.h', 'treeherder.mozilla.org/logviewer.html', 'mochitests"/>
    <s v="System Dumps"/>
    <s v="File names are part of bug title"/>
    <m/>
    <m/>
  </r>
  <r>
    <s v="FixRef"/>
    <m/>
    <x v="0"/>
    <n v="129"/>
    <s v="Yes"/>
    <s v="BothRef"/>
    <n v="1682919"/>
    <s v="{1669861}"/>
    <s v="https://bugzilla.mozilla.org/show_bug.cgi?id=1682919"/>
    <s v="['searchfox.org/mozilla-central/rev/2a24205479519e70c0574929f45730d285141584/layout/generic/nsGfxScrollFrame.cpp', 'searchfox.org/mozilla-central/rev/2a24205479519e70c0574929f45730d285141584/layout/base/DisplayPortUtils.cpp', 'searchfox.org/mozilla-centra"/>
    <s v="Bug Description"/>
    <m/>
    <m/>
    <m/>
  </r>
  <r>
    <s v="FixRef"/>
    <m/>
    <x v="1"/>
    <n v="130"/>
    <s v="Yes"/>
    <s v="FixRef"/>
    <n v="1668706"/>
    <s v="{1658684}"/>
    <s v="https://bugzilla.mozilla.org/show_bug.cgi?id=1668706"/>
    <s v="['searchfox.org/mozilla-central/rev/222e4f64b769413ac1a1991d2397b13a0acb5d9d/mfbt/UniquePtrExtensions.h', '\\mozilla-source\\mozilla-central\\gfx\\webrender_bindings\\RenderThread.cpp', 'searchfox.org/mozilla-central/rev/222e4f64b769413ac1a1991d2397b13a0a"/>
    <s v="System Dumps"/>
    <s v="Bug Description"/>
    <m/>
    <m/>
  </r>
  <r>
    <s v="FixRef"/>
    <m/>
    <x v="0"/>
    <n v="131"/>
    <s v="Yes"/>
    <s v="BothRef"/>
    <n v="1586603"/>
    <s v="{1565380}"/>
    <s v="https://bugzilla.mozilla.org/show_bug.cgi?id=1586603"/>
    <s v="['treeherder.mozilla.org/testview.html', 'a/devtools/client/scratchpad/scratchpad.js', 'b/devtools/client/scratchpad/scratchpad.js']"/>
    <s v="Bug Description"/>
    <s v="Part of Code"/>
    <m/>
    <m/>
  </r>
  <r>
    <s v="FixRef"/>
    <m/>
    <x v="0"/>
    <n v="132"/>
    <s v="Yes"/>
    <s v="FixRef"/>
    <n v="1601905"/>
    <s v="{1588975}"/>
    <s v="https://bugzilla.mozilla.org/show_bug.cgi?id=1601905"/>
    <s v="['searchfox.org/comm-central/rev/e23955012159e85de5a57d21a27f61f170fc3804/mailnews/base/src/nsMessenger.cpp', 'searchfox.org/comm-central/rev/e23955012159e85de5a57d21a27f61f170fc3804/mail/base/content/msgHdrView.js', '123.txt', 'searchfox.org/mozilla-cent"/>
    <s v="Bug Description"/>
    <m/>
    <m/>
    <m/>
  </r>
  <r>
    <s v="FixRef"/>
    <m/>
    <x v="0"/>
    <n v="133"/>
    <s v="Yes"/>
    <s v="BothRef"/>
    <n v="1761691"/>
    <s v="{1761663, 1760774, 1760839}"/>
    <s v="https://bugzilla.mozilla.org/show_bug.cgi?id=1761691"/>
    <s v="['src/mach_sys.rs', 'README.md', 'src/firefox-100.0b8/third_party/rust/audio_thread_priority/Cargo.toml', 'generate_osx_bindings.sh', 'src/rt_linux.rs', 'audio_thread_priority.h', '.cargo-checksum.json', 'atp_test.cpp', 'src/firefox-100.0b8/third_party/ru"/>
    <s v="System Dumps"/>
    <s v="Part of Code"/>
    <m/>
    <m/>
  </r>
  <r>
    <s v="FixRef"/>
    <m/>
    <x v="1"/>
    <n v="134"/>
    <s v="Yes"/>
    <s v="FixRef"/>
    <n v="1755006"/>
    <s v="{1300658}"/>
    <s v="https://bugzilla.mozilla.org/show_bug.cgi?id=1755006"/>
    <s v="['test_pointerlock-api.html', 'chrome.json', 'firefox-source-docs.mozilla.org/testing/perfdocs/raptor.html', 'browser_panel_list_accessibility.js', 'searchfox.org/mozilla-central/rev/e66593593f3b356901011ea0fcdf9979728e9ae8/xpcom/threads/EventQueue.h', 's"/>
    <s v="Bug Description"/>
    <s v="System Dumps"/>
    <m/>
    <m/>
  </r>
  <r>
    <s v="FixRef"/>
    <m/>
    <x v="0"/>
    <n v="135"/>
    <s v="Yes"/>
    <s v="BothRef"/>
    <n v="1641510"/>
    <s v="{1638011}"/>
    <s v="https://bugzilla.mozilla.org/show_bug.cgi?id=1641510"/>
    <s v="['searchfox.org/mozilla-central/rev/bc3600def806859c31b2c7ac06e3d69271052a89/gfx/config/gfxConfigManager.cpp', 'about_support.js']"/>
    <s v="Bug Description"/>
    <s v="Bug Reproducibility"/>
    <m/>
    <m/>
  </r>
  <r>
    <s v="FixRef"/>
    <m/>
    <x v="0"/>
    <n v="136"/>
    <s v="Yes"/>
    <s v="BothRef"/>
    <n v="1640906"/>
    <s v="{1625156}"/>
    <s v="https://bugzilla.mozilla.org/show_bug.cgi?id=1640906"/>
    <s v="['hg.mozilla.org/mozilla-central/raw-file/tip/layout/tools/reftest/reftest-analyzer.xhtml', 'treeherder.mozilla.org/intermittent-failures.html', 'toolkit/components/httpsonlyerror/tests/browser/browser_exception.js', 'treeherder.mozilla.org/logviewer.html"/>
    <s v="Bug Description"/>
    <s v="File names are part of attachment title or commit messages"/>
    <m/>
    <m/>
  </r>
  <r>
    <s v="FixRef"/>
    <m/>
    <x v="0"/>
    <n v="137"/>
    <s v="Yes"/>
    <s v="BothRef"/>
    <n v="1648577"/>
    <s v="{1637145}"/>
    <s v="https://bugzilla.mozilla.org/show_bug.cgi?id=1648577"/>
    <s v="['gecko/ipc/chromium/src/base/message_loop.cc', 'gecko/layout/base/PresShell.cpp', 'gecko/ipc/glue/MessagePump.cpp', 'nsFlexContainerFrame.cpp', 'gecko/xpcom/ds/nsTArray.cpp', 'builds/worker/workspace/obj-build/dist/include/nsTArray.h', 'builds/worker/wor"/>
    <s v="System Dumps"/>
    <s v="Backout"/>
    <m/>
    <m/>
  </r>
  <r>
    <s v="FixRef"/>
    <m/>
    <x v="0"/>
    <n v="138"/>
    <s v="Yes"/>
    <s v="BothRef"/>
    <n v="1652232"/>
    <s v="{1642121}"/>
    <s v="https://bugzilla.mozilla.org/show_bug.cgi?id=1652232"/>
    <s v="['js-gdb.py', 'home/andre/hg/mozilla-inbound/js/src/build-debug-obj/dist/bin/js-gdb.py']"/>
    <s v="System Dumps"/>
    <s v="Bug Description"/>
    <s v="File names are part of attachment title or commit messages"/>
    <m/>
  </r>
  <r>
    <s v="FixRef"/>
    <m/>
    <x v="0"/>
    <n v="139"/>
    <s v="Yes"/>
    <s v="BothRef"/>
    <n v="1688999"/>
    <s v="{1688668}"/>
    <s v="https://bugzilla.mozilla.org/show_bug.cgi?id=1688999"/>
    <s v="['gfx/gl/GLContextProviderEGL.cpp', 'memory/mozalloc/mozalloc_abort.cpp', 'dom/canvas/WebGLContext.cpp', 'gfx/gl/GLContext.cpp']"/>
    <s v="System Dumps"/>
    <m/>
    <m/>
    <m/>
  </r>
  <r>
    <s v="FixRef"/>
    <m/>
    <x v="1"/>
    <n v="140"/>
    <s v="Yes"/>
    <s v="FixRef"/>
    <n v="1565370"/>
    <s v="{1557061}"/>
    <s v="https://bugzilla.mozilla.org/show_bug.cgi?id=1565370"/>
    <s v="['browser/base/content/test/siteProtections/browser_protections_UI.js', 'browser_firstPartyIsolation_aboutPages.js', 'treeherder.mozilla.org/logviewer.html', 'testing-common/PromiseTestUtils.jsm', 'gre/modules/remotepagemanager/MessagePort.jsm', 'mochikit"/>
    <s v="System Dumps"/>
    <s v="Bug Description"/>
    <s v="File names are part of bug title"/>
    <m/>
  </r>
  <r>
    <s v="FixRef"/>
    <m/>
    <x v="0"/>
    <n v="141"/>
    <s v="Yes"/>
    <s v="BothRef"/>
    <n v="1595284"/>
    <s v="{1588412, 1593439}"/>
    <s v="https://bugzilla.mozilla.org/show_bug.cgi?id=1595284"/>
    <s v="['builds/worker/workspace/build/tests/mochitest/browser/toolkit/components/remotebrowserutils/tests/browser/dummy_page.html', 'treeherder.mozilla.org/logviewer.html', 'mochikit/content/browser-test.js', 'mochitests/content/browser/toolkit/components/remot"/>
    <s v="System Dumps"/>
    <s v="File names are part of attachment title or commit messages"/>
    <m/>
    <m/>
  </r>
  <r>
    <s v="FixRef"/>
    <m/>
    <x v="0"/>
    <n v="142"/>
    <s v="Yes"/>
    <s v="BothRef"/>
    <n v="1655544"/>
    <s v="{1598114}"/>
    <s v="https://bugzilla.mozilla.org/show_bug.cgi?id=1655544"/>
    <s v="['builds/worker/checkouts/gecko/xpcom/base/CycleCollectedJSContext.cpp', 'searchfox.org/mozilla-central/rev/a315a1a0f09550e23e4590a77e74f36543315da3/dom/bindings/BindingUtils.h', 'builds/worker/workspace/obj-build/dist/include/mozilla/dom/PromiseBinding.h"/>
    <s v="System Dumps"/>
    <s v="File names are part of bug title"/>
    <m/>
    <m/>
  </r>
  <r>
    <s v="FixRef"/>
    <m/>
    <x v="0"/>
    <n v="143"/>
    <s v="Yes"/>
    <s v="BothRef"/>
    <n v="1719391"/>
    <s v="{1289718}"/>
    <s v="https://bugzilla.mozilla.org/show_bug.cgi?id=1719391"/>
    <s v="['searchfox.org/mozilla-central/source/security/sandbox/linux/broker/SandboxBroker.cpp']"/>
    <s v="Bug Description"/>
    <m/>
    <m/>
    <m/>
  </r>
  <r>
    <s v="FixRef"/>
    <m/>
    <x v="0"/>
    <n v="144"/>
    <s v="Yes"/>
    <s v="FixRef"/>
    <n v="1749500"/>
    <s v="{1748969}"/>
    <s v="https://bugzilla.mozilla.org/show_bug.cgi?id=1749500"/>
    <s v="['builds/worker/checkouts/gecko/js/src/irregexp/imported/regexp-compiler.cc', 'Unified_cpp_js_src_debugger1.cpp', 'builds/worker/checkouts/gecko/gfx/angle/checkout/src/compiler/translator/tree_ops/gl/ClampFragDepth.cpp', 'Unified_cpp_js_src_frontend0.cpp'"/>
    <s v="System Dumps"/>
    <s v="File names are part of attachment title or commit messages"/>
    <m/>
    <m/>
  </r>
  <r>
    <s v="FixRef"/>
    <m/>
    <x v="0"/>
    <n v="145"/>
    <s v="Yes"/>
    <s v="BothRef"/>
    <n v="1719189"/>
    <s v="{1703578}"/>
    <s v="https://bugzilla.mozilla.org/show_bug.cgi?id=1719189"/>
    <s v="['searchfox.org/mozilla-central/rev/b7bc94b4689a7f002c61d016c6e162e5e5708bf3/browser/components/shell/ShellService.jsm']"/>
    <s v="Bug Description"/>
    <s v="Solution Draft"/>
    <m/>
    <m/>
  </r>
  <r>
    <s v="FixRef"/>
    <m/>
    <x v="0"/>
    <n v="146"/>
    <s v="Yes"/>
    <s v="BothRef"/>
    <n v="1658550"/>
    <s v="{1656016}"/>
    <s v="https://bugzilla.mozilla.org/show_bug.cgi?id=1658550"/>
    <s v="['toolkit/components/pictureinpicture/tests/browser_playerControls.js', 'searchfox.org/mozilla-central/rev/ab81b8552f4aa9696a2524f97fdfeb59d4dc31c1/browser/base/content/test/contextMenu/browser_contextmenu.js', 'treeherder.mozilla.org/logviewer.html']"/>
    <s v="System Dumps"/>
    <s v="File names are part of attachment title or commit messages"/>
    <s v="Solution Draft"/>
    <m/>
  </r>
  <r>
    <s v="FixRef"/>
    <m/>
    <x v="0"/>
    <n v="147"/>
    <s v="Yes"/>
    <s v="BothRef"/>
    <n v="1747941"/>
    <s v="{1746323}"/>
    <s v="https://bugzilla.mozilla.org/show_bug.cgi?id=1747941"/>
    <s v="['src/nsprpub/pr/src/pthreads/ptthread.c', 'src/dom/promise/Promise.cpp', 'src/ipc/glue/MessagePump.cpp', 'src/dom/events/EventDispatcher.cpp', 'src/dom/workers/WorkerRunnable.cpp', 'builds/worker/workspace/obj-build/dom/bindings/WorkerGlobalScopeBinding."/>
    <s v="System Dumps"/>
    <s v="File names are part of bug title"/>
    <m/>
    <m/>
  </r>
  <r>
    <s v="FixRef"/>
    <m/>
    <x v="0"/>
    <n v="156"/>
    <s v="Yes"/>
    <s v="FixRef"/>
    <n v="1721838"/>
    <s v="{1434542}"/>
    <s v="https://bugzilla.mozilla.org/show_bug.cgi?id=1721838"/>
    <s v="['\\task_1626950169\\src\\js\\src\\jit-test\\tests\\gc\\incremental-abort.js', 'gc\\incremental-abort.js', 'js\\src\\jit-test\\tests\\gc\\incremental-compacting.js', 'js\\src\\jit-test\\tests\\gc\\incremental-abort.js']"/>
    <s v="System Dumps"/>
    <s v="File names are part of bug title"/>
    <m/>
    <m/>
  </r>
  <r>
    <s v="FixRef"/>
    <m/>
    <x v="0"/>
    <n v="171"/>
    <s v="Yes"/>
    <s v="FixRef"/>
    <n v="1639886"/>
    <s v="{1626962, 1615255}"/>
    <s v="https://bugzilla.mozilla.org/show_bug.cgi?id=1639886"/>
    <s v="['searchfox.org/mozilla-central/source/taskcluster/taskgraph/optimize/backstop.py']"/>
    <s v="Bug Description"/>
    <s v="Solution Draft"/>
    <m/>
    <m/>
  </r>
  <r>
    <s v="FixRef"/>
    <m/>
    <x v="0"/>
    <n v="172"/>
    <s v="Yes"/>
    <s v="FixRef"/>
    <n v="1611133"/>
    <s v="{1492582}"/>
    <s v="https://bugzilla.mozilla.org/show_bug.cgi?id=1611133"/>
    <s v="['searchfox.org/mozilla-central/rev/7e92a667e3829831c31e8d46aefe7ef67ad5be1c/toolkit/components/printing/content/printUtils.js']"/>
    <s v="Solution Draft"/>
    <m/>
    <m/>
    <m/>
  </r>
  <r>
    <s v="FixRef"/>
    <m/>
    <x v="0"/>
    <n v="177"/>
    <s v="Yes"/>
    <s v="FixRef"/>
    <n v="1567161"/>
    <s v="{1560513}"/>
    <s v="https://bugzilla.mozilla.org/show_bug.cgi?id=1567161"/>
    <s v="['builds/worker/workspace/moz-toolchain/src/llvm/projects/compiler-rt/lib/asan/asan_malloc_linux.cc', 'builds/worker/workspace/build/src/obj-firefox/dist/include/js/Utility.h', 'gre/modules/AsyncShutdown.jsm', 'treeherder.mozilla.org/logviewer.html', 'tes"/>
    <s v="System Dumps"/>
    <s v="File names are part of bug title"/>
    <m/>
    <m/>
  </r>
  <r>
    <s v="BugRef"/>
    <s v=""/>
    <x v="0"/>
    <n v="0"/>
    <s v="Yes"/>
    <s v="BothRef"/>
    <n v="1642863"/>
    <s v="{1534336}"/>
    <s v="https://bugzilla.mozilla.org/show_bug.cgi?id=1642863"/>
    <s v="['searchfox.org/mozilla-central/rev/559b25eb41c1cbffcb90a34e008b8288312fcd25/toolkit/content/aboutSupport.js']"/>
    <s v="Bug Description"/>
    <m/>
    <m/>
    <m/>
  </r>
  <r>
    <s v="BugRef"/>
    <s v="Agree"/>
    <x v="1"/>
    <n v="1"/>
    <s v="Yes"/>
    <s v="BothRef"/>
    <n v="1593995"/>
    <s v="{1591717}"/>
    <s v="https://bugzilla.mozilla.org/show_bug.cgi?id=1593995"/>
    <s v="['treeherder.mozilla.org/perf.html', 'workflow.2Fno_priority.py', 'searchfox.org/mozilla-central/rev/cce8b90aece0f42e5025e45282de16066eeaa662/modules/libpref/init/StaticPrefList.yaml']"/>
    <s v="System Dumps"/>
    <s v="Solution Draft"/>
    <s v="Bug Description"/>
    <m/>
  </r>
  <r>
    <s v="BugRef"/>
    <s v="Agree"/>
    <x v="1"/>
    <n v="2"/>
    <s v="Yes"/>
    <s v="BothRef"/>
    <n v="1563295"/>
    <s v="{1500626}"/>
    <s v="On MacOS &quot;Emoji &amp; Symbols&quot; and &quot;Start Dictation...&quot; menu items are not available at start"/>
    <s v="['searchfox.org/mozilla-central/source/widget/cocoa/nsMenuX.mm', 'searchfox.org/mozilla-central/rev/efce4ceddfbe5fe4e2d74f1aed93894bada9b273/xpfe/appshell/nsWebShellWindow.cpp', 'menu.js', 'searchfox.org/mozilla-central/rev/325c1a707819602feff736f129cb360"/>
    <s v="Solution Draft"/>
    <s v="Bug Description"/>
    <m/>
    <m/>
  </r>
  <r>
    <s v="BugRef"/>
    <s v="Agree"/>
    <x v="1"/>
    <n v="3"/>
    <s v="Yes"/>
    <s v="BothRef"/>
    <n v="1560251"/>
    <s v="{1553215}"/>
    <s v="1560251 - Intermittent /webaudio/the-audio-api/the-mediastreamaudiosourcenode-interface/mediastreamaudiosourcenode-routing.html | MediaStreamAudioSourceNode captures the right track. - assert_true: Other track seem to be routed to the AudioContext?"/>
    <s v="['hg.mozilla.org/mozilla-central/raw-file/tip/layout/tools/reftest/reftest-analyzer.xhtml', 'mediastreamaudiosourcenode-routing.html', '8000/webaudio/the-audio-api/the-mediastreamaudiosourcenode-interface/mediastreamaudiosourcenode-routing.html', 'treeher"/>
    <s v="System Dumps"/>
    <s v="File names are part of bug title, attachment title or commit messages"/>
    <m/>
    <m/>
  </r>
  <r>
    <s v="BugRef"/>
    <m/>
    <x v="0"/>
    <n v="4"/>
    <s v="Yes"/>
    <s v="BothRef"/>
    <n v="1709130"/>
    <s v="{1695265}"/>
    <s v="https://bugzilla.mozilla.org/show_bug.cgi?id=1709130"/>
    <s v="['builds/worker/checkouts/gecko/xpcom/threads/nsThread.cpp', 'builds/worker/checkouts/gecko/dom/media/mediasink/AudioDecoderInputTrack.cpp', 'searchfox.org/mozilla-central/rev/54097530955a98c768f2aaf56925578ec886ec77/dom/media/MediaDecoderStateMachine.cpp"/>
    <s v="System Dumps"/>
    <s v="File names are part of bug title, attachment title or commit messages"/>
    <s v="Bug Description"/>
    <m/>
  </r>
  <r>
    <s v="BugRef"/>
    <s v="Agree"/>
    <x v="1"/>
    <n v="5"/>
    <s v="Yes"/>
    <s v="BugRef"/>
    <n v="1673530"/>
    <s v="{1655239}"/>
    <s v="https://bugzilla.mozilla.org/show_bug.cgi?id=1673530"/>
    <s v="['builds/worker/checkouts/gecko/xpcom/base/nsCycleCollector.cpp', 'builds/worker/checkouts/gecko/tools/profiler/core/platform.cpp', 'file_pointercapture_xorigin_iframe_pointerlock.html', 'builds/worker/checkouts/gecko/modules/libpref/Preferences.cpp', 'fi"/>
    <s v="System Dumps"/>
    <s v="File names are part of bug title, attachment title or commit messages"/>
    <s v="Bug Description"/>
    <m/>
  </r>
  <r>
    <s v="BugRef"/>
    <m/>
    <x v="0"/>
    <n v="6"/>
    <s v="Yes"/>
    <s v="BothRef"/>
    <n v="1794265"/>
    <s v="{1792333}"/>
    <s v="1794265 - Using GMail compose with Firefox Nightly and screen readers freezes browser"/>
    <s v="['\\Users\\jamie\\src\\gecko2\\accessible\\windows\\ia2\\ia2AccessibleText.cpp', '\\Users\\jamie\\src\\gecko2\\layout\\generic\\nsIFrame.cpp', '\\Users\\jamie\\src\\gecko2\\layout\\base\\nsFrameTraversal.cpp', '\\Users\\jamie\\src\\gecko2\\accessible\\gen"/>
    <s v="System Dumps"/>
    <s v="Bug Description"/>
    <m/>
    <m/>
  </r>
  <r>
    <s v="BugRef"/>
    <m/>
    <x v="0"/>
    <n v="7"/>
    <s v="Yes"/>
    <s v="BothRef"/>
    <n v="1595425"/>
    <s v="{1568996}"/>
    <s v="https://bugzilla.mozilla.org/show_bug.cgi?id=1595425"/>
    <s v="['modules/UrlbarValueFormatter.jsm', 'global/content/customElements.js', 'browser/content/tabbrowser-tab.js', 'treeherder.mozilla.org/perf.html', 'global/content/elements/tabbox.js', 'searchfox.org/mozilla-central/rev/cac340f10816707e91c46db6d285f80259420"/>
    <s v="System Dumps"/>
    <s v="Solution Draft"/>
    <s v="Bug Description"/>
    <s v="File names are part of bug title, attachment title or commit messages"/>
  </r>
  <r>
    <s v="BugRef"/>
    <m/>
    <x v="0"/>
    <n v="8"/>
    <s v="Yes"/>
    <s v="BothRef"/>
    <n v="1559688"/>
    <s v="{1509495}"/>
    <s v="1559688 - Corrupted image during progressive JPEG loading"/>
    <s v="['searchfox.org/mozilla-central/source/gfx/wr/webrender/src/resource_cache.rs']"/>
    <s v="Bug Description"/>
    <m/>
    <m/>
    <m/>
  </r>
  <r>
    <s v="BugRef"/>
    <m/>
    <x v="0"/>
    <n v="9"/>
    <s v="Yes"/>
    <s v="BothRef"/>
    <n v="1588295"/>
    <s v="{1587117}"/>
    <s v="Permafailing devtools/client/performance-new/test/xpcshell/test_popup_initial_state.js | xpcshell return code: 0 on OS X when Gecko 71 merges to Beta on 2019-10-14"/>
    <s v="['_abort_failed_test@/Users/cltbld/tasks/task_1570870764/build/tests/xpcshell/head.js', 'do_report_result@/Users/cltbld/tasks/task_1570870764/build/tests/xpcshell/head.js', 'any/path/tosome/test.html', 'Users/cltbld/tasks/task_1570870764/build/tests/xpcsh"/>
    <s v="System Dumps"/>
    <s v="File names are part of bug title, attachment title or commit messages"/>
    <m/>
    <m/>
  </r>
  <r>
    <s v="BugRef"/>
    <m/>
    <x v="0"/>
    <n v="10"/>
    <s v="Yes"/>
    <s v="BugRef"/>
    <n v="1698640"/>
    <s v="{1691474}"/>
    <s v="https://bugzilla.mozilla.org/show_bug.cgi?id=1698640"/>
    <s v="['hg.mozilla.org/mozilla-central/raw-file/tip/layout/tools/reftest/reftest-analyzer.xhtml', 'browser/components/urlbar/tests/browser-proton/browser.ini', 'Users/cltbld/tasks/task_1615830064/build/tests/bin/components/httpd.js', 'browser/components/urlbar/"/>
    <s v="System Dumps"/>
    <s v="File names are part of bug title, attachment title or commit messages"/>
    <s v="Bug Dependency"/>
    <m/>
  </r>
  <r>
    <s v="BugRef"/>
    <s v="Agree"/>
    <x v="1"/>
    <n v="11"/>
    <s v="Yes"/>
    <s v="BothRef"/>
    <n v="1545256"/>
    <s v="{1541859}"/>
    <s v="https://bugzilla.mozilla.org/show_bug.cgi?id=1545256"/>
    <s v="['builds/worker/checkouts/gecko/taskcluster/mach_commands.py', 'builds/worker/checkouts/gecko/taskcluster/taskgraph/actions/registry.py', 'builds/worker/checkouts/gecko/taskcluster/taskgraph/actions/create_interactive.py', 'treeherder.mozilla.org/logviewe"/>
    <s v="System Dumps"/>
    <m/>
    <s v="Code Review"/>
    <m/>
  </r>
  <r>
    <s v="BugRef"/>
    <m/>
    <x v="0"/>
    <n v="12"/>
    <s v="Yes"/>
    <s v="BothRef"/>
    <n v="1597068"/>
    <s v="{1492582}"/>
    <s v="1597068 - macOS sheets are no longer anchored to the #navigator-toolbox"/>
    <s v="['searchfox.org/mozilla-central/rev/492214c05cde6e6db5feff9465ece4920400acc3/widget/cocoa/nsChildView.mm', 'searchfox.org/mozilla-central/rev/492214c05cde6e6db5feff9465ece4920400acc3/browser/themes/osx/browser.css']"/>
    <s v="Bug Description"/>
    <m/>
    <m/>
    <m/>
  </r>
  <r>
    <s v="BugRef"/>
    <s v="Agree"/>
    <x v="1"/>
    <n v="13"/>
    <s v="Yes"/>
    <s v="BugRef"/>
    <n v="1589089"/>
    <s v="{1514926}"/>
    <s v="https://bugzilla.mozilla.org/show_bug.cgi?id=1589089"/>
    <s v="['searchfox.org/mozilla-central/source/toolkit/content/widgets/arrowscrollbox.js', 'searchfox.org/mozilla-central/source/toolkit/content/xul.css', 'searchfox.org/mozilla-central/source/toolkit/content/widgets/menupopup.js', 'xul.css', 'searchfox.org/mozil"/>
    <s v="Bug Description"/>
    <m/>
    <m/>
    <m/>
  </r>
  <r>
    <s v="BugRef"/>
    <m/>
    <x v="0"/>
    <n v="14"/>
    <s v="Yes"/>
    <s v="BothRef"/>
    <n v="1591577"/>
    <s v="{1590722}"/>
    <s v="https://bugzilla.mozilla.org/show_bug.cgi?id=1591577"/>
    <s v="['hg.mozilla.org/mozilla-central/raw-file/tip/layout/tools/reftest/reftest-analyzer.xhtml', 'TestRunner._checkForHangs@SimpleTest/TestRunner.js', 'EventListener.handleEvent*@SimpleTest/iframe-between-tests.html', 'TestRunner.runNextTest@SimpleTest/TestRun"/>
    <s v="System Dumps"/>
    <s v="File names are part of bug title, attachment title or commit messages"/>
    <m/>
    <m/>
  </r>
  <r>
    <s v="BugRef"/>
    <m/>
    <x v="0"/>
    <n v="15"/>
    <s v="Yes"/>
    <s v="BugRef"/>
    <n v="1798519"/>
    <s v="{1361271}"/>
    <s v="https://bugzilla.mozilla.org/show_bug.cgi?id=1798519"/>
    <s v="['hg.mozilla.org/mozilla-central/raw-file/tip/layout/tools/reftest/reftest-analyzer.xhtml', 'main.js', 'browser_dbg-pretty-print-sourcemap.js', 'mochitests/content/browser/devtools/client/debugger/test/mochitest/shared-head.js', 'devtools/client/debugger/"/>
    <s v="System Dumps"/>
    <s v="Bug Dependency"/>
    <s v="File names are part of bug title, attachment title or commit messages"/>
    <m/>
  </r>
  <r>
    <s v="BugRef"/>
    <s v="Agree"/>
    <x v="0"/>
    <n v="16"/>
    <s v="Yes"/>
    <s v="BothRef"/>
    <n v="1712084"/>
    <s v="{1586236}"/>
    <s v="https://bugzilla.mozilla.org/show_bug.cgi?id=1712084"/>
    <s v="['searchfox.org/mozilla-central/rev/2f1a015b004b79f1145c81cdf86b15481a5630e2/xpcom/base/AvailableMemoryTracker.cpp', 'xpcom/base/AvailableMemoryTracker.cpp']"/>
    <s v="System Dumps"/>
    <m/>
    <m/>
    <m/>
  </r>
  <r>
    <s v="BugRef"/>
    <m/>
    <x v="0"/>
    <n v="17"/>
    <s v="Yes"/>
    <s v="BothRef"/>
    <n v="1567210"/>
    <s v="{1494796}"/>
    <s v="https://bugzilla.mozilla.org/show_bug.cgi?id=1567210"/>
    <s v="['searchfox.org/mozilla-central/source/devtools/server/actors/thread.js', 'treeherder.mozilla.org/logviewer.html']"/>
    <s v="Bug Description"/>
    <s v="System Dumps"/>
    <m/>
    <m/>
  </r>
  <r>
    <s v="BugRef"/>
    <m/>
    <x v="0"/>
    <n v="18"/>
    <s v="Yes"/>
    <s v="BugRef"/>
    <n v="1575253"/>
    <s v="{1547624}"/>
    <s v="https://bugzilla.mozilla.org/show_bug.cgi?id=1575253"/>
    <s v="['stalled.py', 'layout/base/nsRefreshDriver.cpp', 'view/nsViewManager.cpp', 'layout/painting/nsDisplayList.cpp', 'layout/base/PresShell.cpp', 'layout/base/nsLayoutUtils.cpp', 'layout/painting/FrameLayerBuilder.cpp']"/>
    <s v="System Dumps"/>
    <s v="Bug Dependency"/>
    <s v="No Fix"/>
    <m/>
  </r>
  <r>
    <s v="BugRef"/>
    <m/>
    <x v="0"/>
    <n v="19"/>
    <s v="Yes"/>
    <s v="BothRef"/>
    <n v="1806780"/>
    <s v="{1806166}"/>
    <s v="https://bugzilla.mozilla.org/show_bug.cgi?id=1806780"/>
    <s v="['searchfox.org/mozilla-central/rev/57527d50ef5d3df412caa5d99536f0709399be6f/gfx/wgpu_bindings/Cargo.toml', 'github.com/gfx-rs/wgpu/blob/261069d04fc1263d8e587c18936b9db90b077abb/wgpu-core/Cargo.toml']"/>
    <s v="Bug Description"/>
    <m/>
    <m/>
    <m/>
  </r>
  <r>
    <s v="BugRef"/>
    <m/>
    <x v="0"/>
    <n v="20"/>
    <s v="Yes"/>
    <s v="BugRef"/>
    <n v="1561327"/>
    <s v="{1484818}"/>
    <s v="https://bugzilla.mozilla.org/show_bug.cgi?id=1561327"/>
    <s v="['devtools/client/webreplay/mochitest/browser_dbg_rr_replay-02.js', 'treeherder.mozilla.org/intermittent-failures.html', 'global/content/browser-child.js', 'treeherder.mozilla.org/logviewer.html']"/>
    <s v="System Dumps"/>
    <s v="System Dumps"/>
    <s v="Bug Dependency"/>
    <m/>
  </r>
  <r>
    <s v="BugRef"/>
    <s v="Agree"/>
    <x v="0"/>
    <n v="21"/>
    <s v="Yes"/>
    <s v="BothRef"/>
    <n v="1747196"/>
    <s v="{1728436}"/>
    <s v="https://bugzilla.mozilla.org/show_bug.cgi?id=1747196"/>
    <s v="['usr/obj/m-c/mozilla-config.h', 'moz.build', 'builds/psumbera/mozilla-central-build/third_party/rust/midir/src/common.rs', 'Unified_cpp_rnal_video_codecs_gn0.cpp']"/>
    <s v="System Dumps"/>
    <m/>
    <m/>
    <m/>
  </r>
  <r>
    <s v="BugRef"/>
    <m/>
    <x v="0"/>
    <n v="22"/>
    <s v="Yes"/>
    <s v="BugRef"/>
    <n v="1762302"/>
    <s v="{1758654}"/>
    <s v="https://bugzilla.mozilla.org/show_bug.cgi?id=1762302"/>
    <s v="['builds/worker/checkouts/gecko/toolkit/crashreporter/breakpad-client/windows/crash_generation/temporary_stack.cc', 'builds/worker/workspace/obj-build/mozilla-config.h', 'builds/worker/fetches/clang/bin/../i686-w64-mingw32/include/winbase.h']"/>
    <s v="System Dumps"/>
    <s v="File names are part of bug title, attachment title or commit messages"/>
    <s v="Backout"/>
    <m/>
  </r>
  <r>
    <s v="BugRef"/>
    <s v="Agree"/>
    <x v="1"/>
    <n v="23"/>
    <s v="Yes"/>
    <s v="BugRef"/>
    <n v="1733279"/>
    <s v="{1732885}"/>
    <s v="https://bugzilla.mozilla.org/show_bug.cgi?id=1733279"/>
    <s v="['dom/security/test/mixedcontentblocker/browser_mixed_content_auto_upgrade_display_console.js', 'builds/worker/checkouts/gecko/netwerk/protocol/http/nsHttpTransaction.cpp', 'dom/security/test/mixedcontentblocker/browser_auto_upgrading_identity.js', '\\tas"/>
    <s v="System Dumps"/>
    <s v="File names are part of bug title, attachment title or commit messages"/>
    <m/>
    <m/>
  </r>
  <r>
    <s v="BugRef"/>
    <m/>
    <x v="0"/>
    <n v="24"/>
    <s v="Yes"/>
    <s v="BothRef"/>
    <n v="1656027"/>
    <s v="{1570678}"/>
    <s v="https://bugzilla.mozilla.org/show_bug.cgi?id=1656027"/>
    <s v="['searchfox.org/mozilla-central/rev/cffd9b5302b6b6f51533d895a785b48ff418aec1/browser/base/content/browser.js']"/>
    <s v="Bug Description"/>
    <m/>
    <m/>
    <m/>
  </r>
  <r>
    <s v="BugRef"/>
    <m/>
    <x v="0"/>
    <n v="25"/>
    <s v="Yes"/>
    <s v="BothRef"/>
    <n v="1655973"/>
    <s v="{1653567}"/>
    <s v="https://bugzilla.mozilla.org/show_bug.cgi?id=1655973"/>
    <s v="['BaselineIC.cpp']"/>
    <s v="File names are part of bug title, attachment title or commit messages"/>
    <m/>
    <m/>
    <m/>
  </r>
  <r>
    <s v="BugRef"/>
    <m/>
    <x v="0"/>
    <n v="26"/>
    <s v="Yes"/>
    <s v="BothRef"/>
    <n v="1569131"/>
    <s v="{1547351}"/>
    <s v="https://bugzilla.mozilla.org/show_bug.cgi?id=1569131"/>
    <s v="['ipc/ipdl/PWebRenderBridgeParent.cpp', 'searchfox.org/mozilla-central/source/gfx/layers/apz/src/APZUpdater.cpp', 'searchfox.org/mozilla-central/source/gfx/layers/wr/WebRenderBridgeParent.cpp', 'ipc/chromium/src/base/message_loop.cc', 'ipc/ipdl/PComposito"/>
    <s v="System Dumps"/>
    <s v="Bug Description"/>
    <s v="Solution Draft"/>
    <s v="Bug Dependency"/>
  </r>
  <r>
    <s v="BugRef"/>
    <m/>
    <x v="0"/>
    <n v="27"/>
    <s v="Yes"/>
    <s v="BothRef"/>
    <n v="1570594"/>
    <s v="{1493613}"/>
    <s v="https://bugzilla.mozilla.org/show_bug.cgi?id=1570594"/>
    <s v="['builds/worker/workspace/build/src/obj-firefox/dom/html/Unified_cpp_dom_html2.cpp', 'builds/worker/workspace/build/src/dom/html/HTMLMediaElement.cpp', 'builds/worker/workspace/build/src/obj-firefox/dom/media/Unified_cpp_dom_media1.cpp', 'treeherder.mozil"/>
    <s v="System Dumps"/>
    <s v="File names are part of bug title, attachment title or commit messages"/>
    <m/>
    <m/>
  </r>
  <r>
    <s v="BugRef"/>
    <m/>
    <x v="0"/>
    <n v="28"/>
    <s v="Yes"/>
    <s v="BugRef"/>
    <n v="1661628"/>
    <s v="{1653160}"/>
    <s v="https://bugzilla.mozilla.org/show_bug.cgi?id=1661628"/>
    <s v="['TestRunner._checkForHangs@SimpleTest/TestRunner.js', 'reportError@SimpleTest/TestRunner.js', 'SimpleTest.is@SimpleTest/SimpleTest.js', 'SimpleTest.ok@SimpleTest/SimpleTest.js', 'treeherder.mozilla.org/logviewer.html', 'dom/events/test/test_focus_blur_on"/>
    <s v="System Dumps"/>
    <s v="File names are part of bug title, attachment title or commit messages"/>
    <m/>
    <m/>
  </r>
  <r>
    <s v="BugRef"/>
    <m/>
    <x v="0"/>
    <n v="29"/>
    <s v="Yes"/>
    <s v="BugRef"/>
    <n v="1559537"/>
    <s v="{1555287}"/>
    <s v="1559537 - Crash in [@ mozilla::dom::ContentParent::RecvAttachBrowsingContext]"/>
    <s v="['ipc/ipdl/PContentParent.cpp', 'xpcom/threads/nsThread.cpp', 'ipc/glue/MessagePump.cpp', 'widget/nsBaseAppShell.cpp', 'ipc/chromium/src/base/message_loop.cc', 'xpcom/threads/nsThreadUtils.cpp', 'dom/ipc/ContentParent.cpp', 'ipc/glue/MessageChannel.cpp']"/>
    <s v="System Dumps"/>
    <s v="Backout"/>
    <m/>
    <m/>
  </r>
  <r>
    <s v="BugRef"/>
    <m/>
    <x v="0"/>
    <n v="30"/>
    <s v="Yes"/>
    <s v="BothRef"/>
    <n v="1661920"/>
    <s v="{1660625}"/>
    <s v="https://bugzilla.mozilla.org/show_bug.cgi?id=1661920"/>
    <s v="['html/canvas/element/path-objects/2d.path.isPointInPath.basic.html', 'html/canvas/element/path-objects/2d.path.isPointInStroke.scaleddashes.html', 'treeherder.mozilla.org/logviewer.html']"/>
    <s v="System Dumps"/>
    <s v="File names are part of bug title, attachment title or commit messages"/>
    <s v="System Dumps"/>
    <m/>
  </r>
  <r>
    <s v="BugRef"/>
    <m/>
    <x v="0"/>
    <n v="31"/>
    <s v="Yes"/>
    <s v="BothRef"/>
    <n v="1661173"/>
    <s v="{1659753, 1659630}"/>
    <s v="https://bugzilla.mozilla.org/show_bug.cgi?id=1661173"/>
    <s v="['searchfox.org/mozilla-central/rev/ce21a13035623c1d349980057d09000e70669802/dom/tests/browser/browser_windowProxy_transplant.js', 'pdf.js', 'treeherder.mozilla.org/logviewer.html', 'searchfox.org/mozilla-central/rev/27932d4e6ebd2f4b8519865dad864c72176e4e"/>
    <s v="System Dumps"/>
    <s v="Bug Description"/>
    <s v="File names are part of bug title, attachment title or commit messages"/>
    <s v="Solution Draft"/>
  </r>
  <r>
    <s v="BugRef"/>
    <m/>
    <x v="0"/>
    <n v="32"/>
    <s v="Yes"/>
    <s v="BothRef"/>
    <n v="1609466"/>
    <s v="{1597985}"/>
    <s v="https://bugzilla.mozilla.org/show_bug.cgi?id=1609466"/>
    <s v="['searchfox.org/mozilla-central/rev/c7b673f443407a359cc0766fb5a4ac323a1d2628/uriloader/exthandler/win/nsOSHelperAppService.cpp', 'www.iana.org/assignments/media-types/media-types.xhtml', 'www.fosshub.com/SMPlayer.html', 'mozilla.github.io/mozregression/qu"/>
    <s v="Bug Description"/>
    <s v="Bug Dependency"/>
    <s v="File to Reproduce the Bug"/>
    <m/>
  </r>
  <r>
    <s v="BugRef"/>
    <s v="Agree"/>
    <x v="1"/>
    <n v="33"/>
    <s v="Yes"/>
    <s v="BothRef"/>
    <n v="1784462"/>
    <s v="{1778989}"/>
    <s v="https://bugzilla.mozilla.org/show_bug.cgi?id=1784462"/>
    <s v="['hg.mozilla.org/mozilla-central/raw-file/tip/layout/tools/reftest/reftest-analyzer.xhtml', 'css/css-contain/container-queries/svg-g-no-size-container.html', 'css/css-contain/container-queries/table-inside-container-changing-display.html', 'css/css-contai"/>
    <s v="System Dumps"/>
    <s v="Bug Description"/>
    <s v="File names are part of bug title, attachment title or commit messages"/>
    <m/>
  </r>
  <r>
    <s v="BugRef"/>
    <m/>
    <x v="0"/>
    <n v="34"/>
    <s v="Yes"/>
    <s v="BothRef"/>
    <n v="1608584"/>
    <s v="{1601301}"/>
    <s v="https://bugzilla.mozilla.org/show_bug.cgi?id=1608584"/>
    <s v="['example.com/browser/browser/base/content/test/webrtc/get_user_media_in_oop_frame.html', 'browser/base/content/test/webrtc/browser_devices_get_user_media_in_frame.js', 'treeherder.mozilla.org/intermittent-failures.html', 'treeherder.mozilla.org/logviewer"/>
    <s v="System Dumps"/>
    <s v="File names are part of bug title, attachment title or commit messages"/>
    <m/>
    <m/>
  </r>
  <r>
    <s v="BugRef"/>
    <s v="Agree"/>
    <x v="1"/>
    <n v="35"/>
    <s v="Yes"/>
    <s v="BothRef"/>
    <n v="1722422"/>
    <s v="{1719108}"/>
    <s v="https://bugzilla.mozilla.org/show_bug.cgi?id=1722422"/>
    <s v="['builds/worker/checkouts/gecko/xpcom/base/nsCycleCollector.cpp', 'src/nsprpub/pr/src/pthreads/ptthread.c', 'image/DecodedSurfaceProvider.cpp', 'builds/worker/checkouts/gecko/ipc/glue/ProtocolUtils.cpp', 'netwerk/test/browser/browser_post_auth.js', 'build"/>
    <s v="System Dumps"/>
    <s v="File names are part of bug title, attachment title or commit messages"/>
    <m/>
    <m/>
  </r>
  <r>
    <s v="BugRef"/>
    <s v="Agree"/>
    <x v="1"/>
    <n v="36"/>
    <s v="Yes"/>
    <s v="BothRef"/>
    <n v="1799540"/>
    <s v="{1754772}"/>
    <s v="https://bugzilla.mozilla.org/show_bug.cgi?id=1799540"/>
    <s v="['aboutSupport.js', 'searchfox.org/mozilla-central/rev/3c194fa1d6f339036d2ec9516bd310c6ad612859/toolkit/content/aboutSupport.xhtml', 'searchfox.org/mozilla-central/rev/3c194fa1d6f339036d2ec9516bd310c6ad612859/toolkit/content/aboutSupport.js', 'global/cont"/>
    <s v="System Dumps"/>
    <s v="Solution Draft"/>
    <m/>
    <m/>
  </r>
  <r>
    <s v="BugRef"/>
    <m/>
    <x v="0"/>
    <n v="37"/>
    <s v="Yes"/>
    <s v="BothRef"/>
    <n v="1771650"/>
    <s v="{1654054}"/>
    <s v="https://bugzilla.mozilla.org/show_bug.cgi?id=1771650"/>
    <s v="['videocontrols.js', 'hg.mozilla.org/mozilla-central/file/e881fd99de24fa48159390544dac07f373931d1c/toolkit/content/widgets/videocontrols.js', 'searchfox.org/mozilla-central/rev/1739f1301d658c9bff544a0a095ab11fca2e549d/toolkit/content/widgets/videocontrols"/>
    <s v="File names are part of bug title, attachment title or commit messages"/>
    <s v="Bug Description"/>
    <s v="No Fix"/>
    <m/>
  </r>
  <r>
    <s v="BugRef"/>
    <s v="Agree"/>
    <x v="1"/>
    <n v="38"/>
    <s v="Yes"/>
    <s v="BugRef"/>
    <n v="1742603"/>
    <s v="{1718711}"/>
    <s v="https://bugzilla.mozilla.org/show_bug.cgi?id=1742603"/>
    <s v="['TestingFunctions.cpp']"/>
    <s v="Solution Draft"/>
    <s v="File names are part of bug title, attachment title or commit messages"/>
    <m/>
    <m/>
  </r>
  <r>
    <s v="BugRef"/>
    <m/>
    <x v="0"/>
    <n v="39"/>
    <s v="Yes"/>
    <s v="BothRef"/>
    <n v="1685823"/>
    <s v="{499640}"/>
    <s v="1685823 - Preview updates twice when sheet count changes after changing printers"/>
    <s v="['browser_print_page_range.js']"/>
    <s v="Bug Description"/>
    <m/>
    <m/>
    <m/>
  </r>
  <r>
    <s v="BugRef"/>
    <m/>
    <x v="0"/>
    <n v="40"/>
    <s v="Yes"/>
    <s v="BothRef"/>
    <n v="1695725"/>
    <s v="{1692894}"/>
    <s v="https://bugzilla.mozilla.org/show_bug.cgi?id=1695725"/>
    <s v="['js/src/vm/Interpreter.cpp', 'dom/bindings/CanvasRenderingContext2DBinding.cpp', 'searchfox.org/mozilla-central/rev/b6f52976b562008c9d9ceeda22907e1eda506c8e/gfx/thebes/gfxPlatform.cpp', 'searchfox.org/mozilla-central/rev/a8b75e4ba3f8ddf0e76b42681d0a7b7e7"/>
    <s v="System Dumps"/>
    <s v="Bug Description"/>
    <m/>
    <m/>
  </r>
  <r>
    <s v="BugRef"/>
    <m/>
    <x v="0"/>
    <n v="41"/>
    <s v="Yes"/>
    <s v="BugRef"/>
    <n v="1798587"/>
    <s v="{1766497}"/>
    <s v="https://bugzilla.mozilla.org/show_bug.cgi?id=1798587"/>
    <s v="['condprof/main.py', 'virtualenv/virtualenv.py']"/>
    <s v="System Dumps"/>
    <s v="File names are part of bug title, attachment title or commit messages"/>
    <m/>
    <m/>
  </r>
  <r>
    <s v="BugRef"/>
    <s v="Agree"/>
    <x v="1"/>
    <n v="42"/>
    <s v="Yes"/>
    <s v="BothRef"/>
    <n v="1730341"/>
    <s v="{1730134}"/>
    <s v="https://bugzilla.mozilla.org/show_bug.cgi?id=1730341"/>
    <s v="['css/css-cascade/parsing/layer.html']"/>
    <s v="System Dumps"/>
    <m/>
    <m/>
    <m/>
  </r>
  <r>
    <s v="BugRef"/>
    <m/>
    <x v="0"/>
    <n v="43"/>
    <s v="Yes"/>
    <s v="BugRef"/>
    <n v="1565839"/>
    <s v="{1556789}"/>
    <s v="https://bugzilla.mozilla.org/show_bug.cgi?id=1565839"/>
    <s v="['SearchService.jsm']"/>
    <s v="System Dumps"/>
    <s v="File names are part of bug title"/>
    <m/>
    <m/>
  </r>
  <r>
    <s v="BugRef"/>
    <m/>
    <x v="0"/>
    <n v="44"/>
    <s v="Yes"/>
    <s v="BothRef"/>
    <n v="1726537"/>
    <s v="{1714107}"/>
    <s v="https://bugzilla.mozilla.org/show_bug.cgi?id=1726537"/>
    <s v="['searchfox.org/mozilla-central/rev/9dceacf3d761eb91237108ec438d64099a56f442/uriloader/exthandler/nsExternalHelperAppService.cpp']"/>
    <s v="Bug Description"/>
    <m/>
    <m/>
    <m/>
  </r>
  <r>
    <s v="BugRef"/>
    <m/>
    <x v="0"/>
    <n v="45"/>
    <s v="Yes"/>
    <s v="BothRef"/>
    <n v="1659717"/>
    <s v="{1657269}"/>
    <s v="https://bugzilla.mozilla.org/show_bug.cgi?id=1659717"/>
    <s v="['builds/worker/checkouts/gecko/dom/base/nsINode.cpp', 'builds/worker/workspace/obj-build/dom/bindings/EventListenerBinding.cpp', 'builds/worker/workspace/obj-build/dom/bindings/DocumentBinding.cpp', 'builds/worker/checkouts/gecko/dom/bindings/BindingUtil"/>
    <s v="System Dumps"/>
    <m/>
    <m/>
    <m/>
  </r>
  <r>
    <s v="BugRef"/>
    <m/>
    <x v="0"/>
    <n v="46"/>
    <s v="Yes"/>
    <s v="BothRef"/>
    <n v="1768475"/>
    <s v="{1765760}"/>
    <s v="https://bugzilla.mozilla.org/show_bug.cgi?id=1768475"/>
    <s v="['searchfox.org/mozilla-central/rev/da6a85e615827d353e5ca0e05770d8d346b761a9/devtools/server/actors/inspector/walker.js']"/>
    <s v="Bug Description"/>
    <s v="Solution Draft"/>
    <m/>
    <m/>
  </r>
  <r>
    <s v="BugRef"/>
    <m/>
    <x v="0"/>
    <n v="47"/>
    <s v="Yes"/>
    <s v="BugRef"/>
    <n v="1613482"/>
    <s v="{1404091}"/>
    <s v="https://bugzilla.mozilla.org/show_bug.cgi?id=1613482"/>
    <s v="['searchfox.org/mozilla-central/rev/3a0a8e2762821c6afc1d235b3eb3dde63ad3b01a/layout/painting/nsDisplayList.cpp']"/>
    <s v="Bug Description"/>
    <m/>
    <m/>
    <m/>
  </r>
  <r>
    <s v="BugRef"/>
    <m/>
    <x v="0"/>
    <n v="49"/>
    <s v="Yes"/>
    <s v="BothRef"/>
    <n v="1704660"/>
    <s v="{1459859}"/>
    <s v="https://bugzilla.mozilla.org/show_bug.cgi?id=1704660"/>
    <s v="['gecko/dom/events/JSEventHandler.cpp', 'prefs.js', 'gecko/xpcom/threads/nsThreadUtils.h', 'gecko/ipc/chromium/src/base/message_loop.cc', 'build/glibc-eX1tMB/glibc-2.31/csu/../csu/libc-start.c', 'gecko/ipc/glue/MessagePump.cpp', 'gecko/dom/html/HTMLInputE"/>
    <s v="System Dumps"/>
    <s v="Bug Description"/>
    <m/>
    <m/>
  </r>
  <r>
    <s v="BugRef"/>
    <m/>
    <x v="0"/>
    <n v="50"/>
    <s v="Yes"/>
    <s v="BothRef"/>
    <n v="1799704"/>
    <s v="{1797050}"/>
    <s v="https://bugzilla.mozilla.org/show_bug.cgi?id=1799704"/>
    <s v="['builds/worker/checkouts/gecko/toolkit/crashreporter/nsExceptionHandler.cpp', 'xpcshell.ini', 'toolkit/components/extensions/test/xpcshell/test_ext_manifest.js', 'xpcshell/head.js']"/>
    <s v="System Dumps"/>
    <s v="File names are part of bug title, attachment title or commit messages"/>
    <m/>
    <m/>
  </r>
  <r>
    <s v="BugRef"/>
    <m/>
    <x v="0"/>
    <n v="51"/>
    <s v="Yes"/>
    <s v="BugRef"/>
    <n v="1669554"/>
    <s v="{1557645}"/>
    <s v="https://bugzilla.mozilla.org/show_bug.cgi?id=1669554"/>
    <s v="['searchfox.org/mozilla-central/rev/1a973762afcbc5066f73f1508b0c846872fe3952/widget/nsPrintSettingsService.cpp', 'modules/ContentCrashHandlers.jsm', 'searchfox.org/mozilla-central/rev/1a973762afcbc5066f73f1508b0c846872fe3952/dom/ipc/ContentParent.cpp', 'w"/>
    <s v="System Dumps"/>
    <m/>
    <m/>
    <m/>
  </r>
  <r>
    <s v="BugRef"/>
    <m/>
    <x v="0"/>
    <n v="52"/>
    <s v="Yes"/>
    <s v="BothRef"/>
    <n v="1667942"/>
    <s v="{1642051}"/>
    <s v="https://bugzilla.mozilla.org/show_bug.cgi?id=1667942"/>
    <s v="['NEW-SSD/NREF-COMM-CENTRAL/mozilla/toolkit/components/antitracking/AntiTrackingUtils.cpp', 'Users/Kagami/Documents/GitHub/gecko-dev/image/ProgressTracker.h', 'Users/Kagami/Documents/GitHub/gecko-dev/toolkit/components/antitracking/AntiTrackingUtils.cpp']"/>
    <s v="System Dumps"/>
    <s v="File names are part of bug title"/>
    <m/>
    <m/>
  </r>
  <r>
    <s v="BugRef"/>
    <m/>
    <x v="0"/>
    <n v="53"/>
    <s v="Yes"/>
    <s v="BugRef"/>
    <n v="1747839"/>
    <s v="{1747476}"/>
    <s v="https://bugzilla.mozilla.org/show_bug.cgi?id=1747839"/>
    <s v="['8000/resources/testharness.js', '8000/html/canvas/offscreen/manual/the-offscreen-canvas/offscreencanvas.resize.html', 'html/canvas/offscreen/manual/the-offscreen-canvas/offscreencanvas.resize.html']"/>
    <s v="System Dumps"/>
    <s v="File names are part of bug title"/>
    <m/>
    <m/>
  </r>
  <r>
    <s v="BugRef"/>
    <m/>
    <x v="0"/>
    <n v="54"/>
    <s v="Yes"/>
    <s v="BothRef"/>
    <n v="1593979"/>
    <s v="{1589844, 1591006}"/>
    <s v="https://bugzilla.mozilla.org/show_bug.cgi?id=1593979"/>
    <s v="['searchfox.org/mozilla-central/rev/3300072e993ae05d50d5c63d815260367eaf9179/browser/tools/mozscreenshots/controlCenter/browser.ini', 'firefox-source-docs.mozilla.org/build/buildsystem/test_manifests.html', 'head.js', 'remote/test/browser/chrome-remote-in"/>
    <s v="Bug Description"/>
    <s v="File names are part of bug title, attachment title or commit messages"/>
    <s v="Solution Draft"/>
    <s v="Bug Reproducibility"/>
  </r>
  <r>
    <s v="BugRef"/>
    <m/>
    <x v="0"/>
    <n v="55"/>
    <s v="Yes"/>
    <s v="BothRef"/>
    <n v="1703592"/>
    <s v="{1646224}"/>
    <s v="https://bugzilla.mozilla.org/show_bug.cgi?id=1703592"/>
    <s v="['builds/worker/workspace/obj-build/dist/include/mozilla/dom/Selection.h', 'builds/worker/workspace/obj-build/dom/bindings/EventListenerBinding.cpp', 'builds/worker/checkouts/gecko/dom/bindings/BindingUtils.cpp', 'builds/worker/workspace/obj-build/dist/in"/>
    <s v="System Dumps"/>
    <s v="File names are part of bug title"/>
    <m/>
    <m/>
  </r>
  <r>
    <s v="BugRef"/>
    <m/>
    <x v="0"/>
    <n v="56"/>
    <s v="Yes"/>
    <s v="BothRef"/>
    <n v="1618555"/>
    <s v="{1614987}"/>
    <s v="https://bugzilla.mozilla.org/show_bug.cgi?id=1618555"/>
    <s v="['hg.mozilla.org/mozilla-central/raw-file/tip/layout/tools/reftest/reftest-analyzer.xhtml', 'activity-stream/lib/ASRouterPreferences.jsm', 'activity-stream/lib/ASRouter.jsm', 'gre/modules/Timer.jsm', 'browser/components/newtab/test/browser/browser_asroute"/>
    <s v="System Dumps"/>
    <s v="File names are part of bug title, attachment title or commit messages"/>
    <m/>
    <m/>
  </r>
  <r>
    <s v="BugRef"/>
    <m/>
    <x v="0"/>
    <n v="57"/>
    <s v="Yes"/>
    <s v="BugRef"/>
    <n v="1568806"/>
    <s v="{1566516}"/>
    <s v="https://bugzilla.mozilla.org/show_bug.cgi?id=1568806"/>
    <s v="['treeherder.mozilla.org/intermittent-failures.html', 'js/src/jit-test/tests/wasm/spec/binary.wast.js', 'js/src/jit-test/tests/wasm/spec/address.wast.js', 'treeherder.mozilla.org/logviewer.html', 'wasm/spec/address.wast.js', 'js/src/jit-test/tests/wasm/re"/>
    <s v="System Dumps"/>
    <s v="File names are part of bug title"/>
    <m/>
    <m/>
  </r>
  <r>
    <s v="BugRef"/>
    <m/>
    <x v="0"/>
    <n v="58"/>
    <s v="Yes"/>
    <s v="BothRef"/>
    <n v="1754126"/>
    <s v="{1738323}"/>
    <s v="https://bugzilla.mozilla.org/show_bug.cgi?id=1754126"/>
    <s v="['browser_browserGlue_upgradeDialog.js', 'browser/content/tabbrowser-tabs.js', 'searchfox.org/mozilla-central/rev/2a0b0ababd4541ecffb74cbe0820a9d0a25da636/browser/themes/BuiltInThemeConfig.jsm', 'browser/components/tests/browser/browser_browserGlue_upgrad"/>
    <s v="System Dumps"/>
    <s v="File names are part of bug title"/>
    <s v="File to Reproduce the Bug"/>
    <m/>
  </r>
  <r>
    <s v="BugRef"/>
    <m/>
    <x v="0"/>
    <n v="59"/>
    <s v="Yes"/>
    <s v="BothRef"/>
    <n v="1552964"/>
    <s v="{1546100}"/>
    <s v="https://bugzilla.mozilla.org/show_bug.cgi?id=1552964"/>
    <s v="['home/tlin/Projects/gecko/testing/mochitest/mach_commands.py', 'searchfox.org/mozilla-central/rev/a887c90ea9c19a0b5529a1f5fa351929944887ba/testing/mochitest/mach_commands.py']"/>
    <s v="System Dumps"/>
    <s v="Solution Draft"/>
    <m/>
    <m/>
  </r>
  <r>
    <s v="BugRef"/>
    <m/>
    <x v="1"/>
    <n v="60"/>
    <s v="Yes"/>
    <s v="BothRef"/>
    <n v="1546022"/>
    <s v="{1542415}"/>
    <s v="https://bugzilla.mozilla.org/show_bug.cgi?id=1546022"/>
    <s v="['searchfox.org/mozilla-central/rev/7e158713cf5a8514fa8161dd4a239737b05da64d/dom/ipc/BrowserParent.cpp', 'nsFrameLoaderOwner.cpp', 'searchfox.org/mozilla-central/rev/34cb8d0a2a324043bcfc2c56f37b31abe7fb23a8/dom/ipc/BrowserParent.cpp', 'treeherder.mozilla."/>
    <s v="Bug Description"/>
    <s v="Solution Draft"/>
    <m/>
    <m/>
  </r>
  <r>
    <s v="BugRef"/>
    <m/>
    <x v="0"/>
    <n v="61"/>
    <s v="Yes"/>
    <s v="BothRef"/>
    <n v="1638297"/>
    <s v="{1576490}"/>
    <s v="https://bugzilla.mozilla.org/show_bug.cgi?id=1638297"/>
    <s v="['LogText.txt', 'searchfox.org/mozilla-central/rev/df4c90d4b8c92c99f76334acfe4813c573c12661/toolkit/components/passwordmgr/LoginManagerChild.jsm']"/>
    <s v="Bug Description"/>
    <m/>
    <m/>
    <m/>
  </r>
  <r>
    <s v="BugRef"/>
    <m/>
    <x v="0"/>
    <n v="62"/>
    <s v="Yes"/>
    <s v="BugRef"/>
    <n v="1641577"/>
    <s v="{1604058}"/>
    <s v="https://bugzilla.mozilla.org/show_bug.cgi?id=1641577"/>
    <s v="['content/options.html', 'viewSourceUtils.js', 'searchfox.org/mozilla-central/rev/2c1092dc68/toolkit/components/extensions/ConduitsParent.jsm', 'ConduitsParent.jsm', 'searchfox.org/mozilla-central/rev/2c1092dc68c63f7bad6da6a03c5883a5ab5ff2ca/toolkit/compo"/>
    <s v="System Dumps"/>
    <s v="Bug Description"/>
    <s v="Solution Draft"/>
    <m/>
  </r>
  <r>
    <s v="BugRef"/>
    <m/>
    <x v="0"/>
    <n v="63"/>
    <s v="Yes"/>
    <s v="BugRef"/>
    <n v="1552193"/>
    <s v="{1496075}"/>
    <s v="https://bugzilla.mozilla.org/show_bug.cgi?id=1552193"/>
    <s v="['list.json', 'browser\\components\\search\\test\\marionette\\test_engines_on_restart.py', 'treeherder.mozilla.org/logviewer.html']"/>
    <s v="Backout"/>
    <s v="Incorrect filepath format"/>
    <m/>
    <m/>
  </r>
  <r>
    <s v="BugRef"/>
    <m/>
    <x v="0"/>
    <n v="64"/>
    <s v="Yes"/>
    <s v="BugRef"/>
    <n v="1692083"/>
    <s v="{1683419}"/>
    <s v="https://bugzilla.mozilla.org/show_bug.cgi?id=1692083"/>
    <s v="['searchfox.org/mozilla-beta/source/browser/base/content/browser.js']"/>
    <s v="Bug Description"/>
    <s v="Solution Draft"/>
    <m/>
    <m/>
  </r>
  <r>
    <s v="BugRef"/>
    <m/>
    <x v="0"/>
    <n v="65"/>
    <s v="Yes"/>
    <s v="BothRef"/>
    <n v="1539414"/>
    <s v="{1455433}"/>
    <s v="https://bugzilla.mozilla.org/show_bug.cgi?id=1539414"/>
    <s v="['searchfox.org/mozilla-release/rev/5bc9a3f39fae58ad2f2bdc5abfca04c8e21756e2/toolkit/content/widgets/checkbox.xml', 'www.sjgames.com/revolution/demo.html']"/>
    <s v="Bug Description"/>
    <s v="File to Reproduce the Bug"/>
    <m/>
    <m/>
  </r>
  <r>
    <s v="BugRef"/>
    <m/>
    <x v="0"/>
    <n v="66"/>
    <s v="Yes"/>
    <s v="BothRef"/>
    <n v="1631838"/>
    <s v="{1576284}"/>
    <s v="https://bugzilla.mozilla.org/show_bug.cgi?id=1631838"/>
    <s v="['searchfox.org/mozilla-central/rev/d2cec90777d573585f8477d5170892e5dcdfb0ab/browser/components/newtab/lib/DownloadsManager.jsm']"/>
    <s v="Bug Description"/>
    <s v="File names are part of bug title"/>
    <m/>
    <m/>
  </r>
  <r>
    <s v="BugRef"/>
    <m/>
    <x v="0"/>
    <n v="67"/>
    <s v="Yes"/>
    <s v="BothRef"/>
    <n v="1625749"/>
    <s v="{1434553, 1456995}"/>
    <s v="https://bugzilla.mozilla.org/show_bug.cgi?id=1625749"/>
    <s v="['ipc/ipdl/PContentParent.cpp', 'xpcom/io/SlicedInputStream.cpp', 'xpcom/io/InputStreamLengthHelper.cpp', 'searchfox.org/mozilla-central/rev/72e3388f74458d369af4f6cdbaeaacb719523b8c/netwerk/base/PartiallySeekableInputStream.cpp', 'xpcom/threads/nsThread.c"/>
    <s v="System Dumps"/>
    <s v="Bug Description"/>
    <m/>
    <m/>
  </r>
  <r>
    <s v="BugRef"/>
    <m/>
    <x v="0"/>
    <n v="68"/>
    <s v="Yes"/>
    <s v="BothRef"/>
    <n v="1776184"/>
    <s v="{1774298}"/>
    <s v="https://bugzilla.mozilla.org/show_bug.cgi?id=1776184"/>
    <s v="['home/marco/Documenti/FD/mozilla-unified/python/mozboot/mozboot/mach_commands.py', 'home/marco/Documenti/FD/mozilla-unified/python/mozboot/mozboot/bootstrap.py', 'home/marco/Documenti/FD/mozilla-unified/python/mozboot/mozboot/debian.py']"/>
    <s v="System Dumps"/>
    <m/>
    <m/>
    <m/>
  </r>
  <r>
    <s v="BugRef"/>
    <m/>
    <x v="0"/>
    <n v="69"/>
    <s v="Yes"/>
    <s v="BothRef"/>
    <n v="1722960"/>
    <s v="{1722492}"/>
    <s v="https://bugzilla.mozilla.org/show_bug.cgi?id=1722960"/>
    <s v="['searchfox.org/mozilla-central/rev/cfc40681e13089f92fb3f5f67d5d527fb04d9505/python/mozboot/mozboot/util.py']"/>
    <s v="Solution Draft"/>
    <m/>
    <m/>
    <m/>
  </r>
  <r>
    <s v="BugRef"/>
    <m/>
    <x v="0"/>
    <n v="70"/>
    <s v="Yes"/>
    <s v="BothRef"/>
    <n v="1642506"/>
    <s v="{1656228, 1642094}"/>
    <s v="https://bugzilla.mozilla.org/show_bug.cgi?id=1642506"/>
    <s v="['8000/html/semantics/scripting-1/the-script-element/moving-between-documents/resources/moving-between-documents-iframe.py', 'treeherder.mozilla.org/logviewer.html', '8000/html/semantics/scripting-1/the-script-element/moving-between-documents/resources/mo"/>
    <s v="System Dumps"/>
    <s v="Bug Dependency"/>
    <s v="File names are part of bug title, attachment title or commit messages"/>
    <m/>
  </r>
  <r>
    <s v="BugRef"/>
    <m/>
    <x v="0"/>
    <n v="71"/>
    <s v="Yes"/>
    <s v="BothRef"/>
    <n v="1622444"/>
    <s v="{1617427}"/>
    <s v="https://bugzilla.mozilla.org/show_bug.cgi?id=1622444"/>
    <s v="['hg.mozilla.org/mozilla-central/raw-file/tip/layout/tools/reftest/reftest-analyzer.xhtml', 'gfx/layers/apz/test/mochitest/test_group_checkerboarding.html', 'SimpleTest.ok@SimpleTest/SimpleTest.js', 'treeherder.mozilla.org/logviewer.html', 'driveTest@gfx/"/>
    <s v="System Dumps"/>
    <s v="File names are part of bug title"/>
    <s v="File to Reproduce the Bug"/>
    <m/>
  </r>
  <r>
    <s v="BugRef"/>
    <m/>
    <x v="0"/>
    <n v="72"/>
    <s v="Yes"/>
    <s v="BothRef"/>
    <n v="1665447"/>
    <s v="{1581876}"/>
    <s v="https://bugzilla.mozilla.org/show_bug.cgi?id=1665447"/>
    <s v="['intersection-rect-ib-split.html', 'searchfox.org/mozilla-central/rev/dfd9c0f72f9765bd4a187444e0c1e19e8834a506/dom/base/DOMIntersectionObserver.cpp']"/>
    <s v="Bug Description"/>
    <s v="Links"/>
    <s v="File to Reproduce the Bug"/>
    <m/>
  </r>
  <r>
    <s v="BugRef"/>
    <m/>
    <x v="0"/>
    <n v="73"/>
    <s v="Yes"/>
    <s v="BothRef"/>
    <n v="1579437"/>
    <s v="{1563604}"/>
    <s v="https://bugzilla.mozilla.org/show_bug.cgi?id=1579437"/>
    <s v="['docshell/base/BrowsingContext.cpp', 'ipc/ipdl/PContentParent.cpp', 'xpcom/threads/nsThread.cpp', 'ipc/glue/MessagePump.cpp', 'ipc/chromium/src/base/message_loop.cc', 'hg.mozilla.org/mozilla-central/annotate/29e9dde37bd231a94959394554154ede52670c65/dom/i"/>
    <s v="System Dumps"/>
    <m/>
    <m/>
    <m/>
  </r>
  <r>
    <s v="BugRef"/>
    <m/>
    <x v="0"/>
    <n v="74"/>
    <s v="Yes"/>
    <s v="BugRef"/>
    <n v="1633430"/>
    <s v="{1397876}"/>
    <s v="https://bugzilla.mozilla.org/show_bug.cgi?id=1633430"/>
    <s v="['modules/CustomizableUI.jsm', 'panel.js']"/>
    <s v="System Dumps"/>
    <s v="Solution Draft"/>
    <m/>
    <m/>
  </r>
  <r>
    <s v="BugRef"/>
    <m/>
    <x v="0"/>
    <n v="75"/>
    <s v="Yes"/>
    <s v="BothRef"/>
    <n v="1719567"/>
    <s v="{1713301}"/>
    <s v="https://bugzilla.mozilla.org/show_bug.cgi?id=1719567"/>
    <s v="['mochikit/content/tests/SimpleTest/EventUtils.js', 'global/content/elements/browser-custom-element.js', 'mochikit/content/tests/SimpleTest/AccessibilityUtils.js', 'searchfox.org/mozilla-central/rev/183b0cfc30f2d40f818a08cbea960f6119e2d196/devtools/client"/>
    <s v="System Dumps"/>
    <s v="File names are part of bug title, attachment title or commit messages"/>
    <m/>
    <m/>
  </r>
  <r>
    <s v="BugRef"/>
    <m/>
    <x v="0"/>
    <n v="76"/>
    <s v="Yes"/>
    <s v="BugRef"/>
    <n v="1772359"/>
    <s v="{1764348}"/>
    <s v="https://bugzilla.mozilla.org/show_bug.cgi?id=1772359"/>
    <s v="['hg.mozilla.org/mozilla-central/raw-file/tip/layout/tools/reftest/reftest-analyzer.xhtml', 'mochitests/content/browser/devtools/client/webconsole/test/browser/browser_console_enable_network_monitoring.js', 'mochitests/content/browser/devtools/client/webc"/>
    <s v="System Dumps"/>
    <s v="File names are part of bug title"/>
    <m/>
    <m/>
  </r>
  <r>
    <s v="BugRef"/>
    <m/>
    <x v="0"/>
    <n v="77"/>
    <s v="Yes"/>
    <s v="BothRef"/>
    <n v="1556812"/>
    <s v="{1555564}"/>
    <s v="https://bugzilla.mozilla.org/show_bug.cgi?id=1556812"/>
    <s v="['searchfox.org/mozilla-central/rev/9eb2f739c165b4e294929f7b99fbb4d90f8a396b/dom/storage/LocalStorage.cpp', 'StorageIPC.cpp', 'searchfox.org/mozilla-central/rev/153172de0c5bfca31ef861bd8fc0995f44cada6a/toolkit/components/antitracking/test/browser/browser_"/>
    <s v="System Dumps"/>
    <s v="Bug Description"/>
    <m/>
    <m/>
  </r>
  <r>
    <s v="BugRef"/>
    <m/>
    <x v="0"/>
    <n v="78"/>
    <s v="Yes"/>
    <s v="BugRef"/>
    <n v="1745730"/>
    <s v="{1689601}"/>
    <s v="https://bugzilla.mozilla.org/show_bug.cgi?id=1745730"/>
    <s v="['searchfox.org/mozilla-central/rev/25d26b0a62cc5bb4aa3bb90a11f3b0b7c52859c4/docshell/base/nsDocShell.cpp']"/>
    <s v="Bug Description"/>
    <m/>
    <m/>
    <m/>
  </r>
  <r>
    <s v="BugRef"/>
    <m/>
    <x v="0"/>
    <n v="79"/>
    <s v="Yes"/>
    <s v="BothRef"/>
    <n v="1570926"/>
    <s v="{1567438}"/>
    <s v="https://bugzilla.mozilla.org/show_bug.cgi?id=1570926"/>
    <s v="['dist/include/js/Conversions.h', 'js/src/jit/BaselineIC.cpp', 'js/src/builtin/Boolean.cpp']"/>
    <s v="System Dumps"/>
    <s v="File names are part of bug title"/>
    <m/>
    <m/>
  </r>
  <r>
    <s v="BugRef"/>
    <m/>
    <x v="0"/>
    <n v="80"/>
    <s v="Yes"/>
    <s v="BothRef"/>
    <n v="1802298"/>
    <s v="{1800263}"/>
    <s v="https://bugzilla.mozilla.org/show_bug.cgi?id=1802298"/>
    <s v="['Unified_cpp_js_src_gc1.cpp', 'builds/worker/checkouts/gecko/security/nss/lib/freebl/ecl/ecp_secp384r1.c', 'builds/worker/checkouts/gecko/js/src/gc/Marking.cpp', 'builds/worker/workspace/obj-build/js/src/js-confdefs.h', 'builds/worker/workspace/obj-build"/>
    <s v="System Dumps"/>
    <s v="File names are part of bug title"/>
    <m/>
    <m/>
  </r>
  <r>
    <s v="BugRef"/>
    <m/>
    <x v="0"/>
    <n v="81"/>
    <s v="Yes"/>
    <s v="BothRef"/>
    <n v="1709887"/>
    <s v="{1690326}"/>
    <s v="https://bugzilla.mozilla.org/show_bug.cgi?id=1709887"/>
    <s v="['Unified_cpp_uriloader_exthandler0.cpp', 'builds/worker/checkouts/gecko/uriloader/exthandler/win/nsMIMEInfoWin.cpp', 'builds/worker/checkouts/gecko/uriloader/exthandler/win/nsOSHelperAppService.h', 'builds/worker/checkouts/gecko/uriloader/exthandler/nsMI"/>
    <s v="System Dumps"/>
    <s v="File names are part of bug title"/>
    <m/>
    <m/>
  </r>
  <r>
    <s v="BugRef"/>
    <m/>
    <x v="0"/>
    <n v="90"/>
    <s v="Yes"/>
    <s v="BugRef"/>
    <n v="1738793"/>
    <s v="{1654112}"/>
    <s v="https://bugzilla.mozilla.org/show_bug.cgi?id=1738793"/>
    <s v="['searchfox.org/mozilla-central/rev/a12c2c2e59c92d8f969d8f3f290ab16919449c9d/third_party/libwebrtc/modules/desktop_capture/linux/shared_x_display.cc', 'usr/aarch64-unknown-linux-gnu/tmp/portage/www-client/firefox-96.0/work/firefox-96.0/third_party/libwebr"/>
    <s v="System Dumps"/>
    <s v="File names are part of bug title"/>
    <m/>
    <m/>
  </r>
  <r>
    <s v="BugRef"/>
    <m/>
    <x v="0"/>
    <n v="92"/>
    <s v="Yes"/>
    <s v="BugRef"/>
    <n v="1752954"/>
    <s v="{1564738}"/>
    <s v="https://bugzilla.mozilla.org/show_bug.cgi?id=1752954"/>
    <s v="['hg.mozilla.org/mozilla-central/raw-file/tip/layout/tools/reftest/reftest-analyzer.xhtml', 'modules/UrlbarValueFormatter.jsm', 'testing-common/PromiseTestUtils.jsm', 'builds/worker/checkouts/gecko/ipc/glue/ProtocolUtils.cpp', 'mochikit/content/browser-te"/>
    <s v="System Dumps"/>
    <s v="Backout"/>
    <s v="File names are part of bug title"/>
    <m/>
  </r>
  <r>
    <s v="BugRef"/>
    <m/>
    <x v="0"/>
    <n v="96"/>
    <s v="Yes"/>
    <s v="BugRef"/>
    <n v="1664632"/>
    <s v="{1663917}"/>
    <s v="https://bugzilla.mozilla.org/show_bug.cgi?id=1664632"/>
    <s v="['media/libcubeb/src/cubeb.c', 'third_party/rust/futures-0.1.29/src/future/map_err.rs', 'media/audioipc/server/src/server.rs', 'media/libcubeb/src/cubeb_wasapi.cpp', '../4fb7144ed159f94491249e86d5bbd033b5d60550/src/libcore/ops/function.rs', 'third_party/r"/>
    <s v="System Dumps"/>
    <s v="Backout"/>
    <m/>
    <m/>
  </r>
  <r>
    <s v="BugRef"/>
    <m/>
    <x v="0"/>
    <n v="109"/>
    <s v="Yes"/>
    <s v="BugRef"/>
    <n v="1638806"/>
    <s v="{1607375}"/>
    <s v="https://bugzilla.mozilla.org/show_bug.cgi?id=1638806"/>
    <s v="['searchfox.org/mozilla-central/rev/9193635dca8cfdcb68f114306194ffc860456044/dom/events/EventStateManager.cpp', 'searchfox.org/mozilla-central/rev/9193635dca8cfdcb68f114306194ffc860456044/dom/events/EventStateManager.h']"/>
    <s v="File to Reproduce the Bug"/>
    <m/>
    <m/>
    <m/>
  </r>
  <r>
    <s v="BugRef"/>
    <m/>
    <x v="0"/>
    <n v="111"/>
    <s v="Yes"/>
    <s v="BugRef"/>
    <n v="1743162"/>
    <s v="{1741780}"/>
    <s v="https://bugzilla.mozilla.org/show_bug.cgi?id=1743162"/>
    <s v="['gfx/wr/webrender/src/clip.rs', 'library/core/src/panicking.rs', 'mozglue/static/rust/lib.rs', 'library/core/src/ops/function.rs', 'library/std/src/sys_common/backtrace.rs', 'library/std/src/panicking.rs', 'mozglue/static/rust/wrappers.cpp']"/>
    <s v="System Dumps"/>
    <s v="Backout"/>
    <m/>
    <m/>
  </r>
  <r>
    <s v="BugRef"/>
    <m/>
    <x v="0"/>
    <n v="117"/>
    <s v="Yes"/>
    <s v="BugRef"/>
    <n v="1764535"/>
    <s v="{1755519}"/>
    <s v="https://bugzilla.mozilla.org/show_bug.cgi?id=1764535"/>
    <s v="['gre/modules/LangPackMatcher.jsm', 'LangPackMatcher.jsm']"/>
    <s v="System Dumps"/>
    <m/>
    <m/>
    <m/>
  </r>
  <r>
    <s v="BugRef"/>
    <m/>
    <x v="0"/>
    <n v="120"/>
    <s v="Yes"/>
    <s v="BugRef"/>
    <n v="1529220"/>
    <s v="{1427350}"/>
    <s v="https://bugzilla.mozilla.org/show_bug.cgi?id=1529220"/>
    <s v="['searchfox.org/mozilla-central/rev/3aef835f6cb12e607154d56d68726767172571e4/toolkit/content/widgets/autocomplete-richlistitem.js']"/>
    <s v="Bug Dependency"/>
    <m/>
    <m/>
    <m/>
  </r>
  <r>
    <s v="BugRef"/>
    <m/>
    <x v="0"/>
    <n v="129"/>
    <s v="Yes"/>
    <s v="BugRef"/>
    <n v="1740116"/>
    <s v="{1439509}"/>
    <s v="https://bugzilla.mozilla.org/show_bug.cgi?id=1740116"/>
    <s v="['devtools/client/netmonitor/src/har/har-menu-utils.js', 'firefox-data-provider.js', 'devtools/client/netmonitor/src/connector/index.js', 'devtools/client/netmonitor/src/connector/firefox-data-provider.js', 'devtools/client/netmonitor/src/har/har-exporter"/>
    <s v="System Dumps"/>
    <s v="Bug Description"/>
    <m/>
    <m/>
  </r>
  <r>
    <s v="BugRef"/>
    <m/>
    <x v="0"/>
    <n v="130"/>
    <s v="Yes"/>
    <s v="BugRef"/>
    <n v="1793686"/>
    <s v="{1769747}"/>
    <s v="https://bugzilla.mozilla.org/show_bug.cgi?id=1793686"/>
    <s v="['toolkit/xre/dllservices/mozglue/WindowsDllBlocklist.cpp', 'xpcom/threads/nsThread.cpp', 'nsprpub/pr/src/threads/combined/pruthr.c', 'dom/canvas/WebGLTextureUpload.cpp', 'builds/worker/checkouts/gecko/docshell/shistory/SessionHistoryEntry.cpp', 'ipc/chro"/>
    <s v="System Dumps"/>
    <s v="Backout"/>
    <m/>
    <m/>
  </r>
  <r>
    <s v="BugRef"/>
    <m/>
    <x v="0"/>
    <n v="134"/>
    <s v="Yes"/>
    <s v="BugRef"/>
    <n v="1606935"/>
    <s v="{1603930}"/>
    <s v="https://bugzilla.mozilla.org/show_bug.cgi?id=1606935"/>
    <s v="['remote/test/browser/network/browser.ini', 'remote/test/browser/input/browser.ini', 'remote/test/browser/browser.ini', 'remote/test/browser/target/browser.ini', 'remote/test/browser/io/browser.ini', '\\\\tasks\\\\task_1578067056\\\\build\\\\tests\\\\moch"/>
    <s v="System Dumps"/>
    <s v="Bug Description"/>
    <s v="Links"/>
    <s v="Bug Dependency"/>
  </r>
  <r>
    <s v="BugRef"/>
    <m/>
    <x v="0"/>
    <n v="146"/>
    <s v="Yes"/>
    <s v="BugRef"/>
    <n v="1659729"/>
    <s v="{1630819}"/>
    <s v="https://bugzilla.mozilla.org/show_bug.cgi?id=1659729"/>
    <s v="['builds/worker/checkouts/gecko/browser/app/nsBrowserApp.cpp', 'builds/worker/checkouts/gecko/ipc/chromium/src/base/message_loop.cc', 'builds/worker/checkouts/gecko/layout/forms/nsTextControlFrame.cpp', 'builds/worker/checkouts/gecko/dom/html/TextControlS"/>
    <s v="System Dumps"/>
    <s v="File names are part of bug title"/>
    <m/>
    <m/>
  </r>
  <r>
    <s v="BugRef"/>
    <m/>
    <x v="0"/>
    <n v="154"/>
    <s v="Yes"/>
    <s v="BugRef"/>
    <n v="1744027"/>
    <s v="{1743630}"/>
    <s v="https://bugzilla.mozilla.org/show_bug.cgi?id=1744027"/>
    <s v="['netwerk/test/browser/browser_103_telemetry.js', 'example.com/browser/netwerk/test/browser/no_103_preload.html', 'mochitests/content/browser/netwerk/test/browser/browser_103_telemetry.js', 'example.com/browser/netwerk/test/browser/103_preload.html', 'ser"/>
    <s v="System Dumps"/>
    <s v="File names are part of bug title"/>
    <m/>
    <m/>
  </r>
  <r>
    <s v="BugRef"/>
    <m/>
    <x v="0"/>
    <n v="155"/>
    <s v="Yes"/>
    <s v="BugRef"/>
    <n v="1630095"/>
    <s v="{1552966}"/>
    <s v="https://bugzilla.mozilla.org/show_bug.cgi?id=1630095"/>
    <s v="['searchfox.org/mozilla-central/rev/b9a814e53b3b6f5cb665a78f4777868e7a16bfcd/toolkit/components/printingui/nsPrintProgress.cpp']"/>
    <s v="Bug Description"/>
    <s v="Links"/>
    <m/>
    <m/>
  </r>
  <r>
    <s v="BugRef"/>
    <m/>
    <x v="0"/>
    <n v="157"/>
    <s v="Yes"/>
    <s v="BugRef"/>
    <n v="1538246"/>
    <s v="{1477205}"/>
    <s v="https://bugzilla.mozilla.org/show_bug.cgi?id=1538246"/>
    <s v="['AudioNode.cpp', 'AudioContext.cpp', 'treeherder.mozilla.org/logviewer.html', 'BaseAudioContextBinding.cpp', 'remoteautomation.py', 'ScriptProcessorNode.cpp', 'treeherder.mozilla.org/intermittent-failures.html', 'dom/media/webaudio/test/test_nodeCreation"/>
    <s v="System Dumps"/>
    <s v="File names are part of bug title"/>
    <m/>
    <m/>
  </r>
  <r>
    <s v="BugRef"/>
    <m/>
    <x v="0"/>
    <n v="159"/>
    <s v="Yes"/>
    <s v="BugRef"/>
    <n v="1662483"/>
    <s v="{1658302}"/>
    <s v="https://bugzilla.mozilla.org/show_bug.cgi?id=1662483"/>
    <s v="['dom/base/Element.cpp', 'testcase.html', 'dom/bindings/ElementBinding.cpp', 'dom/html/HTMLInputElement.cpp', 'layout/forms/nsTextControlFrame.cpp', 'dom/bindings/BindingUtils.cpp']"/>
    <s v="System Dumps"/>
    <s v="File to Reproduce the Bug"/>
    <m/>
    <m/>
  </r>
  <r>
    <s v="BugRef"/>
    <m/>
    <x v="0"/>
    <n v="161"/>
    <s v="Yes"/>
    <s v="BugRef"/>
    <n v="1686938"/>
    <s v="{1685355}"/>
    <s v="https://bugzilla.mozilla.org/show_bug.cgi?id=1686938"/>
    <s v="['netwerk/base/nsInputStreamPump.cpp', 'netwerk/protocol/http/nsHttpHandler.cpp', 'toolkit/components/clearsitedata/ClearSiteData.cpp', 'xpcom/threads/nsThread.cpp', 'xpcom/ds/nsObserverService.cpp', 'ipc/glue/MessagePump.cpp', 'xpcom/io/nsStreamUtils.cpp"/>
    <s v="System Dumps"/>
    <s v="Bug Dependency"/>
    <m/>
    <m/>
  </r>
  <r>
    <s v="BugRef"/>
    <m/>
    <x v="0"/>
    <n v="162"/>
    <s v="Yes"/>
    <s v="BugRef"/>
    <n v="1582733"/>
    <s v="{1580631}"/>
    <s v="https://bugzilla.mozilla.org/show_bug.cgi?id=1582733"/>
    <s v="['hg.mozilla.org/mozilla-central/raw-file/tip/layout/tools/reftest/reftest-analyzer.xhtml', 'mochitests/content/browser/devtools/client/shared/test/browser_html_tooltip_doorhanger-01.js', 'build/build/src/dom/base/nsContentUtils.cpp', 'devtools/client/sha"/>
    <s v="System Dumps"/>
    <s v="File names are part of bug title"/>
    <m/>
    <m/>
  </r>
  <r>
    <s v="BugRef"/>
    <m/>
    <x v="0"/>
    <n v="170"/>
    <s v="Yes"/>
    <s v="BugRef"/>
    <n v="1560323"/>
    <s v="{1553215}"/>
    <s v="https://bugzilla.mozilla.org/show_bug.cgi?id=1560323"/>
    <s v="['hg.mozilla.org/mozilla-central/raw-file/tip/layout/tools/reftest/reftest-analyzer.xhtml', 'Users/cltbld/tasks/task_1561030133/build/tests/web-platform/runtests.py', 'treeherder.mozilla.org/logviewer.html', 'webaudio/the-audio-api/the-mediastreamaudiosou"/>
    <s v="System Dumps"/>
    <s v="File names are part of bug title"/>
    <m/>
    <m/>
  </r>
  <r>
    <s v="BugRef"/>
    <m/>
    <x v="0"/>
    <n v="173"/>
    <s v="Yes"/>
    <s v="BugRef"/>
    <n v="1768961"/>
    <s v="{1746983}"/>
    <s v="https://bugzilla.mozilla.org/show_bug.cgi?id=1768961"/>
    <s v="['searchfox.org/mozilla-central/rev/513d9c0f27c0c3fdc9ed6c5fb222a3f90ae69d70/ipc/chromium/src/base/process_util.h', 'searchfox.org/mozilla-central/rev/513d9c0f27c0c3fdc9ed6c5fb222a3f90ae69d70/toolkit/components/telemetry/app/TelemetrySend.jsm', 'searchfox"/>
    <s v="System Dumps"/>
    <s v="Bug Description"/>
    <m/>
    <m/>
  </r>
  <r>
    <s v="BugRef"/>
    <m/>
    <x v="0"/>
    <n v="183"/>
    <s v="Yes"/>
    <s v="BugRef"/>
    <n v="1623940"/>
    <s v="{1591996}"/>
    <s v="https://bugzilla.mozilla.org/show_bug.cgi?id=1623940"/>
    <s v="['builds/worker/checkouts/gecko/gfx/skia/skia/include/core/SkPaint.h', 'gfx/skia/skia/src/ports/SkDebug_stdio.cpp', 'testcase.html']"/>
    <s v="System Dumps"/>
    <s v="File names are part of bug title"/>
    <s v="File to Reproduce the Bug"/>
    <s v="Bug Dependency"/>
  </r>
  <r>
    <s v="BugRef"/>
    <m/>
    <x v="0"/>
    <n v="190"/>
    <s v="Yes"/>
    <s v="BugRef"/>
    <n v="1712214"/>
    <s v="{1357902}"/>
    <s v="https://bugzilla.mozilla.org/show_bug.cgi?id=1712214"/>
    <s v="['searchfox.org/mozilla-central/rev/2b372b94ce057097a6ef8eb725f209faa9d1dc4d/browser/components/translation/LanguageDetector.jsm', 'extensions/content/parent/ext-i18n.js', 'searchfox.org/mozilla-central/rev/d01591796d5faccf762adb09a311d8ee12f7ca7f/toolkit"/>
    <s v="Bug Description"/>
    <s v="File to Reproduce the Bug"/>
    <s v="Solution Draft"/>
    <m/>
  </r>
  <r>
    <s v="BugRef"/>
    <m/>
    <x v="0"/>
    <n v="194"/>
    <s v="Yes"/>
    <s v="BugRef"/>
    <n v="1763343"/>
    <s v="{1755515}"/>
    <s v="https://bugzilla.mozilla.org/show_bug.cgi?id=1763343"/>
    <s v="['searchfox.org/mozilla-central/source/Makefile.in', 'searchfox.org/mozilla-central/source/taskcluster/gecko_taskgraph/transforms/build.py', 'usr/lib/python3.9/runpy.py', 'builds/worker/checkouts/gecko/python/mozbuild/mozbuild/action/symbols_archive.py']"/>
    <s v="System Dumps"/>
    <s v="Bug Description"/>
    <s v="Links"/>
    <m/>
  </r>
  <r>
    <s v="BugRef"/>
    <m/>
    <x v="0"/>
    <n v="197"/>
    <s v="Yes"/>
    <s v="BugRef"/>
    <n v="1606617"/>
    <s v="{1583925}"/>
    <s v="https://bugzilla.mozilla.org/show_bug.cgi?id=1606617"/>
    <s v="['searchfox.org/mozilla-central/source/toolkit/themes/windows/global/global.css', 'lgg.epfl.ch/teaching/DGP2019/Slides/html/01_Introduction.html']"/>
    <s v="Bug Description"/>
    <s v="File to Reproduce the Bug"/>
    <m/>
    <m/>
  </r>
  <r>
    <s v="BugRef"/>
    <m/>
    <x v="0"/>
    <n v="217"/>
    <s v="Yes"/>
    <s v="BugRef"/>
    <n v="1659369"/>
    <s v="{1612941}"/>
    <s v="https://bugzilla.mozilla.org/show_bug.cgi?id=1659369"/>
    <s v="['gfx/webrender_bindings/src/swgl_bindings.rs', 'xpcom/threads/nsThreadUtils.h', 'gfx/webrender_bindings/RenderCompositorNative.cpp', 'gfx/webrender_bindings/src/bindings.rs', 'gfx/webrender_bindings/RenderThread.cpp', 'gfx/wr/webrender/src/renderer.rs', "/>
    <s v="System Dumps"/>
    <m/>
    <m/>
    <s v="The issue was not reproduced"/>
  </r>
  <r>
    <s v="BugRef"/>
    <m/>
    <x v="0"/>
    <n v="277"/>
    <s v="Yes"/>
    <s v="BugRef"/>
    <n v="1628399"/>
    <s v="{1614933}"/>
    <s v="https://bugzilla.mozilla.org/show_bug.cgi?id=1628399"/>
    <s v="['builds/worker/checkouts/gecko/xpcom/ds/nsObserverService.cpp', 'mochitests/content/browser/browser/base/content/test/plugins/browser_pluginCrashCommentAndURL.js', 'treeherder.mozilla.org/intermittent-failures.html', 'builds/worker/checkouts/gecko/dom/pl"/>
    <s v="System Dumps"/>
    <s v="File names are part of bug title"/>
    <s v="Bug Dependency"/>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agreement-disagreement" cacheId="10" applyNumberFormats="0" applyBorderFormats="0" applyFontFormats="0" applyPatternFormats="0" applyAlignmentFormats="0" applyWidthHeightFormats="0" dataCaption="" updatedVersion="8" compact="0" compactData="0">
  <location ref="A1:B5" firstHeaderRow="1" firstDataRow="1" firstDataCol="1"/>
  <pivotFields count="14">
    <pivotField name="Sheet" compact="0" outline="0" multipleItemSelectionAllowed="1" showAll="0"/>
    <pivotField name="Disagreement" compact="0" outline="0" multipleItemSelectionAllowed="1" showAll="0"/>
    <pivotField name="Iteration1: Disagreement" axis="axisRow" dataField="1" compact="0" outline="0" multipleItemSelectionAllowed="1" showAll="0" sortType="ascending">
      <items count="4">
        <item x="0"/>
        <item x="2"/>
        <item x="1"/>
        <item t="default"/>
      </items>
    </pivotField>
    <pivotField name="index" compact="0" outline="0" multipleItemSelectionAllowed="1" showAll="0"/>
    <pivotField name="Revision" compact="0" outline="0" multipleItemSelectionAllowed="1" showAll="0"/>
    <pivotField name="Reference Shared With" compact="0" outline="0" multipleItemSelectionAllowed="1" showAll="0"/>
    <pivotField name="fix_id" compact="0" outline="0" multipleItemSelectionAllowed="1" showAll="0"/>
    <pivotField name="Bug ID" compact="0" outline="0" multipleItemSelectionAllowed="1" showAll="0"/>
    <pivotField name="fix_link" compact="0" outline="0" multipleItemSelectionAllowed="1" showAll="0"/>
    <pivotField name="referenced_files" compact="0" outline="0" multipleItemSelectionAllowed="1" showAll="0"/>
    <pivotField name="Rationale 1" compact="0" outline="0" multipleItemSelectionAllowed="1" showAll="0"/>
    <pivotField name="Rationale 2" compact="0" outline="0" multipleItemSelectionAllowed="1" showAll="0"/>
    <pivotField name="Rationale 3" compact="0" outline="0" multipleItemSelectionAllowed="1" showAll="0"/>
    <pivotField name="Rationale 4" compact="0" outline="0" multipleItemSelectionAllowed="1" showAll="0"/>
  </pivotFields>
  <rowFields count="1">
    <field x="2"/>
  </rowFields>
  <rowItems count="4">
    <i>
      <x/>
    </i>
    <i>
      <x v="1"/>
    </i>
    <i>
      <x v="2"/>
    </i>
    <i t="grand">
      <x/>
    </i>
  </rowItems>
  <colItems count="1">
    <i/>
  </colItems>
  <dataFields count="1">
    <dataField name="COUNTA of Iteration1: Disagreement" fld="2"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500-000001000000}" name="Pivot_End_Count" cacheId="6" applyNumberFormats="0" applyBorderFormats="0" applyFontFormats="0" applyPatternFormats="0" applyAlignmentFormats="0" applyWidthHeightFormats="0" dataCaption="" updatedVersion="8" rowGrandTotals="0" compact="0" compactData="0">
  <location ref="A1:F27" firstHeaderRow="1" firstDataRow="2" firstDataCol="1"/>
  <pivotFields count="26">
    <pivotField name="Cause" axis="axisRow" compact="0" outline="0" multipleItemSelectionAllowed="1" showAll="0" sortType="descending">
      <items count="27">
        <item x="0"/>
        <item x="1"/>
        <item x="2"/>
        <item x="3"/>
        <item x="4"/>
        <item x="5"/>
        <item x="6"/>
        <item x="7"/>
        <item x="8"/>
        <item x="9"/>
        <item x="10"/>
        <item x="11"/>
        <item x="12"/>
        <item x="13"/>
        <item x="14"/>
        <item x="15"/>
        <item x="16"/>
        <item x="17"/>
        <item x="18"/>
        <item x="19"/>
        <item x="20"/>
        <item x="21"/>
        <item x="22"/>
        <item x="23"/>
        <item x="24"/>
        <item h="1" x="25"/>
        <item t="default"/>
      </items>
      <autoSortScope>
        <pivotArea>
          <references count="1">
            <reference field="4294967294" count="1">
              <x v="0"/>
            </reference>
          </references>
        </pivotArea>
      </autoSortScope>
    </pivotField>
    <pivotField name="Sheet" axis="axisCol" compact="0" outline="0" multipleItemSelectionAllowed="1" showAll="0" sortType="ascending">
      <items count="6">
        <item x="1"/>
        <item x="2"/>
        <item x="3"/>
        <item x="0"/>
        <item x="4"/>
        <item t="default"/>
      </items>
    </pivotField>
    <pivotField name="Count" dataField="1" compact="0" outline="0" multipleItemSelectionAllowed="1" showAll="0"/>
    <pivotField name=" " compact="0" outline="0" multipleItemSelectionAllowed="1" showAll="0"/>
    <pivotField name=" 2" compact="0" outline="0" multipleItemSelectionAllowed="1" showAll="0"/>
    <pivotField name=" 3" compact="0" outline="0" multipleItemSelectionAllowed="1" showAll="0"/>
    <pivotField name=" 4" compact="0" outline="0" multipleItemSelectionAllowed="1" showAll="0"/>
    <pivotField name=" 5" compact="0" outline="0" multipleItemSelectionAllowed="1" showAll="0"/>
    <pivotField name=" 6" compact="0" outline="0" multipleItemSelectionAllowed="1" showAll="0"/>
    <pivotField name=" 7" compact="0" outline="0" multipleItemSelectionAllowed="1" showAll="0"/>
    <pivotField name=" 8" compact="0" outline="0" multipleItemSelectionAllowed="1" showAll="0"/>
    <pivotField name=" 9" compact="0" outline="0" multipleItemSelectionAllowed="1" showAll="0"/>
    <pivotField name=" 10" compact="0" outline="0" multipleItemSelectionAllowed="1" showAll="0"/>
    <pivotField name=" 11" compact="0" outline="0" multipleItemSelectionAllowed="1" showAll="0"/>
    <pivotField name=" 12" compact="0" outline="0" multipleItemSelectionAllowed="1" showAll="0"/>
    <pivotField name=" 13" compact="0" outline="0" multipleItemSelectionAllowed="1" showAll="0"/>
    <pivotField name=" 14" compact="0" outline="0" multipleItemSelectionAllowed="1" showAll="0"/>
    <pivotField name=" 15" compact="0" outline="0" multipleItemSelectionAllowed="1" showAll="0"/>
    <pivotField name=" 16" compact="0" outline="0" multipleItemSelectionAllowed="1" showAll="0"/>
    <pivotField name=" 17" compact="0" outline="0" multipleItemSelectionAllowed="1" showAll="0"/>
    <pivotField name=" 18" compact="0" outline="0" multipleItemSelectionAllowed="1" showAll="0"/>
    <pivotField name=" 19" compact="0" outline="0" multipleItemSelectionAllowed="1" showAll="0"/>
    <pivotField name=" 20" compact="0" outline="0" multipleItemSelectionAllowed="1" showAll="0"/>
    <pivotField name=" 21" compact="0" outline="0" multipleItemSelectionAllowed="1" showAll="0"/>
    <pivotField name=" 22" compact="0" outline="0" multipleItemSelectionAllowed="1" showAll="0"/>
    <pivotField name=" 23" compact="0" outline="0" multipleItemSelectionAllowed="1" showAll="0"/>
  </pivotFields>
  <rowFields count="1">
    <field x="0"/>
  </rowFields>
  <rowItems count="25">
    <i>
      <x v="23"/>
    </i>
    <i>
      <x v="3"/>
    </i>
    <i>
      <x v="13"/>
    </i>
    <i>
      <x v="22"/>
    </i>
    <i>
      <x v="15"/>
    </i>
    <i>
      <x v="12"/>
    </i>
    <i>
      <x v="1"/>
    </i>
    <i>
      <x v="17"/>
    </i>
    <i>
      <x v="2"/>
    </i>
    <i>
      <x v="18"/>
    </i>
    <i>
      <x v="11"/>
    </i>
    <i>
      <x v="16"/>
    </i>
    <i>
      <x v="5"/>
    </i>
    <i>
      <x v="20"/>
    </i>
    <i>
      <x v="8"/>
    </i>
    <i>
      <x v="19"/>
    </i>
    <i>
      <x v="4"/>
    </i>
    <i>
      <x v="10"/>
    </i>
    <i>
      <x v="24"/>
    </i>
    <i>
      <x v="21"/>
    </i>
    <i>
      <x v="9"/>
    </i>
    <i>
      <x/>
    </i>
    <i>
      <x v="14"/>
    </i>
    <i>
      <x v="7"/>
    </i>
    <i>
      <x v="6"/>
    </i>
  </rowItems>
  <colFields count="1">
    <field x="1"/>
  </colFields>
  <colItems count="5">
    <i>
      <x/>
    </i>
    <i>
      <x v="1"/>
    </i>
    <i>
      <x v="2"/>
    </i>
    <i>
      <x v="3"/>
    </i>
    <i t="grand">
      <x/>
    </i>
  </colItems>
  <dataFields count="1">
    <dataField name="SUM of Count" fld="2"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bugzilla.mozilla.org/show_bug.cgi?id=1731540" TargetMode="External"/><Relationship Id="rId299" Type="http://schemas.openxmlformats.org/officeDocument/2006/relationships/hyperlink" Target="https://bugzilla.mozilla.org/show_bug.cgi?id=1622444" TargetMode="External"/><Relationship Id="rId21" Type="http://schemas.openxmlformats.org/officeDocument/2006/relationships/hyperlink" Target="https://bugzilla.mozilla.org/show_bug.cgi?id=1709678" TargetMode="External"/><Relationship Id="rId63" Type="http://schemas.openxmlformats.org/officeDocument/2006/relationships/hyperlink" Target="https://bugzilla.mozilla.org/show_bug.cgi?id=1612723" TargetMode="External"/><Relationship Id="rId159" Type="http://schemas.openxmlformats.org/officeDocument/2006/relationships/hyperlink" Target="https://bugzilla.mozilla.org/show_bug.cgi?id=1686750" TargetMode="External"/><Relationship Id="rId324" Type="http://schemas.openxmlformats.org/officeDocument/2006/relationships/hyperlink" Target="https://bugzilla.mozilla.org/show_bug.cgi?id=1662483" TargetMode="External"/><Relationship Id="rId170" Type="http://schemas.openxmlformats.org/officeDocument/2006/relationships/hyperlink" Target="https://bugzilla.mozilla.org/show_bug.cgi?id=1673341" TargetMode="External"/><Relationship Id="rId226" Type="http://schemas.openxmlformats.org/officeDocument/2006/relationships/hyperlink" Target="https://bugzilla.mozilla.org/show_bug.cgi?id=1595284" TargetMode="External"/><Relationship Id="rId268" Type="http://schemas.openxmlformats.org/officeDocument/2006/relationships/hyperlink" Target="https://bugzilla.mozilla.org/show_bug.cgi?id=1742603" TargetMode="External"/><Relationship Id="rId32" Type="http://schemas.openxmlformats.org/officeDocument/2006/relationships/hyperlink" Target="https://bugzilla.mozilla.org/show_bug.cgi?id=1605577" TargetMode="External"/><Relationship Id="rId74" Type="http://schemas.openxmlformats.org/officeDocument/2006/relationships/hyperlink" Target="https://bugzilla.mozilla.org/show_bug.cgi?id=1560193" TargetMode="External"/><Relationship Id="rId128" Type="http://schemas.openxmlformats.org/officeDocument/2006/relationships/hyperlink" Target="https://bugzilla.mozilla.org/show_bug.cgi?id=1720512" TargetMode="External"/><Relationship Id="rId5" Type="http://schemas.openxmlformats.org/officeDocument/2006/relationships/hyperlink" Target="https://bugzilla.mozilla.org/show_bug.cgi?id=1628660" TargetMode="External"/><Relationship Id="rId181" Type="http://schemas.openxmlformats.org/officeDocument/2006/relationships/hyperlink" Target="https://bugzilla.mozilla.org/show_bug.cgi?id=1733707" TargetMode="External"/><Relationship Id="rId237" Type="http://schemas.openxmlformats.org/officeDocument/2006/relationships/hyperlink" Target="https://bugzilla.mozilla.org/show_bug.cgi?id=1642863" TargetMode="External"/><Relationship Id="rId279" Type="http://schemas.openxmlformats.org/officeDocument/2006/relationships/hyperlink" Target="https://bugzilla.mozilla.org/show_bug.cgi?id=1669554" TargetMode="External"/><Relationship Id="rId43" Type="http://schemas.openxmlformats.org/officeDocument/2006/relationships/hyperlink" Target="https://bugzilla.mozilla.org/show_bug.cgi?id=1592791" TargetMode="External"/><Relationship Id="rId139" Type="http://schemas.openxmlformats.org/officeDocument/2006/relationships/hyperlink" Target="https://bugzilla.mozilla.org/show_bug.cgi?id=1758536" TargetMode="External"/><Relationship Id="rId290" Type="http://schemas.openxmlformats.org/officeDocument/2006/relationships/hyperlink" Target="https://bugzilla.mozilla.org/show_bug.cgi?id=1641577" TargetMode="External"/><Relationship Id="rId304" Type="http://schemas.openxmlformats.org/officeDocument/2006/relationships/hyperlink" Target="https://bugzilla.mozilla.org/show_bug.cgi?id=1772359" TargetMode="External"/><Relationship Id="rId85" Type="http://schemas.openxmlformats.org/officeDocument/2006/relationships/hyperlink" Target="https://bugzilla.mozilla.org/show_bug.cgi?id=1766430" TargetMode="External"/><Relationship Id="rId150" Type="http://schemas.openxmlformats.org/officeDocument/2006/relationships/hyperlink" Target="https://bugzilla.mozilla.org/show_bug.cgi?id=1743807" TargetMode="External"/><Relationship Id="rId192" Type="http://schemas.openxmlformats.org/officeDocument/2006/relationships/hyperlink" Target="https://bugzilla.mozilla.org/show_bug.cgi?id=1596761" TargetMode="External"/><Relationship Id="rId206" Type="http://schemas.openxmlformats.org/officeDocument/2006/relationships/hyperlink" Target="https://bugzilla.mozilla.org/show_bug.cgi?id=1710598" TargetMode="External"/><Relationship Id="rId248" Type="http://schemas.openxmlformats.org/officeDocument/2006/relationships/hyperlink" Target="https://bugzilla.mozilla.org/show_bug.cgi?id=1567210" TargetMode="External"/><Relationship Id="rId12" Type="http://schemas.openxmlformats.org/officeDocument/2006/relationships/hyperlink" Target="https://bugzilla.mozilla.org/show_bug.cgi?id=1620458" TargetMode="External"/><Relationship Id="rId108" Type="http://schemas.openxmlformats.org/officeDocument/2006/relationships/hyperlink" Target="https://bugzilla.mozilla.org/show_bug.cgi?id=1576447" TargetMode="External"/><Relationship Id="rId315" Type="http://schemas.openxmlformats.org/officeDocument/2006/relationships/hyperlink" Target="https://bugzilla.mozilla.org/show_bug.cgi?id=1764535" TargetMode="External"/><Relationship Id="rId54" Type="http://schemas.openxmlformats.org/officeDocument/2006/relationships/hyperlink" Target="https://bugzilla.mozilla.org/show_bug.cgi?id=1792253" TargetMode="External"/><Relationship Id="rId96" Type="http://schemas.openxmlformats.org/officeDocument/2006/relationships/hyperlink" Target="https://bugzilla.mozilla.org/show_bug.cgi?id=1680757" TargetMode="External"/><Relationship Id="rId161" Type="http://schemas.openxmlformats.org/officeDocument/2006/relationships/hyperlink" Target="https://bugzilla.mozilla.org/show_bug.cgi?id=1772523" TargetMode="External"/><Relationship Id="rId217" Type="http://schemas.openxmlformats.org/officeDocument/2006/relationships/hyperlink" Target="https://bugzilla.mozilla.org/show_bug.cgi?id=1601905" TargetMode="External"/><Relationship Id="rId259" Type="http://schemas.openxmlformats.org/officeDocument/2006/relationships/hyperlink" Target="https://bugzilla.mozilla.org/show_bug.cgi?id=1661628" TargetMode="External"/><Relationship Id="rId23" Type="http://schemas.openxmlformats.org/officeDocument/2006/relationships/hyperlink" Target="https://bugzilla.mozilla.org/show_bug.cgi?id=1561450" TargetMode="External"/><Relationship Id="rId119" Type="http://schemas.openxmlformats.org/officeDocument/2006/relationships/hyperlink" Target="https://bugzilla.mozilla.org/show_bug.cgi?id=1663731" TargetMode="External"/><Relationship Id="rId270" Type="http://schemas.openxmlformats.org/officeDocument/2006/relationships/hyperlink" Target="https://bugzilla.mozilla.org/show_bug.cgi?id=1798587" TargetMode="External"/><Relationship Id="rId326" Type="http://schemas.openxmlformats.org/officeDocument/2006/relationships/hyperlink" Target="https://bugzilla.mozilla.org/show_bug.cgi?id=1582733" TargetMode="External"/><Relationship Id="rId65" Type="http://schemas.openxmlformats.org/officeDocument/2006/relationships/hyperlink" Target="https://bugzilla.mozilla.org/show_bug.cgi?id=1715036" TargetMode="External"/><Relationship Id="rId130" Type="http://schemas.openxmlformats.org/officeDocument/2006/relationships/hyperlink" Target="https://bugzilla.mozilla.org/show_bug.cgi?id=1709311" TargetMode="External"/><Relationship Id="rId172" Type="http://schemas.openxmlformats.org/officeDocument/2006/relationships/hyperlink" Target="https://bugzilla.mozilla.org/show_bug.cgi?id=1631276" TargetMode="External"/><Relationship Id="rId228" Type="http://schemas.openxmlformats.org/officeDocument/2006/relationships/hyperlink" Target="https://bugzilla.mozilla.org/show_bug.cgi?id=1719391" TargetMode="External"/><Relationship Id="rId281" Type="http://schemas.openxmlformats.org/officeDocument/2006/relationships/hyperlink" Target="https://bugzilla.mozilla.org/show_bug.cgi?id=1747839" TargetMode="External"/><Relationship Id="rId34" Type="http://schemas.openxmlformats.org/officeDocument/2006/relationships/hyperlink" Target="https://bugzilla.mozilla.org/show_bug.cgi?id=1572116" TargetMode="External"/><Relationship Id="rId76" Type="http://schemas.openxmlformats.org/officeDocument/2006/relationships/hyperlink" Target="https://bugzilla.mozilla.org/show_bug.cgi?id=1618501" TargetMode="External"/><Relationship Id="rId141" Type="http://schemas.openxmlformats.org/officeDocument/2006/relationships/hyperlink" Target="https://bugzilla.mozilla.org/show_bug.cgi?id=1632881" TargetMode="External"/><Relationship Id="rId7" Type="http://schemas.openxmlformats.org/officeDocument/2006/relationships/hyperlink" Target="https://bugzilla.mozilla.org/show_bug.cgi?id=1616113" TargetMode="External"/><Relationship Id="rId183" Type="http://schemas.openxmlformats.org/officeDocument/2006/relationships/hyperlink" Target="https://bugzilla.mozilla.org/show_bug.cgi?id=1772489" TargetMode="External"/><Relationship Id="rId239" Type="http://schemas.openxmlformats.org/officeDocument/2006/relationships/hyperlink" Target="https://bugzilla.mozilla.org/show_bug.cgi?id=1709130" TargetMode="External"/><Relationship Id="rId250" Type="http://schemas.openxmlformats.org/officeDocument/2006/relationships/hyperlink" Target="https://bugzilla.mozilla.org/show_bug.cgi?id=1806780" TargetMode="External"/><Relationship Id="rId292" Type="http://schemas.openxmlformats.org/officeDocument/2006/relationships/hyperlink" Target="https://bugzilla.mozilla.org/show_bug.cgi?id=1692083" TargetMode="External"/><Relationship Id="rId306" Type="http://schemas.openxmlformats.org/officeDocument/2006/relationships/hyperlink" Target="https://bugzilla.mozilla.org/show_bug.cgi?id=1745730" TargetMode="External"/><Relationship Id="rId24" Type="http://schemas.openxmlformats.org/officeDocument/2006/relationships/hyperlink" Target="https://bugzilla.mozilla.org/show_bug.cgi?id=1774125" TargetMode="External"/><Relationship Id="rId45" Type="http://schemas.openxmlformats.org/officeDocument/2006/relationships/hyperlink" Target="https://bugzilla.mozilla.org/show_bug.cgi?id=1658084" TargetMode="External"/><Relationship Id="rId66" Type="http://schemas.openxmlformats.org/officeDocument/2006/relationships/hyperlink" Target="https://bugzilla.mozilla.org/show_bug.cgi?id=1733325" TargetMode="External"/><Relationship Id="rId87" Type="http://schemas.openxmlformats.org/officeDocument/2006/relationships/hyperlink" Target="https://bugzilla.mozilla.org/show_bug.cgi?id=1752593" TargetMode="External"/><Relationship Id="rId110" Type="http://schemas.openxmlformats.org/officeDocument/2006/relationships/hyperlink" Target="https://bugzilla.mozilla.org/show_bug.cgi?id=1653135" TargetMode="External"/><Relationship Id="rId131" Type="http://schemas.openxmlformats.org/officeDocument/2006/relationships/hyperlink" Target="https://bugzilla.mozilla.org/show_bug.cgi?id=1681948" TargetMode="External"/><Relationship Id="rId327" Type="http://schemas.openxmlformats.org/officeDocument/2006/relationships/hyperlink" Target="https://bugzilla.mozilla.org/show_bug.cgi?id=1560323" TargetMode="External"/><Relationship Id="rId152" Type="http://schemas.openxmlformats.org/officeDocument/2006/relationships/hyperlink" Target="https://bugzilla.mozilla.org/show_bug.cgi?id=1547237" TargetMode="External"/><Relationship Id="rId173" Type="http://schemas.openxmlformats.org/officeDocument/2006/relationships/hyperlink" Target="https://bugzilla.mozilla.org/show_bug.cgi?id=1707595" TargetMode="External"/><Relationship Id="rId194" Type="http://schemas.openxmlformats.org/officeDocument/2006/relationships/hyperlink" Target="https://bugzilla.mozilla.org/show_bug.cgi?id=1637837" TargetMode="External"/><Relationship Id="rId208" Type="http://schemas.openxmlformats.org/officeDocument/2006/relationships/hyperlink" Target="https://bugzilla.mozilla.org/show_bug.cgi?id=1581934" TargetMode="External"/><Relationship Id="rId229" Type="http://schemas.openxmlformats.org/officeDocument/2006/relationships/hyperlink" Target="https://bugzilla.mozilla.org/show_bug.cgi?id=1749500" TargetMode="External"/><Relationship Id="rId240" Type="http://schemas.openxmlformats.org/officeDocument/2006/relationships/hyperlink" Target="https://bugzilla.mozilla.org/show_bug.cgi?id=1673530" TargetMode="External"/><Relationship Id="rId261" Type="http://schemas.openxmlformats.org/officeDocument/2006/relationships/hyperlink" Target="https://bugzilla.mozilla.org/show_bug.cgi?id=1661173" TargetMode="External"/><Relationship Id="rId14" Type="http://schemas.openxmlformats.org/officeDocument/2006/relationships/hyperlink" Target="https://bugzilla.mozilla.org/show_bug.cgi?id=1667179" TargetMode="External"/><Relationship Id="rId35" Type="http://schemas.openxmlformats.org/officeDocument/2006/relationships/hyperlink" Target="https://bugzilla.mozilla.org/show_bug.cgi?id=1638148" TargetMode="External"/><Relationship Id="rId56" Type="http://schemas.openxmlformats.org/officeDocument/2006/relationships/hyperlink" Target="https://bugzilla.mozilla.org/show_bug.cgi?id=1638675" TargetMode="External"/><Relationship Id="rId77" Type="http://schemas.openxmlformats.org/officeDocument/2006/relationships/hyperlink" Target="https://bugzilla.mozilla.org/show_bug.cgi?id=1710312" TargetMode="External"/><Relationship Id="rId100" Type="http://schemas.openxmlformats.org/officeDocument/2006/relationships/hyperlink" Target="https://bugzilla.mozilla.org/show_bug.cgi?id=1770872" TargetMode="External"/><Relationship Id="rId282" Type="http://schemas.openxmlformats.org/officeDocument/2006/relationships/hyperlink" Target="https://bugzilla.mozilla.org/show_bug.cgi?id=1593979" TargetMode="External"/><Relationship Id="rId317" Type="http://schemas.openxmlformats.org/officeDocument/2006/relationships/hyperlink" Target="https://bugzilla.mozilla.org/show_bug.cgi?id=1740116" TargetMode="External"/><Relationship Id="rId8" Type="http://schemas.openxmlformats.org/officeDocument/2006/relationships/hyperlink" Target="https://bugzilla.mozilla.org/show_bug.cgi?id=1787167" TargetMode="External"/><Relationship Id="rId98" Type="http://schemas.openxmlformats.org/officeDocument/2006/relationships/hyperlink" Target="https://bugzilla.mozilla.org/show_bug.cgi?id=1577987" TargetMode="External"/><Relationship Id="rId121" Type="http://schemas.openxmlformats.org/officeDocument/2006/relationships/hyperlink" Target="https://bugzilla.mozilla.org/show_bug.cgi?id=1569281" TargetMode="External"/><Relationship Id="rId142" Type="http://schemas.openxmlformats.org/officeDocument/2006/relationships/hyperlink" Target="https://bugzilla.mozilla.org/show_bug.cgi?id=1764435" TargetMode="External"/><Relationship Id="rId163" Type="http://schemas.openxmlformats.org/officeDocument/2006/relationships/hyperlink" Target="https://bugzilla.mozilla.org/show_bug.cgi?id=1719963" TargetMode="External"/><Relationship Id="rId184" Type="http://schemas.openxmlformats.org/officeDocument/2006/relationships/hyperlink" Target="https://bugzilla.mozilla.org/show_bug.cgi?id=1570816" TargetMode="External"/><Relationship Id="rId219" Type="http://schemas.openxmlformats.org/officeDocument/2006/relationships/hyperlink" Target="https://bugzilla.mozilla.org/show_bug.cgi?id=1755006" TargetMode="External"/><Relationship Id="rId230" Type="http://schemas.openxmlformats.org/officeDocument/2006/relationships/hyperlink" Target="https://bugzilla.mozilla.org/show_bug.cgi?id=1719189" TargetMode="External"/><Relationship Id="rId251" Type="http://schemas.openxmlformats.org/officeDocument/2006/relationships/hyperlink" Target="https://bugzilla.mozilla.org/show_bug.cgi?id=1561327" TargetMode="External"/><Relationship Id="rId25" Type="http://schemas.openxmlformats.org/officeDocument/2006/relationships/hyperlink" Target="https://bugzilla.mozilla.org/show_bug.cgi?id=1764725" TargetMode="External"/><Relationship Id="rId46" Type="http://schemas.openxmlformats.org/officeDocument/2006/relationships/hyperlink" Target="https://bugzilla.mozilla.org/show_bug.cgi?id=1675360" TargetMode="External"/><Relationship Id="rId67" Type="http://schemas.openxmlformats.org/officeDocument/2006/relationships/hyperlink" Target="https://bugzilla.mozilla.org/show_bug.cgi?id=1744944" TargetMode="External"/><Relationship Id="rId272" Type="http://schemas.openxmlformats.org/officeDocument/2006/relationships/hyperlink" Target="https://bugzilla.mozilla.org/show_bug.cgi?id=1565839" TargetMode="External"/><Relationship Id="rId293" Type="http://schemas.openxmlformats.org/officeDocument/2006/relationships/hyperlink" Target="https://bugzilla.mozilla.org/show_bug.cgi?id=1539414" TargetMode="External"/><Relationship Id="rId307" Type="http://schemas.openxmlformats.org/officeDocument/2006/relationships/hyperlink" Target="https://bugzilla.mozilla.org/show_bug.cgi?id=1570926" TargetMode="External"/><Relationship Id="rId328" Type="http://schemas.openxmlformats.org/officeDocument/2006/relationships/hyperlink" Target="https://bugzilla.mozilla.org/show_bug.cgi?id=1768961" TargetMode="External"/><Relationship Id="rId88" Type="http://schemas.openxmlformats.org/officeDocument/2006/relationships/hyperlink" Target="https://bugzilla.mozilla.org/show_bug.cgi?id=1697836" TargetMode="External"/><Relationship Id="rId111" Type="http://schemas.openxmlformats.org/officeDocument/2006/relationships/hyperlink" Target="https://bugzilla.mozilla.org/show_bug.cgi?id=1717808" TargetMode="External"/><Relationship Id="rId132" Type="http://schemas.openxmlformats.org/officeDocument/2006/relationships/hyperlink" Target="https://bugzilla.mozilla.org/show_bug.cgi?id=1555936" TargetMode="External"/><Relationship Id="rId153" Type="http://schemas.openxmlformats.org/officeDocument/2006/relationships/hyperlink" Target="https://bugzilla.mozilla.org/show_bug.cgi?id=1793766" TargetMode="External"/><Relationship Id="rId174" Type="http://schemas.openxmlformats.org/officeDocument/2006/relationships/hyperlink" Target="https://bugzilla.mozilla.org/show_bug.cgi?id=1703625" TargetMode="External"/><Relationship Id="rId195" Type="http://schemas.openxmlformats.org/officeDocument/2006/relationships/hyperlink" Target="https://bugzilla.mozilla.org/show_bug.cgi?id=1708729" TargetMode="External"/><Relationship Id="rId209" Type="http://schemas.openxmlformats.org/officeDocument/2006/relationships/hyperlink" Target="https://bugzilla.mozilla.org/show_bug.cgi?id=1637564" TargetMode="External"/><Relationship Id="rId220" Type="http://schemas.openxmlformats.org/officeDocument/2006/relationships/hyperlink" Target="https://bugzilla.mozilla.org/show_bug.cgi?id=1641510" TargetMode="External"/><Relationship Id="rId241" Type="http://schemas.openxmlformats.org/officeDocument/2006/relationships/hyperlink" Target="https://bugzilla.mozilla.org/show_bug.cgi?id=1595425" TargetMode="External"/><Relationship Id="rId15" Type="http://schemas.openxmlformats.org/officeDocument/2006/relationships/hyperlink" Target="https://bugzilla.mozilla.org/show_bug.cgi?id=1522950" TargetMode="External"/><Relationship Id="rId36" Type="http://schemas.openxmlformats.org/officeDocument/2006/relationships/hyperlink" Target="https://bugzilla.mozilla.org/show_bug.cgi?id=1679472" TargetMode="External"/><Relationship Id="rId57" Type="http://schemas.openxmlformats.org/officeDocument/2006/relationships/hyperlink" Target="https://bugzilla.mozilla.org/show_bug.cgi?id=1748577" TargetMode="External"/><Relationship Id="rId262" Type="http://schemas.openxmlformats.org/officeDocument/2006/relationships/hyperlink" Target="https://bugzilla.mozilla.org/show_bug.cgi?id=1609466" TargetMode="External"/><Relationship Id="rId283" Type="http://schemas.openxmlformats.org/officeDocument/2006/relationships/hyperlink" Target="https://bugzilla.mozilla.org/show_bug.cgi?id=1703592" TargetMode="External"/><Relationship Id="rId318" Type="http://schemas.openxmlformats.org/officeDocument/2006/relationships/hyperlink" Target="https://bugzilla.mozilla.org/show_bug.cgi?id=1793686" TargetMode="External"/><Relationship Id="rId78" Type="http://schemas.openxmlformats.org/officeDocument/2006/relationships/hyperlink" Target="https://bugzilla.mozilla.org/show_bug.cgi?id=1589672" TargetMode="External"/><Relationship Id="rId99" Type="http://schemas.openxmlformats.org/officeDocument/2006/relationships/hyperlink" Target="https://bugzilla.mozilla.org/show_bug.cgi?id=1715155" TargetMode="External"/><Relationship Id="rId101" Type="http://schemas.openxmlformats.org/officeDocument/2006/relationships/hyperlink" Target="https://bugzilla.mozilla.org/show_bug.cgi?id=1668097" TargetMode="External"/><Relationship Id="rId122" Type="http://schemas.openxmlformats.org/officeDocument/2006/relationships/hyperlink" Target="https://bugzilla.mozilla.org/show_bug.cgi?id=1603402" TargetMode="External"/><Relationship Id="rId143" Type="http://schemas.openxmlformats.org/officeDocument/2006/relationships/hyperlink" Target="https://bugzilla.mozilla.org/show_bug.cgi?id=1572421" TargetMode="External"/><Relationship Id="rId164" Type="http://schemas.openxmlformats.org/officeDocument/2006/relationships/hyperlink" Target="https://bugzilla.mozilla.org/show_bug.cgi?id=1640051" TargetMode="External"/><Relationship Id="rId185" Type="http://schemas.openxmlformats.org/officeDocument/2006/relationships/hyperlink" Target="https://bugzilla.mozilla.org/show_bug.cgi?id=1578750" TargetMode="External"/><Relationship Id="rId9" Type="http://schemas.openxmlformats.org/officeDocument/2006/relationships/hyperlink" Target="https://bugzilla.mozilla.org/show_bug.cgi?id=1617371" TargetMode="External"/><Relationship Id="rId210" Type="http://schemas.openxmlformats.org/officeDocument/2006/relationships/hyperlink" Target="https://bugzilla.mozilla.org/show_bug.cgi?id=1600445" TargetMode="External"/><Relationship Id="rId26" Type="http://schemas.openxmlformats.org/officeDocument/2006/relationships/hyperlink" Target="https://bugzilla.mozilla.org/show_bug.cgi?id=1659973" TargetMode="External"/><Relationship Id="rId231" Type="http://schemas.openxmlformats.org/officeDocument/2006/relationships/hyperlink" Target="https://bugzilla.mozilla.org/show_bug.cgi?id=1658550" TargetMode="External"/><Relationship Id="rId252" Type="http://schemas.openxmlformats.org/officeDocument/2006/relationships/hyperlink" Target="https://bugzilla.mozilla.org/show_bug.cgi?id=1747196" TargetMode="External"/><Relationship Id="rId273" Type="http://schemas.openxmlformats.org/officeDocument/2006/relationships/hyperlink" Target="https://bugzilla.mozilla.org/show_bug.cgi?id=1726537" TargetMode="External"/><Relationship Id="rId294" Type="http://schemas.openxmlformats.org/officeDocument/2006/relationships/hyperlink" Target="https://bugzilla.mozilla.org/show_bug.cgi?id=1631838" TargetMode="External"/><Relationship Id="rId308" Type="http://schemas.openxmlformats.org/officeDocument/2006/relationships/hyperlink" Target="https://bugzilla.mozilla.org/show_bug.cgi?id=1802298" TargetMode="External"/><Relationship Id="rId329" Type="http://schemas.openxmlformats.org/officeDocument/2006/relationships/hyperlink" Target="https://bugzilla.mozilla.org/show_bug.cgi?id=1623940" TargetMode="External"/><Relationship Id="rId47" Type="http://schemas.openxmlformats.org/officeDocument/2006/relationships/hyperlink" Target="https://bugzilla.mozilla.org/show_bug.cgi?id=1759325" TargetMode="External"/><Relationship Id="rId68" Type="http://schemas.openxmlformats.org/officeDocument/2006/relationships/hyperlink" Target="https://bugzilla.mozilla.org/show_bug.cgi?id=1724899" TargetMode="External"/><Relationship Id="rId89" Type="http://schemas.openxmlformats.org/officeDocument/2006/relationships/hyperlink" Target="https://bugzilla.mozilla.org/show_bug.cgi?id=1747269" TargetMode="External"/><Relationship Id="rId112" Type="http://schemas.openxmlformats.org/officeDocument/2006/relationships/hyperlink" Target="https://bugzilla.mozilla.org/show_bug.cgi?id=1762725" TargetMode="External"/><Relationship Id="rId133" Type="http://schemas.openxmlformats.org/officeDocument/2006/relationships/hyperlink" Target="https://bugzilla.mozilla.org/show_bug.cgi?id=1625396" TargetMode="External"/><Relationship Id="rId154" Type="http://schemas.openxmlformats.org/officeDocument/2006/relationships/hyperlink" Target="https://bugzilla.mozilla.org/show_bug.cgi?id=1759631" TargetMode="External"/><Relationship Id="rId175" Type="http://schemas.openxmlformats.org/officeDocument/2006/relationships/hyperlink" Target="https://bugzilla.mozilla.org/show_bug.cgi?id=1635783" TargetMode="External"/><Relationship Id="rId196" Type="http://schemas.openxmlformats.org/officeDocument/2006/relationships/hyperlink" Target="https://bugzilla.mozilla.org/show_bug.cgi?id=1585158" TargetMode="External"/><Relationship Id="rId200" Type="http://schemas.openxmlformats.org/officeDocument/2006/relationships/hyperlink" Target="https://bugzilla.mozilla.org/show_bug.cgi?id=1607895" TargetMode="External"/><Relationship Id="rId16" Type="http://schemas.openxmlformats.org/officeDocument/2006/relationships/hyperlink" Target="https://bugzilla.mozilla.org/show_bug.cgi?id=1657581" TargetMode="External"/><Relationship Id="rId221" Type="http://schemas.openxmlformats.org/officeDocument/2006/relationships/hyperlink" Target="https://bugzilla.mozilla.org/show_bug.cgi?id=1640906" TargetMode="External"/><Relationship Id="rId242" Type="http://schemas.openxmlformats.org/officeDocument/2006/relationships/hyperlink" Target="https://bugzilla.mozilla.org/show_bug.cgi?id=1698640" TargetMode="External"/><Relationship Id="rId263" Type="http://schemas.openxmlformats.org/officeDocument/2006/relationships/hyperlink" Target="https://bugzilla.mozilla.org/show_bug.cgi?id=1784462" TargetMode="External"/><Relationship Id="rId284" Type="http://schemas.openxmlformats.org/officeDocument/2006/relationships/hyperlink" Target="https://bugzilla.mozilla.org/show_bug.cgi?id=1618555" TargetMode="External"/><Relationship Id="rId319" Type="http://schemas.openxmlformats.org/officeDocument/2006/relationships/hyperlink" Target="https://bugzilla.mozilla.org/show_bug.cgi?id=1606935" TargetMode="External"/><Relationship Id="rId37" Type="http://schemas.openxmlformats.org/officeDocument/2006/relationships/hyperlink" Target="https://bugzilla.mozilla.org/show_bug.cgi?id=1786128" TargetMode="External"/><Relationship Id="rId58" Type="http://schemas.openxmlformats.org/officeDocument/2006/relationships/hyperlink" Target="https://bugzilla.mozilla.org/show_bug.cgi?id=1767128" TargetMode="External"/><Relationship Id="rId79" Type="http://schemas.openxmlformats.org/officeDocument/2006/relationships/hyperlink" Target="https://bugzilla.mozilla.org/show_bug.cgi?id=1650462" TargetMode="External"/><Relationship Id="rId102" Type="http://schemas.openxmlformats.org/officeDocument/2006/relationships/hyperlink" Target="https://bugzilla.mozilla.org/show_bug.cgi?id=1540123" TargetMode="External"/><Relationship Id="rId123" Type="http://schemas.openxmlformats.org/officeDocument/2006/relationships/hyperlink" Target="https://bugzilla.mozilla.org/show_bug.cgi?id=1788895" TargetMode="External"/><Relationship Id="rId144" Type="http://schemas.openxmlformats.org/officeDocument/2006/relationships/hyperlink" Target="https://bugzilla.mozilla.org/show_bug.cgi?id=1783610" TargetMode="External"/><Relationship Id="rId330" Type="http://schemas.openxmlformats.org/officeDocument/2006/relationships/hyperlink" Target="https://bugzilla.mozilla.org/show_bug.cgi?id=1712214" TargetMode="External"/><Relationship Id="rId90" Type="http://schemas.openxmlformats.org/officeDocument/2006/relationships/hyperlink" Target="https://bugzilla.mozilla.org/show_bug.cgi?id=1616620" TargetMode="External"/><Relationship Id="rId165" Type="http://schemas.openxmlformats.org/officeDocument/2006/relationships/hyperlink" Target="https://bugzilla.mozilla.org/show_bug.cgi?id=1777952" TargetMode="External"/><Relationship Id="rId186" Type="http://schemas.openxmlformats.org/officeDocument/2006/relationships/hyperlink" Target="https://bugzilla.mozilla.org/show_bug.cgi?id=1570786" TargetMode="External"/><Relationship Id="rId211" Type="http://schemas.openxmlformats.org/officeDocument/2006/relationships/hyperlink" Target="https://bugzilla.mozilla.org/show_bug.cgi?id=1541660" TargetMode="External"/><Relationship Id="rId232" Type="http://schemas.openxmlformats.org/officeDocument/2006/relationships/hyperlink" Target="https://bugzilla.mozilla.org/show_bug.cgi?id=1747941" TargetMode="External"/><Relationship Id="rId253" Type="http://schemas.openxmlformats.org/officeDocument/2006/relationships/hyperlink" Target="https://bugzilla.mozilla.org/show_bug.cgi?id=1762302" TargetMode="External"/><Relationship Id="rId274" Type="http://schemas.openxmlformats.org/officeDocument/2006/relationships/hyperlink" Target="https://bugzilla.mozilla.org/show_bug.cgi?id=1659717" TargetMode="External"/><Relationship Id="rId295" Type="http://schemas.openxmlformats.org/officeDocument/2006/relationships/hyperlink" Target="https://bugzilla.mozilla.org/show_bug.cgi?id=1625749" TargetMode="External"/><Relationship Id="rId309" Type="http://schemas.openxmlformats.org/officeDocument/2006/relationships/hyperlink" Target="https://bugzilla.mozilla.org/show_bug.cgi?id=1709887" TargetMode="External"/><Relationship Id="rId27" Type="http://schemas.openxmlformats.org/officeDocument/2006/relationships/hyperlink" Target="https://bugzilla.mozilla.org/show_bug.cgi?id=1781747" TargetMode="External"/><Relationship Id="rId48" Type="http://schemas.openxmlformats.org/officeDocument/2006/relationships/hyperlink" Target="https://bugzilla.mozilla.org/show_bug.cgi?id=1658673" TargetMode="External"/><Relationship Id="rId69" Type="http://schemas.openxmlformats.org/officeDocument/2006/relationships/hyperlink" Target="https://bugzilla.mozilla.org/show_bug.cgi?id=1691466" TargetMode="External"/><Relationship Id="rId113" Type="http://schemas.openxmlformats.org/officeDocument/2006/relationships/hyperlink" Target="https://bugzilla.mozilla.org/show_bug.cgi?id=1666095" TargetMode="External"/><Relationship Id="rId134" Type="http://schemas.openxmlformats.org/officeDocument/2006/relationships/hyperlink" Target="https://bugzilla.mozilla.org/show_bug.cgi?id=1560736" TargetMode="External"/><Relationship Id="rId320" Type="http://schemas.openxmlformats.org/officeDocument/2006/relationships/hyperlink" Target="https://bugzilla.mozilla.org/show_bug.cgi?id=1659729" TargetMode="External"/><Relationship Id="rId80" Type="http://schemas.openxmlformats.org/officeDocument/2006/relationships/hyperlink" Target="https://bugzilla.mozilla.org/show_bug.cgi?id=1719578" TargetMode="External"/><Relationship Id="rId155" Type="http://schemas.openxmlformats.org/officeDocument/2006/relationships/hyperlink" Target="https://bugzilla.mozilla.org/show_bug.cgi?id=1647735" TargetMode="External"/><Relationship Id="rId176" Type="http://schemas.openxmlformats.org/officeDocument/2006/relationships/hyperlink" Target="https://bugzilla.mozilla.org/show_bug.cgi?id=1637973" TargetMode="External"/><Relationship Id="rId197" Type="http://schemas.openxmlformats.org/officeDocument/2006/relationships/hyperlink" Target="https://bugzilla.mozilla.org/show_bug.cgi?id=1723198" TargetMode="External"/><Relationship Id="rId201" Type="http://schemas.openxmlformats.org/officeDocument/2006/relationships/hyperlink" Target="https://bugzilla.mozilla.org/show_bug.cgi?id=1685744" TargetMode="External"/><Relationship Id="rId222" Type="http://schemas.openxmlformats.org/officeDocument/2006/relationships/hyperlink" Target="https://bugzilla.mozilla.org/show_bug.cgi?id=1648577" TargetMode="External"/><Relationship Id="rId243" Type="http://schemas.openxmlformats.org/officeDocument/2006/relationships/hyperlink" Target="https://bugzilla.mozilla.org/show_bug.cgi?id=1545256" TargetMode="External"/><Relationship Id="rId264" Type="http://schemas.openxmlformats.org/officeDocument/2006/relationships/hyperlink" Target="https://bugzilla.mozilla.org/show_bug.cgi?id=1608584" TargetMode="External"/><Relationship Id="rId285" Type="http://schemas.openxmlformats.org/officeDocument/2006/relationships/hyperlink" Target="https://bugzilla.mozilla.org/show_bug.cgi?id=1568806" TargetMode="External"/><Relationship Id="rId17" Type="http://schemas.openxmlformats.org/officeDocument/2006/relationships/hyperlink" Target="https://bugzilla.mozilla.org/show_bug.cgi?id=1722890" TargetMode="External"/><Relationship Id="rId38" Type="http://schemas.openxmlformats.org/officeDocument/2006/relationships/hyperlink" Target="https://bugzilla.mozilla.org/show_bug.cgi?id=1747345" TargetMode="External"/><Relationship Id="rId59" Type="http://schemas.openxmlformats.org/officeDocument/2006/relationships/hyperlink" Target="https://bugzilla.mozilla.org/show_bug.cgi?id=1575797" TargetMode="External"/><Relationship Id="rId103" Type="http://schemas.openxmlformats.org/officeDocument/2006/relationships/hyperlink" Target="https://bugzilla.mozilla.org/show_bug.cgi?id=1789278" TargetMode="External"/><Relationship Id="rId124" Type="http://schemas.openxmlformats.org/officeDocument/2006/relationships/hyperlink" Target="https://bugzilla.mozilla.org/show_bug.cgi?id=1759281" TargetMode="External"/><Relationship Id="rId310" Type="http://schemas.openxmlformats.org/officeDocument/2006/relationships/hyperlink" Target="https://bugzilla.mozilla.org/show_bug.cgi?id=1738793" TargetMode="External"/><Relationship Id="rId70" Type="http://schemas.openxmlformats.org/officeDocument/2006/relationships/hyperlink" Target="https://bugzilla.mozilla.org/show_bug.cgi?id=1679705" TargetMode="External"/><Relationship Id="rId91" Type="http://schemas.openxmlformats.org/officeDocument/2006/relationships/hyperlink" Target="https://bugzilla.mozilla.org/show_bug.cgi?id=1747910" TargetMode="External"/><Relationship Id="rId145" Type="http://schemas.openxmlformats.org/officeDocument/2006/relationships/hyperlink" Target="https://bugzilla.mozilla.org/show_bug.cgi?id=1624384" TargetMode="External"/><Relationship Id="rId166" Type="http://schemas.openxmlformats.org/officeDocument/2006/relationships/hyperlink" Target="https://bugzilla.mozilla.org/show_bug.cgi?id=1749013" TargetMode="External"/><Relationship Id="rId187" Type="http://schemas.openxmlformats.org/officeDocument/2006/relationships/hyperlink" Target="https://bugzilla.mozilla.org/show_bug.cgi?id=1605347" TargetMode="External"/><Relationship Id="rId331" Type="http://schemas.openxmlformats.org/officeDocument/2006/relationships/hyperlink" Target="https://bugzilla.mozilla.org/show_bug.cgi?id=1763343" TargetMode="External"/><Relationship Id="rId1" Type="http://schemas.openxmlformats.org/officeDocument/2006/relationships/hyperlink" Target="https://bugzilla.mozilla.org/show_bug.cgi?id=1660100" TargetMode="External"/><Relationship Id="rId212" Type="http://schemas.openxmlformats.org/officeDocument/2006/relationships/hyperlink" Target="https://bugzilla.mozilla.org/show_bug.cgi?id=1733957" TargetMode="External"/><Relationship Id="rId233" Type="http://schemas.openxmlformats.org/officeDocument/2006/relationships/hyperlink" Target="https://bugzilla.mozilla.org/show_bug.cgi?id=1721838" TargetMode="External"/><Relationship Id="rId254" Type="http://schemas.openxmlformats.org/officeDocument/2006/relationships/hyperlink" Target="https://bugzilla.mozilla.org/show_bug.cgi?id=1733279" TargetMode="External"/><Relationship Id="rId28" Type="http://schemas.openxmlformats.org/officeDocument/2006/relationships/hyperlink" Target="https://bugzilla.mozilla.org/show_bug.cgi?id=1464268" TargetMode="External"/><Relationship Id="rId49" Type="http://schemas.openxmlformats.org/officeDocument/2006/relationships/hyperlink" Target="https://bugzilla.mozilla.org/show_bug.cgi?id=1731529" TargetMode="External"/><Relationship Id="rId114" Type="http://schemas.openxmlformats.org/officeDocument/2006/relationships/hyperlink" Target="https://bugzilla.mozilla.org/show_bug.cgi?id=1729338" TargetMode="External"/><Relationship Id="rId275" Type="http://schemas.openxmlformats.org/officeDocument/2006/relationships/hyperlink" Target="https://bugzilla.mozilla.org/show_bug.cgi?id=1768475" TargetMode="External"/><Relationship Id="rId296" Type="http://schemas.openxmlformats.org/officeDocument/2006/relationships/hyperlink" Target="https://bugzilla.mozilla.org/show_bug.cgi?id=1776184" TargetMode="External"/><Relationship Id="rId300" Type="http://schemas.openxmlformats.org/officeDocument/2006/relationships/hyperlink" Target="https://bugzilla.mozilla.org/show_bug.cgi?id=1665447" TargetMode="External"/><Relationship Id="rId60" Type="http://schemas.openxmlformats.org/officeDocument/2006/relationships/hyperlink" Target="https://bugzilla.mozilla.org/show_bug.cgi?id=1745200" TargetMode="External"/><Relationship Id="rId81" Type="http://schemas.openxmlformats.org/officeDocument/2006/relationships/hyperlink" Target="https://bugzilla.mozilla.org/show_bug.cgi?id=1725896" TargetMode="External"/><Relationship Id="rId135" Type="http://schemas.openxmlformats.org/officeDocument/2006/relationships/hyperlink" Target="https://bugzilla.mozilla.org/show_bug.cgi?id=1617512" TargetMode="External"/><Relationship Id="rId156" Type="http://schemas.openxmlformats.org/officeDocument/2006/relationships/hyperlink" Target="https://bugzilla.mozilla.org/show_bug.cgi?id=1676417" TargetMode="External"/><Relationship Id="rId177" Type="http://schemas.openxmlformats.org/officeDocument/2006/relationships/hyperlink" Target="https://bugzilla.mozilla.org/show_bug.cgi?id=1673680" TargetMode="External"/><Relationship Id="rId198" Type="http://schemas.openxmlformats.org/officeDocument/2006/relationships/hyperlink" Target="https://bugzilla.mozilla.org/show_bug.cgi?id=1701785" TargetMode="External"/><Relationship Id="rId321" Type="http://schemas.openxmlformats.org/officeDocument/2006/relationships/hyperlink" Target="https://bugzilla.mozilla.org/show_bug.cgi?id=1744027" TargetMode="External"/><Relationship Id="rId202" Type="http://schemas.openxmlformats.org/officeDocument/2006/relationships/hyperlink" Target="https://bugzilla.mozilla.org/show_bug.cgi?id=1664065" TargetMode="External"/><Relationship Id="rId223" Type="http://schemas.openxmlformats.org/officeDocument/2006/relationships/hyperlink" Target="https://bugzilla.mozilla.org/show_bug.cgi?id=1652232" TargetMode="External"/><Relationship Id="rId244" Type="http://schemas.openxmlformats.org/officeDocument/2006/relationships/hyperlink" Target="https://bugzilla.mozilla.org/show_bug.cgi?id=1589089" TargetMode="External"/><Relationship Id="rId18" Type="http://schemas.openxmlformats.org/officeDocument/2006/relationships/hyperlink" Target="https://bugzilla.mozilla.org/show_bug.cgi?id=1598841" TargetMode="External"/><Relationship Id="rId39" Type="http://schemas.openxmlformats.org/officeDocument/2006/relationships/hyperlink" Target="https://bugzilla.mozilla.org/show_bug.cgi?id=1625218" TargetMode="External"/><Relationship Id="rId265" Type="http://schemas.openxmlformats.org/officeDocument/2006/relationships/hyperlink" Target="https://bugzilla.mozilla.org/show_bug.cgi?id=1722422" TargetMode="External"/><Relationship Id="rId286" Type="http://schemas.openxmlformats.org/officeDocument/2006/relationships/hyperlink" Target="https://bugzilla.mozilla.org/show_bug.cgi?id=1754126" TargetMode="External"/><Relationship Id="rId50" Type="http://schemas.openxmlformats.org/officeDocument/2006/relationships/hyperlink" Target="https://bugzilla.mozilla.org/show_bug.cgi?id=1581802" TargetMode="External"/><Relationship Id="rId104" Type="http://schemas.openxmlformats.org/officeDocument/2006/relationships/hyperlink" Target="https://bugzilla.mozilla.org/show_bug.cgi?id=1678352" TargetMode="External"/><Relationship Id="rId125" Type="http://schemas.openxmlformats.org/officeDocument/2006/relationships/hyperlink" Target="https://bugzilla.mozilla.org/show_bug.cgi?id=1708217" TargetMode="External"/><Relationship Id="rId146" Type="http://schemas.openxmlformats.org/officeDocument/2006/relationships/hyperlink" Target="https://bugzilla.mozilla.org/show_bug.cgi?id=1782562" TargetMode="External"/><Relationship Id="rId167" Type="http://schemas.openxmlformats.org/officeDocument/2006/relationships/hyperlink" Target="https://bugzilla.mozilla.org/show_bug.cgi?id=1673164" TargetMode="External"/><Relationship Id="rId188" Type="http://schemas.openxmlformats.org/officeDocument/2006/relationships/hyperlink" Target="https://bugzilla.mozilla.org/show_bug.cgi?id=1661454" TargetMode="External"/><Relationship Id="rId311" Type="http://schemas.openxmlformats.org/officeDocument/2006/relationships/hyperlink" Target="https://bugzilla.mozilla.org/show_bug.cgi?id=1752954" TargetMode="External"/><Relationship Id="rId332" Type="http://schemas.openxmlformats.org/officeDocument/2006/relationships/hyperlink" Target="https://bugzilla.mozilla.org/show_bug.cgi?id=1606617" TargetMode="External"/><Relationship Id="rId71" Type="http://schemas.openxmlformats.org/officeDocument/2006/relationships/hyperlink" Target="https://bugzilla.mozilla.org/show_bug.cgi?id=1607658" TargetMode="External"/><Relationship Id="rId92" Type="http://schemas.openxmlformats.org/officeDocument/2006/relationships/hyperlink" Target="https://bugzilla.mozilla.org/show_bug.cgi?id=1782313" TargetMode="External"/><Relationship Id="rId213" Type="http://schemas.openxmlformats.org/officeDocument/2006/relationships/hyperlink" Target="https://bugzilla.mozilla.org/show_bug.cgi?id=1564241" TargetMode="External"/><Relationship Id="rId234" Type="http://schemas.openxmlformats.org/officeDocument/2006/relationships/hyperlink" Target="https://bugzilla.mozilla.org/show_bug.cgi?id=1639886" TargetMode="External"/><Relationship Id="rId2" Type="http://schemas.openxmlformats.org/officeDocument/2006/relationships/hyperlink" Target="https://bugzilla.mozilla.org/show_bug.cgi?id=1664588" TargetMode="External"/><Relationship Id="rId29" Type="http://schemas.openxmlformats.org/officeDocument/2006/relationships/hyperlink" Target="https://bugzilla.mozilla.org/show_bug.cgi?id=1646707" TargetMode="External"/><Relationship Id="rId255" Type="http://schemas.openxmlformats.org/officeDocument/2006/relationships/hyperlink" Target="https://bugzilla.mozilla.org/show_bug.cgi?id=1656027" TargetMode="External"/><Relationship Id="rId276" Type="http://schemas.openxmlformats.org/officeDocument/2006/relationships/hyperlink" Target="https://bugzilla.mozilla.org/show_bug.cgi?id=1613482" TargetMode="External"/><Relationship Id="rId297" Type="http://schemas.openxmlformats.org/officeDocument/2006/relationships/hyperlink" Target="https://bugzilla.mozilla.org/show_bug.cgi?id=1722960" TargetMode="External"/><Relationship Id="rId40" Type="http://schemas.openxmlformats.org/officeDocument/2006/relationships/hyperlink" Target="https://bugzilla.mozilla.org/show_bug.cgi?id=1618122" TargetMode="External"/><Relationship Id="rId115" Type="http://schemas.openxmlformats.org/officeDocument/2006/relationships/hyperlink" Target="https://bugzilla.mozilla.org/show_bug.cgi?id=1663862" TargetMode="External"/><Relationship Id="rId136" Type="http://schemas.openxmlformats.org/officeDocument/2006/relationships/hyperlink" Target="https://bugzilla.mozilla.org/show_bug.cgi?id=1580317" TargetMode="External"/><Relationship Id="rId157" Type="http://schemas.openxmlformats.org/officeDocument/2006/relationships/hyperlink" Target="https://bugzilla.mozilla.org/show_bug.cgi?id=1755242" TargetMode="External"/><Relationship Id="rId178" Type="http://schemas.openxmlformats.org/officeDocument/2006/relationships/hyperlink" Target="https://bugzilla.mozilla.org/show_bug.cgi?id=1651928" TargetMode="External"/><Relationship Id="rId301" Type="http://schemas.openxmlformats.org/officeDocument/2006/relationships/hyperlink" Target="https://bugzilla.mozilla.org/show_bug.cgi?id=1579437" TargetMode="External"/><Relationship Id="rId322" Type="http://schemas.openxmlformats.org/officeDocument/2006/relationships/hyperlink" Target="https://bugzilla.mozilla.org/show_bug.cgi?id=1630095" TargetMode="External"/><Relationship Id="rId61" Type="http://schemas.openxmlformats.org/officeDocument/2006/relationships/hyperlink" Target="https://bugzilla.mozilla.org/show_bug.cgi?id=1793323" TargetMode="External"/><Relationship Id="rId82" Type="http://schemas.openxmlformats.org/officeDocument/2006/relationships/hyperlink" Target="https://bugzilla.mozilla.org/show_bug.cgi?id=1665577" TargetMode="External"/><Relationship Id="rId199" Type="http://schemas.openxmlformats.org/officeDocument/2006/relationships/hyperlink" Target="https://bugzilla.mozilla.org/show_bug.cgi?id=1674756" TargetMode="External"/><Relationship Id="rId203" Type="http://schemas.openxmlformats.org/officeDocument/2006/relationships/hyperlink" Target="https://bugzilla.mozilla.org/show_bug.cgi?id=1635481" TargetMode="External"/><Relationship Id="rId19" Type="http://schemas.openxmlformats.org/officeDocument/2006/relationships/hyperlink" Target="https://bugzilla.mozilla.org/show_bug.cgi?id=1722958" TargetMode="External"/><Relationship Id="rId224" Type="http://schemas.openxmlformats.org/officeDocument/2006/relationships/hyperlink" Target="https://bugzilla.mozilla.org/show_bug.cgi?id=1688999" TargetMode="External"/><Relationship Id="rId245" Type="http://schemas.openxmlformats.org/officeDocument/2006/relationships/hyperlink" Target="https://bugzilla.mozilla.org/show_bug.cgi?id=1591577" TargetMode="External"/><Relationship Id="rId266" Type="http://schemas.openxmlformats.org/officeDocument/2006/relationships/hyperlink" Target="https://bugzilla.mozilla.org/show_bug.cgi?id=1799540" TargetMode="External"/><Relationship Id="rId287" Type="http://schemas.openxmlformats.org/officeDocument/2006/relationships/hyperlink" Target="https://bugzilla.mozilla.org/show_bug.cgi?id=1552964" TargetMode="External"/><Relationship Id="rId30" Type="http://schemas.openxmlformats.org/officeDocument/2006/relationships/hyperlink" Target="https://bugzilla.mozilla.org/show_bug.cgi?id=1646788" TargetMode="External"/><Relationship Id="rId105" Type="http://schemas.openxmlformats.org/officeDocument/2006/relationships/hyperlink" Target="https://bugzilla.mozilla.org/show_bug.cgi?id=1598628" TargetMode="External"/><Relationship Id="rId126" Type="http://schemas.openxmlformats.org/officeDocument/2006/relationships/hyperlink" Target="https://bugzilla.mozilla.org/show_bug.cgi?id=1684497" TargetMode="External"/><Relationship Id="rId147" Type="http://schemas.openxmlformats.org/officeDocument/2006/relationships/hyperlink" Target="https://bugzilla.mozilla.org/show_bug.cgi?id=1641153" TargetMode="External"/><Relationship Id="rId168" Type="http://schemas.openxmlformats.org/officeDocument/2006/relationships/hyperlink" Target="https://bugzilla.mozilla.org/show_bug.cgi?id=1685773" TargetMode="External"/><Relationship Id="rId312" Type="http://schemas.openxmlformats.org/officeDocument/2006/relationships/hyperlink" Target="https://bugzilla.mozilla.org/show_bug.cgi?id=1664632" TargetMode="External"/><Relationship Id="rId333" Type="http://schemas.openxmlformats.org/officeDocument/2006/relationships/hyperlink" Target="https://bugzilla.mozilla.org/show_bug.cgi?id=1659369" TargetMode="External"/><Relationship Id="rId51" Type="http://schemas.openxmlformats.org/officeDocument/2006/relationships/hyperlink" Target="https://bugzilla.mozilla.org/show_bug.cgi?id=1689934" TargetMode="External"/><Relationship Id="rId72" Type="http://schemas.openxmlformats.org/officeDocument/2006/relationships/hyperlink" Target="https://bugzilla.mozilla.org/show_bug.cgi?id=1654984" TargetMode="External"/><Relationship Id="rId93" Type="http://schemas.openxmlformats.org/officeDocument/2006/relationships/hyperlink" Target="https://bugzilla.mozilla.org/show_bug.cgi?id=1696691" TargetMode="External"/><Relationship Id="rId189" Type="http://schemas.openxmlformats.org/officeDocument/2006/relationships/hyperlink" Target="https://bugzilla.mozilla.org/show_bug.cgi?id=1560720" TargetMode="External"/><Relationship Id="rId3" Type="http://schemas.openxmlformats.org/officeDocument/2006/relationships/hyperlink" Target="https://bugzilla.mozilla.org/show_bug.cgi?id=1535459" TargetMode="External"/><Relationship Id="rId214" Type="http://schemas.openxmlformats.org/officeDocument/2006/relationships/hyperlink" Target="https://bugzilla.mozilla.org/show_bug.cgi?id=1682919" TargetMode="External"/><Relationship Id="rId235" Type="http://schemas.openxmlformats.org/officeDocument/2006/relationships/hyperlink" Target="https://bugzilla.mozilla.org/show_bug.cgi?id=1611133" TargetMode="External"/><Relationship Id="rId256" Type="http://schemas.openxmlformats.org/officeDocument/2006/relationships/hyperlink" Target="https://bugzilla.mozilla.org/show_bug.cgi?id=1655973" TargetMode="External"/><Relationship Id="rId277" Type="http://schemas.openxmlformats.org/officeDocument/2006/relationships/hyperlink" Target="https://bugzilla.mozilla.org/show_bug.cgi?id=1704660" TargetMode="External"/><Relationship Id="rId298" Type="http://schemas.openxmlformats.org/officeDocument/2006/relationships/hyperlink" Target="https://bugzilla.mozilla.org/show_bug.cgi?id=1642506" TargetMode="External"/><Relationship Id="rId116" Type="http://schemas.openxmlformats.org/officeDocument/2006/relationships/hyperlink" Target="https://bugzilla.mozilla.org/show_bug.cgi?id=1642480" TargetMode="External"/><Relationship Id="rId137" Type="http://schemas.openxmlformats.org/officeDocument/2006/relationships/hyperlink" Target="https://bugzilla.mozilla.org/show_bug.cgi?id=1737865" TargetMode="External"/><Relationship Id="rId158" Type="http://schemas.openxmlformats.org/officeDocument/2006/relationships/hyperlink" Target="https://bugzilla.mozilla.org/show_bug.cgi?id=1783959" TargetMode="External"/><Relationship Id="rId302" Type="http://schemas.openxmlformats.org/officeDocument/2006/relationships/hyperlink" Target="https://bugzilla.mozilla.org/show_bug.cgi?id=1633430" TargetMode="External"/><Relationship Id="rId323" Type="http://schemas.openxmlformats.org/officeDocument/2006/relationships/hyperlink" Target="https://bugzilla.mozilla.org/show_bug.cgi?id=1538246" TargetMode="External"/><Relationship Id="rId20" Type="http://schemas.openxmlformats.org/officeDocument/2006/relationships/hyperlink" Target="https://bugzilla.mozilla.org/show_bug.cgi?id=1755569" TargetMode="External"/><Relationship Id="rId41" Type="http://schemas.openxmlformats.org/officeDocument/2006/relationships/hyperlink" Target="https://bugzilla.mozilla.org/show_bug.cgi?id=1725458" TargetMode="External"/><Relationship Id="rId62" Type="http://schemas.openxmlformats.org/officeDocument/2006/relationships/hyperlink" Target="https://bugzilla.mozilla.org/show_bug.cgi?id=1623285" TargetMode="External"/><Relationship Id="rId83" Type="http://schemas.openxmlformats.org/officeDocument/2006/relationships/hyperlink" Target="https://bugzilla.mozilla.org/show_bug.cgi?id=1582857" TargetMode="External"/><Relationship Id="rId179" Type="http://schemas.openxmlformats.org/officeDocument/2006/relationships/hyperlink" Target="https://bugzilla.mozilla.org/show_bug.cgi?id=1570684" TargetMode="External"/><Relationship Id="rId190" Type="http://schemas.openxmlformats.org/officeDocument/2006/relationships/hyperlink" Target="https://bugzilla.mozilla.org/show_bug.cgi?id=1556360" TargetMode="External"/><Relationship Id="rId204" Type="http://schemas.openxmlformats.org/officeDocument/2006/relationships/hyperlink" Target="https://bugzilla.mozilla.org/show_bug.cgi?id=1582963" TargetMode="External"/><Relationship Id="rId225" Type="http://schemas.openxmlformats.org/officeDocument/2006/relationships/hyperlink" Target="https://bugzilla.mozilla.org/show_bug.cgi?id=1565370" TargetMode="External"/><Relationship Id="rId246" Type="http://schemas.openxmlformats.org/officeDocument/2006/relationships/hyperlink" Target="https://bugzilla.mozilla.org/show_bug.cgi?id=1798519" TargetMode="External"/><Relationship Id="rId267" Type="http://schemas.openxmlformats.org/officeDocument/2006/relationships/hyperlink" Target="https://bugzilla.mozilla.org/show_bug.cgi?id=1771650" TargetMode="External"/><Relationship Id="rId288" Type="http://schemas.openxmlformats.org/officeDocument/2006/relationships/hyperlink" Target="https://bugzilla.mozilla.org/show_bug.cgi?id=1546022" TargetMode="External"/><Relationship Id="rId106" Type="http://schemas.openxmlformats.org/officeDocument/2006/relationships/hyperlink" Target="https://bugzilla.mozilla.org/show_bug.cgi?id=1572923" TargetMode="External"/><Relationship Id="rId127" Type="http://schemas.openxmlformats.org/officeDocument/2006/relationships/hyperlink" Target="https://bugzilla.mozilla.org/show_bug.cgi?id=1726532" TargetMode="External"/><Relationship Id="rId313" Type="http://schemas.openxmlformats.org/officeDocument/2006/relationships/hyperlink" Target="https://bugzilla.mozilla.org/show_bug.cgi?id=1638806" TargetMode="External"/><Relationship Id="rId10" Type="http://schemas.openxmlformats.org/officeDocument/2006/relationships/hyperlink" Target="https://bugzilla.mozilla.org/show_bug.cgi?id=1798863" TargetMode="External"/><Relationship Id="rId31" Type="http://schemas.openxmlformats.org/officeDocument/2006/relationships/hyperlink" Target="https://bugzilla.mozilla.org/show_bug.cgi?id=1692975" TargetMode="External"/><Relationship Id="rId52" Type="http://schemas.openxmlformats.org/officeDocument/2006/relationships/hyperlink" Target="https://bugzilla.mozilla.org/show_bug.cgi?id=1759432" TargetMode="External"/><Relationship Id="rId73" Type="http://schemas.openxmlformats.org/officeDocument/2006/relationships/hyperlink" Target="https://bugzilla.mozilla.org/show_bug.cgi?id=1563241" TargetMode="External"/><Relationship Id="rId94" Type="http://schemas.openxmlformats.org/officeDocument/2006/relationships/hyperlink" Target="https://bugzilla.mozilla.org/show_bug.cgi?id=1740481" TargetMode="External"/><Relationship Id="rId148" Type="http://schemas.openxmlformats.org/officeDocument/2006/relationships/hyperlink" Target="https://bugzilla.mozilla.org/show_bug.cgi?id=1641598" TargetMode="External"/><Relationship Id="rId169" Type="http://schemas.openxmlformats.org/officeDocument/2006/relationships/hyperlink" Target="https://bugzilla.mozilla.org/show_bug.cgi?id=1764690" TargetMode="External"/><Relationship Id="rId334" Type="http://schemas.openxmlformats.org/officeDocument/2006/relationships/hyperlink" Target="https://bugzilla.mozilla.org/show_bug.cgi?id=1628399" TargetMode="External"/><Relationship Id="rId4" Type="http://schemas.openxmlformats.org/officeDocument/2006/relationships/hyperlink" Target="https://bugzilla.mozilla.org/show_bug.cgi?id=1662287" TargetMode="External"/><Relationship Id="rId180" Type="http://schemas.openxmlformats.org/officeDocument/2006/relationships/hyperlink" Target="https://bugzilla.mozilla.org/show_bug.cgi?id=1668265" TargetMode="External"/><Relationship Id="rId215" Type="http://schemas.openxmlformats.org/officeDocument/2006/relationships/hyperlink" Target="https://bugzilla.mozilla.org/show_bug.cgi?id=1668706" TargetMode="External"/><Relationship Id="rId236" Type="http://schemas.openxmlformats.org/officeDocument/2006/relationships/hyperlink" Target="https://bugzilla.mozilla.org/show_bug.cgi?id=1567161" TargetMode="External"/><Relationship Id="rId257" Type="http://schemas.openxmlformats.org/officeDocument/2006/relationships/hyperlink" Target="https://bugzilla.mozilla.org/show_bug.cgi?id=1569131" TargetMode="External"/><Relationship Id="rId278" Type="http://schemas.openxmlformats.org/officeDocument/2006/relationships/hyperlink" Target="https://bugzilla.mozilla.org/show_bug.cgi?id=1799704" TargetMode="External"/><Relationship Id="rId303" Type="http://schemas.openxmlformats.org/officeDocument/2006/relationships/hyperlink" Target="https://bugzilla.mozilla.org/show_bug.cgi?id=1719567" TargetMode="External"/><Relationship Id="rId42" Type="http://schemas.openxmlformats.org/officeDocument/2006/relationships/hyperlink" Target="https://bugzilla.mozilla.org/show_bug.cgi?id=1672505" TargetMode="External"/><Relationship Id="rId84" Type="http://schemas.openxmlformats.org/officeDocument/2006/relationships/hyperlink" Target="https://bugzilla.mozilla.org/show_bug.cgi?id=1642303" TargetMode="External"/><Relationship Id="rId138" Type="http://schemas.openxmlformats.org/officeDocument/2006/relationships/hyperlink" Target="https://bugzilla.mozilla.org/show_bug.cgi?id=1562947" TargetMode="External"/><Relationship Id="rId191" Type="http://schemas.openxmlformats.org/officeDocument/2006/relationships/hyperlink" Target="https://bugzilla.mozilla.org/show_bug.cgi?id=1691901" TargetMode="External"/><Relationship Id="rId205" Type="http://schemas.openxmlformats.org/officeDocument/2006/relationships/hyperlink" Target="https://bugzilla.mozilla.org/show_bug.cgi?id=1587794" TargetMode="External"/><Relationship Id="rId247" Type="http://schemas.openxmlformats.org/officeDocument/2006/relationships/hyperlink" Target="https://bugzilla.mozilla.org/show_bug.cgi?id=1712084" TargetMode="External"/><Relationship Id="rId107" Type="http://schemas.openxmlformats.org/officeDocument/2006/relationships/hyperlink" Target="https://bugzilla.mozilla.org/show_bug.cgi?id=1751882" TargetMode="External"/><Relationship Id="rId289" Type="http://schemas.openxmlformats.org/officeDocument/2006/relationships/hyperlink" Target="https://bugzilla.mozilla.org/show_bug.cgi?id=1638297" TargetMode="External"/><Relationship Id="rId11" Type="http://schemas.openxmlformats.org/officeDocument/2006/relationships/hyperlink" Target="https://bugzilla.mozilla.org/show_bug.cgi?id=1730738" TargetMode="External"/><Relationship Id="rId53" Type="http://schemas.openxmlformats.org/officeDocument/2006/relationships/hyperlink" Target="https://bugzilla.mozilla.org/show_bug.cgi?id=1714276" TargetMode="External"/><Relationship Id="rId149" Type="http://schemas.openxmlformats.org/officeDocument/2006/relationships/hyperlink" Target="https://bugzilla.mozilla.org/show_bug.cgi?id=1733625" TargetMode="External"/><Relationship Id="rId314" Type="http://schemas.openxmlformats.org/officeDocument/2006/relationships/hyperlink" Target="https://bugzilla.mozilla.org/show_bug.cgi?id=1743162" TargetMode="External"/><Relationship Id="rId95" Type="http://schemas.openxmlformats.org/officeDocument/2006/relationships/hyperlink" Target="https://bugzilla.mozilla.org/show_bug.cgi?id=1596696" TargetMode="External"/><Relationship Id="rId160" Type="http://schemas.openxmlformats.org/officeDocument/2006/relationships/hyperlink" Target="https://bugzilla.mozilla.org/show_bug.cgi?id=1603512" TargetMode="External"/><Relationship Id="rId216" Type="http://schemas.openxmlformats.org/officeDocument/2006/relationships/hyperlink" Target="https://bugzilla.mozilla.org/show_bug.cgi?id=1586603" TargetMode="External"/><Relationship Id="rId258" Type="http://schemas.openxmlformats.org/officeDocument/2006/relationships/hyperlink" Target="https://bugzilla.mozilla.org/show_bug.cgi?id=1570594" TargetMode="External"/><Relationship Id="rId22" Type="http://schemas.openxmlformats.org/officeDocument/2006/relationships/hyperlink" Target="https://bugzilla.mozilla.org/show_bug.cgi?id=1692677" TargetMode="External"/><Relationship Id="rId64" Type="http://schemas.openxmlformats.org/officeDocument/2006/relationships/hyperlink" Target="https://bugzilla.mozilla.org/show_bug.cgi?id=1731792" TargetMode="External"/><Relationship Id="rId118" Type="http://schemas.openxmlformats.org/officeDocument/2006/relationships/hyperlink" Target="https://bugzilla.mozilla.org/show_bug.cgi?id=1584746" TargetMode="External"/><Relationship Id="rId325" Type="http://schemas.openxmlformats.org/officeDocument/2006/relationships/hyperlink" Target="https://bugzilla.mozilla.org/show_bug.cgi?id=1686938" TargetMode="External"/><Relationship Id="rId171" Type="http://schemas.openxmlformats.org/officeDocument/2006/relationships/hyperlink" Target="https://bugzilla.mozilla.org/show_bug.cgi?id=1717833" TargetMode="External"/><Relationship Id="rId227" Type="http://schemas.openxmlformats.org/officeDocument/2006/relationships/hyperlink" Target="https://bugzilla.mozilla.org/show_bug.cgi?id=1655544" TargetMode="External"/><Relationship Id="rId269" Type="http://schemas.openxmlformats.org/officeDocument/2006/relationships/hyperlink" Target="https://bugzilla.mozilla.org/show_bug.cgi?id=1695725" TargetMode="External"/><Relationship Id="rId33" Type="http://schemas.openxmlformats.org/officeDocument/2006/relationships/hyperlink" Target="https://bugzilla.mozilla.org/show_bug.cgi?id=1644798" TargetMode="External"/><Relationship Id="rId129" Type="http://schemas.openxmlformats.org/officeDocument/2006/relationships/hyperlink" Target="https://bugzilla.mozilla.org/show_bug.cgi?id=1618206" TargetMode="External"/><Relationship Id="rId280" Type="http://schemas.openxmlformats.org/officeDocument/2006/relationships/hyperlink" Target="https://bugzilla.mozilla.org/show_bug.cgi?id=1667942" TargetMode="External"/><Relationship Id="rId75" Type="http://schemas.openxmlformats.org/officeDocument/2006/relationships/hyperlink" Target="https://bugzilla.mozilla.org/show_bug.cgi?id=1676503" TargetMode="External"/><Relationship Id="rId140" Type="http://schemas.openxmlformats.org/officeDocument/2006/relationships/hyperlink" Target="https://bugzilla.mozilla.org/show_bug.cgi?id=1746814" TargetMode="External"/><Relationship Id="rId182" Type="http://schemas.openxmlformats.org/officeDocument/2006/relationships/hyperlink" Target="https://bugzilla.mozilla.org/show_bug.cgi?id=1645377" TargetMode="External"/><Relationship Id="rId6" Type="http://schemas.openxmlformats.org/officeDocument/2006/relationships/hyperlink" Target="https://bugzilla.mozilla.org/show_bug.cgi?id=1716588" TargetMode="External"/><Relationship Id="rId238" Type="http://schemas.openxmlformats.org/officeDocument/2006/relationships/hyperlink" Target="https://bugzilla.mozilla.org/show_bug.cgi?id=1593995" TargetMode="External"/><Relationship Id="rId291" Type="http://schemas.openxmlformats.org/officeDocument/2006/relationships/hyperlink" Target="https://bugzilla.mozilla.org/show_bug.cgi?id=1552193" TargetMode="External"/><Relationship Id="rId305" Type="http://schemas.openxmlformats.org/officeDocument/2006/relationships/hyperlink" Target="https://bugzilla.mozilla.org/show_bug.cgi?id=1556812" TargetMode="External"/><Relationship Id="rId44" Type="http://schemas.openxmlformats.org/officeDocument/2006/relationships/hyperlink" Target="https://bugzilla.mozilla.org/show_bug.cgi?id=1659615" TargetMode="External"/><Relationship Id="rId86" Type="http://schemas.openxmlformats.org/officeDocument/2006/relationships/hyperlink" Target="https://bugzilla.mozilla.org/show_bug.cgi?id=1622751" TargetMode="External"/><Relationship Id="rId151" Type="http://schemas.openxmlformats.org/officeDocument/2006/relationships/hyperlink" Target="https://bugzilla.mozilla.org/show_bug.cgi?id=1728063" TargetMode="External"/><Relationship Id="rId193" Type="http://schemas.openxmlformats.org/officeDocument/2006/relationships/hyperlink" Target="https://bugzilla.mozilla.org/show_bug.cgi?id=1669096" TargetMode="External"/><Relationship Id="rId207" Type="http://schemas.openxmlformats.org/officeDocument/2006/relationships/hyperlink" Target="https://bugzilla.mozilla.org/show_bug.cgi?id=1800323" TargetMode="External"/><Relationship Id="rId249" Type="http://schemas.openxmlformats.org/officeDocument/2006/relationships/hyperlink" Target="https://bugzilla.mozilla.org/show_bug.cgi?id=1575253" TargetMode="External"/><Relationship Id="rId13" Type="http://schemas.openxmlformats.org/officeDocument/2006/relationships/hyperlink" Target="https://bugzilla.mozilla.org/show_bug.cgi?id=1649458" TargetMode="External"/><Relationship Id="rId109" Type="http://schemas.openxmlformats.org/officeDocument/2006/relationships/hyperlink" Target="https://bugzilla.mozilla.org/show_bug.cgi?id=1692351" TargetMode="External"/><Relationship Id="rId260" Type="http://schemas.openxmlformats.org/officeDocument/2006/relationships/hyperlink" Target="https://bugzilla.mozilla.org/show_bug.cgi?id=1661920" TargetMode="External"/><Relationship Id="rId316" Type="http://schemas.openxmlformats.org/officeDocument/2006/relationships/hyperlink" Target="https://bugzilla.mozilla.org/show_bug.cgi?id=1529220" TargetMode="External"/><Relationship Id="rId55" Type="http://schemas.openxmlformats.org/officeDocument/2006/relationships/hyperlink" Target="https://bugzilla.mozilla.org/show_bug.cgi?id=1768428" TargetMode="External"/><Relationship Id="rId97" Type="http://schemas.openxmlformats.org/officeDocument/2006/relationships/hyperlink" Target="https://bugzilla.mozilla.org/show_bug.cgi?id=1803542" TargetMode="External"/><Relationship Id="rId120" Type="http://schemas.openxmlformats.org/officeDocument/2006/relationships/hyperlink" Target="https://bugzilla.mozilla.org/show_bug.cgi?id=1768237" TargetMode="External"/><Relationship Id="rId162" Type="http://schemas.openxmlformats.org/officeDocument/2006/relationships/hyperlink" Target="https://bugzilla.mozilla.org/show_bug.cgi?id=1578951" TargetMode="External"/><Relationship Id="rId218" Type="http://schemas.openxmlformats.org/officeDocument/2006/relationships/hyperlink" Target="https://bugzilla.mozilla.org/show_bug.cgi?id=1761691" TargetMode="External"/><Relationship Id="rId271" Type="http://schemas.openxmlformats.org/officeDocument/2006/relationships/hyperlink" Target="https://bugzilla.mozilla.org/show_bug.cgi?id=1730341" TargetMode="Externa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995"/>
  <sheetViews>
    <sheetView tabSelected="1" workbookViewId="0">
      <pane ySplit="1" topLeftCell="A2" activePane="bottomLeft" state="frozen"/>
      <selection pane="bottomLeft" activeCell="A8" sqref="A8"/>
    </sheetView>
  </sheetViews>
  <sheetFormatPr baseColWidth="10" defaultColWidth="12.6640625" defaultRowHeight="15.75" customHeight="1"/>
  <cols>
    <col min="2" max="4" width="9.83203125" customWidth="1"/>
    <col min="5" max="5" width="14.5" customWidth="1"/>
    <col min="6" max="6" width="14.33203125" customWidth="1"/>
    <col min="7" max="7" width="13.5" customWidth="1"/>
    <col min="8" max="8" width="11.5" customWidth="1"/>
    <col min="9" max="9" width="25.33203125" customWidth="1"/>
    <col min="10" max="10" width="59.1640625" customWidth="1"/>
    <col min="11" max="12" width="20" customWidth="1"/>
  </cols>
  <sheetData>
    <row r="1" spans="1:27" ht="15.75" customHeight="1">
      <c r="A1" s="1" t="s">
        <v>0</v>
      </c>
      <c r="B1" s="1" t="str">
        <f ca="1">IFERROR(__xludf.DUMMYFUNCTION(" QUERY(IMPORTRANGE(""https://docs.google.com/spreadsheets/d/1Pj3C3JB5eUk-fwCUCJDQKrm2mn1Zm-Bed4c1XIdViDw/edit#gid=1962277352"", ""Pooja!A1:N378""), ""select * where Col4 is not null"")"),"Disagreement")</f>
        <v>Disagreement</v>
      </c>
      <c r="C1" s="1" t="str">
        <f ca="1">IFERROR(__xludf.DUMMYFUNCTION("""COMPUTED_VALUE"""),"Iteration1: Disagreement")</f>
        <v>Iteration1: Disagreement</v>
      </c>
      <c r="D1" s="1" t="str">
        <f ca="1">IFERROR(__xludf.DUMMYFUNCTION("""COMPUTED_VALUE"""),"index")</f>
        <v>index</v>
      </c>
      <c r="E1" s="1" t="str">
        <f ca="1">IFERROR(__xludf.DUMMYFUNCTION("""COMPUTED_VALUE"""),"Revision")</f>
        <v>Revision</v>
      </c>
      <c r="F1" s="1" t="str">
        <f ca="1">IFERROR(__xludf.DUMMYFUNCTION("""COMPUTED_VALUE"""),"Reference Shared With")</f>
        <v>Reference Shared With</v>
      </c>
      <c r="G1" s="1" t="str">
        <f ca="1">IFERROR(__xludf.DUMMYFUNCTION("""COMPUTED_VALUE"""),"fix_id")</f>
        <v>fix_id</v>
      </c>
      <c r="H1" s="1" t="str">
        <f ca="1">IFERROR(__xludf.DUMMYFUNCTION("""COMPUTED_VALUE"""),"Bug ID")</f>
        <v>Bug ID</v>
      </c>
      <c r="I1" s="1" t="str">
        <f ca="1">IFERROR(__xludf.DUMMYFUNCTION("""COMPUTED_VALUE"""),"fix_link")</f>
        <v>fix_link</v>
      </c>
      <c r="J1" s="1" t="str">
        <f ca="1">IFERROR(__xludf.DUMMYFUNCTION("""COMPUTED_VALUE"""),"referenced_files")</f>
        <v>referenced_files</v>
      </c>
      <c r="K1" s="1" t="str">
        <f ca="1">IFERROR(__xludf.DUMMYFUNCTION("""COMPUTED_VALUE"""),"Rationale 1")</f>
        <v>Rationale 1</v>
      </c>
      <c r="L1" s="1" t="str">
        <f ca="1">IFERROR(__xludf.DUMMYFUNCTION("""COMPUTED_VALUE"""),"Rationale 2")</f>
        <v>Rationale 2</v>
      </c>
      <c r="M1" s="1" t="str">
        <f ca="1">IFERROR(__xludf.DUMMYFUNCTION("""COMPUTED_VALUE"""),"Rationale 3")</f>
        <v>Rationale 3</v>
      </c>
      <c r="N1" s="1" t="str">
        <f ca="1">IFERROR(__xludf.DUMMYFUNCTION("""COMPUTED_VALUE"""),"Rationale 4")</f>
        <v>Rationale 4</v>
      </c>
      <c r="O1" s="1" t="str">
        <f ca="1">IFERROR(__xludf.DUMMYFUNCTION("""COMPUTED_VALUE"""),"Notes")</f>
        <v>Notes</v>
      </c>
      <c r="P1" s="2"/>
      <c r="Q1" s="2"/>
      <c r="R1" s="2"/>
      <c r="S1" s="2"/>
      <c r="T1" s="2"/>
      <c r="U1" s="2"/>
      <c r="V1" s="2"/>
      <c r="W1" s="2"/>
      <c r="X1" s="2"/>
      <c r="Y1" s="2"/>
      <c r="Z1" s="2"/>
      <c r="AA1" s="2"/>
    </row>
    <row r="2" spans="1:27" ht="15.75" customHeight="1">
      <c r="A2" s="3" t="s">
        <v>63</v>
      </c>
      <c r="B2" s="3"/>
      <c r="C2" s="3" t="str">
        <f ca="1">IFERROR(__xludf.DUMMYFUNCTION("""COMPUTED_VALUE"""),"Agree")</f>
        <v>Agree</v>
      </c>
      <c r="D2" s="3">
        <f ca="1">IFERROR(__xludf.DUMMYFUNCTION("""COMPUTED_VALUE"""),0)</f>
        <v>0</v>
      </c>
      <c r="E2" s="3" t="str">
        <f ca="1">IFERROR(__xludf.DUMMYFUNCTION("""COMPUTED_VALUE"""),"Yes")</f>
        <v>Yes</v>
      </c>
      <c r="F2" s="3" t="str">
        <f ca="1">IFERROR(__xludf.DUMMYFUNCTION("""COMPUTED_VALUE"""),"NoRef")</f>
        <v>NoRef</v>
      </c>
      <c r="G2" s="3">
        <f ca="1">IFERROR(__xludf.DUMMYFUNCTION("""COMPUTED_VALUE"""),1660100)</f>
        <v>1660100</v>
      </c>
      <c r="H2" s="3"/>
      <c r="I2" s="4" t="str">
        <f ca="1">IFERROR(__xludf.DUMMYFUNCTION("""COMPUTED_VALUE"""),"https://bugzilla.mozilla.org/show_bug.cgi?id=1660100")</f>
        <v>https://bugzilla.mozilla.org/show_bug.cgi?id=1660100</v>
      </c>
      <c r="J2" s="3" t="str">
        <f ca="1">IFERROR(__xludf.DUMMYFUNCTION("""COMPUTED_VALUE"""),"['firefox-source-docs.mozilla.org/bug-mgmt/guides/priority.html']")</f>
        <v>['firefox-source-docs.mozilla.org/bug-mgmt/guides/priority.html']</v>
      </c>
      <c r="K2" s="3" t="str">
        <f ca="1">IFERROR(__xludf.DUMMYFUNCTION("""COMPUTED_VALUE"""),"Links")</f>
        <v>Links</v>
      </c>
      <c r="L2" s="3"/>
      <c r="M2" s="3"/>
      <c r="N2" s="3"/>
      <c r="O2" s="3" t="str">
        <f ca="1">IFERROR(__xludf.DUMMYFUNCTION("""COMPUTED_VALUE"""),"issue is open, in another language than English, ")</f>
        <v xml:space="preserve">issue is open, in another language than English, </v>
      </c>
    </row>
    <row r="3" spans="1:27" ht="15.75" customHeight="1">
      <c r="A3" s="3" t="s">
        <v>63</v>
      </c>
      <c r="B3" s="3" t="str">
        <f ca="1">IFERROR(__xludf.DUMMYFUNCTION("""COMPUTED_VALUE"""),"Agree")</f>
        <v>Agree</v>
      </c>
      <c r="C3" s="3" t="str">
        <f ca="1">IFERROR(__xludf.DUMMYFUNCTION("""COMPUTED_VALUE"""),"Partial")</f>
        <v>Partial</v>
      </c>
      <c r="D3" s="3">
        <f ca="1">IFERROR(__xludf.DUMMYFUNCTION("""COMPUTED_VALUE"""),1)</f>
        <v>1</v>
      </c>
      <c r="E3" s="3" t="str">
        <f ca="1">IFERROR(__xludf.DUMMYFUNCTION("""COMPUTED_VALUE"""),"Yes")</f>
        <v>Yes</v>
      </c>
      <c r="F3" s="3" t="str">
        <f ca="1">IFERROR(__xludf.DUMMYFUNCTION("""COMPUTED_VALUE"""),"NoRef")</f>
        <v>NoRef</v>
      </c>
      <c r="G3" s="3">
        <f ca="1">IFERROR(__xludf.DUMMYFUNCTION("""COMPUTED_VALUE"""),1664588)</f>
        <v>1664588</v>
      </c>
      <c r="H3" s="3"/>
      <c r="I3" s="4" t="str">
        <f ca="1">IFERROR(__xludf.DUMMYFUNCTION("""COMPUTED_VALUE"""),"https://bugzilla.mozilla.org/show_bug.cgi?id=1664588")</f>
        <v>https://bugzilla.mozilla.org/show_bug.cgi?id=1664588</v>
      </c>
      <c r="J3" s="3" t="str">
        <f ca="1">IFERROR(__xludf.DUMMYFUNCTION("""COMPUTED_VALUE"""),"['treeherder.mozilla.org/logviewer.html', 'testing/mozbase/mozprofile/tests/test_preferences.py', 'builds/worker/checkouts/gecko/testing/mozbase/mozproxy/tests/test_utils.py', '%d/prefs_with_comments.js', 'builds/worker/checkouts/gecko/config/mozunit/mozu"&amp;"nit/pytest.ini', 'builds/worker/checkouts/gecko/testing/mozbase/mozprofile/tests/test_preferences.py', 'treeherder.mozilla.org/intermittent-failures.html', 'testing/mozbase/mozproxy/tests/test_utils.py']")</f>
        <v>['treeherder.mozilla.org/logviewer.html', 'testing/mozbase/mozprofile/tests/test_preferences.py', 'builds/worker/checkouts/gecko/testing/mozbase/mozproxy/tests/test_utils.py', '%d/prefs_with_comments.js', 'builds/worker/checkouts/gecko/config/mozunit/mozunit/pytest.ini', 'builds/worker/checkouts/gecko/testing/mozbase/mozprofile/tests/test_preferences.py', 'treeherder.mozilla.org/intermittent-failures.html', 'testing/mozbase/mozproxy/tests/test_utils.py']</v>
      </c>
      <c r="K3" s="3" t="str">
        <f ca="1">IFERROR(__xludf.DUMMYFUNCTION("""COMPUTED_VALUE"""),"System Dumps")</f>
        <v>System Dumps</v>
      </c>
      <c r="L3" s="3" t="str">
        <f ca="1">IFERROR(__xludf.DUMMYFUNCTION("""COMPUTED_VALUE"""),"Backout")</f>
        <v>Backout</v>
      </c>
      <c r="M3" s="3" t="str">
        <f ca="1">IFERROR(__xludf.DUMMYFUNCTION("""COMPUTED_VALUE"""),"File name in bug title")</f>
        <v>File name in bug title</v>
      </c>
      <c r="N3" s="3"/>
      <c r="O3" s="3"/>
    </row>
    <row r="4" spans="1:27" ht="15.75" customHeight="1">
      <c r="A4" s="3" t="s">
        <v>63</v>
      </c>
      <c r="B4" s="3"/>
      <c r="C4" s="3" t="str">
        <f ca="1">IFERROR(__xludf.DUMMYFUNCTION("""COMPUTED_VALUE"""),"Agree")</f>
        <v>Agree</v>
      </c>
      <c r="D4" s="3">
        <f ca="1">IFERROR(__xludf.DUMMYFUNCTION("""COMPUTED_VALUE"""),2)</f>
        <v>2</v>
      </c>
      <c r="E4" s="3" t="str">
        <f ca="1">IFERROR(__xludf.DUMMYFUNCTION("""COMPUTED_VALUE"""),"Yes")</f>
        <v>Yes</v>
      </c>
      <c r="F4" s="3" t="str">
        <f ca="1">IFERROR(__xludf.DUMMYFUNCTION("""COMPUTED_VALUE"""),"NoRef")</f>
        <v>NoRef</v>
      </c>
      <c r="G4" s="3">
        <f ca="1">IFERROR(__xludf.DUMMYFUNCTION("""COMPUTED_VALUE"""),1535459)</f>
        <v>1535459</v>
      </c>
      <c r="H4" s="3"/>
      <c r="I4" s="4" t="str">
        <f ca="1">IFERROR(__xludf.DUMMYFUNCTION("""COMPUTED_VALUE"""),"https://bugzilla.mozilla.org/show_bug.cgi?id=1535459")</f>
        <v>https://bugzilla.mozilla.org/show_bug.cgi?id=1535459</v>
      </c>
      <c r="J4" s="3" t="str">
        <f ca="1">IFERROR(__xludf.DUMMYFUNCTION("""COMPUTED_VALUE"""),"['marionette/content/driver.js', 'marionette/content/transport.js', 'marionette/content/evaluate.js', 'mochikit/content/browser-test.js', 'api.js', 'treeherder.mozilla.org/logviewer.html', 'missing_beta_status.py', 'mochikit/content/mochitest-e10s-utils.j"&amp;"s', 'marionette/content/server.js', '@tests/mochitest/runtests.py', 'treeherder.mozilla.org/intermittent-failures.html', 'devtools/client/webreplay/mochitest/browser_dbg_rr_breakpoints-01.js']")</f>
        <v>['marionette/content/driver.js', 'marionette/content/transport.js', 'marionette/content/evaluate.js', 'mochikit/content/browser-test.js', 'api.js', 'treeherder.mozilla.org/logviewer.html', 'missing_beta_status.py', 'mochikit/content/mochitest-e10s-utils.js', 'marionette/content/server.js', '@tests/mochitest/runtests.py', 'treeherder.mozilla.org/intermittent-failures.html', 'devtools/client/webreplay/mochitest/browser_dbg_rr_breakpoints-01.js']</v>
      </c>
      <c r="K4" s="3" t="str">
        <f ca="1">IFERROR(__xludf.DUMMYFUNCTION("""COMPUTED_VALUE"""),"System Dumps")</f>
        <v>System Dumps</v>
      </c>
      <c r="L4" s="3" t="str">
        <f ca="1">IFERROR(__xludf.DUMMYFUNCTION("""COMPUTED_VALUE"""),"Links")</f>
        <v>Links</v>
      </c>
      <c r="M4" s="3" t="str">
        <f ca="1">IFERROR(__xludf.DUMMYFUNCTION("""COMPUTED_VALUE"""),"File name in bug title")</f>
        <v>File name in bug title</v>
      </c>
      <c r="N4" s="3"/>
      <c r="O4" s="3"/>
    </row>
    <row r="5" spans="1:27" ht="15.75" customHeight="1">
      <c r="A5" s="3" t="s">
        <v>63</v>
      </c>
      <c r="B5" s="3"/>
      <c r="C5" s="3" t="str">
        <f ca="1">IFERROR(__xludf.DUMMYFUNCTION("""COMPUTED_VALUE"""),"Agree")</f>
        <v>Agree</v>
      </c>
      <c r="D5" s="3">
        <f ca="1">IFERROR(__xludf.DUMMYFUNCTION("""COMPUTED_VALUE"""),3)</f>
        <v>3</v>
      </c>
      <c r="E5" s="3" t="str">
        <f ca="1">IFERROR(__xludf.DUMMYFUNCTION("""COMPUTED_VALUE"""),"Yes")</f>
        <v>Yes</v>
      </c>
      <c r="F5" s="3" t="str">
        <f ca="1">IFERROR(__xludf.DUMMYFUNCTION("""COMPUTED_VALUE"""),"NoRef")</f>
        <v>NoRef</v>
      </c>
      <c r="G5" s="3">
        <f ca="1">IFERROR(__xludf.DUMMYFUNCTION("""COMPUTED_VALUE"""),1662287)</f>
        <v>1662287</v>
      </c>
      <c r="H5" s="3"/>
      <c r="I5" s="4" t="str">
        <f ca="1">IFERROR(__xludf.DUMMYFUNCTION("""COMPUTED_VALUE"""),"https://bugzilla.mozilla.org/show_bug.cgi?id=1662287")</f>
        <v>https://bugzilla.mozilla.org/show_bug.cgi?id=1662287</v>
      </c>
      <c r="J5" s="3" t="str">
        <f ca="1">IFERROR(__xludf.DUMMYFUNCTION("""COMPUTED_VALUE"""),"['support.txt']")</f>
        <v>['support.txt']</v>
      </c>
      <c r="K5" s="3" t="str">
        <f ca="1">IFERROR(__xludf.DUMMYFUNCTION("""COMPUTED_VALUE"""),"File to Reproduce the Bug")</f>
        <v>File to Reproduce the Bug</v>
      </c>
      <c r="L5" s="3"/>
      <c r="M5" s="3"/>
      <c r="N5" s="3"/>
      <c r="O5" s="3"/>
    </row>
    <row r="6" spans="1:27" ht="15.75" customHeight="1">
      <c r="A6" s="3" t="s">
        <v>63</v>
      </c>
      <c r="B6" s="3"/>
      <c r="C6" s="3" t="str">
        <f ca="1">IFERROR(__xludf.DUMMYFUNCTION("""COMPUTED_VALUE"""),"Agree")</f>
        <v>Agree</v>
      </c>
      <c r="D6" s="3">
        <f ca="1">IFERROR(__xludf.DUMMYFUNCTION("""COMPUTED_VALUE"""),4)</f>
        <v>4</v>
      </c>
      <c r="E6" s="3" t="str">
        <f ca="1">IFERROR(__xludf.DUMMYFUNCTION("""COMPUTED_VALUE"""),"Yes")</f>
        <v>Yes</v>
      </c>
      <c r="F6" s="3" t="str">
        <f ca="1">IFERROR(__xludf.DUMMYFUNCTION("""COMPUTED_VALUE"""),"NoRef")</f>
        <v>NoRef</v>
      </c>
      <c r="G6" s="3">
        <f ca="1">IFERROR(__xludf.DUMMYFUNCTION("""COMPUTED_VALUE"""),1628660)</f>
        <v>1628660</v>
      </c>
      <c r="H6" s="3"/>
      <c r="I6" s="4" t="str">
        <f ca="1">IFERROR(__xludf.DUMMYFUNCTION("""COMPUTED_VALUE"""),"https://bugzilla.mozilla.org/show_bug.cgi?id=1628660")</f>
        <v>https://bugzilla.mozilla.org/show_bug.cgi?id=1628660</v>
      </c>
      <c r="J6" s="3" t="str">
        <f ca="1">IFERROR(__xludf.DUMMYFUNCTION("""COMPUTED_VALUE"""),"['objdir/dom/bindings/TestExampleWorkerInterface-example.h', 'objdir/dom/bindings/TestExampleInterface-example.h', 'objdir/dom/bindings/TestExampleProxyInterface-example.cpp', 'objdir/dom/bindings/TestExampleWorkerInterface-example.cpp', 'objdir/dom/bindi"&amp;"ngs/TestExampleProxyInterface-example.h', 'objdir/dom/bindings/TestExampleInterface-example.cpp', 'objdir/dom/bindings/TestExampleThrowingConstructorInterface-example.h', 'objdir/dom/bindings/TestExampleThrowingConstructorInterface-example.cpp', 'searchfo"&amp;"x.org/mozilla-central/rev/4e228dc5f594/browser/installer/Makefile.in']")</f>
        <v>['objdir/dom/bindings/TestExampleWorkerInterface-example.h', 'objdir/dom/bindings/TestExampleInterface-example.h', 'objdir/dom/bindings/TestExampleProxyInterface-example.cpp', 'objdir/dom/bindings/TestExampleWorkerInterface-example.cpp', 'objdir/dom/bindings/TestExampleProxyInterface-example.h', 'objdir/dom/bindings/TestExampleInterface-example.cpp', 'objdir/dom/bindings/TestExampleThrowingConstructorInterface-example.h', 'objdir/dom/bindings/TestExampleThrowingConstructorInterface-example.cpp', 'searchfox.org/mozilla-central/rev/4e228dc5f594/browser/installer/Makefile.in']</v>
      </c>
      <c r="K6" s="3" t="str">
        <f ca="1">IFERROR(__xludf.DUMMYFUNCTION("""COMPUTED_VALUE"""),"System Dumps")</f>
        <v>System Dumps</v>
      </c>
      <c r="L6" s="3"/>
      <c r="M6" s="3"/>
      <c r="N6" s="3"/>
      <c r="O6" s="3"/>
    </row>
    <row r="7" spans="1:27" ht="15.75" customHeight="1">
      <c r="A7" s="3" t="s">
        <v>63</v>
      </c>
      <c r="B7" s="3"/>
      <c r="C7" s="3" t="str">
        <f ca="1">IFERROR(__xludf.DUMMYFUNCTION("""COMPUTED_VALUE"""),"Agree")</f>
        <v>Agree</v>
      </c>
      <c r="D7" s="3">
        <f ca="1">IFERROR(__xludf.DUMMYFUNCTION("""COMPUTED_VALUE"""),5)</f>
        <v>5</v>
      </c>
      <c r="E7" s="3" t="str">
        <f ca="1">IFERROR(__xludf.DUMMYFUNCTION("""COMPUTED_VALUE"""),"Yes")</f>
        <v>Yes</v>
      </c>
      <c r="F7" s="3" t="str">
        <f ca="1">IFERROR(__xludf.DUMMYFUNCTION("""COMPUTED_VALUE"""),"NoRef")</f>
        <v>NoRef</v>
      </c>
      <c r="G7" s="3">
        <f ca="1">IFERROR(__xludf.DUMMYFUNCTION("""COMPUTED_VALUE"""),1716588)</f>
        <v>1716588</v>
      </c>
      <c r="H7" s="3"/>
      <c r="I7" s="4" t="str">
        <f ca="1">IFERROR(__xludf.DUMMYFUNCTION("""COMPUTED_VALUE"""),"https://bugzilla.mozilla.org/show_bug.cgi?id=1716588")</f>
        <v>https://bugzilla.mozilla.org/show_bug.cgi?id=1716588</v>
      </c>
      <c r="J7" s="3" t="str">
        <f ca="1">IFERROR(__xludf.DUMMYFUNCTION("""COMPUTED_VALUE"""),"['library/core/src/panicking.rs', 'library/core/src/option.rs', 'mozglue/static/rust/lib.rs', 'library/std/src/sys_common/backtrace.rs', 'library/std/src/time.rs', '../88f19c6dab716c6281af7602e30f413e809c5974/library/core/src/ops/function.rs', 'library/st"&amp;"d/src/panicking.rs', 'mozglue/static/rust/wrappers.cpp']")</f>
        <v>['library/core/src/panicking.rs', 'library/core/src/option.rs', 'mozglue/static/rust/lib.rs', 'library/std/src/sys_common/backtrace.rs', 'library/std/src/time.rs', '../88f19c6dab716c6281af7602e30f413e809c5974/library/core/src/ops/function.rs', 'library/std/src/panicking.rs', 'mozglue/static/rust/wrappers.cpp']</v>
      </c>
      <c r="K7" s="3" t="str">
        <f ca="1">IFERROR(__xludf.DUMMYFUNCTION("""COMPUTED_VALUE"""),"System Dumps")</f>
        <v>System Dumps</v>
      </c>
      <c r="L7" s="3"/>
      <c r="M7" s="3"/>
      <c r="N7" s="3"/>
      <c r="O7" s="3"/>
    </row>
    <row r="8" spans="1:27" ht="15.75" customHeight="1">
      <c r="A8" s="3" t="s">
        <v>63</v>
      </c>
      <c r="B8" s="3"/>
      <c r="C8" s="3" t="str">
        <f ca="1">IFERROR(__xludf.DUMMYFUNCTION("""COMPUTED_VALUE"""),"Agree")</f>
        <v>Agree</v>
      </c>
      <c r="D8" s="3">
        <f ca="1">IFERROR(__xludf.DUMMYFUNCTION("""COMPUTED_VALUE"""),6)</f>
        <v>6</v>
      </c>
      <c r="E8" s="3" t="str">
        <f ca="1">IFERROR(__xludf.DUMMYFUNCTION("""COMPUTED_VALUE"""),"Yes")</f>
        <v>Yes</v>
      </c>
      <c r="F8" s="3" t="str">
        <f ca="1">IFERROR(__xludf.DUMMYFUNCTION("""COMPUTED_VALUE"""),"NoRef")</f>
        <v>NoRef</v>
      </c>
      <c r="G8" s="3">
        <f ca="1">IFERROR(__xludf.DUMMYFUNCTION("""COMPUTED_VALUE"""),1616113)</f>
        <v>1616113</v>
      </c>
      <c r="H8" s="3"/>
      <c r="I8" s="4" t="str">
        <f ca="1">IFERROR(__xludf.DUMMYFUNCTION("""COMPUTED_VALUE"""),"https://bugzilla.mozilla.org/show_bug.cgi?id=1616113")</f>
        <v>https://bugzilla.mozilla.org/show_bug.cgi?id=1616113</v>
      </c>
      <c r="J8" s="3" t="str">
        <f ca="1">IFERROR(__xludf.DUMMYFUNCTION("""COMPUTED_VALUE"""),"['activity-stream/lib/Screenshots.jsm', 'treeherder.mozilla.org/logviewer.html', 'activity-stream/lib/TopSitesFeed.jsm', 'global/content/elements/panel.js', 'layout/inspector/tests/chrome/test_bug467669.xhtml', 'treeherder.mozilla.org/intermittent-failure"&amp;"s.html']")</f>
        <v>['activity-stream/lib/Screenshots.jsm', 'treeherder.mozilla.org/logviewer.html', 'activity-stream/lib/TopSitesFeed.jsm', 'global/content/elements/panel.js', 'layout/inspector/tests/chrome/test_bug467669.xhtml', 'treeherder.mozilla.org/intermittent-failures.html']</v>
      </c>
      <c r="K8" s="3" t="str">
        <f ca="1">IFERROR(__xludf.DUMMYFUNCTION("""COMPUTED_VALUE"""),"System Dumps")</f>
        <v>System Dumps</v>
      </c>
      <c r="L8" s="3" t="str">
        <f ca="1">IFERROR(__xludf.DUMMYFUNCTION("""COMPUTED_VALUE"""),"File to Reproduce the Bug")</f>
        <v>File to Reproduce the Bug</v>
      </c>
      <c r="M8" s="3"/>
      <c r="N8" s="3"/>
      <c r="O8" s="3"/>
    </row>
    <row r="9" spans="1:27" ht="15.75" customHeight="1">
      <c r="A9" s="3" t="s">
        <v>63</v>
      </c>
      <c r="B9" s="3"/>
      <c r="C9" s="3" t="str">
        <f ca="1">IFERROR(__xludf.DUMMYFUNCTION("""COMPUTED_VALUE"""),"Agree")</f>
        <v>Agree</v>
      </c>
      <c r="D9" s="3">
        <f ca="1">IFERROR(__xludf.DUMMYFUNCTION("""COMPUTED_VALUE"""),7)</f>
        <v>7</v>
      </c>
      <c r="E9" s="3" t="str">
        <f ca="1">IFERROR(__xludf.DUMMYFUNCTION("""COMPUTED_VALUE"""),"Yes")</f>
        <v>Yes</v>
      </c>
      <c r="F9" s="3" t="str">
        <f ca="1">IFERROR(__xludf.DUMMYFUNCTION("""COMPUTED_VALUE"""),"NoRef")</f>
        <v>NoRef</v>
      </c>
      <c r="G9" s="3">
        <f ca="1">IFERROR(__xludf.DUMMYFUNCTION("""COMPUTED_VALUE"""),1787167)</f>
        <v>1787167</v>
      </c>
      <c r="H9" s="3"/>
      <c r="I9" s="4" t="str">
        <f ca="1">IFERROR(__xludf.DUMMYFUNCTION("""COMPUTED_VALUE"""),"https://bugzilla.mozilla.org/show_bug.cgi?id=1787167")</f>
        <v>https://bugzilla.mozilla.org/show_bug.cgi?id=1787167</v>
      </c>
      <c r="J9" s="3" t="str">
        <f ca="1">IFERROR(__xludf.DUMMYFUNCTION("""COMPUTED_VALUE"""),"['mochitests/content/browser/browser/base/content/test/performance/browser_startup_images.js', 'searchfox.org/mozilla-central/rev/3b3339b3a56c5434dfbbc250c8e8fc5cd43d07ca/browser/base/content/test/performance/lowdpi/browser.ini', 'browser/base/content/tes"&amp;"t/performance/browser_startup_images.js', 'searchfox.org/mozilla-central/rev/3b3339b3a56c5434dfbbc250c8e8fc5cd43d07ca/browser/base/content/test/performance/hidpi/browser.ini', 'mochikit/content/browser-test.js']")</f>
        <v>['mochitests/content/browser/browser/base/content/test/performance/browser_startup_images.js', 'searchfox.org/mozilla-central/rev/3b3339b3a56c5434dfbbc250c8e8fc5cd43d07ca/browser/base/content/test/performance/lowdpi/browser.ini', 'browser/base/content/test/performance/browser_startup_images.js', 'searchfox.org/mozilla-central/rev/3b3339b3a56c5434dfbbc250c8e8fc5cd43d07ca/browser/base/content/test/performance/hidpi/browser.ini', 'mochikit/content/browser-test.js']</v>
      </c>
      <c r="K9" s="3" t="str">
        <f ca="1">IFERROR(__xludf.DUMMYFUNCTION("""COMPUTED_VALUE"""),"System Dumps")</f>
        <v>System Dumps</v>
      </c>
      <c r="L9" s="3"/>
      <c r="M9" s="3"/>
      <c r="N9" s="3"/>
      <c r="O9" s="3"/>
    </row>
    <row r="10" spans="1:27" ht="15.75" customHeight="1">
      <c r="A10" s="3" t="s">
        <v>63</v>
      </c>
      <c r="B10" s="3" t="str">
        <f ca="1">IFERROR(__xludf.DUMMYFUNCTION("""COMPUTED_VALUE"""),"Agree")</f>
        <v>Agree</v>
      </c>
      <c r="C10" s="3" t="str">
        <f ca="1">IFERROR(__xludf.DUMMYFUNCTION("""COMPUTED_VALUE"""),"Partial")</f>
        <v>Partial</v>
      </c>
      <c r="D10" s="3">
        <f ca="1">IFERROR(__xludf.DUMMYFUNCTION("""COMPUTED_VALUE"""),8)</f>
        <v>8</v>
      </c>
      <c r="E10" s="3" t="str">
        <f ca="1">IFERROR(__xludf.DUMMYFUNCTION("""COMPUTED_VALUE"""),"Yes")</f>
        <v>Yes</v>
      </c>
      <c r="F10" s="3" t="str">
        <f ca="1">IFERROR(__xludf.DUMMYFUNCTION("""COMPUTED_VALUE"""),"NoRef")</f>
        <v>NoRef</v>
      </c>
      <c r="G10" s="3">
        <f ca="1">IFERROR(__xludf.DUMMYFUNCTION("""COMPUTED_VALUE"""),1617371)</f>
        <v>1617371</v>
      </c>
      <c r="H10" s="3"/>
      <c r="I10" s="4" t="str">
        <f ca="1">IFERROR(__xludf.DUMMYFUNCTION("""COMPUTED_VALUE"""),"https://bugzilla.mozilla.org/show_bug.cgi?id=1617371")</f>
        <v>https://bugzilla.mozilla.org/show_bug.cgi?id=1617371</v>
      </c>
      <c r="J10" s="3" t="str">
        <f ca="1">IFERROR(__xludf.DUMMYFUNCTION("""COMPUTED_VALUE"""),"['searchfox.org/comm-central/rev/631e8b52544ba72abc8a1ab9551a57f3a6441960/mailnews/base/src/nsMailDirProvider.cpp', 'mozmill.jsm']")</f>
        <v>['searchfox.org/comm-central/rev/631e8b52544ba72abc8a1ab9551a57f3a6441960/mailnews/base/src/nsMailDirProvider.cpp', 'mozmill.jsm']</v>
      </c>
      <c r="K10" s="3" t="str">
        <f ca="1">IFERROR(__xludf.DUMMYFUNCTION("""COMPUTED_VALUE"""),"Solution Draft")</f>
        <v>Solution Draft</v>
      </c>
      <c r="L10" s="3" t="str">
        <f ca="1">IFERROR(__xludf.DUMMYFUNCTION("""COMPUTED_VALUE"""),"File name in bug title and the commit message")</f>
        <v>File name in bug title and the commit message</v>
      </c>
      <c r="M10" s="3" t="str">
        <f ca="1">IFERROR(__xludf.DUMMYFUNCTION("""COMPUTED_VALUE"""),"Missing Mapping")</f>
        <v>Missing Mapping</v>
      </c>
      <c r="N10" s="3"/>
      <c r="O10" s="3"/>
    </row>
    <row r="11" spans="1:27" ht="15.75" customHeight="1">
      <c r="A11" s="3" t="s">
        <v>63</v>
      </c>
      <c r="B11" s="3" t="str">
        <f ca="1">IFERROR(__xludf.DUMMYFUNCTION("""COMPUTED_VALUE"""),"Agree")</f>
        <v>Agree</v>
      </c>
      <c r="C11" s="3" t="str">
        <f ca="1">IFERROR(__xludf.DUMMYFUNCTION("""COMPUTED_VALUE"""),"Partial")</f>
        <v>Partial</v>
      </c>
      <c r="D11" s="3">
        <f ca="1">IFERROR(__xludf.DUMMYFUNCTION("""COMPUTED_VALUE"""),9)</f>
        <v>9</v>
      </c>
      <c r="E11" s="3" t="str">
        <f ca="1">IFERROR(__xludf.DUMMYFUNCTION("""COMPUTED_VALUE"""),"Yes")</f>
        <v>Yes</v>
      </c>
      <c r="F11" s="3" t="str">
        <f ca="1">IFERROR(__xludf.DUMMYFUNCTION("""COMPUTED_VALUE"""),"NoRef")</f>
        <v>NoRef</v>
      </c>
      <c r="G11" s="3">
        <f ca="1">IFERROR(__xludf.DUMMYFUNCTION("""COMPUTED_VALUE"""),1798863)</f>
        <v>1798863</v>
      </c>
      <c r="H11" s="3"/>
      <c r="I11" s="4" t="str">
        <f ca="1">IFERROR(__xludf.DUMMYFUNCTION("""COMPUTED_VALUE"""),"https://bugzilla.mozilla.org/show_bug.cgi?id=1798863")</f>
        <v>https://bugzilla.mozilla.org/show_bug.cgi?id=1798863</v>
      </c>
      <c r="J11" s="3" t="str">
        <f ca="1">IFERROR(__xludf.DUMMYFUNCTION("""COMPUTED_VALUE"""),"['hg.mozilla.org/mozilla-central/raw-file/tip/layout/tools/reftest/reftest-analyzer.xhtml', 'opt/worker/tasks/task_1667461368/build/tests/reftest/tests/dom/media/test/reftest/reftest_video.html']")</f>
        <v>['hg.mozilla.org/mozilla-central/raw-file/tip/layout/tools/reftest/reftest-analyzer.xhtml', 'opt/worker/tasks/task_1667461368/build/tests/reftest/tests/dom/media/test/reftest/reftest_video.html']</v>
      </c>
      <c r="K11" s="3" t="str">
        <f ca="1">IFERROR(__xludf.DUMMYFUNCTION("""COMPUTED_VALUE"""),"System Dumps")</f>
        <v>System Dumps</v>
      </c>
      <c r="L11" s="3" t="str">
        <f ca="1">IFERROR(__xludf.DUMMYFUNCTION("""COMPUTED_VALUE"""),"File name is in a link")</f>
        <v>File name is in a link</v>
      </c>
      <c r="M11" s="3" t="str">
        <f ca="1">IFERROR(__xludf.DUMMYFUNCTION("""COMPUTED_VALUE"""),"File name is in a link")</f>
        <v>File name is in a link</v>
      </c>
      <c r="N11" s="3"/>
      <c r="O11" s="3" t="str">
        <f ca="1">IFERROR(__xludf.DUMMYFUNCTION("""COMPUTED_VALUE"""),"The bug is partially Bug Dependency")</f>
        <v>The bug is partially Bug Dependency</v>
      </c>
    </row>
    <row r="12" spans="1:27" ht="15.75" customHeight="1">
      <c r="A12" s="3" t="s">
        <v>63</v>
      </c>
      <c r="B12" s="3" t="str">
        <f ca="1">IFERROR(__xludf.DUMMYFUNCTION("""COMPUTED_VALUE"""),"Agree")</f>
        <v>Agree</v>
      </c>
      <c r="C12" s="3" t="str">
        <f ca="1">IFERROR(__xludf.DUMMYFUNCTION("""COMPUTED_VALUE"""),"Disagree")</f>
        <v>Disagree</v>
      </c>
      <c r="D12" s="3">
        <f ca="1">IFERROR(__xludf.DUMMYFUNCTION("""COMPUTED_VALUE"""),10)</f>
        <v>10</v>
      </c>
      <c r="E12" s="3" t="str">
        <f ca="1">IFERROR(__xludf.DUMMYFUNCTION("""COMPUTED_VALUE"""),"Yes")</f>
        <v>Yes</v>
      </c>
      <c r="F12" s="3" t="str">
        <f ca="1">IFERROR(__xludf.DUMMYFUNCTION("""COMPUTED_VALUE"""),"NoRef")</f>
        <v>NoRef</v>
      </c>
      <c r="G12" s="3">
        <f ca="1">IFERROR(__xludf.DUMMYFUNCTION("""COMPUTED_VALUE"""),1730738)</f>
        <v>1730738</v>
      </c>
      <c r="H12" s="3"/>
      <c r="I12" s="4" t="str">
        <f ca="1">IFERROR(__xludf.DUMMYFUNCTION("""COMPUTED_VALUE"""),"https://bugzilla.mozilla.org/show_bug.cgi?id=1730738")</f>
        <v>https://bugzilla.mozilla.org/show_bug.cgi?id=1730738</v>
      </c>
      <c r="J12" s="3" t="str">
        <f ca="1">IFERROR(__xludf.DUMMYFUNCTION("""COMPUTED_VALUE"""),"['nsMsgSendLater.cpp', 'MessageSend.jsm', 'SendLater.cpp']")</f>
        <v>['nsMsgSendLater.cpp', 'MessageSend.jsm', 'SendLater.cpp']</v>
      </c>
      <c r="K12" s="3" t="str">
        <f ca="1">IFERROR(__xludf.DUMMYFUNCTION("""COMPUTED_VALUE"""),"Bug Description")</f>
        <v>Bug Description</v>
      </c>
      <c r="L12" s="3" t="str">
        <f ca="1">IFERROR(__xludf.DUMMYFUNCTION("""COMPUTED_VALUE"""),"Missing Mapping")</f>
        <v>Missing Mapping</v>
      </c>
      <c r="M12" s="3"/>
      <c r="N12" s="3"/>
      <c r="O12" s="3"/>
    </row>
    <row r="13" spans="1:27" ht="15.75" customHeight="1">
      <c r="A13" s="3" t="s">
        <v>63</v>
      </c>
      <c r="B13" s="3"/>
      <c r="C13" s="3" t="str">
        <f ca="1">IFERROR(__xludf.DUMMYFUNCTION("""COMPUTED_VALUE"""),"Agree")</f>
        <v>Agree</v>
      </c>
      <c r="D13" s="3">
        <f ca="1">IFERROR(__xludf.DUMMYFUNCTION("""COMPUTED_VALUE"""),11)</f>
        <v>11</v>
      </c>
      <c r="E13" s="3" t="str">
        <f ca="1">IFERROR(__xludf.DUMMYFUNCTION("""COMPUTED_VALUE"""),"Yes")</f>
        <v>Yes</v>
      </c>
      <c r="F13" s="3" t="str">
        <f ca="1">IFERROR(__xludf.DUMMYFUNCTION("""COMPUTED_VALUE"""),"NoRef")</f>
        <v>NoRef</v>
      </c>
      <c r="G13" s="3">
        <f ca="1">IFERROR(__xludf.DUMMYFUNCTION("""COMPUTED_VALUE"""),1620458)</f>
        <v>1620458</v>
      </c>
      <c r="H13" s="3"/>
      <c r="I13" s="4" t="str">
        <f ca="1">IFERROR(__xludf.DUMMYFUNCTION("""COMPUTED_VALUE"""),"https://bugzilla.mozilla.org/show_bug.cgi?id=1620458")</f>
        <v>https://bugzilla.mozilla.org/show_bug.cgi?id=1620458</v>
      </c>
      <c r="J13" s="3" t="str">
        <f ca="1">IFERROR(__xludf.DUMMYFUNCTION("""COMPUTED_VALUE"""),"['GeckoSurfaceTexture.java', 'Binder.java', 'SurfaceTexture.java', 'SurfaceAllocatorService.java', 'ISurfaceAllocator.java', 'searchfox.org/mozilla-central/rev/4166c15e2a99a23a9b38ad62c9fdfe8e5448b354/dom/media/AutoplayPolicy.cpp']")</f>
        <v>['GeckoSurfaceTexture.java', 'Binder.java', 'SurfaceTexture.java', 'SurfaceAllocatorService.java', 'ISurfaceAllocator.java', 'searchfox.org/mozilla-central/rev/4166c15e2a99a23a9b38ad62c9fdfe8e5448b354/dom/media/AutoplayPolicy.cpp']</v>
      </c>
      <c r="K13" s="3" t="str">
        <f ca="1">IFERROR(__xludf.DUMMYFUNCTION("""COMPUTED_VALUE"""),"System Dumps")</f>
        <v>System Dumps</v>
      </c>
      <c r="L13" s="3"/>
      <c r="M13" s="3"/>
      <c r="N13" s="3"/>
      <c r="O13" s="3"/>
    </row>
    <row r="14" spans="1:27" ht="15.75" customHeight="1">
      <c r="A14" s="3" t="s">
        <v>63</v>
      </c>
      <c r="B14" s="3"/>
      <c r="C14" s="3" t="str">
        <f ca="1">IFERROR(__xludf.DUMMYFUNCTION("""COMPUTED_VALUE"""),"Agree")</f>
        <v>Agree</v>
      </c>
      <c r="D14" s="3">
        <f ca="1">IFERROR(__xludf.DUMMYFUNCTION("""COMPUTED_VALUE"""),12)</f>
        <v>12</v>
      </c>
      <c r="E14" s="3" t="str">
        <f ca="1">IFERROR(__xludf.DUMMYFUNCTION("""COMPUTED_VALUE"""),"Yes")</f>
        <v>Yes</v>
      </c>
      <c r="F14" s="3" t="str">
        <f ca="1">IFERROR(__xludf.DUMMYFUNCTION("""COMPUTED_VALUE"""),"NoRef")</f>
        <v>NoRef</v>
      </c>
      <c r="G14" s="3">
        <f ca="1">IFERROR(__xludf.DUMMYFUNCTION("""COMPUTED_VALUE"""),1649458)</f>
        <v>1649458</v>
      </c>
      <c r="H14" s="3"/>
      <c r="I14" s="4" t="str">
        <f ca="1">IFERROR(__xludf.DUMMYFUNCTION("""COMPUTED_VALUE"""),"https://bugzilla.mozilla.org/show_bug.cgi?id=1649458")</f>
        <v>https://bugzilla.mozilla.org/show_bug.cgi?id=1649458</v>
      </c>
      <c r="J14" s="3" t="str">
        <f ca="1">IFERROR(__xludf.DUMMYFUNCTION("""COMPUTED_VALUE"""),"['usr/local/lib/python3.8/site-packages/build_decision/repository.py', 'usr/local/lib/python3.8/site-packages/build_decision/cli.py', 'usr/local/lib/python3.8/site-packages/build_decision/util/cli.py']")</f>
        <v>['usr/local/lib/python3.8/site-packages/build_decision/repository.py', 'usr/local/lib/python3.8/site-packages/build_decision/cli.py', 'usr/local/lib/python3.8/site-packages/build_decision/util/cli.py']</v>
      </c>
      <c r="K14" s="3" t="str">
        <f ca="1">IFERROR(__xludf.DUMMYFUNCTION("""COMPUTED_VALUE"""),"System Dumps")</f>
        <v>System Dumps</v>
      </c>
      <c r="L14" s="3"/>
      <c r="M14" s="3"/>
      <c r="N14" s="3"/>
      <c r="O14" s="3"/>
    </row>
    <row r="15" spans="1:27" ht="15.75" customHeight="1">
      <c r="A15" s="3" t="s">
        <v>63</v>
      </c>
      <c r="B15" s="3" t="str">
        <f ca="1">IFERROR(__xludf.DUMMYFUNCTION("""COMPUTED_VALUE"""),"Agree")</f>
        <v>Agree</v>
      </c>
      <c r="C15" s="3" t="str">
        <f ca="1">IFERROR(__xludf.DUMMYFUNCTION("""COMPUTED_VALUE"""),"Partial")</f>
        <v>Partial</v>
      </c>
      <c r="D15" s="3">
        <f ca="1">IFERROR(__xludf.DUMMYFUNCTION("""COMPUTED_VALUE"""),13)</f>
        <v>13</v>
      </c>
      <c r="E15" s="3" t="str">
        <f ca="1">IFERROR(__xludf.DUMMYFUNCTION("""COMPUTED_VALUE"""),"Yes")</f>
        <v>Yes</v>
      </c>
      <c r="F15" s="3" t="str">
        <f ca="1">IFERROR(__xludf.DUMMYFUNCTION("""COMPUTED_VALUE"""),"NoRef")</f>
        <v>NoRef</v>
      </c>
      <c r="G15" s="3">
        <f ca="1">IFERROR(__xludf.DUMMYFUNCTION("""COMPUTED_VALUE"""),1667179)</f>
        <v>1667179</v>
      </c>
      <c r="H15" s="3"/>
      <c r="I15" s="4" t="str">
        <f ca="1">IFERROR(__xludf.DUMMYFUNCTION("""COMPUTED_VALUE"""),"https://bugzilla.mozilla.org/show_bug.cgi?id=1667179")</f>
        <v>https://bugzilla.mozilla.org/show_bug.cgi?id=1667179</v>
      </c>
      <c r="J15" s="3" t="str">
        <f ca="1">IFERROR(__xludf.DUMMYFUNCTION("""COMPUTED_VALUE"""),"['advisory.txt', 'onecrl.json']")</f>
        <v>['advisory.txt', 'onecrl.json']</v>
      </c>
      <c r="K15" s="3" t="str">
        <f ca="1">IFERROR(__xludf.DUMMYFUNCTION("""COMPUTED_VALUE"""),"Bug Dependency")</f>
        <v>Bug Dependency</v>
      </c>
      <c r="L15" s="3" t="str">
        <f ca="1">IFERROR(__xludf.DUMMYFUNCTION("""COMPUTED_VALUE"""),"Bug Description")</f>
        <v>Bug Description</v>
      </c>
      <c r="M15" s="3"/>
      <c r="N15" s="3"/>
      <c r="O15" s="3"/>
    </row>
    <row r="16" spans="1:27" ht="15.75" customHeight="1">
      <c r="A16" s="3" t="s">
        <v>63</v>
      </c>
      <c r="B16" s="3"/>
      <c r="C16" s="3" t="str">
        <f ca="1">IFERROR(__xludf.DUMMYFUNCTION("""COMPUTED_VALUE"""),"Agree")</f>
        <v>Agree</v>
      </c>
      <c r="D16" s="3">
        <f ca="1">IFERROR(__xludf.DUMMYFUNCTION("""COMPUTED_VALUE"""),14)</f>
        <v>14</v>
      </c>
      <c r="E16" s="3" t="str">
        <f ca="1">IFERROR(__xludf.DUMMYFUNCTION("""COMPUTED_VALUE"""),"Yes")</f>
        <v>Yes</v>
      </c>
      <c r="F16" s="3" t="str">
        <f ca="1">IFERROR(__xludf.DUMMYFUNCTION("""COMPUTED_VALUE"""),"NoRef")</f>
        <v>NoRef</v>
      </c>
      <c r="G16" s="3">
        <f ca="1">IFERROR(__xludf.DUMMYFUNCTION("""COMPUTED_VALUE"""),1522950)</f>
        <v>1522950</v>
      </c>
      <c r="H16" s="3"/>
      <c r="I16" s="4" t="str">
        <f ca="1">IFERROR(__xludf.DUMMYFUNCTION("""COMPUTED_VALUE"""),"https://bugzilla.mozilla.org/show_bug.cgi?id=1522950")</f>
        <v>https://bugzilla.mozilla.org/show_bug.cgi?id=1522950</v>
      </c>
      <c r="J16" s="3" t="str">
        <f ca="1">IFERROR(__xludf.DUMMYFUNCTION("""COMPUTED_VALUE"""),"['builds/worker/workspace/build/tests/web-platform/prefs/lsan_suppressions.txt', 'treeherder.mozilla.org/logviewer.html', 'testing/mozbase/mozrunner/mozrunner/utils.py', 'treeherder.mozilla.org/intermittent-failures.html', 'runtests.py', 'fetch/api/abort/"&amp;"serviceworker-intercepted.https.html']")</f>
        <v>['builds/worker/workspace/build/tests/web-platform/prefs/lsan_suppressions.txt', 'treeherder.mozilla.org/logviewer.html', 'testing/mozbase/mozrunner/mozrunner/utils.py', 'treeherder.mozilla.org/intermittent-failures.html', 'runtests.py', 'fetch/api/abort/serviceworker-intercepted.https.html']</v>
      </c>
      <c r="K16" s="3" t="str">
        <f ca="1">IFERROR(__xludf.DUMMYFUNCTION("""COMPUTED_VALUE"""),"System Dumps")</f>
        <v>System Dumps</v>
      </c>
      <c r="L16" s="3" t="str">
        <f ca="1">IFERROR(__xludf.DUMMYFUNCTION("""COMPUTED_VALUE"""),"File contains the File to Reproduce the Bug that cause the failure ")</f>
        <v xml:space="preserve">File contains the File to Reproduce the Bug that cause the failure </v>
      </c>
      <c r="M16" s="3"/>
      <c r="N16" s="3"/>
      <c r="O16" s="3"/>
    </row>
    <row r="17" spans="1:15" ht="15.75" customHeight="1">
      <c r="A17" s="3" t="s">
        <v>63</v>
      </c>
      <c r="B17" s="3"/>
      <c r="C17" s="3" t="str">
        <f ca="1">IFERROR(__xludf.DUMMYFUNCTION("""COMPUTED_VALUE"""),"Agree")</f>
        <v>Agree</v>
      </c>
      <c r="D17" s="3">
        <f ca="1">IFERROR(__xludf.DUMMYFUNCTION("""COMPUTED_VALUE"""),15)</f>
        <v>15</v>
      </c>
      <c r="E17" s="3" t="str">
        <f ca="1">IFERROR(__xludf.DUMMYFUNCTION("""COMPUTED_VALUE"""),"Yes")</f>
        <v>Yes</v>
      </c>
      <c r="F17" s="3" t="str">
        <f ca="1">IFERROR(__xludf.DUMMYFUNCTION("""COMPUTED_VALUE"""),"NoRef")</f>
        <v>NoRef</v>
      </c>
      <c r="G17" s="3">
        <f ca="1">IFERROR(__xludf.DUMMYFUNCTION("""COMPUTED_VALUE"""),1657581)</f>
        <v>1657581</v>
      </c>
      <c r="H17" s="3"/>
      <c r="I17" s="4" t="str">
        <f ca="1">IFERROR(__xludf.DUMMYFUNCTION("""COMPUTED_VALUE"""),"https://bugzilla.mozilla.org/show_bug.cgi?id=1657581")</f>
        <v>https://bugzilla.mozilla.org/show_bug.cgi?id=1657581</v>
      </c>
      <c r="J17" s="3" t="str">
        <f ca="1">IFERROR(__xludf.DUMMYFUNCTION("""COMPUTED_VALUE"""),"['luke-chang.github.io/autofill-demo/basic_cc.html']")</f>
        <v>['luke-chang.github.io/autofill-demo/basic_cc.html']</v>
      </c>
      <c r="K17" s="3" t="str">
        <f ca="1">IFERROR(__xludf.DUMMYFUNCTION("""COMPUTED_VALUE"""),"File to Reproduce the Bug")</f>
        <v>File to Reproduce the Bug</v>
      </c>
      <c r="L17" s="3"/>
      <c r="M17" s="3"/>
      <c r="N17" s="3"/>
      <c r="O17" s="3"/>
    </row>
    <row r="18" spans="1:15" ht="15.75" customHeight="1">
      <c r="A18" s="3" t="s">
        <v>63</v>
      </c>
      <c r="B18" s="3" t="str">
        <f ca="1">IFERROR(__xludf.DUMMYFUNCTION("""COMPUTED_VALUE"""),"Agree")</f>
        <v>Agree</v>
      </c>
      <c r="C18" s="3" t="str">
        <f ca="1">IFERROR(__xludf.DUMMYFUNCTION("""COMPUTED_VALUE"""),"Partial")</f>
        <v>Partial</v>
      </c>
      <c r="D18" s="3">
        <f ca="1">IFERROR(__xludf.DUMMYFUNCTION("""COMPUTED_VALUE"""),16)</f>
        <v>16</v>
      </c>
      <c r="E18" s="3" t="str">
        <f ca="1">IFERROR(__xludf.DUMMYFUNCTION("""COMPUTED_VALUE"""),"Yes")</f>
        <v>Yes</v>
      </c>
      <c r="F18" s="3" t="str">
        <f ca="1">IFERROR(__xludf.DUMMYFUNCTION("""COMPUTED_VALUE"""),"NoRef")</f>
        <v>NoRef</v>
      </c>
      <c r="G18" s="3">
        <f ca="1">IFERROR(__xludf.DUMMYFUNCTION("""COMPUTED_VALUE"""),1645384)</f>
        <v>1645384</v>
      </c>
      <c r="H18" s="3"/>
      <c r="I18" s="3" t="str">
        <f ca="1">IFERROR(__xludf.DUMMYFUNCTION("""COMPUTED_VALUE"""),"1645384 - ""More Information"" link of ""Install dependencies (non-Windows)"" in Firefox source docs Contributors’ Quick Reference is broken")</f>
        <v>1645384 - "More Information" link of "Install dependencies (non-Windows)" in Firefox source docs Contributors’ Quick Reference is broken</v>
      </c>
      <c r="J18" s="3" t="str">
        <f ca="1">IFERROR(__xludf.DUMMYFUNCTION("""COMPUTED_VALUE"""),"['firefox-source-docs.mozilla.org/setup/macos_build.html', 'firefox-source-docs.mozilla.org/contributing/contribution_quickref.html', 'firefox-source-docs.mozilla.org/setup/linux_build.html']")</f>
        <v>['firefox-source-docs.mozilla.org/setup/macos_build.html', 'firefox-source-docs.mozilla.org/contributing/contribution_quickref.html', 'firefox-source-docs.mozilla.org/setup/linux_build.html']</v>
      </c>
      <c r="K18" s="3" t="str">
        <f ca="1">IFERROR(__xludf.DUMMYFUNCTION("""COMPUTED_VALUE"""),"Bug Description")</f>
        <v>Bug Description</v>
      </c>
      <c r="L18" s="3" t="str">
        <f ca="1">IFERROR(__xludf.DUMMYFUNCTION("""COMPUTED_VALUE"""),"Links")</f>
        <v>Links</v>
      </c>
      <c r="M18" s="3"/>
      <c r="N18" s="3"/>
      <c r="O18" s="3"/>
    </row>
    <row r="19" spans="1:15" ht="15.75" customHeight="1">
      <c r="A19" s="3" t="s">
        <v>63</v>
      </c>
      <c r="B19" s="3"/>
      <c r="C19" s="3" t="str">
        <f ca="1">IFERROR(__xludf.DUMMYFUNCTION("""COMPUTED_VALUE"""),"Agree")</f>
        <v>Agree</v>
      </c>
      <c r="D19" s="3">
        <f ca="1">IFERROR(__xludf.DUMMYFUNCTION("""COMPUTED_VALUE"""),17)</f>
        <v>17</v>
      </c>
      <c r="E19" s="3" t="str">
        <f ca="1">IFERROR(__xludf.DUMMYFUNCTION("""COMPUTED_VALUE"""),"Yes")</f>
        <v>Yes</v>
      </c>
      <c r="F19" s="3" t="str">
        <f ca="1">IFERROR(__xludf.DUMMYFUNCTION("""COMPUTED_VALUE"""),"NoRef")</f>
        <v>NoRef</v>
      </c>
      <c r="G19" s="3">
        <f ca="1">IFERROR(__xludf.DUMMYFUNCTION("""COMPUTED_VALUE"""),1722890)</f>
        <v>1722890</v>
      </c>
      <c r="H19" s="3"/>
      <c r="I19" s="4" t="str">
        <f ca="1">IFERROR(__xludf.DUMMYFUNCTION("""COMPUTED_VALUE"""),"https://bugzilla.mozilla.org/show_bug.cgi?id=1722890")</f>
        <v>https://bugzilla.mozilla.org/show_bug.cgi?id=1722890</v>
      </c>
      <c r="J19" s="3" t="str">
        <f ca="1">IFERROR(__xludf.DUMMYFUNCTION("""COMPUTED_VALUE"""),"['footer_testing.html']")</f>
        <v>['footer_testing.html']</v>
      </c>
      <c r="K19" s="3" t="str">
        <f ca="1">IFERROR(__xludf.DUMMYFUNCTION("""COMPUTED_VALUE"""),"File to Reproduce the Bug")</f>
        <v>File to Reproduce the Bug</v>
      </c>
      <c r="L19" s="3"/>
      <c r="M19" s="3"/>
      <c r="N19" s="3"/>
      <c r="O19" s="3"/>
    </row>
    <row r="20" spans="1:15" ht="15.75" customHeight="1">
      <c r="A20" s="3" t="s">
        <v>63</v>
      </c>
      <c r="B20" s="3"/>
      <c r="C20" s="3" t="str">
        <f ca="1">IFERROR(__xludf.DUMMYFUNCTION("""COMPUTED_VALUE"""),"Agree")</f>
        <v>Agree</v>
      </c>
      <c r="D20" s="3">
        <f ca="1">IFERROR(__xludf.DUMMYFUNCTION("""COMPUTED_VALUE"""),18)</f>
        <v>18</v>
      </c>
      <c r="E20" s="3" t="str">
        <f ca="1">IFERROR(__xludf.DUMMYFUNCTION("""COMPUTED_VALUE"""),"Yes")</f>
        <v>Yes</v>
      </c>
      <c r="F20" s="3" t="str">
        <f ca="1">IFERROR(__xludf.DUMMYFUNCTION("""COMPUTED_VALUE"""),"NoRef")</f>
        <v>NoRef</v>
      </c>
      <c r="G20" s="3">
        <f ca="1">IFERROR(__xludf.DUMMYFUNCTION("""COMPUTED_VALUE"""),1598841)</f>
        <v>1598841</v>
      </c>
      <c r="H20" s="3"/>
      <c r="I20" s="4" t="str">
        <f ca="1">IFERROR(__xludf.DUMMYFUNCTION("""COMPUTED_VALUE"""),"https://bugzilla.mozilla.org/show_bug.cgi?id=1598841")</f>
        <v>https://bugzilla.mozilla.org/show_bug.cgi?id=1598841</v>
      </c>
      <c r="J20" s="3" t="str">
        <f ca="1">IFERROR(__xludf.DUMMYFUNCTION("""COMPUTED_VALUE"""),"['helpx.adobe.com/flash-player.html']")</f>
        <v>['helpx.adobe.com/flash-player.html']</v>
      </c>
      <c r="K20" s="3" t="str">
        <f ca="1">IFERROR(__xludf.DUMMYFUNCTION("""COMPUTED_VALUE"""),"File to Reproduce the Bug")</f>
        <v>File to Reproduce the Bug</v>
      </c>
      <c r="L20" s="3"/>
      <c r="M20" s="3"/>
      <c r="N20" s="3"/>
      <c r="O20" s="3"/>
    </row>
    <row r="21" spans="1:15" ht="15.75" customHeight="1">
      <c r="A21" s="3" t="s">
        <v>63</v>
      </c>
      <c r="B21" s="3" t="str">
        <f ca="1">IFERROR(__xludf.DUMMYFUNCTION("""COMPUTED_VALUE"""),"Agree")</f>
        <v>Agree</v>
      </c>
      <c r="C21" s="3" t="str">
        <f ca="1">IFERROR(__xludf.DUMMYFUNCTION("""COMPUTED_VALUE"""),"Disagree")</f>
        <v>Disagree</v>
      </c>
      <c r="D21" s="3">
        <f ca="1">IFERROR(__xludf.DUMMYFUNCTION("""COMPUTED_VALUE"""),19)</f>
        <v>19</v>
      </c>
      <c r="E21" s="3" t="str">
        <f ca="1">IFERROR(__xludf.DUMMYFUNCTION("""COMPUTED_VALUE"""),"Yes")</f>
        <v>Yes</v>
      </c>
      <c r="F21" s="3" t="str">
        <f ca="1">IFERROR(__xludf.DUMMYFUNCTION("""COMPUTED_VALUE"""),"NoRef")</f>
        <v>NoRef</v>
      </c>
      <c r="G21" s="3">
        <f ca="1">IFERROR(__xludf.DUMMYFUNCTION("""COMPUTED_VALUE"""),1722958)</f>
        <v>1722958</v>
      </c>
      <c r="H21" s="3"/>
      <c r="I21" s="4" t="str">
        <f ca="1">IFERROR(__xludf.DUMMYFUNCTION("""COMPUTED_VALUE"""),"https://bugzilla.mozilla.org/show_bug.cgi?id=1722958")</f>
        <v>https://bugzilla.mozilla.org/show_bug.cgi?id=1722958</v>
      </c>
      <c r="J21" s="3" t="str">
        <f ca="1">IFERROR(__xludf.DUMMYFUNCTION("""COMPUTED_VALUE"""),"['browser.xhtml']")</f>
        <v>['browser.xhtml']</v>
      </c>
      <c r="K21" s="3" t="str">
        <f ca="1">IFERROR(__xludf.DUMMYFUNCTION("""COMPUTED_VALUE"""),"Bug Description")</f>
        <v>Bug Description</v>
      </c>
      <c r="L21" s="3" t="str">
        <f ca="1">IFERROR(__xludf.DUMMYFUNCTION("""COMPUTED_VALUE"""),"Backout")</f>
        <v>Backout</v>
      </c>
      <c r="M21" s="3"/>
      <c r="N21" s="3"/>
      <c r="O21" s="3"/>
    </row>
    <row r="22" spans="1:15" ht="15.75" customHeight="1">
      <c r="A22" s="3" t="s">
        <v>63</v>
      </c>
      <c r="B22" s="3"/>
      <c r="C22" s="3" t="str">
        <f ca="1">IFERROR(__xludf.DUMMYFUNCTION("""COMPUTED_VALUE"""),"Agree")</f>
        <v>Agree</v>
      </c>
      <c r="D22" s="3">
        <f ca="1">IFERROR(__xludf.DUMMYFUNCTION("""COMPUTED_VALUE"""),20)</f>
        <v>20</v>
      </c>
      <c r="E22" s="3" t="str">
        <f ca="1">IFERROR(__xludf.DUMMYFUNCTION("""COMPUTED_VALUE"""),"Yes")</f>
        <v>Yes</v>
      </c>
      <c r="F22" s="3" t="str">
        <f ca="1">IFERROR(__xludf.DUMMYFUNCTION("""COMPUTED_VALUE"""),"NoRef")</f>
        <v>NoRef</v>
      </c>
      <c r="G22" s="3">
        <f ca="1">IFERROR(__xludf.DUMMYFUNCTION("""COMPUTED_VALUE"""),1755569)</f>
        <v>1755569</v>
      </c>
      <c r="H22" s="3"/>
      <c r="I22" s="4" t="str">
        <f ca="1">IFERROR(__xludf.DUMMYFUNCTION("""COMPUTED_VALUE"""),"https://bugzilla.mozilla.org/show_bug.cgi?id=1755569")</f>
        <v>https://bugzilla.mozilla.org/show_bug.cgi?id=1755569</v>
      </c>
      <c r="J22" s="3" t="str">
        <f ca="1">IFERROR(__xludf.DUMMYFUNCTION("""COMPUTED_VALUE"""),"['python/mozbuild/mozbuild/test/test_vendor.py', 'mach_virtualenv_packages.txt', 'builds/worker/checkouts/gecko/python/mozbuild/mozbuild/test/configure/test_toolchain_configure.py', 'python/mozbuild/mozbuild/test/configure/test_toolchain_configure.py', 'u"&amp;"sr/lib/python3.6/subprocess.py', 'builds/worker/checkouts/gecko/config/mozunit/mozunit/pytest.ini', 'docs.pytest.org/en/latest/warnings.html', 'common_virtualenv_packages.txt', 'builds/worker/checkouts/gecko/python/mozbuild/mozbuild/test/test_vendor.py']")</f>
        <v>['python/mozbuild/mozbuild/test/test_vendor.py', 'mach_virtualenv_packages.txt', 'builds/worker/checkouts/gecko/python/mozbuild/mozbuild/test/configure/test_toolchain_configure.py', 'python/mozbuild/mozbuild/test/configure/test_toolchain_configure.py', 'usr/lib/python3.6/subprocess.py', 'builds/worker/checkouts/gecko/config/mozunit/mozunit/pytest.ini', 'docs.pytest.org/en/latest/warnings.html', 'common_virtualenv_packages.txt', 'builds/worker/checkouts/gecko/python/mozbuild/mozbuild/test/test_vendor.py']</v>
      </c>
      <c r="K22" s="3" t="str">
        <f ca="1">IFERROR(__xludf.DUMMYFUNCTION("""COMPUTED_VALUE"""),"System Dumps")</f>
        <v>System Dumps</v>
      </c>
      <c r="L22" s="3"/>
      <c r="M22" s="3"/>
      <c r="N22" s="3"/>
      <c r="O22" s="3"/>
    </row>
    <row r="23" spans="1:15" ht="15.75" customHeight="1">
      <c r="A23" s="3" t="s">
        <v>63</v>
      </c>
      <c r="B23" s="3" t="str">
        <f ca="1">IFERROR(__xludf.DUMMYFUNCTION("""COMPUTED_VALUE"""),"Agree")</f>
        <v>Agree</v>
      </c>
      <c r="C23" s="3" t="str">
        <f ca="1">IFERROR(__xludf.DUMMYFUNCTION("""COMPUTED_VALUE"""),"Disagree")</f>
        <v>Disagree</v>
      </c>
      <c r="D23" s="3">
        <f ca="1">IFERROR(__xludf.DUMMYFUNCTION("""COMPUTED_VALUE"""),21)</f>
        <v>21</v>
      </c>
      <c r="E23" s="3" t="str">
        <f ca="1">IFERROR(__xludf.DUMMYFUNCTION("""COMPUTED_VALUE"""),"Yes")</f>
        <v>Yes</v>
      </c>
      <c r="F23" s="3" t="str">
        <f ca="1">IFERROR(__xludf.DUMMYFUNCTION("""COMPUTED_VALUE"""),"NoRef")</f>
        <v>NoRef</v>
      </c>
      <c r="G23" s="3">
        <f ca="1">IFERROR(__xludf.DUMMYFUNCTION("""COMPUTED_VALUE"""),1709678)</f>
        <v>1709678</v>
      </c>
      <c r="H23" s="3"/>
      <c r="I23" s="4" t="str">
        <f ca="1">IFERROR(__xludf.DUMMYFUNCTION("""COMPUTED_VALUE"""),"https://bugzilla.mozilla.org/show_bug.cgi?id=1709678")</f>
        <v>https://bugzilla.mozilla.org/show_bug.cgi?id=1709678</v>
      </c>
      <c r="J23" s="3" t="str">
        <f ca="1">IFERROR(__xludf.DUMMYFUNCTION("""COMPUTED_VALUE"""),"['searchfox.org/comm-central/rev/343b0f067aa13526b37b3254f614d1bfe9feeba2/mail/components/im/content/chat-conversation.js', 'comm/mail/components/im/test/browser/browser_logs.js']")</f>
        <v>['searchfox.org/comm-central/rev/343b0f067aa13526b37b3254f614d1bfe9feeba2/mail/components/im/content/chat-conversation.js', 'comm/mail/components/im/test/browser/browser_logs.js']</v>
      </c>
      <c r="K23" s="3" t="str">
        <f ca="1">IFERROR(__xludf.DUMMYFUNCTION("""COMPUTED_VALUE"""),"Bug Description")</f>
        <v>Bug Description</v>
      </c>
      <c r="L23" s="3" t="str">
        <f ca="1">IFERROR(__xludf.DUMMYFUNCTION("""COMPUTED_VALUE"""),"Missing Mapping")</f>
        <v>Missing Mapping</v>
      </c>
      <c r="M23" s="3"/>
      <c r="N23" s="3" t="str">
        <f ca="1">IFERROR(__xludf.DUMMYFUNCTION("""COMPUTED_VALUE"""),"Another file that is broken due to the bug")</f>
        <v>Another file that is broken due to the bug</v>
      </c>
      <c r="O23" s="3"/>
    </row>
    <row r="24" spans="1:15" ht="15.75" customHeight="1">
      <c r="A24" s="3" t="s">
        <v>63</v>
      </c>
      <c r="B24" s="3" t="str">
        <f ca="1">IFERROR(__xludf.DUMMYFUNCTION("""COMPUTED_VALUE"""),"Agree")</f>
        <v>Agree</v>
      </c>
      <c r="C24" s="3" t="str">
        <f ca="1">IFERROR(__xludf.DUMMYFUNCTION("""COMPUTED_VALUE"""),"Partial")</f>
        <v>Partial</v>
      </c>
      <c r="D24" s="3">
        <f ca="1">IFERROR(__xludf.DUMMYFUNCTION("""COMPUTED_VALUE"""),22)</f>
        <v>22</v>
      </c>
      <c r="E24" s="3" t="str">
        <f ca="1">IFERROR(__xludf.DUMMYFUNCTION("""COMPUTED_VALUE"""),"Yes")</f>
        <v>Yes</v>
      </c>
      <c r="F24" s="3" t="str">
        <f ca="1">IFERROR(__xludf.DUMMYFUNCTION("""COMPUTED_VALUE"""),"NoRef")</f>
        <v>NoRef</v>
      </c>
      <c r="G24" s="3">
        <f ca="1">IFERROR(__xludf.DUMMYFUNCTION("""COMPUTED_VALUE"""),1692677)</f>
        <v>1692677</v>
      </c>
      <c r="H24" s="3"/>
      <c r="I24" s="4" t="str">
        <f ca="1">IFERROR(__xludf.DUMMYFUNCTION("""COMPUTED_VALUE"""),"https://bugzilla.mozilla.org/show_bug.cgi?id=1692677")</f>
        <v>https://bugzilla.mozilla.org/show_bug.cgi?id=1692677</v>
      </c>
      <c r="J24" s="3" t="str">
        <f ca="1">IFERROR(__xludf.DUMMYFUNCTION("""COMPUTED_VALUE"""),"['searchfox.org/comm-central/rev/e041628b77df22c5f6e793733890e0c3709991d4/mail/components/compose/content/messengercompose.xhtml', 'hg.mozilla.org/comm-central/diff/8bb80263dee66803a38e74bc0bca714a1ab3620d/mail/themes/shared/mail/messengercompose.css', 'b"&amp;"uilds/worker/checkouts/gecko/layout/base/nsCSSFrameConstructor.cpp', 'searchfox.org/mozilla-central/rev/a23e65c5d69a821f61d14c8ec1f69a120e3f77d1/layout/base/nsCSSFrameConstructor.cpp']")</f>
        <v>['searchfox.org/comm-central/rev/e041628b77df22c5f6e793733890e0c3709991d4/mail/components/compose/content/messengercompose.xhtml', 'hg.mozilla.org/comm-central/diff/8bb80263dee66803a38e74bc0bca714a1ab3620d/mail/themes/shared/mail/messengercompose.css', 'builds/worker/checkouts/gecko/layout/base/nsCSSFrameConstructor.cpp', 'searchfox.org/mozilla-central/rev/a23e65c5d69a821f61d14c8ec1f69a120e3f77d1/layout/base/nsCSSFrameConstructor.cpp']</v>
      </c>
      <c r="K24" s="3" t="str">
        <f ca="1">IFERROR(__xludf.DUMMYFUNCTION("""COMPUTED_VALUE"""),"System Dumps")</f>
        <v>System Dumps</v>
      </c>
      <c r="L24" s="3" t="str">
        <f ca="1">IFERROR(__xludf.DUMMYFUNCTION("""COMPUTED_VALUE"""),"Bug Description")</f>
        <v>Bug Description</v>
      </c>
      <c r="M24" s="3" t="str">
        <f ca="1">IFERROR(__xludf.DUMMYFUNCTION("""COMPUTED_VALUE"""),"File name in bug title")</f>
        <v>File name in bug title</v>
      </c>
      <c r="N24" s="3"/>
      <c r="O24" s="3" t="str">
        <f ca="1">IFERROR(__xludf.DUMMYFUNCTION("""COMPUTED_VALUE"""),"Missing Mapping: from Thunderbird, there are cases in which BugBug can not analyze or get all the information to extract files involved in fixing introducing commit or bug introducing commit. ")</f>
        <v xml:space="preserve">Missing Mapping: from Thunderbird, there are cases in which BugBug can not analyze or get all the information to extract files involved in fixing introducing commit or bug introducing commit. </v>
      </c>
    </row>
    <row r="25" spans="1:15" ht="15.75" customHeight="1">
      <c r="A25" s="3" t="s">
        <v>63</v>
      </c>
      <c r="B25" s="3"/>
      <c r="C25" s="3" t="str">
        <f ca="1">IFERROR(__xludf.DUMMYFUNCTION("""COMPUTED_VALUE"""),"Agree")</f>
        <v>Agree</v>
      </c>
      <c r="D25" s="3">
        <f ca="1">IFERROR(__xludf.DUMMYFUNCTION("""COMPUTED_VALUE"""),23)</f>
        <v>23</v>
      </c>
      <c r="E25" s="3" t="str">
        <f ca="1">IFERROR(__xludf.DUMMYFUNCTION("""COMPUTED_VALUE"""),"Yes")</f>
        <v>Yes</v>
      </c>
      <c r="F25" s="3" t="str">
        <f ca="1">IFERROR(__xludf.DUMMYFUNCTION("""COMPUTED_VALUE"""),"NoRef")</f>
        <v>NoRef</v>
      </c>
      <c r="G25" s="3">
        <f ca="1">IFERROR(__xludf.DUMMYFUNCTION("""COMPUTED_VALUE"""),1561450)</f>
        <v>1561450</v>
      </c>
      <c r="H25" s="3"/>
      <c r="I25" s="4" t="str">
        <f ca="1">IFERROR(__xludf.DUMMYFUNCTION("""COMPUTED_VALUE"""),"https://bugzilla.mozilla.org/show_bug.cgi?id=1561450")</f>
        <v>https://bugzilla.mozilla.org/show_bug.cgi?id=1561450</v>
      </c>
      <c r="J25" s="3" t="str">
        <f ca="1">IFERROR(__xludf.DUMMYFUNCTION("""COMPUTED_VALUE"""),"['N.css', 'P.css']")</f>
        <v>['N.css', 'P.css']</v>
      </c>
      <c r="K25" s="3" t="str">
        <f ca="1">IFERROR(__xludf.DUMMYFUNCTION("""COMPUTED_VALUE"""),"Part of Code")</f>
        <v>Part of Code</v>
      </c>
      <c r="L25" s="3"/>
      <c r="M25" s="3"/>
      <c r="N25" s="3"/>
      <c r="O25" s="3" t="str">
        <f ca="1">IFERROR(__xludf.DUMMYFUNCTION("""COMPUTED_VALUE"""),"The developer explains code snippet, these are probably not file names but part of the code")</f>
        <v>The developer explains code snippet, these are probably not file names but part of the code</v>
      </c>
    </row>
    <row r="26" spans="1:15" ht="15.75" customHeight="1">
      <c r="A26" s="3" t="s">
        <v>63</v>
      </c>
      <c r="B26" s="3"/>
      <c r="C26" s="3" t="str">
        <f ca="1">IFERROR(__xludf.DUMMYFUNCTION("""COMPUTED_VALUE"""),"Agree")</f>
        <v>Agree</v>
      </c>
      <c r="D26" s="3">
        <f ca="1">IFERROR(__xludf.DUMMYFUNCTION("""COMPUTED_VALUE"""),24)</f>
        <v>24</v>
      </c>
      <c r="E26" s="3" t="str">
        <f ca="1">IFERROR(__xludf.DUMMYFUNCTION("""COMPUTED_VALUE"""),"Yes")</f>
        <v>Yes</v>
      </c>
      <c r="F26" s="3" t="str">
        <f ca="1">IFERROR(__xludf.DUMMYFUNCTION("""COMPUTED_VALUE"""),"NoRef")</f>
        <v>NoRef</v>
      </c>
      <c r="G26" s="3">
        <f ca="1">IFERROR(__xludf.DUMMYFUNCTION("""COMPUTED_VALUE"""),1774125)</f>
        <v>1774125</v>
      </c>
      <c r="H26" s="3"/>
      <c r="I26" s="4" t="str">
        <f ca="1">IFERROR(__xludf.DUMMYFUNCTION("""COMPUTED_VALUE"""),"https://bugzilla.mozilla.org/show_bug.cgi?id=1774125")</f>
        <v>https://bugzilla.mozilla.org/show_bug.cgi?id=1774125</v>
      </c>
      <c r="J26" s="3" t="str">
        <f ca="1">IFERROR(__xludf.DUMMYFUNCTION("""COMPUTED_VALUE"""),"['library/core/src/panicking.rs', 'mozglue/static/rust/lib.rs', 'library/std/src/sys_common/backtrace.rs', '../fe5b13d681f25ee6474be29d748c65adcd91f69e/library/core/src/ops/function.rs', 'library/std/src/panicking.rs', 'mozglue/static/rust/wrappers.cpp']")</f>
        <v>['library/core/src/panicking.rs', 'mozglue/static/rust/lib.rs', 'library/std/src/sys_common/backtrace.rs', '../fe5b13d681f25ee6474be29d748c65adcd91f69e/library/core/src/ops/function.rs', 'library/std/src/panicking.rs', 'mozglue/static/rust/wrappers.cpp']</v>
      </c>
      <c r="K26" s="3" t="str">
        <f ca="1">IFERROR(__xludf.DUMMYFUNCTION("""COMPUTED_VALUE"""),"System Dumps")</f>
        <v>System Dumps</v>
      </c>
      <c r="L26" s="3" t="str">
        <f ca="1">IFERROR(__xludf.DUMMYFUNCTION("""COMPUTED_VALUE"""),"Backout")</f>
        <v>Backout</v>
      </c>
      <c r="M26" s="3"/>
      <c r="N26" s="3"/>
      <c r="O26" s="3"/>
    </row>
    <row r="27" spans="1:15" ht="15.75" customHeight="1">
      <c r="A27" s="3" t="s">
        <v>63</v>
      </c>
      <c r="B27" s="3"/>
      <c r="C27" s="3" t="str">
        <f ca="1">IFERROR(__xludf.DUMMYFUNCTION("""COMPUTED_VALUE"""),"Agree")</f>
        <v>Agree</v>
      </c>
      <c r="D27" s="3">
        <f ca="1">IFERROR(__xludf.DUMMYFUNCTION("""COMPUTED_VALUE"""),25)</f>
        <v>25</v>
      </c>
      <c r="E27" s="3" t="str">
        <f ca="1">IFERROR(__xludf.DUMMYFUNCTION("""COMPUTED_VALUE"""),"Yes")</f>
        <v>Yes</v>
      </c>
      <c r="F27" s="3" t="str">
        <f ca="1">IFERROR(__xludf.DUMMYFUNCTION("""COMPUTED_VALUE"""),"NoRef")</f>
        <v>NoRef</v>
      </c>
      <c r="G27" s="3">
        <f ca="1">IFERROR(__xludf.DUMMYFUNCTION("""COMPUTED_VALUE"""),1764725)</f>
        <v>1764725</v>
      </c>
      <c r="H27" s="3"/>
      <c r="I27" s="4" t="str">
        <f ca="1">IFERROR(__xludf.DUMMYFUNCTION("""COMPUTED_VALUE"""),"https://bugzilla.mozilla.org/show_bug.cgi?id=1764725")</f>
        <v>https://bugzilla.mozilla.org/show_bug.cgi?id=1764725</v>
      </c>
      <c r="J27" s="3" t="str">
        <f ca="1">IFERROR(__xludf.DUMMYFUNCTION("""COMPUTED_VALUE"""),"['builds/worker/workspace/obj-build/dist/include/gmock/internal/gmock-internal-utils.h', 'builds/worker/workspace/obj-build/dist/include/gtest/gtest.h', 'builds/worker/workspace/obj-build/dist/include/gmock/gmock-actions.h', 'builds/worker/workspace/obj-b"&amp;"uild/dist/include/gmock/gmock.h', 'builds/worker/workspace/obj-build/dist/include/gtest/internal/gtest-death-test-internal.h', 'builds/worker/workspace/obj-build/dist/include/gmock/gmock-function-mocker.h', 'builds/worker/workspace/obj-build/dist/include/"&amp;"gtest/gtest-matchers.h', 'builds/worker/workspace/obj-build/dist/include/gtest/gtest-death-test.h', 'Unified_cpp_tests_gtest0.cpp', 'builds/worker/checkouts/gecko/devtools/shared/heapsnapshot/tests/gtest/DevTools.h', 'builds/worker/checkouts/gecko/devtool"&amp;"s/shared/heapsnapshot/tests/gtest/DeserializedNodeUbiNodes.cpp']")</f>
        <v>['builds/worker/workspace/obj-build/dist/include/gmock/internal/gmock-internal-utils.h', 'builds/worker/workspace/obj-build/dist/include/gtest/gtest.h', 'builds/worker/workspace/obj-build/dist/include/gmock/gmock-actions.h', 'builds/worker/workspace/obj-build/dist/include/gmock/gmock.h', 'builds/worker/workspace/obj-build/dist/include/gtest/internal/gtest-death-test-internal.h', 'builds/worker/workspace/obj-build/dist/include/gmock/gmock-function-mocker.h', 'builds/worker/workspace/obj-build/dist/include/gtest/gtest-matchers.h', 'builds/worker/workspace/obj-build/dist/include/gtest/gtest-death-test.h', 'Unified_cpp_tests_gtest0.cpp', 'builds/worker/checkouts/gecko/devtools/shared/heapsnapshot/tests/gtest/DevTools.h', 'builds/worker/checkouts/gecko/devtools/shared/heapsnapshot/tests/gtest/DeserializedNodeUbiNodes.cpp']</v>
      </c>
      <c r="K27" s="3" t="str">
        <f ca="1">IFERROR(__xludf.DUMMYFUNCTION("""COMPUTED_VALUE"""),"System Dumps")</f>
        <v>System Dumps</v>
      </c>
      <c r="L27" s="3"/>
      <c r="M27" s="3"/>
      <c r="N27" s="3"/>
      <c r="O27" s="3"/>
    </row>
    <row r="28" spans="1:15" ht="15.75" customHeight="1">
      <c r="A28" s="3" t="s">
        <v>63</v>
      </c>
      <c r="B28" s="3"/>
      <c r="C28" s="3" t="str">
        <f ca="1">IFERROR(__xludf.DUMMYFUNCTION("""COMPUTED_VALUE"""),"Agree")</f>
        <v>Agree</v>
      </c>
      <c r="D28" s="3">
        <f ca="1">IFERROR(__xludf.DUMMYFUNCTION("""COMPUTED_VALUE"""),26)</f>
        <v>26</v>
      </c>
      <c r="E28" s="3" t="str">
        <f ca="1">IFERROR(__xludf.DUMMYFUNCTION("""COMPUTED_VALUE"""),"Yes")</f>
        <v>Yes</v>
      </c>
      <c r="F28" s="3" t="str">
        <f ca="1">IFERROR(__xludf.DUMMYFUNCTION("""COMPUTED_VALUE"""),"NoRef")</f>
        <v>NoRef</v>
      </c>
      <c r="G28" s="3">
        <f ca="1">IFERROR(__xludf.DUMMYFUNCTION("""COMPUTED_VALUE"""),1659973)</f>
        <v>1659973</v>
      </c>
      <c r="H28" s="3"/>
      <c r="I28" s="4" t="str">
        <f ca="1">IFERROR(__xludf.DUMMYFUNCTION("""COMPUTED_VALUE"""),"https://bugzilla.mozilla.org/show_bug.cgi?id=1659973")</f>
        <v>https://bugzilla.mozilla.org/show_bug.cgi?id=1659973</v>
      </c>
      <c r="J28" s="3" t="str">
        <f ca="1">IFERROR(__xludf.DUMMYFUNCTION("""COMPUTED_VALUE"""),"['8888/tests/SimpleTest/TestRunner.js', 'builds/worker/checkouts/gecko/xpcom/base/nsCycleCollector.cpp', 'builds/worker/checkouts/gecko/modules/libpref/Preferences.cpp', 'treeherder.mozilla.org/logviewer.html', 'builds/worker/checkouts/gecko/xpcom/base/ns"&amp;"TraceRefcnt.cpp', 'builds/worker/checkouts/gecko/tools/profiler/core/platform.cpp', 'builds/worker/checkouts/gecko/dom/media/CubebUtils.cpp', 'treeherder.mozilla.org/intermittent-failures.html', '8888/tests/dom/events/test/test_continuous_wheel_events.htm"&amp;"l']")</f>
        <v>['8888/tests/SimpleTest/TestRunner.js', 'builds/worker/checkouts/gecko/xpcom/base/nsCycleCollector.cpp', 'builds/worker/checkouts/gecko/modules/libpref/Preferences.cpp', 'treeherder.mozilla.org/logviewer.html', 'builds/worker/checkouts/gecko/xpcom/base/nsTraceRefcnt.cpp', 'builds/worker/checkouts/gecko/tools/profiler/core/platform.cpp', 'builds/worker/checkouts/gecko/dom/media/CubebUtils.cpp', 'treeherder.mozilla.org/intermittent-failures.html', '8888/tests/dom/events/test/test_continuous_wheel_events.html']</v>
      </c>
      <c r="K28" s="3" t="str">
        <f ca="1">IFERROR(__xludf.DUMMYFUNCTION("""COMPUTED_VALUE"""),"System Dumps")</f>
        <v>System Dumps</v>
      </c>
      <c r="L28" s="3"/>
      <c r="M28" s="3"/>
      <c r="N28" s="3"/>
      <c r="O28" s="3"/>
    </row>
    <row r="29" spans="1:15" ht="15.75" customHeight="1">
      <c r="A29" s="3" t="s">
        <v>63</v>
      </c>
      <c r="B29" s="3" t="str">
        <f ca="1">IFERROR(__xludf.DUMMYFUNCTION("""COMPUTED_VALUE"""),"Agree")</f>
        <v>Agree</v>
      </c>
      <c r="C29" s="3" t="str">
        <f ca="1">IFERROR(__xludf.DUMMYFUNCTION("""COMPUTED_VALUE"""),"Disagree")</f>
        <v>Disagree</v>
      </c>
      <c r="D29" s="3">
        <f ca="1">IFERROR(__xludf.DUMMYFUNCTION("""COMPUTED_VALUE"""),27)</f>
        <v>27</v>
      </c>
      <c r="E29" s="3" t="str">
        <f ca="1">IFERROR(__xludf.DUMMYFUNCTION("""COMPUTED_VALUE"""),"Yes")</f>
        <v>Yes</v>
      </c>
      <c r="F29" s="3" t="str">
        <f ca="1">IFERROR(__xludf.DUMMYFUNCTION("""COMPUTED_VALUE"""),"NoRef")</f>
        <v>NoRef</v>
      </c>
      <c r="G29" s="3">
        <f ca="1">IFERROR(__xludf.DUMMYFUNCTION("""COMPUTED_VALUE"""),1781747)</f>
        <v>1781747</v>
      </c>
      <c r="H29" s="3"/>
      <c r="I29" s="4" t="str">
        <f ca="1">IFERROR(__xludf.DUMMYFUNCTION("""COMPUTED_VALUE"""),"https://bugzilla.mozilla.org/show_bug.cgi?id=1781747")</f>
        <v>https://bugzilla.mozilla.org/show_bug.cgi?id=1781747</v>
      </c>
      <c r="J29" s="3" t="str">
        <f ca="1">IFERROR(__xludf.DUMMYFUNCTION("""COMPUTED_VALUE"""),"['\\moz\\mozilla-unified\\js\\xpconnect\\src\\XPCWrappedNative.cpp', '\\moz\\mozilla-unified\\js\\src\\vm\\Interpreter.cpp', '\\moz\\mozilla-unified\\widget\\nsIWidget.h', '\\moz\\mozilla-unified\\toolkit\\components\\windowwatcher\\nsWindowWatcher.cpp', "&amp;"'\\moz\\mozilla-unified\\js\\xpconnect\\src\\XPCWrappedNativeJSOps.cpp', '\\moz\\mozilla-unified\\xpfe\\appshell\\nsAppShellService.cpp', '\\moz\\mozilla-unified\\widget\\windows\\nsWindow.cpp', '\\moz\\mozilla-unified\\toolkit\\components\\alerts\\nsAler"&amp;"tsService.cpp', '\\moz\\mozilla-unified\\toolkit\\components\\startup\\nsAppStartup.cpp', '\\moz\\mozilla-unified\\js\\src\\jit\\BaselineIC.cpp', '\\moz\\mozilla-unified\\toolkit\\components\\alerts\\nsXULAlerts.cpp', '\\moz\\mozilla-unified\\xpfe\\appshe"&amp;"ll\\AppWindow.cpp']")</f>
        <v>['\\moz\\mozilla-unified\\js\\xpconnect\\src\\XPCWrappedNative.cpp', '\\moz\\mozilla-unified\\js\\src\\vm\\Interpreter.cpp', '\\moz\\mozilla-unified\\widget\\nsIWidget.h', '\\moz\\mozilla-unified\\toolkit\\components\\windowwatcher\\nsWindowWatcher.cpp', '\\moz\\mozilla-unified\\js\\xpconnect\\src\\XPCWrappedNativeJSOps.cpp', '\\moz\\mozilla-unified\\xpfe\\appshell\\nsAppShellService.cpp', '\\moz\\mozilla-unified\\widget\\windows\\nsWindow.cpp', '\\moz\\mozilla-unified\\toolkit\\components\\alerts\\nsAlertsService.cpp', '\\moz\\mozilla-unified\\toolkit\\components\\startup\\nsAppStartup.cpp', '\\moz\\mozilla-unified\\js\\src\\jit\\BaselineIC.cpp', '\\moz\\mozilla-unified\\toolkit\\components\\alerts\\nsXULAlerts.cpp', '\\moz\\mozilla-unified\\xpfe\\appshell\\AppWindow.cpp']</v>
      </c>
      <c r="K29" s="3" t="str">
        <f ca="1">IFERROR(__xludf.DUMMYFUNCTION("""COMPUTED_VALUE"""),"System Dumps")</f>
        <v>System Dumps</v>
      </c>
      <c r="L29" s="3" t="str">
        <f ca="1">IFERROR(__xludf.DUMMYFUNCTION("""COMPUTED_VALUE"""),"Incorrect filepath format")</f>
        <v>Incorrect filepath format</v>
      </c>
      <c r="M29" s="3"/>
      <c r="N29" s="3"/>
      <c r="O29" s="3" t="str">
        <f ca="1">IFERROR(__xludf.DUMMYFUNCTION("""COMPUTED_VALUE"""),"The developer explains the bug with the System Dumps")</f>
        <v>The developer explains the bug with the System Dumps</v>
      </c>
    </row>
    <row r="30" spans="1:15" ht="15.75" customHeight="1">
      <c r="A30" s="3" t="s">
        <v>63</v>
      </c>
      <c r="B30" s="3"/>
      <c r="C30" s="3" t="str">
        <f ca="1">IFERROR(__xludf.DUMMYFUNCTION("""COMPUTED_VALUE"""),"Agree")</f>
        <v>Agree</v>
      </c>
      <c r="D30" s="3">
        <f ca="1">IFERROR(__xludf.DUMMYFUNCTION("""COMPUTED_VALUE"""),28)</f>
        <v>28</v>
      </c>
      <c r="E30" s="3" t="str">
        <f ca="1">IFERROR(__xludf.DUMMYFUNCTION("""COMPUTED_VALUE"""),"Yes")</f>
        <v>Yes</v>
      </c>
      <c r="F30" s="3" t="str">
        <f ca="1">IFERROR(__xludf.DUMMYFUNCTION("""COMPUTED_VALUE"""),"NoRef")</f>
        <v>NoRef</v>
      </c>
      <c r="G30" s="3">
        <f ca="1">IFERROR(__xludf.DUMMYFUNCTION("""COMPUTED_VALUE"""),1464268)</f>
        <v>1464268</v>
      </c>
      <c r="H30" s="3"/>
      <c r="I30" s="4" t="str">
        <f ca="1">IFERROR(__xludf.DUMMYFUNCTION("""COMPUTED_VALUE"""),"https://bugzilla.mozilla.org/show_bug.cgi?id=1464268")</f>
        <v>https://bugzilla.mozilla.org/show_bug.cgi?id=1464268</v>
      </c>
      <c r="J30" s="3" t="str">
        <f ca="1">IFERROR(__xludf.DUMMYFUNCTION("""COMPUTED_VALUE"""),"['main.js', 'index.html', 'Main.js', 'test_mediarecorder_onerror_pause.html']")</f>
        <v>['main.js', 'index.html', 'Main.js', 'test_mediarecorder_onerror_pause.html']</v>
      </c>
      <c r="K30" s="3" t="str">
        <f ca="1">IFERROR(__xludf.DUMMYFUNCTION("""COMPUTED_VALUE"""),"File to Reproduce the Bug")</f>
        <v>File to Reproduce the Bug</v>
      </c>
      <c r="L30" s="3" t="str">
        <f ca="1">IFERROR(__xludf.DUMMYFUNCTION("""COMPUTED_VALUE"""),"Solution Draft")</f>
        <v>Solution Draft</v>
      </c>
      <c r="M30" s="3"/>
      <c r="N30" s="3"/>
      <c r="O30" s="3" t="str">
        <f ca="1">IFERROR(__xludf.DUMMYFUNCTION("""COMPUTED_VALUE"""),"The reporter provides the file and provides related observations to help resolve the bug")</f>
        <v>The reporter provides the file and provides related observations to help resolve the bug</v>
      </c>
    </row>
    <row r="31" spans="1:15" ht="15.75" customHeight="1">
      <c r="A31" s="3" t="s">
        <v>63</v>
      </c>
      <c r="B31" s="3" t="str">
        <f ca="1">IFERROR(__xludf.DUMMYFUNCTION("""COMPUTED_VALUE"""),"Agree")</f>
        <v>Agree</v>
      </c>
      <c r="C31" s="3" t="str">
        <f ca="1">IFERROR(__xludf.DUMMYFUNCTION("""COMPUTED_VALUE"""),"Disagree")</f>
        <v>Disagree</v>
      </c>
      <c r="D31" s="3">
        <f ca="1">IFERROR(__xludf.DUMMYFUNCTION("""COMPUTED_VALUE"""),29)</f>
        <v>29</v>
      </c>
      <c r="E31" s="3" t="str">
        <f ca="1">IFERROR(__xludf.DUMMYFUNCTION("""COMPUTED_VALUE"""),"Yes")</f>
        <v>Yes</v>
      </c>
      <c r="F31" s="3" t="str">
        <f ca="1">IFERROR(__xludf.DUMMYFUNCTION("""COMPUTED_VALUE"""),"NoRef")</f>
        <v>NoRef</v>
      </c>
      <c r="G31" s="3">
        <f ca="1">IFERROR(__xludf.DUMMYFUNCTION("""COMPUTED_VALUE"""),1646707)</f>
        <v>1646707</v>
      </c>
      <c r="H31" s="3"/>
      <c r="I31" s="4" t="str">
        <f ca="1">IFERROR(__xludf.DUMMYFUNCTION("""COMPUTED_VALUE"""),"https://bugzilla.mozilla.org/show_bug.cgi?id=1646707")</f>
        <v>https://bugzilla.mozilla.org/show_bug.cgi?id=1646707</v>
      </c>
      <c r="J31" s="3" t="str">
        <f ca="1">IFERROR(__xludf.DUMMYFUNCTION("""COMPUTED_VALUE"""),"['\\task_1592479201\\build\\tests\\firefox-ui\\tests\\testing\\firefox-ui\\tests\\functional\\sessionstore\\test_restore_windows_after_restart_and_quit.py', '\\task_1592479201\\build\\venv\\lib\\site-packages\\marionette_driver\\marionette.py', '\\task_15"&amp;"92479201\\build\\venv\\lib\\site-packages\\marionette_driver\\decorators.py', 'treeherder.mozilla.org/logviewer.html', 'testing/firefox-ui/tests/functional/sessionstore/test_restore_windows_after_restart_and_quit.py', '\\task_1592479201\\build\\venv\\lib\"&amp;"\site-packages\\marionette_harness\\marionette_test\\testcases.py', 'treeherder.mozilla.org/intermittent-failures.html', '\\task_1592479201\\build\\venv\\lib\\site-packages\\marionette_driver\\transport.py']")</f>
        <v>['\\task_1592479201\\build\\tests\\firefox-ui\\tests\\testing\\firefox-ui\\tests\\functional\\sessionstore\\test_restore_windows_after_restart_and_quit.py', '\\task_1592479201\\build\\venv\\lib\\site-packages\\marionette_driver\\marionette.py', '\\task_1592479201\\build\\venv\\lib\\site-packages\\marionette_driver\\decorators.py', 'treeherder.mozilla.org/logviewer.html', 'testing/firefox-ui/tests/functional/sessionstore/test_restore_windows_after_restart_and_quit.py', '\\task_1592479201\\build\\venv\\lib\\site-packages\\marionette_harness\\marionette_test\\testcases.py', 'treeherder.mozilla.org/intermittent-failures.html', '\\task_1592479201\\build\\venv\\lib\\site-packages\\marionette_driver\\transport.py']</v>
      </c>
      <c r="K31" s="3" t="str">
        <f ca="1">IFERROR(__xludf.DUMMYFUNCTION("""COMPUTED_VALUE"""),"System Dumps")</f>
        <v>System Dumps</v>
      </c>
      <c r="L31" s="3" t="str">
        <f ca="1">IFERROR(__xludf.DUMMYFUNCTION("""COMPUTED_VALUE"""),"Incorrect filepath format")</f>
        <v>Incorrect filepath format</v>
      </c>
      <c r="M31" s="3"/>
      <c r="N31" s="3"/>
      <c r="O31" s="3"/>
    </row>
    <row r="32" spans="1:15" ht="15.75" customHeight="1">
      <c r="A32" s="3" t="s">
        <v>63</v>
      </c>
      <c r="B32" s="3"/>
      <c r="C32" s="3" t="str">
        <f ca="1">IFERROR(__xludf.DUMMYFUNCTION("""COMPUTED_VALUE"""),"Agree")</f>
        <v>Agree</v>
      </c>
      <c r="D32" s="3">
        <f ca="1">IFERROR(__xludf.DUMMYFUNCTION("""COMPUTED_VALUE"""),30)</f>
        <v>30</v>
      </c>
      <c r="E32" s="3" t="str">
        <f ca="1">IFERROR(__xludf.DUMMYFUNCTION("""COMPUTED_VALUE"""),"Yes")</f>
        <v>Yes</v>
      </c>
      <c r="F32" s="3" t="str">
        <f ca="1">IFERROR(__xludf.DUMMYFUNCTION("""COMPUTED_VALUE"""),"NoRef")</f>
        <v>NoRef</v>
      </c>
      <c r="G32" s="3">
        <f ca="1">IFERROR(__xludf.DUMMYFUNCTION("""COMPUTED_VALUE"""),1646788)</f>
        <v>1646788</v>
      </c>
      <c r="H32" s="3"/>
      <c r="I32" s="4" t="str">
        <f ca="1">IFERROR(__xludf.DUMMYFUNCTION("""COMPUTED_VALUE"""),"https://bugzilla.mozilla.org/show_bug.cgi?id=1646788")</f>
        <v>https://bugzilla.mozilla.org/show_bug.cgi?id=1646788</v>
      </c>
      <c r="J32" s="3" t="str">
        <f ca="1">IFERROR(__xludf.DUMMYFUNCTION("""COMPUTED_VALUE"""),"['mozglue/static/rust/wrappers.cpp', 'src/libcore/option.rs', 'src/libstd/panicking.rs', 'src/libcore/ops/function.rs', 'mozglue/static/rust/lib.rs', 'src/libcore/panicking.rs']")</f>
        <v>['mozglue/static/rust/wrappers.cpp', 'src/libcore/option.rs', 'src/libstd/panicking.rs', 'src/libcore/ops/function.rs', 'mozglue/static/rust/lib.rs', 'src/libcore/panicking.rs']</v>
      </c>
      <c r="K32" s="3" t="str">
        <f ca="1">IFERROR(__xludf.DUMMYFUNCTION("""COMPUTED_VALUE"""),"System Dumps")</f>
        <v>System Dumps</v>
      </c>
      <c r="L32" s="3"/>
      <c r="M32" s="3"/>
      <c r="N32" s="3"/>
      <c r="O32" s="3"/>
    </row>
    <row r="33" spans="1:15" ht="15.75" customHeight="1">
      <c r="A33" s="3" t="s">
        <v>63</v>
      </c>
      <c r="B33" s="3" t="str">
        <f ca="1">IFERROR(__xludf.DUMMYFUNCTION("""COMPUTED_VALUE"""),"Agree")</f>
        <v>Agree</v>
      </c>
      <c r="C33" s="3" t="str">
        <f ca="1">IFERROR(__xludf.DUMMYFUNCTION("""COMPUTED_VALUE"""),"Partial")</f>
        <v>Partial</v>
      </c>
      <c r="D33" s="3">
        <f ca="1">IFERROR(__xludf.DUMMYFUNCTION("""COMPUTED_VALUE"""),31)</f>
        <v>31</v>
      </c>
      <c r="E33" s="3" t="str">
        <f ca="1">IFERROR(__xludf.DUMMYFUNCTION("""COMPUTED_VALUE"""),"Yes")</f>
        <v>Yes</v>
      </c>
      <c r="F33" s="3" t="str">
        <f ca="1">IFERROR(__xludf.DUMMYFUNCTION("""COMPUTED_VALUE"""),"NoRef")</f>
        <v>NoRef</v>
      </c>
      <c r="G33" s="3">
        <f ca="1">IFERROR(__xludf.DUMMYFUNCTION("""COMPUTED_VALUE"""),1692975)</f>
        <v>1692975</v>
      </c>
      <c r="H33" s="3"/>
      <c r="I33" s="4" t="str">
        <f ca="1">IFERROR(__xludf.DUMMYFUNCTION("""COMPUTED_VALUE"""),"https://bugzilla.mozilla.org/show_bug.cgi?id=1692975")</f>
        <v>https://bugzilla.mozilla.org/show_bug.cgi?id=1692975</v>
      </c>
      <c r="J33" s="3" t="str">
        <f ca="1">IFERROR(__xludf.DUMMYFUNCTION("""COMPUTED_VALUE"""),"['options.html', 'l10n.js', 'mochitests/content/browser/comm/mail/test/browser/openpgp/browser_viewMessage.js', 'options.js', 'comm/mail/test/browser/openpgp/browser_viewMessage.js']")</f>
        <v>['options.html', 'l10n.js', 'mochitests/content/browser/comm/mail/test/browser/openpgp/browser_viewMessage.js', 'options.js', 'comm/mail/test/browser/openpgp/browser_viewMessage.js']</v>
      </c>
      <c r="K33" s="3" t="str">
        <f ca="1">IFERROR(__xludf.DUMMYFUNCTION("""COMPUTED_VALUE"""),"Bug Description")</f>
        <v>Bug Description</v>
      </c>
      <c r="L33" s="3" t="str">
        <f ca="1">IFERROR(__xludf.DUMMYFUNCTION("""COMPUTED_VALUE"""),"System Dumps")</f>
        <v>System Dumps</v>
      </c>
      <c r="M33" s="3"/>
      <c r="N33" s="3"/>
      <c r="O33" s="3"/>
    </row>
    <row r="34" spans="1:15" ht="15.75" customHeight="1">
      <c r="A34" s="3" t="s">
        <v>63</v>
      </c>
      <c r="B34" s="3"/>
      <c r="C34" s="3" t="str">
        <f ca="1">IFERROR(__xludf.DUMMYFUNCTION("""COMPUTED_VALUE"""),"Agree")</f>
        <v>Agree</v>
      </c>
      <c r="D34" s="3">
        <f ca="1">IFERROR(__xludf.DUMMYFUNCTION("""COMPUTED_VALUE"""),32)</f>
        <v>32</v>
      </c>
      <c r="E34" s="3" t="str">
        <f ca="1">IFERROR(__xludf.DUMMYFUNCTION("""COMPUTED_VALUE"""),"Yes")</f>
        <v>Yes</v>
      </c>
      <c r="F34" s="3" t="str">
        <f ca="1">IFERROR(__xludf.DUMMYFUNCTION("""COMPUTED_VALUE"""),"NoRef")</f>
        <v>NoRef</v>
      </c>
      <c r="G34" s="3">
        <f ca="1">IFERROR(__xludf.DUMMYFUNCTION("""COMPUTED_VALUE"""),1605577)</f>
        <v>1605577</v>
      </c>
      <c r="H34" s="3"/>
      <c r="I34" s="4" t="str">
        <f ca="1">IFERROR(__xludf.DUMMYFUNCTION("""COMPUTED_VALUE"""),"https://bugzilla.mozilla.org/show_bug.cgi?id=1605577")</f>
        <v>https://bugzilla.mozilla.org/show_bug.cgi?id=1605577</v>
      </c>
      <c r="J34" s="3" t="str">
        <f ca="1">IFERROR(__xludf.DUMMYFUNCTION("""COMPUTED_VALUE"""),"['treeherder.mozilla.org/logviewer.html', 'response.json', 'fetch/api/abort/serviceworker-intercepted.https.html']")</f>
        <v>['treeherder.mozilla.org/logviewer.html', 'response.json', 'fetch/api/abort/serviceworker-intercepted.https.html']</v>
      </c>
      <c r="K34" s="3" t="str">
        <f ca="1">IFERROR(__xludf.DUMMYFUNCTION("""COMPUTED_VALUE"""),"System Dumps")</f>
        <v>System Dumps</v>
      </c>
      <c r="L34" s="3"/>
      <c r="M34" s="3"/>
      <c r="N34" s="3"/>
      <c r="O34" s="3"/>
    </row>
    <row r="35" spans="1:15" ht="15.75" customHeight="1">
      <c r="A35" s="3" t="s">
        <v>63</v>
      </c>
      <c r="B35" s="3"/>
      <c r="C35" s="3" t="str">
        <f ca="1">IFERROR(__xludf.DUMMYFUNCTION("""COMPUTED_VALUE"""),"Agree")</f>
        <v>Agree</v>
      </c>
      <c r="D35" s="3">
        <f ca="1">IFERROR(__xludf.DUMMYFUNCTION("""COMPUTED_VALUE"""),33)</f>
        <v>33</v>
      </c>
      <c r="E35" s="3" t="str">
        <f ca="1">IFERROR(__xludf.DUMMYFUNCTION("""COMPUTED_VALUE"""),"Yes")</f>
        <v>Yes</v>
      </c>
      <c r="F35" s="3" t="str">
        <f ca="1">IFERROR(__xludf.DUMMYFUNCTION("""COMPUTED_VALUE"""),"NoRef")</f>
        <v>NoRef</v>
      </c>
      <c r="G35" s="3">
        <f ca="1">IFERROR(__xludf.DUMMYFUNCTION("""COMPUTED_VALUE"""),1644798)</f>
        <v>1644798</v>
      </c>
      <c r="H35" s="3"/>
      <c r="I35" s="4" t="str">
        <f ca="1">IFERROR(__xludf.DUMMYFUNCTION("""COMPUTED_VALUE"""),"https://bugzilla.mozilla.org/show_bug.cgi?id=1644798")</f>
        <v>https://bugzilla.mozilla.org/show_bug.cgi?id=1644798</v>
      </c>
      <c r="J35" s="3" t="str">
        <f ca="1">IFERROR(__xludf.DUMMYFUNCTION("""COMPUTED_VALUE"""),"['calendar/resources/content/mouseoverPreviews.js']")</f>
        <v>['calendar/resources/content/mouseoverPreviews.js']</v>
      </c>
      <c r="K35" s="3" t="str">
        <f ca="1">IFERROR(__xludf.DUMMYFUNCTION("""COMPUTED_VALUE"""),"Solution Draft")</f>
        <v>Solution Draft</v>
      </c>
      <c r="L35" s="3"/>
      <c r="M35" s="3"/>
      <c r="N35" s="3"/>
      <c r="O35" s="3" t="str">
        <f ca="1">IFERROR(__xludf.DUMMYFUNCTION("""COMPUTED_VALUE"""),"File also involved in the fix")</f>
        <v>File also involved in the fix</v>
      </c>
    </row>
    <row r="36" spans="1:15" ht="15.75" customHeight="1">
      <c r="A36" s="3" t="s">
        <v>63</v>
      </c>
      <c r="B36" s="3" t="str">
        <f ca="1">IFERROR(__xludf.DUMMYFUNCTION("""COMPUTED_VALUE"""),"Agree")</f>
        <v>Agree</v>
      </c>
      <c r="C36" s="3" t="str">
        <f ca="1">IFERROR(__xludf.DUMMYFUNCTION("""COMPUTED_VALUE"""),"Partial")</f>
        <v>Partial</v>
      </c>
      <c r="D36" s="3">
        <f ca="1">IFERROR(__xludf.DUMMYFUNCTION("""COMPUTED_VALUE"""),34)</f>
        <v>34</v>
      </c>
      <c r="E36" s="3" t="str">
        <f ca="1">IFERROR(__xludf.DUMMYFUNCTION("""COMPUTED_VALUE"""),"Yes")</f>
        <v>Yes</v>
      </c>
      <c r="F36" s="3" t="str">
        <f ca="1">IFERROR(__xludf.DUMMYFUNCTION("""COMPUTED_VALUE"""),"NoRef")</f>
        <v>NoRef</v>
      </c>
      <c r="G36" s="3">
        <f ca="1">IFERROR(__xludf.DUMMYFUNCTION("""COMPUTED_VALUE"""),1572116)</f>
        <v>1572116</v>
      </c>
      <c r="H36" s="3"/>
      <c r="I36" s="4" t="str">
        <f ca="1">IFERROR(__xludf.DUMMYFUNCTION("""COMPUTED_VALUE"""),"https://bugzilla.mozilla.org/show_bug.cgi?id=1572116")</f>
        <v>https://bugzilla.mozilla.org/show_bug.cgi?id=1572116</v>
      </c>
      <c r="J36" s="3" t="str">
        <f ca="1">IFERROR(__xludf.DUMMYFUNCTION("""COMPUTED_VALUE"""),"['browser-sync.js', 'builds/worker/workspace/build/src/dom/media/MediaDecoderStateMachine.cpp', 'browser/content/browser-sync.js', 'builds/worker/workspace/build/src/widget/PuppetWidget.cpp', 'builds/worker/workspace/build/src/ipc/chromium/src/chrome/comm"&amp;"on/ipc_channel_posix.cc', 'browser/content/browser.js', 'background.js', 'fd077002-758e-4036-9d91-41d6cb1a9109/js/background.js']")</f>
        <v>['browser-sync.js', 'builds/worker/workspace/build/src/dom/media/MediaDecoderStateMachine.cpp', 'browser/content/browser-sync.js', 'builds/worker/workspace/build/src/widget/PuppetWidget.cpp', 'builds/worker/workspace/build/src/ipc/chromium/src/chrome/common/ipc_channel_posix.cc', 'browser/content/browser.js', 'background.js', 'fd077002-758e-4036-9d91-41d6cb1a9109/js/background.js']</v>
      </c>
      <c r="K36" s="3" t="str">
        <f ca="1">IFERROR(__xludf.DUMMYFUNCTION("""COMPUTED_VALUE"""),"System Dumps")</f>
        <v>System Dumps</v>
      </c>
      <c r="L36" s="3" t="str">
        <f ca="1">IFERROR(__xludf.DUMMYFUNCTION("""COMPUTED_VALUE"""),"Duplicate bug")</f>
        <v>Duplicate bug</v>
      </c>
      <c r="M36" s="3"/>
      <c r="N36" s="3"/>
      <c r="O36" s="3"/>
    </row>
    <row r="37" spans="1:15" ht="15.75" customHeight="1">
      <c r="A37" s="3" t="s">
        <v>63</v>
      </c>
      <c r="B37" s="3" t="str">
        <f ca="1">IFERROR(__xludf.DUMMYFUNCTION("""COMPUTED_VALUE"""),"Agree")</f>
        <v>Agree</v>
      </c>
      <c r="C37" s="3" t="str">
        <f ca="1">IFERROR(__xludf.DUMMYFUNCTION("""COMPUTED_VALUE"""),"Partial")</f>
        <v>Partial</v>
      </c>
      <c r="D37" s="3">
        <f ca="1">IFERROR(__xludf.DUMMYFUNCTION("""COMPUTED_VALUE"""),35)</f>
        <v>35</v>
      </c>
      <c r="E37" s="3" t="str">
        <f ca="1">IFERROR(__xludf.DUMMYFUNCTION("""COMPUTED_VALUE"""),"Yes")</f>
        <v>Yes</v>
      </c>
      <c r="F37" s="3" t="str">
        <f ca="1">IFERROR(__xludf.DUMMYFUNCTION("""COMPUTED_VALUE"""),"NoRef")</f>
        <v>NoRef</v>
      </c>
      <c r="G37" s="3">
        <f ca="1">IFERROR(__xludf.DUMMYFUNCTION("""COMPUTED_VALUE"""),1638148)</f>
        <v>1638148</v>
      </c>
      <c r="H37" s="3"/>
      <c r="I37" s="4" t="str">
        <f ca="1">IFERROR(__xludf.DUMMYFUNCTION("""COMPUTED_VALUE"""),"https://bugzilla.mozilla.org/show_bug.cgi?id=1638148")</f>
        <v>https://bugzilla.mozilla.org/show_bug.cgi?id=1638148</v>
      </c>
      <c r="J37" s="3" t="str">
        <f ca="1">IFERROR(__xludf.DUMMYFUNCTION("""COMPUTED_VALUE"""),"['logs/localconfig.json', 'testing/marionette/harness/marionette_harness/tests/unit/test_crash.py', 'treeherder.mozilla.org/intermittent-failures.html', 'Users/cltbld/tasks/task_1589484627/build/tests/marionette/tests/testing/marionette/harness/marionette"&amp;"_harness/tests/unit-tests.ini', 'treeherder.mozilla.org/logviewer.html', 'public/test_info/report.html', 'public/logs/localconfig.json', 'build/blobber_upload_dir/resource-usage.json', 'searchfox.org/mozilla-central/rev/4166c15e2a99a23a9b38ad62c9fdfe8e544"&amp;"8b354/testing/marionette/harness/marionette_harness/tests/unit/test_crash.py', 'build/blobber_upload_dir/report.html', 'Users/cltbld/tasks/task_1589484627/build/tests/marionette/harness/marionette_harness/runtests.py', 'public/test_info/resource-usage.jso"&amp;"n']")</f>
        <v>['logs/localconfig.json', 'testing/marionette/harness/marionette_harness/tests/unit/test_crash.py', 'treeherder.mozilla.org/intermittent-failures.html', 'Users/cltbld/tasks/task_1589484627/build/tests/marionette/tests/testing/marionette/harness/marionette_harness/tests/unit-tests.ini', 'treeherder.mozilla.org/logviewer.html', 'public/test_info/report.html', 'public/logs/localconfig.json', 'build/blobber_upload_dir/resource-usage.json', 'searchfox.org/mozilla-central/rev/4166c15e2a99a23a9b38ad62c9fdfe8e5448b354/testing/marionette/harness/marionette_harness/tests/unit/test_crash.py', 'build/blobber_upload_dir/report.html', 'Users/cltbld/tasks/task_1589484627/build/tests/marionette/harness/marionette_harness/runtests.py', 'public/test_info/resource-usage.json']</v>
      </c>
      <c r="K37" s="3" t="str">
        <f ca="1">IFERROR(__xludf.DUMMYFUNCTION("""COMPUTED_VALUE"""),"File to Reproduce the Bug")</f>
        <v>File to Reproduce the Bug</v>
      </c>
      <c r="L37" s="3" t="str">
        <f ca="1">IFERROR(__xludf.DUMMYFUNCTION("""COMPUTED_VALUE"""),"System Dumps")</f>
        <v>System Dumps</v>
      </c>
      <c r="M37" s="3" t="str">
        <f ca="1">IFERROR(__xludf.DUMMYFUNCTION("""COMPUTED_VALUE"""),"Backout")</f>
        <v>Backout</v>
      </c>
      <c r="N37" s="3"/>
      <c r="O37" s="3"/>
    </row>
    <row r="38" spans="1:15" ht="15.75" customHeight="1">
      <c r="A38" s="3" t="s">
        <v>63</v>
      </c>
      <c r="B38" s="3"/>
      <c r="C38" s="3" t="str">
        <f ca="1">IFERROR(__xludf.DUMMYFUNCTION("""COMPUTED_VALUE"""),"Agree")</f>
        <v>Agree</v>
      </c>
      <c r="D38" s="3">
        <f ca="1">IFERROR(__xludf.DUMMYFUNCTION("""COMPUTED_VALUE"""),36)</f>
        <v>36</v>
      </c>
      <c r="E38" s="3" t="str">
        <f ca="1">IFERROR(__xludf.DUMMYFUNCTION("""COMPUTED_VALUE"""),"Yes")</f>
        <v>Yes</v>
      </c>
      <c r="F38" s="3" t="str">
        <f ca="1">IFERROR(__xludf.DUMMYFUNCTION("""COMPUTED_VALUE"""),"NoRef")</f>
        <v>NoRef</v>
      </c>
      <c r="G38" s="3">
        <f ca="1">IFERROR(__xludf.DUMMYFUNCTION("""COMPUTED_VALUE"""),1679472)</f>
        <v>1679472</v>
      </c>
      <c r="H38" s="3"/>
      <c r="I38" s="4" t="str">
        <f ca="1">IFERROR(__xludf.DUMMYFUNCTION("""COMPUTED_VALUE"""),"https://bugzilla.mozilla.org/show_bug.cgi?id=1679472")</f>
        <v>https://bugzilla.mozilla.org/show_bug.cgi?id=1679472</v>
      </c>
      <c r="J38" s="3" t="str">
        <f ca="1">IFERROR(__xludf.DUMMYFUNCTION("""COMPUTED_VALUE"""),"['global/content/printUtils.js', 'remote/test/browser/page/browser_printToPDF.js']")</f>
        <v>['global/content/printUtils.js', 'remote/test/browser/page/browser_printToPDF.js']</v>
      </c>
      <c r="K38" s="3" t="str">
        <f ca="1">IFERROR(__xludf.DUMMYFUNCTION("""COMPUTED_VALUE"""),"System Dumps")</f>
        <v>System Dumps</v>
      </c>
      <c r="L38" s="3"/>
      <c r="M38" s="3"/>
      <c r="N38" s="3"/>
      <c r="O38" s="3"/>
    </row>
    <row r="39" spans="1:15" ht="15.75" customHeight="1">
      <c r="A39" s="3" t="s">
        <v>63</v>
      </c>
      <c r="B39" s="3"/>
      <c r="C39" s="3" t="str">
        <f ca="1">IFERROR(__xludf.DUMMYFUNCTION("""COMPUTED_VALUE"""),"Agree")</f>
        <v>Agree</v>
      </c>
      <c r="D39" s="3">
        <f ca="1">IFERROR(__xludf.DUMMYFUNCTION("""COMPUTED_VALUE"""),37)</f>
        <v>37</v>
      </c>
      <c r="E39" s="3" t="str">
        <f ca="1">IFERROR(__xludf.DUMMYFUNCTION("""COMPUTED_VALUE"""),"Yes")</f>
        <v>Yes</v>
      </c>
      <c r="F39" s="3" t="str">
        <f ca="1">IFERROR(__xludf.DUMMYFUNCTION("""COMPUTED_VALUE"""),"NoRef")</f>
        <v>NoRef</v>
      </c>
      <c r="G39" s="3">
        <f ca="1">IFERROR(__xludf.DUMMYFUNCTION("""COMPUTED_VALUE"""),1786128)</f>
        <v>1786128</v>
      </c>
      <c r="H39" s="3"/>
      <c r="I39" s="4" t="str">
        <f ca="1">IFERROR(__xludf.DUMMYFUNCTION("""COMPUTED_VALUE"""),"https://bugzilla.mozilla.org/show_bug.cgi?id=1786128")</f>
        <v>https://bugzilla.mozilla.org/show_bug.cgi?id=1786128</v>
      </c>
      <c r="J39" s="3" t="str">
        <f ca="1">IFERROR(__xludf.DUMMYFUNCTION("""COMPUTED_VALUE"""),"['empty-blob-download.html']")</f>
        <v>['empty-blob-download.html']</v>
      </c>
      <c r="K39" s="3" t="str">
        <f ca="1">IFERROR(__xludf.DUMMYFUNCTION("""COMPUTED_VALUE"""),"File to Reproduce the Bug")</f>
        <v>File to Reproduce the Bug</v>
      </c>
      <c r="L39" s="3" t="str">
        <f ca="1">IFERROR(__xludf.DUMMYFUNCTION("""COMPUTED_VALUE"""),"Backout")</f>
        <v>Backout</v>
      </c>
      <c r="M39" s="3"/>
      <c r="N39" s="3"/>
      <c r="O39" s="3"/>
    </row>
    <row r="40" spans="1:15" ht="15.75" customHeight="1">
      <c r="A40" s="3" t="s">
        <v>63</v>
      </c>
      <c r="B40" s="3"/>
      <c r="C40" s="3" t="str">
        <f ca="1">IFERROR(__xludf.DUMMYFUNCTION("""COMPUTED_VALUE"""),"Agree")</f>
        <v>Agree</v>
      </c>
      <c r="D40" s="3">
        <f ca="1">IFERROR(__xludf.DUMMYFUNCTION("""COMPUTED_VALUE"""),38)</f>
        <v>38</v>
      </c>
      <c r="E40" s="3" t="str">
        <f ca="1">IFERROR(__xludf.DUMMYFUNCTION("""COMPUTED_VALUE"""),"Yes")</f>
        <v>Yes</v>
      </c>
      <c r="F40" s="3" t="str">
        <f ca="1">IFERROR(__xludf.DUMMYFUNCTION("""COMPUTED_VALUE"""),"NoRef")</f>
        <v>NoRef</v>
      </c>
      <c r="G40" s="3">
        <f ca="1">IFERROR(__xludf.DUMMYFUNCTION("""COMPUTED_VALUE"""),1747345)</f>
        <v>1747345</v>
      </c>
      <c r="H40" s="3"/>
      <c r="I40" s="4" t="str">
        <f ca="1">IFERROR(__xludf.DUMMYFUNCTION("""COMPUTED_VALUE"""),"https://bugzilla.mozilla.org/show_bug.cgi?id=1747345")</f>
        <v>https://bugzilla.mozilla.org/show_bug.cgi?id=1747345</v>
      </c>
      <c r="J40" s="3" t="str">
        <f ca="1">IFERROR(__xludf.DUMMYFUNCTION("""COMPUTED_VALUE"""),"['firefox_about_support.txt']")</f>
        <v>['firefox_about_support.txt']</v>
      </c>
      <c r="K40" s="3" t="str">
        <f ca="1">IFERROR(__xludf.DUMMYFUNCTION("""COMPUTED_VALUE"""),"File to Reproduce the Bug")</f>
        <v>File to Reproduce the Bug</v>
      </c>
      <c r="L40" s="3"/>
      <c r="M40" s="3"/>
      <c r="N40" s="3"/>
      <c r="O40" s="3"/>
    </row>
    <row r="41" spans="1:15" ht="15.75" customHeight="1">
      <c r="A41" s="3" t="s">
        <v>63</v>
      </c>
      <c r="B41" s="3"/>
      <c r="C41" s="3" t="str">
        <f ca="1">IFERROR(__xludf.DUMMYFUNCTION("""COMPUTED_VALUE"""),"Agree")</f>
        <v>Agree</v>
      </c>
      <c r="D41" s="3">
        <f ca="1">IFERROR(__xludf.DUMMYFUNCTION("""COMPUTED_VALUE"""),39)</f>
        <v>39</v>
      </c>
      <c r="E41" s="3" t="str">
        <f ca="1">IFERROR(__xludf.DUMMYFUNCTION("""COMPUTED_VALUE"""),"Yes")</f>
        <v>Yes</v>
      </c>
      <c r="F41" s="3" t="str">
        <f ca="1">IFERROR(__xludf.DUMMYFUNCTION("""COMPUTED_VALUE"""),"NoRef")</f>
        <v>NoRef</v>
      </c>
      <c r="G41" s="3">
        <f ca="1">IFERROR(__xludf.DUMMYFUNCTION("""COMPUTED_VALUE"""),1606414)</f>
        <v>1606414</v>
      </c>
      <c r="H41" s="3"/>
      <c r="I41" s="3" t="str">
        <f ca="1">IFERROR(__xludf.DUMMYFUNCTION("""COMPUTED_VALUE"""),"1606414 - Firefox ASan builds unable to update")</f>
        <v>1606414 - Firefox ASan builds unable to update</v>
      </c>
      <c r="J41" s="3" t="str">
        <f ca="1">IFERROR(__xludf.DUMMYFUNCTION("""COMPUTED_VALUE"""),"['update-settings.ini', 'prod_comp_changed_with_priority.py', 'searchfox.org/mozilla-central/rev/053826b10f838f77c27507e5efecc96e34718541/toolkit/mozapps/update/common/updatererrors.h']")</f>
        <v>['update-settings.ini', 'prod_comp_changed_with_priority.py', 'searchfox.org/mozilla-central/rev/053826b10f838f77c27507e5efecc96e34718541/toolkit/mozapps/update/common/updatererrors.h']</v>
      </c>
      <c r="K41" s="3" t="str">
        <f ca="1">IFERROR(__xludf.DUMMYFUNCTION("""COMPUTED_VALUE"""),"Solution Draft")</f>
        <v>Solution Draft</v>
      </c>
      <c r="L41" s="3" t="str">
        <f ca="1">IFERROR(__xludf.DUMMYFUNCTION("""COMPUTED_VALUE"""),"Bug Dependency")</f>
        <v>Bug Dependency</v>
      </c>
      <c r="M41" s="3"/>
      <c r="N41" s="3"/>
      <c r="O41" s="3"/>
    </row>
    <row r="42" spans="1:15" ht="15.75" customHeight="1">
      <c r="A42" s="3" t="s">
        <v>63</v>
      </c>
      <c r="B42" s="3" t="str">
        <f ca="1">IFERROR(__xludf.DUMMYFUNCTION("""COMPUTED_VALUE"""),"Agree")</f>
        <v>Agree</v>
      </c>
      <c r="C42" s="3" t="str">
        <f ca="1">IFERROR(__xludf.DUMMYFUNCTION("""COMPUTED_VALUE"""),"Partial")</f>
        <v>Partial</v>
      </c>
      <c r="D42" s="3">
        <f ca="1">IFERROR(__xludf.DUMMYFUNCTION("""COMPUTED_VALUE"""),40)</f>
        <v>40</v>
      </c>
      <c r="E42" s="3" t="str">
        <f ca="1">IFERROR(__xludf.DUMMYFUNCTION("""COMPUTED_VALUE"""),"Yes")</f>
        <v>Yes</v>
      </c>
      <c r="F42" s="3" t="str">
        <f ca="1">IFERROR(__xludf.DUMMYFUNCTION("""COMPUTED_VALUE"""),"NoRef")</f>
        <v>NoRef</v>
      </c>
      <c r="G42" s="3">
        <f ca="1">IFERROR(__xludf.DUMMYFUNCTION("""COMPUTED_VALUE"""),1625218)</f>
        <v>1625218</v>
      </c>
      <c r="H42" s="3"/>
      <c r="I42" s="4" t="str">
        <f ca="1">IFERROR(__xludf.DUMMYFUNCTION("""COMPUTED_VALUE"""),"https://bugzilla.mozilla.org/show_bug.cgi?id=1625218")</f>
        <v>https://bugzilla.mozilla.org/show_bug.cgi?id=1625218</v>
      </c>
      <c r="J42" s="3" t="str">
        <f ca="1">IFERROR(__xludf.DUMMYFUNCTION("""COMPUTED_VALUE"""),"['searchfox.org/mozilla-central/rev/dc4560dcaafd79375b9411fdbbaaebb0a59a93ac/editor/libeditor/HTMLEditor.cpp', 'mozilla-source/comm-central/editor/libeditor/HTMLEditorObjectResizer.cpp', 'searchfox.org/comm-central/rev/7979a5b153574449076ca28611f2e6afd567"&amp;"7511/mail/components/compose/content/MsgComposeCommands.js', 'XULElement.webidl', 'mozilla-source/comm-central/editor/libeditor/HTMLEditorEventListener.cpp', 'mozilla-source/comm-central/editor/libeditor/HTMLAbsPositionEditor.cpp']")</f>
        <v>['searchfox.org/mozilla-central/rev/dc4560dcaafd79375b9411fdbbaaebb0a59a93ac/editor/libeditor/HTMLEditor.cpp', 'mozilla-source/comm-central/editor/libeditor/HTMLEditorObjectResizer.cpp', 'searchfox.org/comm-central/rev/7979a5b153574449076ca28611f2e6afd5677511/mail/components/compose/content/MsgComposeCommands.js', 'XULElement.webidl', 'mozilla-source/comm-central/editor/libeditor/HTMLEditorEventListener.cpp', 'mozilla-source/comm-central/editor/libeditor/HTMLAbsPositionEditor.cpp']</v>
      </c>
      <c r="K42" s="3" t="str">
        <f ca="1">IFERROR(__xludf.DUMMYFUNCTION("""COMPUTED_VALUE"""),"Bug Description")</f>
        <v>Bug Description</v>
      </c>
      <c r="L42" s="3" t="str">
        <f ca="1">IFERROR(__xludf.DUMMYFUNCTION("""COMPUTED_VALUE"""),"System Dumps")</f>
        <v>System Dumps</v>
      </c>
      <c r="M42" s="3" t="str">
        <f ca="1">IFERROR(__xludf.DUMMYFUNCTION("""COMPUTED_VALUE"""),"Backout")</f>
        <v>Backout</v>
      </c>
      <c r="N42" s="3"/>
      <c r="O42" s="3" t="str">
        <f ca="1">IFERROR(__xludf.DUMMYFUNCTION("""COMPUTED_VALUE"""),"Solution Draft")</f>
        <v>Solution Draft</v>
      </c>
    </row>
    <row r="43" spans="1:15" ht="15.75" customHeight="1">
      <c r="A43" s="3" t="s">
        <v>63</v>
      </c>
      <c r="B43" s="3"/>
      <c r="C43" s="3" t="str">
        <f ca="1">IFERROR(__xludf.DUMMYFUNCTION("""COMPUTED_VALUE"""),"Agree")</f>
        <v>Agree</v>
      </c>
      <c r="D43" s="3">
        <f ca="1">IFERROR(__xludf.DUMMYFUNCTION("""COMPUTED_VALUE"""),41)</f>
        <v>41</v>
      </c>
      <c r="E43" s="3" t="str">
        <f ca="1">IFERROR(__xludf.DUMMYFUNCTION("""COMPUTED_VALUE"""),"Yes")</f>
        <v>Yes</v>
      </c>
      <c r="F43" s="3" t="str">
        <f ca="1">IFERROR(__xludf.DUMMYFUNCTION("""COMPUTED_VALUE"""),"NoRef")</f>
        <v>NoRef</v>
      </c>
      <c r="G43" s="3">
        <f ca="1">IFERROR(__xludf.DUMMYFUNCTION("""COMPUTED_VALUE"""),1618122)</f>
        <v>1618122</v>
      </c>
      <c r="H43" s="3"/>
      <c r="I43" s="4" t="str">
        <f ca="1">IFERROR(__xludf.DUMMYFUNCTION("""COMPUTED_VALUE"""),"https://bugzilla.mozilla.org/show_bug.cgi?id=1618122")</f>
        <v>https://bugzilla.mozilla.org/show_bug.cgi?id=1618122</v>
      </c>
      <c r="J43" s="3" t="str">
        <f ca="1">IFERROR(__xludf.DUMMYFUNCTION("""COMPUTED_VALUE"""),"['treeherder.mozilla.org/perf.html']")</f>
        <v>['treeherder.mozilla.org/perf.html']</v>
      </c>
      <c r="K43" s="3" t="str">
        <f ca="1">IFERROR(__xludf.DUMMYFUNCTION("""COMPUTED_VALUE"""),"System Dumps")</f>
        <v>System Dumps</v>
      </c>
      <c r="L43" s="3"/>
      <c r="M43" s="3"/>
      <c r="N43" s="3"/>
      <c r="O43" s="3"/>
    </row>
    <row r="44" spans="1:15" ht="15.75" customHeight="1">
      <c r="A44" s="3" t="s">
        <v>63</v>
      </c>
      <c r="B44" s="3"/>
      <c r="C44" s="3" t="str">
        <f ca="1">IFERROR(__xludf.DUMMYFUNCTION("""COMPUTED_VALUE"""),"Agree")</f>
        <v>Agree</v>
      </c>
      <c r="D44" s="3">
        <f ca="1">IFERROR(__xludf.DUMMYFUNCTION("""COMPUTED_VALUE"""),42)</f>
        <v>42</v>
      </c>
      <c r="E44" s="3" t="str">
        <f ca="1">IFERROR(__xludf.DUMMYFUNCTION("""COMPUTED_VALUE"""),"Yes")</f>
        <v>Yes</v>
      </c>
      <c r="F44" s="3" t="str">
        <f ca="1">IFERROR(__xludf.DUMMYFUNCTION("""COMPUTED_VALUE"""),"NoRef")</f>
        <v>NoRef</v>
      </c>
      <c r="G44" s="3">
        <f ca="1">IFERROR(__xludf.DUMMYFUNCTION("""COMPUTED_VALUE"""),1725458)</f>
        <v>1725458</v>
      </c>
      <c r="H44" s="3"/>
      <c r="I44" s="4" t="str">
        <f ca="1">IFERROR(__xludf.DUMMYFUNCTION("""COMPUTED_VALUE"""),"https://bugzilla.mozilla.org/show_bug.cgi?id=1725458")</f>
        <v>https://bugzilla.mozilla.org/show_bug.cgi?id=1725458</v>
      </c>
      <c r="J44" s="3" t="str">
        <f ca="1">IFERROR(__xludf.DUMMYFUNCTION("""COMPUTED_VALUE"""),"['file_bug1300461_back.html', 'SimpleTest.is@SimpleTest/SimpleTest.js', 'test@docshell/test/navigation/file_bug1300461_back.html', 'redirect.html', 'SimpleTest.ok@SimpleTest/SimpleTest.js', 'file_bug1300461.html', 'docshell/test/navigation/test_bug1300461"&amp;".html', 'onload@docshell/test/navigation/file_bug1300461_back.html']")</f>
        <v>['file_bug1300461_back.html', 'SimpleTest.is@SimpleTest/SimpleTest.js', 'test@docshell/test/navigation/file_bug1300461_back.html', 'redirect.html', 'SimpleTest.ok@SimpleTest/SimpleTest.js', 'file_bug1300461.html', 'docshell/test/navigation/test_bug1300461.html', 'onload@docshell/test/navigation/file_bug1300461_back.html']</v>
      </c>
      <c r="K44" s="3" t="str">
        <f ca="1">IFERROR(__xludf.DUMMYFUNCTION("""COMPUTED_VALUE"""),"System Dumps")</f>
        <v>System Dumps</v>
      </c>
      <c r="L44" s="3"/>
      <c r="M44" s="3"/>
      <c r="N44" s="3"/>
      <c r="O44" s="3"/>
    </row>
    <row r="45" spans="1:15" ht="15.75" customHeight="1">
      <c r="A45" s="3" t="s">
        <v>63</v>
      </c>
      <c r="B45" s="3"/>
      <c r="C45" s="3" t="str">
        <f ca="1">IFERROR(__xludf.DUMMYFUNCTION("""COMPUTED_VALUE"""),"Agree")</f>
        <v>Agree</v>
      </c>
      <c r="D45" s="3">
        <f ca="1">IFERROR(__xludf.DUMMYFUNCTION("""COMPUTED_VALUE"""),43)</f>
        <v>43</v>
      </c>
      <c r="E45" s="3" t="str">
        <f ca="1">IFERROR(__xludf.DUMMYFUNCTION("""COMPUTED_VALUE"""),"Yes")</f>
        <v>Yes</v>
      </c>
      <c r="F45" s="3" t="str">
        <f ca="1">IFERROR(__xludf.DUMMYFUNCTION("""COMPUTED_VALUE"""),"NoRef")</f>
        <v>NoRef</v>
      </c>
      <c r="G45" s="3">
        <f ca="1">IFERROR(__xludf.DUMMYFUNCTION("""COMPUTED_VALUE"""),1672505)</f>
        <v>1672505</v>
      </c>
      <c r="H45" s="3"/>
      <c r="I45" s="4" t="str">
        <f ca="1">IFERROR(__xludf.DUMMYFUNCTION("""COMPUTED_VALUE"""),"https://bugzilla.mozilla.org/show_bug.cgi?id=1672505")</f>
        <v>https://bugzilla.mozilla.org/show_bug.cgi?id=1672505</v>
      </c>
      <c r="J45" s="3" t="str">
        <f ca="1">IFERROR(__xludf.DUMMYFUNCTION("""COMPUTED_VALUE"""),"['searchfox.org/mozilla-central/rev/25d5a4443a7e13cfa58eff38f1faa5e69f0b170f/.cron.yml']")</f>
        <v>['searchfox.org/mozilla-central/rev/25d5a4443a7e13cfa58eff38f1faa5e69f0b170f/.cron.yml']</v>
      </c>
      <c r="K45" s="3" t="str">
        <f ca="1">IFERROR(__xludf.DUMMYFUNCTION("""COMPUTED_VALUE"""),"Links")</f>
        <v>Links</v>
      </c>
      <c r="L45" s="3"/>
      <c r="M45" s="3"/>
      <c r="N45" s="3"/>
      <c r="O45" s="3"/>
    </row>
    <row r="46" spans="1:15" ht="15.75" customHeight="1">
      <c r="A46" s="3" t="s">
        <v>63</v>
      </c>
      <c r="B46" s="3"/>
      <c r="C46" s="3" t="str">
        <f ca="1">IFERROR(__xludf.DUMMYFUNCTION("""COMPUTED_VALUE"""),"Agree")</f>
        <v>Agree</v>
      </c>
      <c r="D46" s="3">
        <f ca="1">IFERROR(__xludf.DUMMYFUNCTION("""COMPUTED_VALUE"""),44)</f>
        <v>44</v>
      </c>
      <c r="E46" s="3" t="str">
        <f ca="1">IFERROR(__xludf.DUMMYFUNCTION("""COMPUTED_VALUE"""),"Yes")</f>
        <v>Yes</v>
      </c>
      <c r="F46" s="3" t="str">
        <f ca="1">IFERROR(__xludf.DUMMYFUNCTION("""COMPUTED_VALUE"""),"NoRef")</f>
        <v>NoRef</v>
      </c>
      <c r="G46" s="3">
        <f ca="1">IFERROR(__xludf.DUMMYFUNCTION("""COMPUTED_VALUE"""),1592791)</f>
        <v>1592791</v>
      </c>
      <c r="H46" s="3"/>
      <c r="I46" s="4" t="str">
        <f ca="1">IFERROR(__xludf.DUMMYFUNCTION("""COMPUTED_VALUE"""),"https://bugzilla.mozilla.org/show_bug.cgi?id=1592791")</f>
        <v>https://bugzilla.mozilla.org/show_bug.cgi?id=1592791</v>
      </c>
      <c r="J46" s="3" t="str">
        <f ca="1">IFERROR(__xludf.DUMMYFUNCTION("""COMPUTED_VALUE"""),"['@tests/mochitest/runtests.py', 'marionette/content/evaluate.js', 'marionette/content/transport.js', 'example.com/browser/toolkit/components/pictureinpicture/tests/test-pointer-events-none.html', 'marionette/content/driver.js', 'api.js', 'treeherder.mozi"&amp;"lla.org/logviewer.html', 'mochikit/content/mochitest-e10s-utils.js', 'marionette/content/server.js', 'mochikit/content/browser-test.js', 'toolkit/components/pictureinpicture/tests/browser_togglePointerEventsNone.js', 'treeherder.mozilla.org/intermittent-f"&amp;"ailures.html']")</f>
        <v>['@tests/mochitest/runtests.py', 'marionette/content/evaluate.js', 'marionette/content/transport.js', 'example.com/browser/toolkit/components/pictureinpicture/tests/test-pointer-events-none.html', 'marionette/content/driver.js', 'api.js', 'treeherder.mozilla.org/logviewer.html', 'mochikit/content/mochitest-e10s-utils.js', 'marionette/content/server.js', 'mochikit/content/browser-test.js', 'toolkit/components/pictureinpicture/tests/browser_togglePointerEventsNone.js', 'treeherder.mozilla.org/intermittent-failures.html']</v>
      </c>
      <c r="K46" s="3" t="str">
        <f ca="1">IFERROR(__xludf.DUMMYFUNCTION("""COMPUTED_VALUE"""),"System Dumps")</f>
        <v>System Dumps</v>
      </c>
      <c r="L46" s="3"/>
      <c r="M46" s="3"/>
      <c r="N46" s="3"/>
      <c r="O46" s="3"/>
    </row>
    <row r="47" spans="1:15" ht="15.75" customHeight="1">
      <c r="A47" s="3" t="s">
        <v>63</v>
      </c>
      <c r="B47" s="3" t="str">
        <f ca="1">IFERROR(__xludf.DUMMYFUNCTION("""COMPUTED_VALUE"""),"Agree")</f>
        <v>Agree</v>
      </c>
      <c r="C47" s="3" t="str">
        <f ca="1">IFERROR(__xludf.DUMMYFUNCTION("""COMPUTED_VALUE"""),"Disagree")</f>
        <v>Disagree</v>
      </c>
      <c r="D47" s="3">
        <f ca="1">IFERROR(__xludf.DUMMYFUNCTION("""COMPUTED_VALUE"""),45)</f>
        <v>45</v>
      </c>
      <c r="E47" s="3" t="str">
        <f ca="1">IFERROR(__xludf.DUMMYFUNCTION("""COMPUTED_VALUE"""),"Yes")</f>
        <v>Yes</v>
      </c>
      <c r="F47" s="3" t="str">
        <f ca="1">IFERROR(__xludf.DUMMYFUNCTION("""COMPUTED_VALUE"""),"NoRef")</f>
        <v>NoRef</v>
      </c>
      <c r="G47" s="3">
        <f ca="1">IFERROR(__xludf.DUMMYFUNCTION("""COMPUTED_VALUE"""),1659615)</f>
        <v>1659615</v>
      </c>
      <c r="H47" s="3"/>
      <c r="I47" s="4" t="str">
        <f ca="1">IFERROR(__xludf.DUMMYFUNCTION("""COMPUTED_VALUE"""),"https://bugzilla.mozilla.org/show_bug.cgi?id=1659615")</f>
        <v>https://bugzilla.mozilla.org/show_bug.cgi?id=1659615</v>
      </c>
      <c r="J47" s="3" t="str">
        <f ca="1">IFERROR(__xludf.DUMMYFUNCTION("""COMPUTED_VALUE"""),"['\\mozilla-build\\python3\\lib\\ntpath.py', '\\src\\moz\\gecko\\python/mozboot\\mozboot\\bootstrap.py', '\\src\\moz\\gecko\\python/mozboot\\mozboot\\mozillabuild.py', '\\src\\moz\\gecko\\python/mozboot/mozboot/mach_commands.py']")</f>
        <v>['\\mozilla-build\\python3\\lib\\ntpath.py', '\\src\\moz\\gecko\\python/mozboot\\mozboot\\bootstrap.py', '\\src\\moz\\gecko\\python/mozboot\\mozboot\\mozillabuild.py', '\\src\\moz\\gecko\\python/mozboot/mozboot/mach_commands.py']</v>
      </c>
      <c r="K47" s="3" t="str">
        <f ca="1">IFERROR(__xludf.DUMMYFUNCTION("""COMPUTED_VALUE"""),"System Dumps")</f>
        <v>System Dumps</v>
      </c>
      <c r="L47" s="3" t="str">
        <f ca="1">IFERROR(__xludf.DUMMYFUNCTION("""COMPUTED_VALUE"""),"Incorrect filepath format")</f>
        <v>Incorrect filepath format</v>
      </c>
      <c r="M47" s="3"/>
      <c r="N47" s="3"/>
      <c r="O47" s="3"/>
    </row>
    <row r="48" spans="1:15" ht="15.75" customHeight="1">
      <c r="A48" s="3" t="s">
        <v>63</v>
      </c>
      <c r="B48" s="3" t="str">
        <f ca="1">IFERROR(__xludf.DUMMYFUNCTION("""COMPUTED_VALUE"""),"Agree")</f>
        <v>Agree</v>
      </c>
      <c r="C48" s="3" t="str">
        <f ca="1">IFERROR(__xludf.DUMMYFUNCTION("""COMPUTED_VALUE"""),"Partial")</f>
        <v>Partial</v>
      </c>
      <c r="D48" s="3">
        <f ca="1">IFERROR(__xludf.DUMMYFUNCTION("""COMPUTED_VALUE"""),46)</f>
        <v>46</v>
      </c>
      <c r="E48" s="3" t="str">
        <f ca="1">IFERROR(__xludf.DUMMYFUNCTION("""COMPUTED_VALUE"""),"Yes")</f>
        <v>Yes</v>
      </c>
      <c r="F48" s="3" t="str">
        <f ca="1">IFERROR(__xludf.DUMMYFUNCTION("""COMPUTED_VALUE"""),"NoRef")</f>
        <v>NoRef</v>
      </c>
      <c r="G48" s="3">
        <f ca="1">IFERROR(__xludf.DUMMYFUNCTION("""COMPUTED_VALUE"""),1658084)</f>
        <v>1658084</v>
      </c>
      <c r="H48" s="3"/>
      <c r="I48" s="4" t="str">
        <f ca="1">IFERROR(__xludf.DUMMYFUNCTION("""COMPUTED_VALUE"""),"https://bugzilla.mozilla.org/show_bug.cgi?id=1658084")</f>
        <v>https://bugzilla.mozilla.org/show_bug.cgi?id=1658084</v>
      </c>
      <c r="J48" s="3" t="str">
        <f ca="1">IFERROR(__xludf.DUMMYFUNCTION("""COMPUTED_VALUE"""),"['test_leak.html', 'builds/worker/checkouts/gecko/testing/mochitest/tests/python/test_basic_mochitest_plain.py', 'firefox-source-docs.mozilla.org/bug-mgmt/guides/priority.html', 'treeherder.mozilla.org/logviewer.html', 'testing/mochitest/tests/python/test"&amp;"_basic_mochitest_plain.py', 'builds/worker/checkouts/gecko/config/mozunit/mozunit/pytest.ini', 'treeherder.mozilla.org/intermittent-failures.html']")</f>
        <v>['test_leak.html', 'builds/worker/checkouts/gecko/testing/mochitest/tests/python/test_basic_mochitest_plain.py', 'firefox-source-docs.mozilla.org/bug-mgmt/guides/priority.html', 'treeherder.mozilla.org/logviewer.html', 'testing/mochitest/tests/python/test_basic_mochitest_plain.py', 'builds/worker/checkouts/gecko/config/mozunit/mozunit/pytest.ini', 'treeherder.mozilla.org/intermittent-failures.html']</v>
      </c>
      <c r="K48" s="3" t="str">
        <f ca="1">IFERROR(__xludf.DUMMYFUNCTION("""COMPUTED_VALUE"""),"System Dumps")</f>
        <v>System Dumps</v>
      </c>
      <c r="L48" s="3" t="str">
        <f ca="1">IFERROR(__xludf.DUMMYFUNCTION("""COMPUTED_VALUE"""),"Links")</f>
        <v>Links</v>
      </c>
      <c r="M48" s="3"/>
      <c r="N48" s="3"/>
      <c r="O48" s="3" t="str">
        <f ca="1">IFERROR(__xludf.DUMMYFUNCTION("""COMPUTED_VALUE"""),"Points to buggy code elements in the file and Solution Draft")</f>
        <v>Points to buggy code elements in the file and Solution Draft</v>
      </c>
    </row>
    <row r="49" spans="1:15" ht="15.75" customHeight="1">
      <c r="A49" s="3" t="s">
        <v>63</v>
      </c>
      <c r="B49" s="3"/>
      <c r="C49" s="3" t="str">
        <f ca="1">IFERROR(__xludf.DUMMYFUNCTION("""COMPUTED_VALUE"""),"Agree")</f>
        <v>Agree</v>
      </c>
      <c r="D49" s="3">
        <f ca="1">IFERROR(__xludf.DUMMYFUNCTION("""COMPUTED_VALUE"""),47)</f>
        <v>47</v>
      </c>
      <c r="E49" s="3" t="str">
        <f ca="1">IFERROR(__xludf.DUMMYFUNCTION("""COMPUTED_VALUE"""),"Yes")</f>
        <v>Yes</v>
      </c>
      <c r="F49" s="3" t="str">
        <f ca="1">IFERROR(__xludf.DUMMYFUNCTION("""COMPUTED_VALUE"""),"NoRef")</f>
        <v>NoRef</v>
      </c>
      <c r="G49" s="3">
        <f ca="1">IFERROR(__xludf.DUMMYFUNCTION("""COMPUTED_VALUE"""),1675360)</f>
        <v>1675360</v>
      </c>
      <c r="H49" s="3"/>
      <c r="I49" s="4" t="str">
        <f ca="1">IFERROR(__xludf.DUMMYFUNCTION("""COMPUTED_VALUE"""),"https://bugzilla.mozilla.org/show_bug.cgi?id=1675360")</f>
        <v>https://bugzilla.mozilla.org/show_bug.cgi?id=1675360</v>
      </c>
      <c r="J49" s="3" t="str">
        <f ca="1">IFERROR(__xludf.DUMMYFUNCTION("""COMPUTED_VALUE"""),"['test.js', 'timeoutLog.js', 'injectScriptInIframe.html']")</f>
        <v>['test.js', 'timeoutLog.js', 'injectScriptInIframe.html']</v>
      </c>
      <c r="K49" s="3" t="str">
        <f ca="1">IFERROR(__xludf.DUMMYFUNCTION("""COMPUTED_VALUE"""),"File to Reproduce the Bug")</f>
        <v>File to Reproduce the Bug</v>
      </c>
      <c r="L49" s="3" t="str">
        <f ca="1">IFERROR(__xludf.DUMMYFUNCTION("""COMPUTED_VALUE"""),"Bug Description")</f>
        <v>Bug Description</v>
      </c>
      <c r="M49" s="3" t="str">
        <f ca="1">IFERROR(__xludf.DUMMYFUNCTION("""COMPUTED_VALUE"""),"Solution Draft")</f>
        <v>Solution Draft</v>
      </c>
      <c r="N49" s="3"/>
      <c r="O49" s="3"/>
    </row>
    <row r="50" spans="1:15" ht="15.75" customHeight="1">
      <c r="A50" s="3" t="s">
        <v>63</v>
      </c>
      <c r="B50" s="3"/>
      <c r="C50" s="3" t="str">
        <f ca="1">IFERROR(__xludf.DUMMYFUNCTION("""COMPUTED_VALUE"""),"Agree")</f>
        <v>Agree</v>
      </c>
      <c r="D50" s="3">
        <f ca="1">IFERROR(__xludf.DUMMYFUNCTION("""COMPUTED_VALUE"""),48)</f>
        <v>48</v>
      </c>
      <c r="E50" s="3" t="str">
        <f ca="1">IFERROR(__xludf.DUMMYFUNCTION("""COMPUTED_VALUE"""),"Yes")</f>
        <v>Yes</v>
      </c>
      <c r="F50" s="3" t="str">
        <f ca="1">IFERROR(__xludf.DUMMYFUNCTION("""COMPUTED_VALUE"""),"NoRef")</f>
        <v>NoRef</v>
      </c>
      <c r="G50" s="3">
        <f ca="1">IFERROR(__xludf.DUMMYFUNCTION("""COMPUTED_VALUE"""),1759325)</f>
        <v>1759325</v>
      </c>
      <c r="H50" s="3"/>
      <c r="I50" s="4" t="str">
        <f ca="1">IFERROR(__xludf.DUMMYFUNCTION("""COMPUTED_VALUE"""),"https://bugzilla.mozilla.org/show_bug.cgi?id=1759325")</f>
        <v>https://bugzilla.mozilla.org/show_bug.cgi?id=1759325</v>
      </c>
      <c r="J50" s="3" t="str">
        <f ca="1">IFERROR(__xludf.DUMMYFUNCTION("""COMPUTED_VALUE"""),"['test.html']")</f>
        <v>['test.html']</v>
      </c>
      <c r="K50" s="3" t="str">
        <f ca="1">IFERROR(__xludf.DUMMYFUNCTION("""COMPUTED_VALUE"""),"File to Reproduce the Bug")</f>
        <v>File to Reproduce the Bug</v>
      </c>
      <c r="L50" s="3"/>
      <c r="M50" s="3"/>
      <c r="N50" s="3"/>
      <c r="O50" s="3" t="str">
        <f ca="1">IFERROR(__xludf.DUMMYFUNCTION("""COMPUTED_VALUE"""),"File Mentioned with no Extension")</f>
        <v>File Mentioned with no Extension</v>
      </c>
    </row>
    <row r="51" spans="1:15" ht="15.75" customHeight="1">
      <c r="A51" s="3" t="s">
        <v>63</v>
      </c>
      <c r="B51" s="3"/>
      <c r="C51" s="3" t="str">
        <f ca="1">IFERROR(__xludf.DUMMYFUNCTION("""COMPUTED_VALUE"""),"Agree")</f>
        <v>Agree</v>
      </c>
      <c r="D51" s="3">
        <f ca="1">IFERROR(__xludf.DUMMYFUNCTION("""COMPUTED_VALUE"""),49)</f>
        <v>49</v>
      </c>
      <c r="E51" s="3" t="str">
        <f ca="1">IFERROR(__xludf.DUMMYFUNCTION("""COMPUTED_VALUE"""),"Yes")</f>
        <v>Yes</v>
      </c>
      <c r="F51" s="3" t="str">
        <f ca="1">IFERROR(__xludf.DUMMYFUNCTION("""COMPUTED_VALUE"""),"NoRef")</f>
        <v>NoRef</v>
      </c>
      <c r="G51" s="3">
        <f ca="1">IFERROR(__xludf.DUMMYFUNCTION("""COMPUTED_VALUE"""),1658673)</f>
        <v>1658673</v>
      </c>
      <c r="H51" s="3"/>
      <c r="I51" s="4" t="str">
        <f ca="1">IFERROR(__xludf.DUMMYFUNCTION("""COMPUTED_VALUE"""),"https://bugzilla.mozilla.org/show_bug.cgi?id=1658673")</f>
        <v>https://bugzilla.mozilla.org/show_bug.cgi?id=1658673</v>
      </c>
      <c r="J51" s="3" t="str">
        <f ca="1">IFERROR(__xludf.DUMMYFUNCTION("""COMPUTED_VALUE"""),"['manifest.json', 'experiment-apis/trackingProtection.js', 'trackingProtection.js', 'DownloadCore.jsm', 'gre/modules/DownloadCore.jsm']")</f>
        <v>['manifest.json', 'experiment-apis/trackingProtection.js', 'trackingProtection.js', 'DownloadCore.jsm', 'gre/modules/DownloadCore.jsm']</v>
      </c>
      <c r="K51" s="3" t="str">
        <f ca="1">IFERROR(__xludf.DUMMYFUNCTION("""COMPUTED_VALUE"""),"System Dumps")</f>
        <v>System Dumps</v>
      </c>
      <c r="L51" s="3"/>
      <c r="M51" s="3"/>
      <c r="N51" s="3"/>
      <c r="O51" s="3"/>
    </row>
    <row r="52" spans="1:15" ht="15.75" customHeight="1">
      <c r="A52" s="3" t="s">
        <v>63</v>
      </c>
      <c r="B52" s="3" t="str">
        <f ca="1">IFERROR(__xludf.DUMMYFUNCTION("""COMPUTED_VALUE"""),"Agree")</f>
        <v>Agree</v>
      </c>
      <c r="C52" s="3" t="str">
        <f ca="1">IFERROR(__xludf.DUMMYFUNCTION("""COMPUTED_VALUE"""),"Disagree")</f>
        <v>Disagree</v>
      </c>
      <c r="D52" s="3">
        <f ca="1">IFERROR(__xludf.DUMMYFUNCTION("""COMPUTED_VALUE"""),50)</f>
        <v>50</v>
      </c>
      <c r="E52" s="3" t="str">
        <f ca="1">IFERROR(__xludf.DUMMYFUNCTION("""COMPUTED_VALUE"""),"Yes")</f>
        <v>Yes</v>
      </c>
      <c r="F52" s="3" t="str">
        <f ca="1">IFERROR(__xludf.DUMMYFUNCTION("""COMPUTED_VALUE"""),"NoRef")</f>
        <v>NoRef</v>
      </c>
      <c r="G52" s="3">
        <f ca="1">IFERROR(__xludf.DUMMYFUNCTION("""COMPUTED_VALUE"""),1731529)</f>
        <v>1731529</v>
      </c>
      <c r="H52" s="3"/>
      <c r="I52" s="4" t="str">
        <f ca="1">IFERROR(__xludf.DUMMYFUNCTION("""COMPUTED_VALUE"""),"https://bugzilla.mozilla.org/show_bug.cgi?id=1731529")</f>
        <v>https://bugzilla.mozilla.org/show_bug.cgi?id=1731529</v>
      </c>
      <c r="J52" s="3" t="str">
        <f ca="1">IFERROR(__xludf.DUMMYFUNCTION("""COMPUTED_VALUE"""),"['bad-message-signed.txt', 'good-message.txt', 'good-message-signed.txt', 'bad-message.txt']")</f>
        <v>['bad-message-signed.txt', 'good-message.txt', 'good-message-signed.txt', 'bad-message.txt']</v>
      </c>
      <c r="K52" s="3" t="str">
        <f ca="1">IFERROR(__xludf.DUMMYFUNCTION("""COMPUTED_VALUE"""),"File to Reproduce the Bug")</f>
        <v>File to Reproduce the Bug</v>
      </c>
      <c r="L52" s="3" t="str">
        <f ca="1">IFERROR(__xludf.DUMMYFUNCTION("""COMPUTED_VALUE"""),"Missing Mapping")</f>
        <v>Missing Mapping</v>
      </c>
      <c r="M52" s="3"/>
      <c r="N52" s="3"/>
      <c r="O52" s="3"/>
    </row>
    <row r="53" spans="1:15" ht="15.75" customHeight="1">
      <c r="A53" s="3" t="s">
        <v>63</v>
      </c>
      <c r="B53" s="3"/>
      <c r="C53" s="3" t="str">
        <f ca="1">IFERROR(__xludf.DUMMYFUNCTION("""COMPUTED_VALUE"""),"Agree")</f>
        <v>Agree</v>
      </c>
      <c r="D53" s="3">
        <f ca="1">IFERROR(__xludf.DUMMYFUNCTION("""COMPUTED_VALUE"""),51)</f>
        <v>51</v>
      </c>
      <c r="E53" s="3" t="str">
        <f ca="1">IFERROR(__xludf.DUMMYFUNCTION("""COMPUTED_VALUE"""),"Yes")</f>
        <v>Yes</v>
      </c>
      <c r="F53" s="3" t="str">
        <f ca="1">IFERROR(__xludf.DUMMYFUNCTION("""COMPUTED_VALUE"""),"NoRef")</f>
        <v>NoRef</v>
      </c>
      <c r="G53" s="3">
        <f ca="1">IFERROR(__xludf.DUMMYFUNCTION("""COMPUTED_VALUE"""),1581802)</f>
        <v>1581802</v>
      </c>
      <c r="H53" s="3"/>
      <c r="I53" s="4" t="str">
        <f ca="1">IFERROR(__xludf.DUMMYFUNCTION("""COMPUTED_VALUE"""),"https://bugzilla.mozilla.org/show_bug.cgi?id=1581802")</f>
        <v>https://bugzilla.mozilla.org/show_bug.cgi?id=1581802</v>
      </c>
      <c r="J53" s="3" t="str">
        <f ca="1">IFERROR(__xludf.DUMMYFUNCTION("""COMPUTED_VALUE"""),"['hg.mozilla.org/mozilla-central/raw-file/tip/layout/tools/reftest/reftest-analyzer.xhtml', '8854/tests/layout/reftests/text-stroke/webkit-text-stroke-property-004-ref.html', '8854/tests/layout/reftests/text-stroke/webkit-text-stroke-property-002-ref.html"&amp;"', '8854/tests/layout/reftests/text-stroke/webkit-text-stroke-property-004.html', 'treeherder.mozilla.org/logviewer.html', '8854/tests/layout/reftests/text-stroke/webkit-text-stroke-property-003-ref.html', 'treeherder.mozilla.org/intermittent-failures.htm"&amp;"l', '8854/tests/layout/reftests/text-stroke/webkit-text-stroke-property-002.html', '8854/tests/layout/reftests/text-stroke/webkit-text-stroke-property-003.html']")</f>
        <v>['hg.mozilla.org/mozilla-central/raw-file/tip/layout/tools/reftest/reftest-analyzer.xhtml', '8854/tests/layout/reftests/text-stroke/webkit-text-stroke-property-004-ref.html', '8854/tests/layout/reftests/text-stroke/webkit-text-stroke-property-002-ref.html', '8854/tests/layout/reftests/text-stroke/webkit-text-stroke-property-004.html', 'treeherder.mozilla.org/logviewer.html', '8854/tests/layout/reftests/text-stroke/webkit-text-stroke-property-003-ref.html', 'treeherder.mozilla.org/intermittent-failures.html', '8854/tests/layout/reftests/text-stroke/webkit-text-stroke-property-002.html', '8854/tests/layout/reftests/text-stroke/webkit-text-stroke-property-003.html']</v>
      </c>
      <c r="K53" s="3" t="str">
        <f ca="1">IFERROR(__xludf.DUMMYFUNCTION("""COMPUTED_VALUE"""),"System Dumps")</f>
        <v>System Dumps</v>
      </c>
      <c r="L53" s="3" t="str">
        <f ca="1">IFERROR(__xludf.DUMMYFUNCTION("""COMPUTED_VALUE"""),"Bug Dependency")</f>
        <v>Bug Dependency</v>
      </c>
      <c r="M53" s="3"/>
      <c r="N53" s="3"/>
      <c r="O53" s="3"/>
    </row>
    <row r="54" spans="1:15" ht="15.75" customHeight="1">
      <c r="A54" s="3" t="s">
        <v>63</v>
      </c>
      <c r="B54" s="3" t="str">
        <f ca="1">IFERROR(__xludf.DUMMYFUNCTION("""COMPUTED_VALUE"""),"Agree")</f>
        <v>Agree</v>
      </c>
      <c r="C54" s="3" t="str">
        <f ca="1">IFERROR(__xludf.DUMMYFUNCTION("""COMPUTED_VALUE"""),"Disagree")</f>
        <v>Disagree</v>
      </c>
      <c r="D54" s="3">
        <f ca="1">IFERROR(__xludf.DUMMYFUNCTION("""COMPUTED_VALUE"""),52)</f>
        <v>52</v>
      </c>
      <c r="E54" s="3" t="str">
        <f ca="1">IFERROR(__xludf.DUMMYFUNCTION("""COMPUTED_VALUE"""),"Yes")</f>
        <v>Yes</v>
      </c>
      <c r="F54" s="3" t="str">
        <f ca="1">IFERROR(__xludf.DUMMYFUNCTION("""COMPUTED_VALUE"""),"NoRef")</f>
        <v>NoRef</v>
      </c>
      <c r="G54" s="3">
        <f ca="1">IFERROR(__xludf.DUMMYFUNCTION("""COMPUTED_VALUE"""),1689934)</f>
        <v>1689934</v>
      </c>
      <c r="H54" s="3"/>
      <c r="I54" s="4" t="str">
        <f ca="1">IFERROR(__xludf.DUMMYFUNCTION("""COMPUTED_VALUE"""),"https://bugzilla.mozilla.org/show_bug.cgi?id=1689934")</f>
        <v>https://bugzilla.mozilla.org/show_bug.cgi?id=1689934</v>
      </c>
      <c r="J54" s="3" t="str">
        <f ca="1">IFERROR(__xludf.DUMMYFUNCTION("""COMPUTED_VALUE"""),"['mail/base/content/sharedsummary.css', 'multimessageview.xhtml', 'messenger.css']")</f>
        <v>['mail/base/content/sharedsummary.css', 'multimessageview.xhtml', 'messenger.css']</v>
      </c>
      <c r="K54" s="3" t="str">
        <f ca="1">IFERROR(__xludf.DUMMYFUNCTION("""COMPUTED_VALUE"""),"Bug Description")</f>
        <v>Bug Description</v>
      </c>
      <c r="L54" s="3" t="str">
        <f ca="1">IFERROR(__xludf.DUMMYFUNCTION("""COMPUTED_VALUE"""),"Missing Mapping")</f>
        <v>Missing Mapping</v>
      </c>
      <c r="M54" s="3" t="str">
        <f ca="1">IFERROR(__xludf.DUMMYFUNCTION("""COMPUTED_VALUE"""),"Solution Draft")</f>
        <v>Solution Draft</v>
      </c>
      <c r="N54" s="3"/>
      <c r="O54" s="3"/>
    </row>
    <row r="55" spans="1:15" ht="15.75" customHeight="1">
      <c r="A55" s="3" t="s">
        <v>63</v>
      </c>
      <c r="B55" s="3"/>
      <c r="C55" s="3" t="str">
        <f ca="1">IFERROR(__xludf.DUMMYFUNCTION("""COMPUTED_VALUE"""),"Agree")</f>
        <v>Agree</v>
      </c>
      <c r="D55" s="3">
        <f ca="1">IFERROR(__xludf.DUMMYFUNCTION("""COMPUTED_VALUE"""),53)</f>
        <v>53</v>
      </c>
      <c r="E55" s="3" t="str">
        <f ca="1">IFERROR(__xludf.DUMMYFUNCTION("""COMPUTED_VALUE"""),"Yes")</f>
        <v>Yes</v>
      </c>
      <c r="F55" s="3" t="str">
        <f ca="1">IFERROR(__xludf.DUMMYFUNCTION("""COMPUTED_VALUE"""),"NoRef")</f>
        <v>NoRef</v>
      </c>
      <c r="G55" s="3">
        <f ca="1">IFERROR(__xludf.DUMMYFUNCTION("""COMPUTED_VALUE"""),1759432)</f>
        <v>1759432</v>
      </c>
      <c r="H55" s="3"/>
      <c r="I55" s="4" t="str">
        <f ca="1">IFERROR(__xludf.DUMMYFUNCTION("""COMPUTED_VALUE"""),"https://bugzilla.mozilla.org/show_bug.cgi?id=1759432")</f>
        <v>https://bugzilla.mozilla.org/show_bug.cgi?id=1759432</v>
      </c>
      <c r="J55" s="3" t="str">
        <f ca="1">IFERROR(__xludf.DUMMYFUNCTION("""COMPUTED_VALUE"""),"['builds/worker/checkouts/gecko/xpcom/base/nsCycleCollector.cpp', 'builds/worker/workspace/obj-build/dist/include/mozilla/Preferences.h', 'builds/worker/checkouts/gecko/dom/ipc/jsactor/JSWindowActorChild.cpp', 'builds/worker/checkouts/gecko/modules/libpre"&amp;"f/Preferences.cpp', 'builds/worker/checkouts/gecko/gfx/layers/apz/src/APZUpdater.cpp', 'firefox-source-docs.mozilla.org/bug-mgmt/guides/priority.html', 'webvr/webvr-enabled-by-feature-policy.https.sub.html', 'builds/worker/checkouts/gecko/dom/quota/Actors"&amp;"Parent.cpp', 'builds/worker/checkouts/gecko/ipc/glue/ProtocolUtils.cpp', 'builds/worker/checkouts/gecko/netwerk/protocol/http/nsHttpConnectionMgr.cpp']")</f>
        <v>['builds/worker/checkouts/gecko/xpcom/base/nsCycleCollector.cpp', 'builds/worker/workspace/obj-build/dist/include/mozilla/Preferences.h', 'builds/worker/checkouts/gecko/dom/ipc/jsactor/JSWindowActorChild.cpp', 'builds/worker/checkouts/gecko/modules/libpref/Preferences.cpp', 'builds/worker/checkouts/gecko/gfx/layers/apz/src/APZUpdater.cpp', 'firefox-source-docs.mozilla.org/bug-mgmt/guides/priority.html', 'webvr/webvr-enabled-by-feature-policy.https.sub.html', 'builds/worker/checkouts/gecko/dom/quota/ActorsParent.cpp', 'builds/worker/checkouts/gecko/ipc/glue/ProtocolUtils.cpp', 'builds/worker/checkouts/gecko/netwerk/protocol/http/nsHttpConnectionMgr.cpp']</v>
      </c>
      <c r="K55" s="3" t="str">
        <f ca="1">IFERROR(__xludf.DUMMYFUNCTION("""COMPUTED_VALUE"""),"System Dumps")</f>
        <v>System Dumps</v>
      </c>
      <c r="L55" s="3" t="str">
        <f ca="1">IFERROR(__xludf.DUMMYFUNCTION("""COMPUTED_VALUE"""),"Links")</f>
        <v>Links</v>
      </c>
      <c r="M55" s="3" t="str">
        <f ca="1">IFERROR(__xludf.DUMMYFUNCTION("""COMPUTED_VALUE"""),"Related to another bug")</f>
        <v>Related to another bug</v>
      </c>
      <c r="N55" s="3"/>
      <c r="O55" s="3"/>
    </row>
    <row r="56" spans="1:15" ht="15.75" customHeight="1">
      <c r="A56" s="3" t="s">
        <v>63</v>
      </c>
      <c r="B56" s="3"/>
      <c r="C56" s="3" t="str">
        <f ca="1">IFERROR(__xludf.DUMMYFUNCTION("""COMPUTED_VALUE"""),"Agree")</f>
        <v>Agree</v>
      </c>
      <c r="D56" s="3">
        <f ca="1">IFERROR(__xludf.DUMMYFUNCTION("""COMPUTED_VALUE"""),54)</f>
        <v>54</v>
      </c>
      <c r="E56" s="3" t="str">
        <f ca="1">IFERROR(__xludf.DUMMYFUNCTION("""COMPUTED_VALUE"""),"Yes")</f>
        <v>Yes</v>
      </c>
      <c r="F56" s="3" t="str">
        <f ca="1">IFERROR(__xludf.DUMMYFUNCTION("""COMPUTED_VALUE"""),"NoRef")</f>
        <v>NoRef</v>
      </c>
      <c r="G56" s="3">
        <f ca="1">IFERROR(__xludf.DUMMYFUNCTION("""COMPUTED_VALUE"""),1714276)</f>
        <v>1714276</v>
      </c>
      <c r="H56" s="3"/>
      <c r="I56" s="4" t="str">
        <f ca="1">IFERROR(__xludf.DUMMYFUNCTION("""COMPUTED_VALUE"""),"https://bugzilla.mozilla.org/show_bug.cgi?id=1714276")</f>
        <v>https://bugzilla.mozilla.org/show_bug.cgi?id=1714276</v>
      </c>
      <c r="J56" s="3" t="str">
        <f ca="1">IFERROR(__xludf.DUMMYFUNCTION("""COMPUTED_VALUE"""),"['browser-custom-colors.inc.css', 'acrozilla.com/test1/soundtest.html', 'cat-in-136.github.io/2012/12/tip-how-to-run-new-firefox-instance-w.html']")</f>
        <v>['browser-custom-colors.inc.css', 'acrozilla.com/test1/soundtest.html', 'cat-in-136.github.io/2012/12/tip-how-to-run-new-firefox-instance-w.html']</v>
      </c>
      <c r="K56" s="3" t="str">
        <f ca="1">IFERROR(__xludf.DUMMYFUNCTION("""COMPUTED_VALUE"""),"File to Reproduce the Bug")</f>
        <v>File to Reproduce the Bug</v>
      </c>
      <c r="L56" s="3"/>
      <c r="M56" s="3"/>
      <c r="N56" s="3"/>
      <c r="O56" s="3"/>
    </row>
    <row r="57" spans="1:15" ht="15.75" customHeight="1">
      <c r="A57" s="3" t="s">
        <v>63</v>
      </c>
      <c r="B57" s="3"/>
      <c r="C57" s="3" t="str">
        <f ca="1">IFERROR(__xludf.DUMMYFUNCTION("""COMPUTED_VALUE"""),"Agree")</f>
        <v>Agree</v>
      </c>
      <c r="D57" s="3">
        <f ca="1">IFERROR(__xludf.DUMMYFUNCTION("""COMPUTED_VALUE"""),55)</f>
        <v>55</v>
      </c>
      <c r="E57" s="3" t="str">
        <f ca="1">IFERROR(__xludf.DUMMYFUNCTION("""COMPUTED_VALUE"""),"Yes")</f>
        <v>Yes</v>
      </c>
      <c r="F57" s="3" t="str">
        <f ca="1">IFERROR(__xludf.DUMMYFUNCTION("""COMPUTED_VALUE"""),"NoRef")</f>
        <v>NoRef</v>
      </c>
      <c r="G57" s="3">
        <f ca="1">IFERROR(__xludf.DUMMYFUNCTION("""COMPUTED_VALUE"""),1739924)</f>
        <v>1739924</v>
      </c>
      <c r="H57" s="3"/>
      <c r="I57" s="3" t="str">
        <f ca="1">IFERROR(__xludf.DUMMYFUNCTION("""COMPUTED_VALUE"""),"widget.dmabuf-webgl.enabled: All tabs start and keep crashing after a while / Crash in [@ mozilla::dom::ipc::SharedStringMap")</f>
        <v>widget.dmabuf-webgl.enabled: All tabs start and keep crashing after a while / Crash in [@ mozilla::dom::ipc::SharedStringMap</v>
      </c>
      <c r="J57" s="3" t="str">
        <f ca="1">IFERROR(__xludf.DUMMYFUNCTION("""COMPUTED_VALUE"""),"['build/firefox/src/firefox-94.0.1/dom/media/CubebUtils.cpp', 'searchfox.org/mozilla-central/rev/3881c4ca80d1b4b2f43be695438ecaf90ee4f86c/toolkit/crashreporter/breakpad-client/linux/crash_generation/crash_generation_client.cc', 'build/firefox/src/firefox-"&amp;"94.0.1/ipc/chromium/src/base/message_loop.cc', 'searchfox.org/mozilla-central/source/intl/strres/nsStringBundle.cpp', 'build/firefox/src/firefox-94.0.1/xpcom/threads/nsThreadUtils.h', 'build/firefox/src/firefox-94.0.1/xpcom/threads/nsThread.cpp', 'build/f"&amp;"irefox/src/firefox-94.0.1/xpcom/threads/TaskController.cpp', 'build/firefox/src/firefox-94.0.1/intl/strres/nsStringBundle.cpp', 'searchfox.org/mozilla-central/rev/3881c4ca80d1b4b2f43be695438ecaf90ee4f86c/toolkit/crashreporter/breakpad-client/linux/handler"&amp;"/exception_handler.cc', 'build/firefox/src/firefox-94.0.1/dom/ipc/SharedStringMap.cpp', 'webglsamples.org/blob/blob.html', 'build/firefox/src/firefox-94.0.1/ipc/glue/MessagePump.cpp']")</f>
        <v>['build/firefox/src/firefox-94.0.1/dom/media/CubebUtils.cpp', 'searchfox.org/mozilla-central/rev/3881c4ca80d1b4b2f43be695438ecaf90ee4f86c/toolkit/crashreporter/breakpad-client/linux/crash_generation/crash_generation_client.cc', 'build/firefox/src/firefox-94.0.1/ipc/chromium/src/base/message_loop.cc', 'searchfox.org/mozilla-central/source/intl/strres/nsStringBundle.cpp', 'build/firefox/src/firefox-94.0.1/xpcom/threads/nsThreadUtils.h', 'build/firefox/src/firefox-94.0.1/xpcom/threads/nsThread.cpp', 'build/firefox/src/firefox-94.0.1/xpcom/threads/TaskController.cpp', 'build/firefox/src/firefox-94.0.1/intl/strres/nsStringBundle.cpp', 'searchfox.org/mozilla-central/rev/3881c4ca80d1b4b2f43be695438ecaf90ee4f86c/toolkit/crashreporter/breakpad-client/linux/handler/exception_handler.cc', 'build/firefox/src/firefox-94.0.1/dom/ipc/SharedStringMap.cpp', 'webglsamples.org/blob/blob.html', 'build/firefox/src/firefox-94.0.1/ipc/glue/MessagePump.cpp']</v>
      </c>
      <c r="K57" s="3" t="str">
        <f ca="1">IFERROR(__xludf.DUMMYFUNCTION("""COMPUTED_VALUE"""),"System Dumps")</f>
        <v>System Dumps</v>
      </c>
      <c r="L57" s="3" t="str">
        <f ca="1">IFERROR(__xludf.DUMMYFUNCTION("""COMPUTED_VALUE"""),"Bug Description")</f>
        <v>Bug Description</v>
      </c>
      <c r="M57" s="3"/>
      <c r="N57" s="3"/>
      <c r="O57" s="3" t="str">
        <f ca="1">IFERROR(__xludf.DUMMYFUNCTION("""COMPUTED_VALUE"""),"Developer seem surprise looking at one of the files in the stack trace  ""We haven't touched StringBundle in years as it is on the path to be deprecated.""")</f>
        <v>Developer seem surprise looking at one of the files in the stack trace  "We haven't touched StringBundle in years as it is on the path to be deprecated."</v>
      </c>
    </row>
    <row r="58" spans="1:15" ht="15.75" customHeight="1">
      <c r="A58" s="3" t="s">
        <v>63</v>
      </c>
      <c r="B58" s="3" t="str">
        <f ca="1">IFERROR(__xludf.DUMMYFUNCTION("""COMPUTED_VALUE"""),"Agree")</f>
        <v>Agree</v>
      </c>
      <c r="C58" s="3" t="str">
        <f ca="1">IFERROR(__xludf.DUMMYFUNCTION("""COMPUTED_VALUE"""),"Partial")</f>
        <v>Partial</v>
      </c>
      <c r="D58" s="3">
        <f ca="1">IFERROR(__xludf.DUMMYFUNCTION("""COMPUTED_VALUE"""),56)</f>
        <v>56</v>
      </c>
      <c r="E58" s="3" t="str">
        <f ca="1">IFERROR(__xludf.DUMMYFUNCTION("""COMPUTED_VALUE"""),"Yes")</f>
        <v>Yes</v>
      </c>
      <c r="F58" s="3" t="str">
        <f ca="1">IFERROR(__xludf.DUMMYFUNCTION("""COMPUTED_VALUE"""),"NoRef")</f>
        <v>NoRef</v>
      </c>
      <c r="G58" s="3">
        <f ca="1">IFERROR(__xludf.DUMMYFUNCTION("""COMPUTED_VALUE"""),1792253)</f>
        <v>1792253</v>
      </c>
      <c r="H58" s="3"/>
      <c r="I58" s="4" t="str">
        <f ca="1">IFERROR(__xludf.DUMMYFUNCTION("""COMPUTED_VALUE"""),"https://bugzilla.mozilla.org/show_bug.cgi?id=1792253")</f>
        <v>https://bugzilla.mozilla.org/show_bug.cgi?id=1792253</v>
      </c>
      <c r="J58" s="3" t="str">
        <f ca="1">IFERROR(__xludf.DUMMYFUNCTION("""COMPUTED_VALUE"""),"['taskcluster/gecko_taskgraph/test/test_util_chunking.py']")</f>
        <v>['taskcluster/gecko_taskgraph/test/test_util_chunking.py']</v>
      </c>
      <c r="K58" s="3" t="str">
        <f ca="1">IFERROR(__xludf.DUMMYFUNCTION("""COMPUTED_VALUE"""),"System Dumps")</f>
        <v>System Dumps</v>
      </c>
      <c r="L58" s="3" t="str">
        <f ca="1">IFERROR(__xludf.DUMMYFUNCTION("""COMPUTED_VALUE"""),"File names are part of bug title, attachment title or commit messages")</f>
        <v>File names are part of bug title, attachment title or commit messages</v>
      </c>
      <c r="M58" s="3"/>
      <c r="N58" s="3"/>
      <c r="O58" s="3" t="str">
        <f ca="1">IFERROR(__xludf.DUMMYFUNCTION("""COMPUTED_VALUE"""),"Solution Draft")</f>
        <v>Solution Draft</v>
      </c>
    </row>
    <row r="59" spans="1:15" ht="15.75" customHeight="1">
      <c r="A59" s="3" t="s">
        <v>63</v>
      </c>
      <c r="B59" s="3"/>
      <c r="C59" s="3" t="str">
        <f ca="1">IFERROR(__xludf.DUMMYFUNCTION("""COMPUTED_VALUE"""),"Agree")</f>
        <v>Agree</v>
      </c>
      <c r="D59" s="3">
        <f ca="1">IFERROR(__xludf.DUMMYFUNCTION("""COMPUTED_VALUE"""),57)</f>
        <v>57</v>
      </c>
      <c r="E59" s="3" t="str">
        <f ca="1">IFERROR(__xludf.DUMMYFUNCTION("""COMPUTED_VALUE"""),"Yes")</f>
        <v>Yes</v>
      </c>
      <c r="F59" s="3" t="str">
        <f ca="1">IFERROR(__xludf.DUMMYFUNCTION("""COMPUTED_VALUE"""),"NoRef")</f>
        <v>NoRef</v>
      </c>
      <c r="G59" s="3">
        <f ca="1">IFERROR(__xludf.DUMMYFUNCTION("""COMPUTED_VALUE"""),1768428)</f>
        <v>1768428</v>
      </c>
      <c r="H59" s="3"/>
      <c r="I59" s="4" t="str">
        <f ca="1">IFERROR(__xludf.DUMMYFUNCTION("""COMPUTED_VALUE"""),"https://bugzilla.mozilla.org/show_bug.cgi?id=1768428")</f>
        <v>https://bugzilla.mozilla.org/show_bug.cgi?id=1768428</v>
      </c>
      <c r="J59" s="3" t="str">
        <f ca="1">IFERROR(__xludf.DUMMYFUNCTION("""COMPUTED_VALUE"""),"['workspace/gitpod-firefox-dev/mozilla-unified/configure.py', 'workspace/gitpod-firefox-dev/mozilla-unified/python/mozbuild/mozbuild/util.py']")</f>
        <v>['workspace/gitpod-firefox-dev/mozilla-unified/configure.py', 'workspace/gitpod-firefox-dev/mozilla-unified/python/mozbuild/mozbuild/util.py']</v>
      </c>
      <c r="K59" s="3" t="str">
        <f ca="1">IFERROR(__xludf.DUMMYFUNCTION("""COMPUTED_VALUE"""),"System Dumps")</f>
        <v>System Dumps</v>
      </c>
      <c r="L59" s="3"/>
      <c r="M59" s="3"/>
      <c r="N59" s="3"/>
      <c r="O59" s="3"/>
    </row>
    <row r="60" spans="1:15" ht="15.75" customHeight="1">
      <c r="A60" s="3" t="s">
        <v>63</v>
      </c>
      <c r="B60" s="3"/>
      <c r="C60" s="3" t="str">
        <f ca="1">IFERROR(__xludf.DUMMYFUNCTION("""COMPUTED_VALUE"""),"Agree")</f>
        <v>Agree</v>
      </c>
      <c r="D60" s="3">
        <f ca="1">IFERROR(__xludf.DUMMYFUNCTION("""COMPUTED_VALUE"""),58)</f>
        <v>58</v>
      </c>
      <c r="E60" s="3" t="str">
        <f ca="1">IFERROR(__xludf.DUMMYFUNCTION("""COMPUTED_VALUE"""),"Yes")</f>
        <v>Yes</v>
      </c>
      <c r="F60" s="3" t="str">
        <f ca="1">IFERROR(__xludf.DUMMYFUNCTION("""COMPUTED_VALUE"""),"NoRef")</f>
        <v>NoRef</v>
      </c>
      <c r="G60" s="3">
        <f ca="1">IFERROR(__xludf.DUMMYFUNCTION("""COMPUTED_VALUE"""),1638675)</f>
        <v>1638675</v>
      </c>
      <c r="H60" s="3"/>
      <c r="I60" s="4" t="str">
        <f ca="1">IFERROR(__xludf.DUMMYFUNCTION("""COMPUTED_VALUE"""),"https://bugzilla.mozilla.org/show_bug.cgi?id=1638675")</f>
        <v>https://bugzilla.mozilla.org/show_bug.cgi?id=1638675</v>
      </c>
      <c r="J60" s="3" t="str">
        <f ca="1">IFERROR(__xludf.DUMMYFUNCTION("""COMPUTED_VALUE"""),"['missing_beta_status.py']")</f>
        <v>['missing_beta_status.py']</v>
      </c>
      <c r="K60" s="3" t="str">
        <f ca="1">IFERROR(__xludf.DUMMYFUNCTION("""COMPUTED_VALUE"""),"Links")</f>
        <v>Links</v>
      </c>
      <c r="L60" s="3" t="str">
        <f ca="1">IFERROR(__xludf.DUMMYFUNCTION("""COMPUTED_VALUE"""),"Solution Draft")</f>
        <v>Solution Draft</v>
      </c>
      <c r="M60" s="3"/>
      <c r="N60" s="3"/>
      <c r="O60" s="3" t="str">
        <f ca="1">IFERROR(__xludf.DUMMYFUNCTION("""COMPUTED_VALUE""")," A developer provides intuition for the fix")</f>
        <v xml:space="preserve"> A developer provides intuition for the fix</v>
      </c>
    </row>
    <row r="61" spans="1:15" ht="15.75" customHeight="1">
      <c r="A61" s="3" t="s">
        <v>63</v>
      </c>
      <c r="B61" s="3"/>
      <c r="C61" s="3" t="str">
        <f ca="1">IFERROR(__xludf.DUMMYFUNCTION("""COMPUTED_VALUE"""),"Agree")</f>
        <v>Agree</v>
      </c>
      <c r="D61" s="3">
        <f ca="1">IFERROR(__xludf.DUMMYFUNCTION("""COMPUTED_VALUE"""),59)</f>
        <v>59</v>
      </c>
      <c r="E61" s="3" t="str">
        <f ca="1">IFERROR(__xludf.DUMMYFUNCTION("""COMPUTED_VALUE"""),"Yes")</f>
        <v>Yes</v>
      </c>
      <c r="F61" s="3" t="str">
        <f ca="1">IFERROR(__xludf.DUMMYFUNCTION("""COMPUTED_VALUE"""),"NoRef")</f>
        <v>NoRef</v>
      </c>
      <c r="G61" s="3">
        <f ca="1">IFERROR(__xludf.DUMMYFUNCTION("""COMPUTED_VALUE"""),1748577)</f>
        <v>1748577</v>
      </c>
      <c r="H61" s="3"/>
      <c r="I61" s="4" t="str">
        <f ca="1">IFERROR(__xludf.DUMMYFUNCTION("""COMPUTED_VALUE"""),"https://bugzilla.mozilla.org/show_bug.cgi?id=1748577")</f>
        <v>https://bugzilla.mozilla.org/show_bug.cgi?id=1748577</v>
      </c>
      <c r="J61" s="3" t="str">
        <f ca="1">IFERROR(__xludf.DUMMYFUNCTION("""COMPUTED_VALUE"""),"['xxxxxxxxxxx.js', 'images-fe.ssl-images-amazon.com/images/I/xxxxxxxxxxx.js', 'html.spec.whatwg.org/multipage/webappapis.html']")</f>
        <v>['xxxxxxxxxxx.js', 'images-fe.ssl-images-amazon.com/images/I/xxxxxxxxxxx.js', 'html.spec.whatwg.org/multipage/webappapis.html']</v>
      </c>
      <c r="K61" s="3" t="str">
        <f ca="1">IFERROR(__xludf.DUMMYFUNCTION("""COMPUTED_VALUE"""),"System Dumps")</f>
        <v>System Dumps</v>
      </c>
      <c r="L61" s="3"/>
      <c r="M61" s="3"/>
      <c r="N61" s="3"/>
      <c r="O61" s="3"/>
    </row>
    <row r="62" spans="1:15" ht="15.75" customHeight="1">
      <c r="A62" s="3" t="s">
        <v>63</v>
      </c>
      <c r="B62" s="3"/>
      <c r="C62" s="3" t="str">
        <f ca="1">IFERROR(__xludf.DUMMYFUNCTION("""COMPUTED_VALUE"""),"Agree")</f>
        <v>Agree</v>
      </c>
      <c r="D62" s="3">
        <f ca="1">IFERROR(__xludf.DUMMYFUNCTION("""COMPUTED_VALUE"""),60)</f>
        <v>60</v>
      </c>
      <c r="E62" s="3" t="str">
        <f ca="1">IFERROR(__xludf.DUMMYFUNCTION("""COMPUTED_VALUE"""),"Yes")</f>
        <v>Yes</v>
      </c>
      <c r="F62" s="3" t="str">
        <f ca="1">IFERROR(__xludf.DUMMYFUNCTION("""COMPUTED_VALUE"""),"NoRef")</f>
        <v>NoRef</v>
      </c>
      <c r="G62" s="3">
        <f ca="1">IFERROR(__xludf.DUMMYFUNCTION("""COMPUTED_VALUE"""),1592996)</f>
        <v>1592996</v>
      </c>
      <c r="H62" s="3"/>
      <c r="I62" s="3" t="str">
        <f ca="1">IFERROR(__xludf.DUMMYFUNCTION("""COMPUTED_VALUE"""),"1592996 - Markup view stuck at iframe root when using frame switcher")</f>
        <v>1592996 - Markup view stuck at iframe root when using frame switcher</v>
      </c>
      <c r="J62" s="3" t="str">
        <f ca="1">IFERROR(__xludf.DUMMYFUNCTION("""COMPUTED_VALUE"""),"['gre/modules/Promise-backend.js', 'devtools/client/inspector/markup/markup.js', 'markup.js']")</f>
        <v>['gre/modules/Promise-backend.js', 'devtools/client/inspector/markup/markup.js', 'markup.js']</v>
      </c>
      <c r="K62" s="3" t="str">
        <f ca="1">IFERROR(__xludf.DUMMYFUNCTION("""COMPUTED_VALUE"""),"System Dumps")</f>
        <v>System Dumps</v>
      </c>
      <c r="L62" s="3"/>
      <c r="M62" s="3"/>
      <c r="N62" s="3"/>
      <c r="O62" s="3"/>
    </row>
    <row r="63" spans="1:15" ht="15.75" customHeight="1">
      <c r="A63" s="3" t="s">
        <v>63</v>
      </c>
      <c r="B63" s="3"/>
      <c r="C63" s="3" t="str">
        <f ca="1">IFERROR(__xludf.DUMMYFUNCTION("""COMPUTED_VALUE"""),"Agree")</f>
        <v>Agree</v>
      </c>
      <c r="D63" s="3">
        <f ca="1">IFERROR(__xludf.DUMMYFUNCTION("""COMPUTED_VALUE"""),61)</f>
        <v>61</v>
      </c>
      <c r="E63" s="3" t="str">
        <f ca="1">IFERROR(__xludf.DUMMYFUNCTION("""COMPUTED_VALUE"""),"Yes")</f>
        <v>Yes</v>
      </c>
      <c r="F63" s="3" t="str">
        <f ca="1">IFERROR(__xludf.DUMMYFUNCTION("""COMPUTED_VALUE"""),"NoRef")</f>
        <v>NoRef</v>
      </c>
      <c r="G63" s="3">
        <f ca="1">IFERROR(__xludf.DUMMYFUNCTION("""COMPUTED_VALUE"""),1767128)</f>
        <v>1767128</v>
      </c>
      <c r="H63" s="3"/>
      <c r="I63" s="4" t="str">
        <f ca="1">IFERROR(__xludf.DUMMYFUNCTION("""COMPUTED_VALUE"""),"https://bugzilla.mozilla.org/show_bug.cgi?id=1767128")</f>
        <v>https://bugzilla.mozilla.org/show_bug.cgi?id=1767128</v>
      </c>
      <c r="J63" s="3" t="str">
        <f ca="1">IFERROR(__xludf.DUMMYFUNCTION("""COMPUTED_VALUE"""),"['severity_tracked.py', 'firefox-source-docs.mozilla.org/bug-mgmt/policies/triage-bugzilla.html']")</f>
        <v>['severity_tracked.py', 'firefox-source-docs.mozilla.org/bug-mgmt/policies/triage-bugzilla.html']</v>
      </c>
      <c r="K63" s="3" t="str">
        <f ca="1">IFERROR(__xludf.DUMMYFUNCTION("""COMPUTED_VALUE"""),"Links")</f>
        <v>Links</v>
      </c>
      <c r="L63" s="3"/>
      <c r="M63" s="3"/>
      <c r="N63" s="3"/>
      <c r="O63" s="3" t="str">
        <f ca="1">IFERROR(__xludf.DUMMYFUNCTION("""COMPUTED_VALUE"""),"Not all links are file links. Developer provide Links, drive files, System Dumpss, txt files")</f>
        <v>Not all links are file links. Developer provide Links, drive files, System Dumpss, txt files</v>
      </c>
    </row>
    <row r="64" spans="1:15" ht="15.75" customHeight="1">
      <c r="A64" s="3" t="s">
        <v>63</v>
      </c>
      <c r="B64" s="3"/>
      <c r="C64" s="3" t="str">
        <f ca="1">IFERROR(__xludf.DUMMYFUNCTION("""COMPUTED_VALUE"""),"Agree")</f>
        <v>Agree</v>
      </c>
      <c r="D64" s="3">
        <f ca="1">IFERROR(__xludf.DUMMYFUNCTION("""COMPUTED_VALUE"""),62)</f>
        <v>62</v>
      </c>
      <c r="E64" s="3" t="str">
        <f ca="1">IFERROR(__xludf.DUMMYFUNCTION("""COMPUTED_VALUE"""),"Yes")</f>
        <v>Yes</v>
      </c>
      <c r="F64" s="3" t="str">
        <f ca="1">IFERROR(__xludf.DUMMYFUNCTION("""COMPUTED_VALUE"""),"NoRef")</f>
        <v>NoRef</v>
      </c>
      <c r="G64" s="3">
        <f ca="1">IFERROR(__xludf.DUMMYFUNCTION("""COMPUTED_VALUE"""),1575797)</f>
        <v>1575797</v>
      </c>
      <c r="H64" s="3"/>
      <c r="I64" s="4" t="str">
        <f ca="1">IFERROR(__xludf.DUMMYFUNCTION("""COMPUTED_VALUE"""),"https://bugzilla.mozilla.org/show_bug.cgi?id=1575797")</f>
        <v>https://bugzilla.mozilla.org/show_bug.cgi?id=1575797</v>
      </c>
      <c r="J64" s="3" t="str">
        <f ca="1">IFERROR(__xludf.DUMMYFUNCTION("""COMPUTED_VALUE"""),"['react-dom.js', 'activity-stream/data/content/activity-stream.bundle.js', 'activity-stream/vendor/react-dom.js']")</f>
        <v>['react-dom.js', 'activity-stream/data/content/activity-stream.bundle.js', 'activity-stream/vendor/react-dom.js']</v>
      </c>
      <c r="K64" s="3" t="str">
        <f ca="1">IFERROR(__xludf.DUMMYFUNCTION("""COMPUTED_VALUE"""),"System Dumps")</f>
        <v>System Dumps</v>
      </c>
      <c r="L64" s="3"/>
      <c r="M64" s="3"/>
      <c r="N64" s="3"/>
      <c r="O64" s="3"/>
    </row>
    <row r="65" spans="1:15" ht="15.75" customHeight="1">
      <c r="A65" s="3" t="s">
        <v>63</v>
      </c>
      <c r="B65" s="3"/>
      <c r="C65" s="3" t="str">
        <f ca="1">IFERROR(__xludf.DUMMYFUNCTION("""COMPUTED_VALUE"""),"Agree")</f>
        <v>Agree</v>
      </c>
      <c r="D65" s="3">
        <f ca="1">IFERROR(__xludf.DUMMYFUNCTION("""COMPUTED_VALUE"""),63)</f>
        <v>63</v>
      </c>
      <c r="E65" s="3" t="str">
        <f ca="1">IFERROR(__xludf.DUMMYFUNCTION("""COMPUTED_VALUE"""),"Yes")</f>
        <v>Yes</v>
      </c>
      <c r="F65" s="3" t="str">
        <f ca="1">IFERROR(__xludf.DUMMYFUNCTION("""COMPUTED_VALUE"""),"NoRef")</f>
        <v>NoRef</v>
      </c>
      <c r="G65" s="3">
        <f ca="1">IFERROR(__xludf.DUMMYFUNCTION("""COMPUTED_VALUE"""),1745200)</f>
        <v>1745200</v>
      </c>
      <c r="H65" s="3"/>
      <c r="I65" s="4" t="str">
        <f ca="1">IFERROR(__xludf.DUMMYFUNCTION("""COMPUTED_VALUE"""),"https://bugzilla.mozilla.org/show_bug.cgi?id=1745200")</f>
        <v>https://bugzilla.mozilla.org/show_bug.cgi?id=1745200</v>
      </c>
      <c r="J65" s="3" t="str">
        <f ca="1">IFERROR(__xludf.DUMMYFUNCTION("""COMPUTED_VALUE"""),"['firefox-source-docs.mozilla.org/testing/perfdocs/raptor.html', 'visualmetrics.py']")</f>
        <v>['firefox-source-docs.mozilla.org/testing/perfdocs/raptor.html', 'visualmetrics.py']</v>
      </c>
      <c r="K65" s="3" t="str">
        <f ca="1">IFERROR(__xludf.DUMMYFUNCTION("""COMPUTED_VALUE"""),"Solution Draft")</f>
        <v>Solution Draft</v>
      </c>
      <c r="L65" s="3" t="str">
        <f ca="1">IFERROR(__xludf.DUMMYFUNCTION("""COMPUTED_VALUE"""),"System Dumps")</f>
        <v>System Dumps</v>
      </c>
      <c r="M65" s="3"/>
      <c r="N65" s="3"/>
      <c r="O65" s="3"/>
    </row>
    <row r="66" spans="1:15" ht="15.75" customHeight="1">
      <c r="A66" s="3" t="s">
        <v>63</v>
      </c>
      <c r="B66" s="3" t="str">
        <f ca="1">IFERROR(__xludf.DUMMYFUNCTION("""COMPUTED_VALUE"""),"Agree")</f>
        <v>Agree</v>
      </c>
      <c r="C66" s="3" t="str">
        <f ca="1">IFERROR(__xludf.DUMMYFUNCTION("""COMPUTED_VALUE"""),"Disagree")</f>
        <v>Disagree</v>
      </c>
      <c r="D66" s="3">
        <f ca="1">IFERROR(__xludf.DUMMYFUNCTION("""COMPUTED_VALUE"""),64)</f>
        <v>64</v>
      </c>
      <c r="E66" s="3" t="str">
        <f ca="1">IFERROR(__xludf.DUMMYFUNCTION("""COMPUTED_VALUE"""),"Yes")</f>
        <v>Yes</v>
      </c>
      <c r="F66" s="3" t="str">
        <f ca="1">IFERROR(__xludf.DUMMYFUNCTION("""COMPUTED_VALUE"""),"NoRef")</f>
        <v>NoRef</v>
      </c>
      <c r="G66" s="3">
        <f ca="1">IFERROR(__xludf.DUMMYFUNCTION("""COMPUTED_VALUE"""),1200075)</f>
        <v>1200075</v>
      </c>
      <c r="H66" s="3"/>
      <c r="I66" s="3" t="str">
        <f ca="1">IFERROR(__xludf.DUMMYFUNCTION("""COMPUTED_VALUE"""),"1200075 - Fix malloc_usable_size situation for SQLite on Windows")</f>
        <v>1200075 - Fix malloc_usable_size situation for SQLite on Windows</v>
      </c>
      <c r="J66" s="3" t="str">
        <f ca="1">IFERROR(__xludf.DUMMYFUNCTION("""COMPUTED_VALUE"""),"['db/sqlite3/src/moz.build', 'dist/include/mozmemory.h']")</f>
        <v>['db/sqlite3/src/moz.build', 'dist/include/mozmemory.h']</v>
      </c>
      <c r="K66" s="3" t="str">
        <f ca="1">IFERROR(__xludf.DUMMYFUNCTION("""COMPUTED_VALUE"""),"Solution Draft")</f>
        <v>Solution Draft</v>
      </c>
      <c r="L66" s="3" t="str">
        <f ca="1">IFERROR(__xludf.DUMMYFUNCTION("""COMPUTED_VALUE"""),"Part of Code")</f>
        <v>Part of Code</v>
      </c>
      <c r="M66" s="3"/>
      <c r="N66" s="3"/>
      <c r="O66" s="3" t="str">
        <f ca="1">IFERROR(__xludf.DUMMYFUNCTION("""COMPUTED_VALUE"""),"These are not file referenced but rather the lines to add in a function to fix the bug")</f>
        <v>These are not file referenced but rather the lines to add in a function to fix the bug</v>
      </c>
    </row>
    <row r="67" spans="1:15" ht="56">
      <c r="A67" s="3" t="s">
        <v>63</v>
      </c>
      <c r="B67" s="3" t="str">
        <f ca="1">IFERROR(__xludf.DUMMYFUNCTION("""COMPUTED_VALUE"""),"Agree")</f>
        <v>Agree</v>
      </c>
      <c r="C67" s="3" t="str">
        <f ca="1">IFERROR(__xludf.DUMMYFUNCTION("""COMPUTED_VALUE"""),"Partial")</f>
        <v>Partial</v>
      </c>
      <c r="D67" s="3">
        <f ca="1">IFERROR(__xludf.DUMMYFUNCTION("""COMPUTED_VALUE"""),65)</f>
        <v>65</v>
      </c>
      <c r="E67" s="3" t="str">
        <f ca="1">IFERROR(__xludf.DUMMYFUNCTION("""COMPUTED_VALUE"""),"Yes")</f>
        <v>Yes</v>
      </c>
      <c r="F67" s="3" t="str">
        <f ca="1">IFERROR(__xludf.DUMMYFUNCTION("""COMPUTED_VALUE"""),"NoRef")</f>
        <v>NoRef</v>
      </c>
      <c r="G67" s="3">
        <f ca="1">IFERROR(__xludf.DUMMYFUNCTION("""COMPUTED_VALUE"""),1793323)</f>
        <v>1793323</v>
      </c>
      <c r="H67" s="3"/>
      <c r="I67" s="4" t="str">
        <f ca="1">IFERROR(__xludf.DUMMYFUNCTION("""COMPUTED_VALUE"""),"https://bugzilla.mozilla.org/show_bug.cgi?id=1793323")</f>
        <v>https://bugzilla.mozilla.org/show_bug.cgi?id=1793323</v>
      </c>
      <c r="J67" s="3" t="str">
        <f ca="1">IFERROR(__xludf.DUMMYFUNCTION("""COMPUTED_VALUE"""),"['github.com/LibreOffice/core/blob/2a7fcaf582df3ada57ca519b50e29011973a1b6f/shell/source/unix/misc/senddoc.sh', 'searchfox.org/comm-central/rev/bfefc713c577d1b7db4e06f16bd687ccb7875ea7/mail/components/MessengerContentHandler.jsm', 'home/xxxxx/Desktop/huhu"&amp;".txt']")</f>
        <v>['github.com/LibreOffice/core/blob/2a7fcaf582df3ada57ca519b50e29011973a1b6f/shell/source/unix/misc/senddoc.sh', 'searchfox.org/comm-central/rev/bfefc713c577d1b7db4e06f16bd687ccb7875ea7/mail/components/MessengerContentHandler.jsm', 'home/xxxxx/Desktop/huhu.txt']</v>
      </c>
      <c r="K67" s="3" t="str">
        <f ca="1">IFERROR(__xludf.DUMMYFUNCTION("""COMPUTED_VALUE"""),"File to Reproduce the Bug")</f>
        <v>File to Reproduce the Bug</v>
      </c>
      <c r="L67" s="3" t="str">
        <f ca="1">IFERROR(__xludf.DUMMYFUNCTION("""COMPUTED_VALUE"""),"Bug Description")</f>
        <v>Bug Description</v>
      </c>
      <c r="M67" s="3" t="str">
        <f ca="1">IFERROR(__xludf.DUMMYFUNCTION("""COMPUTED_VALUE"""),"Missing Mapping")</f>
        <v>Missing Mapping</v>
      </c>
      <c r="N67" s="3"/>
      <c r="O67" s="3"/>
    </row>
    <row r="68" spans="1:15" ht="98">
      <c r="A68" s="3" t="s">
        <v>63</v>
      </c>
      <c r="B68" s="3"/>
      <c r="C68" s="3" t="str">
        <f ca="1">IFERROR(__xludf.DUMMYFUNCTION("""COMPUTED_VALUE"""),"Agree")</f>
        <v>Agree</v>
      </c>
      <c r="D68" s="3">
        <f ca="1">IFERROR(__xludf.DUMMYFUNCTION("""COMPUTED_VALUE"""),66)</f>
        <v>66</v>
      </c>
      <c r="E68" s="3" t="str">
        <f ca="1">IFERROR(__xludf.DUMMYFUNCTION("""COMPUTED_VALUE"""),"Yes")</f>
        <v>Yes</v>
      </c>
      <c r="F68" s="3" t="str">
        <f ca="1">IFERROR(__xludf.DUMMYFUNCTION("""COMPUTED_VALUE"""),"NoRef")</f>
        <v>NoRef</v>
      </c>
      <c r="G68" s="3">
        <f ca="1">IFERROR(__xludf.DUMMYFUNCTION("""COMPUTED_VALUE"""),1623285)</f>
        <v>1623285</v>
      </c>
      <c r="H68" s="3"/>
      <c r="I68" s="4" t="str">
        <f ca="1">IFERROR(__xludf.DUMMYFUNCTION("""COMPUTED_VALUE"""),"https://bugzilla.mozilla.org/show_bug.cgi?id=1623285")</f>
        <v>https://bugzilla.mozilla.org/show_bug.cgi?id=1623285</v>
      </c>
      <c r="J68" s="3" t="str">
        <f ca="1">IFERROR(__xludf.DUMMYFUNCTION("""COMPUTED_VALUE"""),"['searchfox.org/comm-central/rev/9f02dd21f41f406480da1b0b3fa1d38626ed0492/mail/components/compose/content/addressingWidgetOverlay.js', 'mail/components/compose/content/MsgComposeCommands.js', 'mail/components/compose/content/addressingWidgetOverlay.js']")</f>
        <v>['searchfox.org/comm-central/rev/9f02dd21f41f406480da1b0b3fa1d38626ed0492/mail/components/compose/content/addressingWidgetOverlay.js', 'mail/components/compose/content/MsgComposeCommands.js', 'mail/components/compose/content/addressingWidgetOverlay.js']</v>
      </c>
      <c r="K68" s="3" t="str">
        <f ca="1">IFERROR(__xludf.DUMMYFUNCTION("""COMPUTED_VALUE"""),"Bug Description")</f>
        <v>Bug Description</v>
      </c>
      <c r="L68" s="3" t="str">
        <f ca="1">IFERROR(__xludf.DUMMYFUNCTION("""COMPUTED_VALUE"""),"File to Reproduce the Bug")</f>
        <v>File to Reproduce the Bug</v>
      </c>
      <c r="M68" s="3" t="str">
        <f ca="1">IFERROR(__xludf.DUMMYFUNCTION("""COMPUTED_VALUE"""),"Solution Draft")</f>
        <v>Solution Draft</v>
      </c>
      <c r="N68" s="3" t="str">
        <f ca="1">IFERROR(__xludf.DUMMYFUNCTION("""COMPUTED_VALUE"""),"Code Review")</f>
        <v>Code Review</v>
      </c>
      <c r="O68" s="3" t="str">
        <f ca="1">IFERROR(__xludf.DUMMYFUNCTION("""COMPUTED_VALUE"""),"IT also present a code review and discuss how this bug is escaped code review and QA phase")</f>
        <v>IT also present a code review and discuss how this bug is escaped code review and QA phase</v>
      </c>
    </row>
    <row r="69" spans="1:15" ht="371">
      <c r="A69" s="3" t="s">
        <v>63</v>
      </c>
      <c r="B69" s="3"/>
      <c r="C69" s="3" t="str">
        <f ca="1">IFERROR(__xludf.DUMMYFUNCTION("""COMPUTED_VALUE"""),"Agree")</f>
        <v>Agree</v>
      </c>
      <c r="D69" s="3">
        <f ca="1">IFERROR(__xludf.DUMMYFUNCTION("""COMPUTED_VALUE"""),67)</f>
        <v>67</v>
      </c>
      <c r="E69" s="3" t="str">
        <f ca="1">IFERROR(__xludf.DUMMYFUNCTION("""COMPUTED_VALUE"""),"Yes")</f>
        <v>Yes</v>
      </c>
      <c r="F69" s="3" t="str">
        <f ca="1">IFERROR(__xludf.DUMMYFUNCTION("""COMPUTED_VALUE"""),"NoRef")</f>
        <v>NoRef</v>
      </c>
      <c r="G69" s="3">
        <f ca="1">IFERROR(__xludf.DUMMYFUNCTION("""COMPUTED_VALUE"""),1612723)</f>
        <v>1612723</v>
      </c>
      <c r="H69" s="3"/>
      <c r="I69" s="4" t="str">
        <f ca="1">IFERROR(__xludf.DUMMYFUNCTION("""COMPUTED_VALUE"""),"https://bugzilla.mozilla.org/show_bug.cgi?id=1612723")</f>
        <v>https://bugzilla.mozilla.org/show_bug.cgi?id=1612723</v>
      </c>
      <c r="J69" s="3" t="str">
        <f ca="1">IFERROR(__xludf.DUMMYFUNCTION("""COMPUTED_VALUE"""),"['builds/worker/workspace/build/src/xpcom/ds/nsStringEnumerator.cpp', 'nsAppStartup.cpp', 'dom/media/test/test_vp9_superframes.html', 'builds/worker/workspace/build/src/startupcache/StartupCache.cpp', 'widget/cocoa/nsAppShell.mm', 'dom/media/test/mochites"&amp;"t.ini', 'Users/cltbld/tasks/task_1581032661/build/tests/mochitest/server.js', 'builds/worker/workspace/build/src/dom/presentation/provider/MulticastDNSDeviceProvider.cpp', 'runtests.py', 'nsThreadUtils.cpp', 'builds/worker/workspace/build/src/xpcom/base/n"&amp;"sTraceRefcnt.cpp', 'Loader.cpp', 'widget/nsBaseAppShell.cpp', 'builds/worker/workspace/build/src/obj-firefox/dist/include/mozilla/ErrorResult.h', 'xpcom/ds/nsTObserverArray.h', 'automation.py', 'builds/worker/workspace/build/src/dom/media/gmp/GMPServicePa"&amp;"rent.cpp', 'MozPromise.h', 'builds/worker/workspace/build/src/netwerk/ipc/SocketProcessChild.cpp', 'PrototypeDocumentContentSink.cpp', 'toolkit/xre/nsAppRunner.cpp', 'dom/prototype/PrototypeDocumentContentSink.cpp', 'mfbt/RefPtr.h', 'treeherder.mozilla.or"&amp;"g/logviewer.html', 'xpcom/threads/nsThreadUtils.cpp', 'builds/worker/workspace/build/src/dom/workers/RuntimeService.cpp', 'Users/cltbld/tasks/task_1581032661/build/tests/bin/components/httpd.js', 'dom/bindings/ErrorResult.h', 'nsBaseAppShell.cpp', 'builds"&amp;"/worker/workspace/build/src/dom/l10n/DocumentL10n.cpp', 'nsAppShell.mm', 'xpcom/threads/MozPromise.h', 'builds/worker/workspace/build/src/dom/l10n/DOMLocalization.cpp', 'nsAppRunner.cpp', 'toolkit/components/startup/nsAppStartup.cpp', 'builds/worker/works"&amp;"pace/build/src/dom/media/CubebUtils.cpp', 'nsThread.cpp', 'ErrorResult.h', 'DocumentL10n.cpp']")</f>
        <v>['builds/worker/workspace/build/src/xpcom/ds/nsStringEnumerator.cpp', 'nsAppStartup.cpp', 'dom/media/test/test_vp9_superframes.html', 'builds/worker/workspace/build/src/startupcache/StartupCache.cpp', 'widget/cocoa/nsAppShell.mm', 'dom/media/test/mochitest.ini', 'Users/cltbld/tasks/task_1581032661/build/tests/mochitest/server.js', 'builds/worker/workspace/build/src/dom/presentation/provider/MulticastDNSDeviceProvider.cpp', 'runtests.py', 'nsThreadUtils.cpp', 'builds/worker/workspace/build/src/xpcom/base/nsTraceRefcnt.cpp', 'Loader.cpp', 'widget/nsBaseAppShell.cpp', 'builds/worker/workspace/build/src/obj-firefox/dist/include/mozilla/ErrorResult.h', 'xpcom/ds/nsTObserverArray.h', 'automation.py', 'builds/worker/workspace/build/src/dom/media/gmp/GMPServiceParent.cpp', 'MozPromise.h', 'builds/worker/workspace/build/src/netwerk/ipc/SocketProcessChild.cpp', 'PrototypeDocumentContentSink.cpp', 'toolkit/xre/nsAppRunner.cpp', 'dom/prototype/PrototypeDocumentContentSink.cpp', 'mfbt/RefPtr.h', 'treeherder.mozilla.org/logviewer.html', 'xpcom/threads/nsThreadUtils.cpp', 'builds/worker/workspace/build/src/dom/workers/RuntimeService.cpp', 'Users/cltbld/tasks/task_1581032661/build/tests/bin/components/httpd.js', 'dom/bindings/ErrorResult.h', 'nsBaseAppShell.cpp', 'builds/worker/workspace/build/src/dom/l10n/DocumentL10n.cpp', 'nsAppShell.mm', 'xpcom/threads/MozPromise.h', 'builds/worker/workspace/build/src/dom/l10n/DOMLocalization.cpp', 'nsAppRunner.cpp', 'toolkit/components/startup/nsAppStartup.cpp', 'builds/worker/workspace/build/src/dom/media/CubebUtils.cpp', 'nsThread.cpp', 'ErrorResult.h', 'DocumentL10n.cpp']</v>
      </c>
      <c r="K69" s="3" t="str">
        <f ca="1">IFERROR(__xludf.DUMMYFUNCTION("""COMPUTED_VALUE"""),"System Dumps")</f>
        <v>System Dumps</v>
      </c>
      <c r="L69" s="3"/>
      <c r="M69" s="3"/>
      <c r="N69" s="3"/>
      <c r="O69" s="3"/>
    </row>
    <row r="70" spans="1:15" ht="112">
      <c r="A70" s="3" t="s">
        <v>63</v>
      </c>
      <c r="B70" s="3" t="str">
        <f ca="1">IFERROR(__xludf.DUMMYFUNCTION("""COMPUTED_VALUE"""),"Agree")</f>
        <v>Agree</v>
      </c>
      <c r="C70" s="3" t="str">
        <f ca="1">IFERROR(__xludf.DUMMYFUNCTION("""COMPUTED_VALUE"""),"Partial")</f>
        <v>Partial</v>
      </c>
      <c r="D70" s="3">
        <f ca="1">IFERROR(__xludf.DUMMYFUNCTION("""COMPUTED_VALUE"""),68)</f>
        <v>68</v>
      </c>
      <c r="E70" s="3" t="str">
        <f ca="1">IFERROR(__xludf.DUMMYFUNCTION("""COMPUTED_VALUE"""),"Yes")</f>
        <v>Yes</v>
      </c>
      <c r="F70" s="3" t="str">
        <f ca="1">IFERROR(__xludf.DUMMYFUNCTION("""COMPUTED_VALUE"""),"NoRef")</f>
        <v>NoRef</v>
      </c>
      <c r="G70" s="3">
        <f ca="1">IFERROR(__xludf.DUMMYFUNCTION("""COMPUTED_VALUE"""),1722188)</f>
        <v>1722188</v>
      </c>
      <c r="H70" s="3"/>
      <c r="I70" s="3" t="str">
        <f ca="1">IFERROR(__xludf.DUMMYFUNCTION("""COMPUTED_VALUE"""),"1722188 - Print function fails on protonmail")</f>
        <v>1722188 - Print function fails on protonmail</v>
      </c>
      <c r="J70" s="3" t="str">
        <f ca="1">IFERROR(__xludf.DUMMYFUNCTION("""COMPUTED_VALUE"""),"['LoginRecipes.jsm', 'gre/actors/PrintingChild.jsm', 'searchfox.org/mozilla-central/rev/9c91451cc2392d942a42493fc895f5aeeddde45d/gfx/cairo/cairo/src/win32/cairo-win32-printing-surface.c', 'mail.protonmail.com/7.b3220512.chunk.js', 'Prompter.jsm', 'global/"&amp;"content/printUtils.js', 'gre/modules/Prompter.jsm', 'mail.protonmail.com/vendors~index.b615def6.chunk.js', 'src/mozilla-central/gfx/cairo/cairo/src/cairo-recording-surface.c', 'gre/actors/PrintingParent.jsm']")</f>
        <v>['LoginRecipes.jsm', 'gre/actors/PrintingChild.jsm', 'searchfox.org/mozilla-central/rev/9c91451cc2392d942a42493fc895f5aeeddde45d/gfx/cairo/cairo/src/win32/cairo-win32-printing-surface.c', 'mail.protonmail.com/7.b3220512.chunk.js', 'Prompter.jsm', 'global/content/printUtils.js', 'gre/modules/Prompter.jsm', 'mail.protonmail.com/vendors~index.b615def6.chunk.js', 'src/mozilla-central/gfx/cairo/cairo/src/cairo-recording-surface.c', 'gre/actors/PrintingParent.jsm']</v>
      </c>
      <c r="K70" s="3" t="str">
        <f ca="1">IFERROR(__xludf.DUMMYFUNCTION("""COMPUTED_VALUE"""),"System Dumps")</f>
        <v>System Dumps</v>
      </c>
      <c r="L70" s="3"/>
      <c r="M70" s="3"/>
      <c r="N70" s="3"/>
      <c r="O70" s="3" t="str">
        <f ca="1">IFERROR(__xludf.DUMMYFUNCTION("""COMPUTED_VALUE"""),"Bug Description")</f>
        <v>Bug Description</v>
      </c>
    </row>
    <row r="71" spans="1:15" ht="168">
      <c r="A71" s="3" t="s">
        <v>63</v>
      </c>
      <c r="B71" s="3" t="str">
        <f ca="1">IFERROR(__xludf.DUMMYFUNCTION("""COMPUTED_VALUE"""),"Agree")</f>
        <v>Agree</v>
      </c>
      <c r="C71" s="3" t="str">
        <f ca="1">IFERROR(__xludf.DUMMYFUNCTION("""COMPUTED_VALUE"""),"Disagree")</f>
        <v>Disagree</v>
      </c>
      <c r="D71" s="3">
        <f ca="1">IFERROR(__xludf.DUMMYFUNCTION("""COMPUTED_VALUE"""),69)</f>
        <v>69</v>
      </c>
      <c r="E71" s="3" t="str">
        <f ca="1">IFERROR(__xludf.DUMMYFUNCTION("""COMPUTED_VALUE"""),"Yes")</f>
        <v>Yes</v>
      </c>
      <c r="F71" s="3" t="str">
        <f ca="1">IFERROR(__xludf.DUMMYFUNCTION("""COMPUTED_VALUE"""),"NoRef")</f>
        <v>NoRef</v>
      </c>
      <c r="G71" s="3">
        <f ca="1">IFERROR(__xludf.DUMMYFUNCTION("""COMPUTED_VALUE"""),1642279)</f>
        <v>1642279</v>
      </c>
      <c r="H71" s="3"/>
      <c r="I71" s="3" t="str">
        <f ca="1">IFERROR(__xludf.DUMMYFUNCTION("""COMPUTED_VALUE"""),"1642279 - Email addresses with comma in display name cannot be entered via keyboard")</f>
        <v>1642279 - Email addresses with comma in display name cannot be entered via keyboard</v>
      </c>
      <c r="J71" s="3" t="str">
        <f ca="1">IFERROR(__xludf.DUMMYFUNCTION("""COMPUTED_VALUE"""),"['searchfox.org/comm-central/rev/5ed7de91a637b0b52125e6f40a8ee79e0396192b/mailnews/addrbook/src/AbAutoCompleteSearch.jsm', 'mail/components/compose/content/addressingWidgetOverlay.js', 'down.html', 'searchfox.org/comm-central/rev/1caf86b49b044958fed0b0d8d"&amp;"5fb6ec974557aaa/mail/components/compose/content/addressingWidgetOverlay.js', 'searchfox.org/comm-central/rev/e8cc4c6395d4f9e128e04fc8c4163aa09b35d731/mail/components/compose/content/addressingWidgetOverlay.js', 'mailnews/addrbook/test/unit/test_nsAbAutoCo"&amp;"mpleteSearch1.js', 'treeherder.mozilla.org/intermittent-failures.html']")</f>
        <v>['searchfox.org/comm-central/rev/5ed7de91a637b0b52125e6f40a8ee79e0396192b/mailnews/addrbook/src/AbAutoCompleteSearch.jsm', 'mail/components/compose/content/addressingWidgetOverlay.js', 'down.html', 'searchfox.org/comm-central/rev/1caf86b49b044958fed0b0d8d5fb6ec974557aaa/mail/components/compose/content/addressingWidgetOverlay.js', 'searchfox.org/comm-central/rev/e8cc4c6395d4f9e128e04fc8c4163aa09b35d731/mail/components/compose/content/addressingWidgetOverlay.js', 'mailnews/addrbook/test/unit/test_nsAbAutoCompleteSearch1.js', 'treeherder.mozilla.org/intermittent-failures.html']</v>
      </c>
      <c r="K71" s="3" t="str">
        <f ca="1">IFERROR(__xludf.DUMMYFUNCTION("""COMPUTED_VALUE"""),"Bug Description")</f>
        <v>Bug Description</v>
      </c>
      <c r="L71" s="3" t="str">
        <f ca="1">IFERROR(__xludf.DUMMYFUNCTION("""COMPUTED_VALUE"""),"Solution Draft")</f>
        <v>Solution Draft</v>
      </c>
      <c r="M71" s="3" t="str">
        <f ca="1">IFERROR(__xludf.DUMMYFUNCTION("""COMPUTED_VALUE"""),"Missing Mapping")</f>
        <v>Missing Mapping</v>
      </c>
      <c r="N71" s="3" t="str">
        <f ca="1">IFERROR(__xludf.DUMMYFUNCTION("""COMPUTED_VALUE"""),"Code Review")</f>
        <v>Code Review</v>
      </c>
      <c r="O71" s="3" t="str">
        <f ca="1">IFERROR(__xludf.DUMMYFUNCTION("""COMPUTED_VALUE"""),"Code Review code")</f>
        <v>Code Review code</v>
      </c>
    </row>
    <row r="72" spans="1:15" ht="14">
      <c r="A72" s="3" t="s">
        <v>63</v>
      </c>
      <c r="B72" s="3"/>
      <c r="C72" s="3" t="str">
        <f ca="1">IFERROR(__xludf.DUMMYFUNCTION("""COMPUTED_VALUE"""),"Agree")</f>
        <v>Agree</v>
      </c>
      <c r="D72" s="3">
        <f ca="1">IFERROR(__xludf.DUMMYFUNCTION("""COMPUTED_VALUE"""),70)</f>
        <v>70</v>
      </c>
      <c r="E72" s="3" t="str">
        <f ca="1">IFERROR(__xludf.DUMMYFUNCTION("""COMPUTED_VALUE"""),"Yes")</f>
        <v>Yes</v>
      </c>
      <c r="F72" s="3" t="str">
        <f ca="1">IFERROR(__xludf.DUMMYFUNCTION("""COMPUTED_VALUE"""),"NoRef")</f>
        <v>NoRef</v>
      </c>
      <c r="G72" s="3">
        <f ca="1">IFERROR(__xludf.DUMMYFUNCTION("""COMPUTED_VALUE"""),1598615)</f>
        <v>1598615</v>
      </c>
      <c r="H72" s="3"/>
      <c r="I72" s="3" t="str">
        <f ca="1">IFERROR(__xludf.DUMMYFUNCTION("""COMPUTED_VALUE"""),"1598615 - Some of the rstcheck output isn't displayed")</f>
        <v>1598615 - Some of the rstcheck output isn't displayed</v>
      </c>
      <c r="J72" s="3" t="str">
        <f ca="1">IFERROR(__xludf.DUMMYFUNCTION("""COMPUTED_VALUE"""),"['home/sylvestre/dev/mozilla/mozilla-central.hg/tools/lint/docs/coding-style/coding_style.rst']")</f>
        <v>['home/sylvestre/dev/mozilla/mozilla-central.hg/tools/lint/docs/coding-style/coding_style.rst']</v>
      </c>
      <c r="K72" s="3" t="str">
        <f ca="1">IFERROR(__xludf.DUMMYFUNCTION("""COMPUTED_VALUE"""),"System Dumps")</f>
        <v>System Dumps</v>
      </c>
      <c r="L72" s="3"/>
      <c r="M72" s="3"/>
      <c r="N72" s="3"/>
      <c r="O72" s="3"/>
    </row>
    <row r="73" spans="1:15" ht="28">
      <c r="A73" s="3" t="s">
        <v>63</v>
      </c>
      <c r="B73" s="3"/>
      <c r="C73" s="3" t="str">
        <f ca="1">IFERROR(__xludf.DUMMYFUNCTION("""COMPUTED_VALUE"""),"Agree")</f>
        <v>Agree</v>
      </c>
      <c r="D73" s="3">
        <f ca="1">IFERROR(__xludf.DUMMYFUNCTION("""COMPUTED_VALUE"""),71)</f>
        <v>71</v>
      </c>
      <c r="E73" s="3" t="str">
        <f ca="1">IFERROR(__xludf.DUMMYFUNCTION("""COMPUTED_VALUE"""),"Yes")</f>
        <v>Yes</v>
      </c>
      <c r="F73" s="3" t="str">
        <f ca="1">IFERROR(__xludf.DUMMYFUNCTION("""COMPUTED_VALUE"""),"NoRef")</f>
        <v>NoRef</v>
      </c>
      <c r="G73" s="3">
        <f ca="1">IFERROR(__xludf.DUMMYFUNCTION("""COMPUTED_VALUE"""),1731792)</f>
        <v>1731792</v>
      </c>
      <c r="H73" s="3"/>
      <c r="I73" s="4" t="str">
        <f ca="1">IFERROR(__xludf.DUMMYFUNCTION("""COMPUTED_VALUE"""),"https://bugzilla.mozilla.org/show_bug.cgi?id=1731792")</f>
        <v>https://bugzilla.mozilla.org/show_bug.cgi?id=1731792</v>
      </c>
      <c r="J73" s="3" t="str">
        <f ca="1">IFERROR(__xludf.DUMMYFUNCTION("""COMPUTED_VALUE"""),"['browser_console_error_source_click.js', 'browser_docshell_type_editor.js']")</f>
        <v>['browser_console_error_source_click.js', 'browser_docshell_type_editor.js']</v>
      </c>
      <c r="K73" s="3" t="str">
        <f ca="1">IFERROR(__xludf.DUMMYFUNCTION("""COMPUTED_VALUE"""),"File to Reproduce the Bug")</f>
        <v>File to Reproduce the Bug</v>
      </c>
      <c r="L73" s="3"/>
      <c r="M73" s="3"/>
      <c r="N73" s="3"/>
      <c r="O73" s="3" t="str">
        <f ca="1">IFERROR(__xludf.DUMMYFUNCTION("""COMPUTED_VALUE"""),"System Dumps")</f>
        <v>System Dumps</v>
      </c>
    </row>
    <row r="74" spans="1:15" ht="28">
      <c r="A74" s="3" t="s">
        <v>63</v>
      </c>
      <c r="B74" s="3"/>
      <c r="C74" s="3" t="str">
        <f ca="1">IFERROR(__xludf.DUMMYFUNCTION("""COMPUTED_VALUE"""),"Agree")</f>
        <v>Agree</v>
      </c>
      <c r="D74" s="3">
        <f ca="1">IFERROR(__xludf.DUMMYFUNCTION("""COMPUTED_VALUE"""),72)</f>
        <v>72</v>
      </c>
      <c r="E74" s="3" t="str">
        <f ca="1">IFERROR(__xludf.DUMMYFUNCTION("""COMPUTED_VALUE"""),"Yes")</f>
        <v>Yes</v>
      </c>
      <c r="F74" s="3" t="str">
        <f ca="1">IFERROR(__xludf.DUMMYFUNCTION("""COMPUTED_VALUE"""),"NoRef")</f>
        <v>NoRef</v>
      </c>
      <c r="G74" s="3">
        <f ca="1">IFERROR(__xludf.DUMMYFUNCTION("""COMPUTED_VALUE"""),1715036)</f>
        <v>1715036</v>
      </c>
      <c r="H74" s="3"/>
      <c r="I74" s="4" t="str">
        <f ca="1">IFERROR(__xludf.DUMMYFUNCTION("""COMPUTED_VALUE"""),"https://bugzilla.mozilla.org/show_bug.cgi?id=1715036")</f>
        <v>https://bugzilla.mozilla.org/show_bug.cgi?id=1715036</v>
      </c>
      <c r="J74" s="3" t="str">
        <f ca="1">IFERROR(__xludf.DUMMYFUNCTION("""COMPUTED_VALUE"""),"['Natives.h']")</f>
        <v>['Natives.h']</v>
      </c>
      <c r="K74" s="3" t="str">
        <f ca="1">IFERROR(__xludf.DUMMYFUNCTION("""COMPUTED_VALUE"""),"System Dumps")</f>
        <v>System Dumps</v>
      </c>
      <c r="L74" s="3"/>
      <c r="M74" s="3"/>
      <c r="N74" s="3"/>
      <c r="O74" s="3"/>
    </row>
    <row r="75" spans="1:15" ht="28">
      <c r="A75" s="3" t="s">
        <v>63</v>
      </c>
      <c r="B75" s="3" t="str">
        <f ca="1">IFERROR(__xludf.DUMMYFUNCTION("""COMPUTED_VALUE"""),"Agree")</f>
        <v>Agree</v>
      </c>
      <c r="C75" s="3" t="str">
        <f ca="1">IFERROR(__xludf.DUMMYFUNCTION("""COMPUTED_VALUE"""),"Partial")</f>
        <v>Partial</v>
      </c>
      <c r="D75" s="3">
        <f ca="1">IFERROR(__xludf.DUMMYFUNCTION("""COMPUTED_VALUE"""),73)</f>
        <v>73</v>
      </c>
      <c r="E75" s="3" t="str">
        <f ca="1">IFERROR(__xludf.DUMMYFUNCTION("""COMPUTED_VALUE"""),"Yes")</f>
        <v>Yes</v>
      </c>
      <c r="F75" s="3" t="str">
        <f ca="1">IFERROR(__xludf.DUMMYFUNCTION("""COMPUTED_VALUE"""),"NoRef")</f>
        <v>NoRef</v>
      </c>
      <c r="G75" s="3">
        <f ca="1">IFERROR(__xludf.DUMMYFUNCTION("""COMPUTED_VALUE"""),1733325)</f>
        <v>1733325</v>
      </c>
      <c r="H75" s="3"/>
      <c r="I75" s="4" t="str">
        <f ca="1">IFERROR(__xludf.DUMMYFUNCTION("""COMPUTED_VALUE"""),"https://bugzilla.mozilla.org/show_bug.cgi?id=1733325")</f>
        <v>https://bugzilla.mozilla.org/show_bug.cgi?id=1733325</v>
      </c>
      <c r="J75" s="3" t="str">
        <f ca="1">IFERROR(__xludf.DUMMYFUNCTION("""COMPUTED_VALUE"""),"['nimbus/ExperimentAPI.jsm']")</f>
        <v>['nimbus/ExperimentAPI.jsm']</v>
      </c>
      <c r="K75" s="3" t="str">
        <f ca="1">IFERROR(__xludf.DUMMYFUNCTION("""COMPUTED_VALUE"""),"Bug Description")</f>
        <v>Bug Description</v>
      </c>
      <c r="L75" s="3"/>
      <c r="M75" s="3"/>
      <c r="N75" s="3"/>
      <c r="O75" s="3"/>
    </row>
    <row r="76" spans="1:15" ht="28">
      <c r="A76" s="3" t="s">
        <v>63</v>
      </c>
      <c r="B76" s="3"/>
      <c r="C76" s="3" t="str">
        <f ca="1">IFERROR(__xludf.DUMMYFUNCTION("""COMPUTED_VALUE"""),"Agree")</f>
        <v>Agree</v>
      </c>
      <c r="D76" s="3">
        <f ca="1">IFERROR(__xludf.DUMMYFUNCTION("""COMPUTED_VALUE"""),74)</f>
        <v>74</v>
      </c>
      <c r="E76" s="3" t="str">
        <f ca="1">IFERROR(__xludf.DUMMYFUNCTION("""COMPUTED_VALUE"""),"Yes")</f>
        <v>Yes</v>
      </c>
      <c r="F76" s="3" t="str">
        <f ca="1">IFERROR(__xludf.DUMMYFUNCTION("""COMPUTED_VALUE"""),"NoRef")</f>
        <v>NoRef</v>
      </c>
      <c r="G76" s="3">
        <f ca="1">IFERROR(__xludf.DUMMYFUNCTION("""COMPUTED_VALUE"""),1744944)</f>
        <v>1744944</v>
      </c>
      <c r="H76" s="3"/>
      <c r="I76" s="4" t="str">
        <f ca="1">IFERROR(__xludf.DUMMYFUNCTION("""COMPUTED_VALUE"""),"https://bugzilla.mozilla.org/show_bug.cgi?id=1744944")</f>
        <v>https://bugzilla.mozilla.org/show_bug.cgi?id=1744944</v>
      </c>
      <c r="J76" s="3" t="str">
        <f ca="1">IFERROR(__xludf.DUMMYFUNCTION("""COMPUTED_VALUE"""),"['messenger/content/messengercompose/MsgComposeCommands.js']")</f>
        <v>['messenger/content/messengercompose/MsgComposeCommands.js']</v>
      </c>
      <c r="K76" s="3" t="str">
        <f ca="1">IFERROR(__xludf.DUMMYFUNCTION("""COMPUTED_VALUE"""),"System Dumps")</f>
        <v>System Dumps</v>
      </c>
      <c r="L76" s="3"/>
      <c r="M76" s="3"/>
      <c r="N76" s="3"/>
      <c r="O76" s="3"/>
    </row>
    <row r="77" spans="1:15" ht="28">
      <c r="A77" s="3" t="s">
        <v>63</v>
      </c>
      <c r="B77" s="3"/>
      <c r="C77" s="3" t="str">
        <f ca="1">IFERROR(__xludf.DUMMYFUNCTION("""COMPUTED_VALUE"""),"Agree")</f>
        <v>Agree</v>
      </c>
      <c r="D77" s="3">
        <f ca="1">IFERROR(__xludf.DUMMYFUNCTION("""COMPUTED_VALUE"""),75)</f>
        <v>75</v>
      </c>
      <c r="E77" s="3" t="str">
        <f ca="1">IFERROR(__xludf.DUMMYFUNCTION("""COMPUTED_VALUE"""),"Yes")</f>
        <v>Yes</v>
      </c>
      <c r="F77" s="3" t="str">
        <f ca="1">IFERROR(__xludf.DUMMYFUNCTION("""COMPUTED_VALUE"""),"NoRef")</f>
        <v>NoRef</v>
      </c>
      <c r="G77" s="3">
        <f ca="1">IFERROR(__xludf.DUMMYFUNCTION("""COMPUTED_VALUE"""),1724899)</f>
        <v>1724899</v>
      </c>
      <c r="H77" s="3"/>
      <c r="I77" s="4" t="str">
        <f ca="1">IFERROR(__xludf.DUMMYFUNCTION("""COMPUTED_VALUE"""),"https://bugzilla.mozilla.org/show_bug.cgi?id=1724899")</f>
        <v>https://bugzilla.mozilla.org/show_bug.cgi?id=1724899</v>
      </c>
      <c r="J77" s="3" t="str">
        <f ca="1">IFERROR(__xludf.DUMMYFUNCTION("""COMPUTED_VALUE"""),"['mozilla.pettay.fi/moztests/suppressed_microtasks.html']")</f>
        <v>['mozilla.pettay.fi/moztests/suppressed_microtasks.html']</v>
      </c>
      <c r="K77" s="3" t="str">
        <f ca="1">IFERROR(__xludf.DUMMYFUNCTION("""COMPUTED_VALUE"""),"File to Reproduce the Bug")</f>
        <v>File to Reproduce the Bug</v>
      </c>
      <c r="L77" s="3"/>
      <c r="M77" s="3"/>
      <c r="N77" s="3"/>
      <c r="O77" s="3"/>
    </row>
    <row r="78" spans="1:15" ht="28">
      <c r="A78" s="3" t="s">
        <v>63</v>
      </c>
      <c r="B78" s="3" t="str">
        <f ca="1">IFERROR(__xludf.DUMMYFUNCTION("""COMPUTED_VALUE"""),"Agree")</f>
        <v>Agree</v>
      </c>
      <c r="C78" s="3" t="str">
        <f ca="1">IFERROR(__xludf.DUMMYFUNCTION("""COMPUTED_VALUE"""),"Disagree")</f>
        <v>Disagree</v>
      </c>
      <c r="D78" s="3">
        <f ca="1">IFERROR(__xludf.DUMMYFUNCTION("""COMPUTED_VALUE"""),76)</f>
        <v>76</v>
      </c>
      <c r="E78" s="3" t="str">
        <f ca="1">IFERROR(__xludf.DUMMYFUNCTION("""COMPUTED_VALUE"""),"Yes")</f>
        <v>Yes</v>
      </c>
      <c r="F78" s="3" t="str">
        <f ca="1">IFERROR(__xludf.DUMMYFUNCTION("""COMPUTED_VALUE"""),"NoRef")</f>
        <v>NoRef</v>
      </c>
      <c r="G78" s="3">
        <f ca="1">IFERROR(__xludf.DUMMYFUNCTION("""COMPUTED_VALUE"""),1691466)</f>
        <v>1691466</v>
      </c>
      <c r="H78" s="3"/>
      <c r="I78" s="4" t="str">
        <f ca="1">IFERROR(__xludf.DUMMYFUNCTION("""COMPUTED_VALUE"""),"https://bugzilla.mozilla.org/show_bug.cgi?id=1691466")</f>
        <v>https://bugzilla.mozilla.org/show_bug.cgi?id=1691466</v>
      </c>
      <c r="J78" s="3" t="str">
        <f ca="1">IFERROR(__xludf.DUMMYFUNCTION("""COMPUTED_VALUE"""),"['messengercompose.xhtml']")</f>
        <v>['messengercompose.xhtml']</v>
      </c>
      <c r="K78" s="3" t="str">
        <f ca="1">IFERROR(__xludf.DUMMYFUNCTION("""COMPUTED_VALUE"""),"Solution Draft")</f>
        <v>Solution Draft</v>
      </c>
      <c r="L78" s="3" t="str">
        <f ca="1">IFERROR(__xludf.DUMMYFUNCTION("""COMPUTED_VALUE"""),"Missing Mapping")</f>
        <v>Missing Mapping</v>
      </c>
      <c r="M78" s="3"/>
      <c r="N78" s="3"/>
      <c r="O78" s="3"/>
    </row>
    <row r="79" spans="1:15" ht="70">
      <c r="A79" s="3" t="s">
        <v>63</v>
      </c>
      <c r="B79" s="3"/>
      <c r="C79" s="3" t="str">
        <f ca="1">IFERROR(__xludf.DUMMYFUNCTION("""COMPUTED_VALUE"""),"Agree")</f>
        <v>Agree</v>
      </c>
      <c r="D79" s="3">
        <f ca="1">IFERROR(__xludf.DUMMYFUNCTION("""COMPUTED_VALUE"""),77)</f>
        <v>77</v>
      </c>
      <c r="E79" s="3" t="str">
        <f ca="1">IFERROR(__xludf.DUMMYFUNCTION("""COMPUTED_VALUE"""),"Yes")</f>
        <v>Yes</v>
      </c>
      <c r="F79" s="3" t="str">
        <f ca="1">IFERROR(__xludf.DUMMYFUNCTION("""COMPUTED_VALUE"""),"NoRef")</f>
        <v>NoRef</v>
      </c>
      <c r="G79" s="3">
        <f ca="1">IFERROR(__xludf.DUMMYFUNCTION("""COMPUTED_VALUE"""),1679705)</f>
        <v>1679705</v>
      </c>
      <c r="H79" s="3"/>
      <c r="I79" s="4" t="str">
        <f ca="1">IFERROR(__xludf.DUMMYFUNCTION("""COMPUTED_VALUE"""),"https://bugzilla.mozilla.org/show_bug.cgi?id=1679705")</f>
        <v>https://bugzilla.mozilla.org/show_bug.cgi?id=1679705</v>
      </c>
      <c r="J79" s="3" t="str">
        <f ca="1">IFERROR(__xludf.DUMMYFUNCTION("""COMPUTED_VALUE"""),"['tests/web-platform/tests/webdriver/tests/get_window_rect/user_prompts.py', 'webdriver/tests/get_window_rect/user_prompts.py', 'tests/web-platform/tests/webdriver/tests/support/asserts.py', 'doc.pytest.org/en/latest/warnings.html']")</f>
        <v>['tests/web-platform/tests/webdriver/tests/get_window_rect/user_prompts.py', 'webdriver/tests/get_window_rect/user_prompts.py', 'tests/web-platform/tests/webdriver/tests/support/asserts.py', 'doc.pytest.org/en/latest/warnings.html']</v>
      </c>
      <c r="K79" s="3" t="str">
        <f ca="1">IFERROR(__xludf.DUMMYFUNCTION("""COMPUTED_VALUE"""),"System Dumps")</f>
        <v>System Dumps</v>
      </c>
      <c r="L79" s="3" t="str">
        <f ca="1">IFERROR(__xludf.DUMMYFUNCTION("""COMPUTED_VALUE"""),"Bug Dependency")</f>
        <v>Bug Dependency</v>
      </c>
      <c r="M79" s="3"/>
      <c r="N79" s="3"/>
      <c r="O79" s="3"/>
    </row>
    <row r="80" spans="1:15" ht="56">
      <c r="A80" s="3" t="s">
        <v>63</v>
      </c>
      <c r="B80" s="3"/>
      <c r="C80" s="3" t="str">
        <f ca="1">IFERROR(__xludf.DUMMYFUNCTION("""COMPUTED_VALUE"""),"Agree")</f>
        <v>Agree</v>
      </c>
      <c r="D80" s="3">
        <f ca="1">IFERROR(__xludf.DUMMYFUNCTION("""COMPUTED_VALUE"""),78)</f>
        <v>78</v>
      </c>
      <c r="E80" s="3" t="str">
        <f ca="1">IFERROR(__xludf.DUMMYFUNCTION("""COMPUTED_VALUE"""),"Yes")</f>
        <v>Yes</v>
      </c>
      <c r="F80" s="3" t="str">
        <f ca="1">IFERROR(__xludf.DUMMYFUNCTION("""COMPUTED_VALUE"""),"NoRef")</f>
        <v>NoRef</v>
      </c>
      <c r="G80" s="3">
        <f ca="1">IFERROR(__xludf.DUMMYFUNCTION("""COMPUTED_VALUE"""),1607658)</f>
        <v>1607658</v>
      </c>
      <c r="H80" s="3"/>
      <c r="I80" s="4" t="str">
        <f ca="1">IFERROR(__xludf.DUMMYFUNCTION("""COMPUTED_VALUE"""),"https://bugzilla.mozilla.org/show_bug.cgi?id=1607658")</f>
        <v>https://bugzilla.mozilla.org/show_bug.cgi?id=1607658</v>
      </c>
      <c r="J80" s="3" t="str">
        <f ca="1">IFERROR(__xludf.DUMMYFUNCTION("""COMPUTED_VALUE"""),"['hg.mozilla.org/mozilla-central/raw-file/tip/layout/tools/reftest/reftest-analyzer.xhtml', '8854/tests/layout/generic/crashtests/1032450.html', '1032450.html', 'treeherder.mozilla.org/logviewer.html', 'treeherder.mozilla.org/intermittent-failures.html']")</f>
        <v>['hg.mozilla.org/mozilla-central/raw-file/tip/layout/tools/reftest/reftest-analyzer.xhtml', '8854/tests/layout/generic/crashtests/1032450.html', '1032450.html', 'treeherder.mozilla.org/logviewer.html', 'treeherder.mozilla.org/intermittent-failures.html']</v>
      </c>
      <c r="K80" s="3" t="str">
        <f ca="1">IFERROR(__xludf.DUMMYFUNCTION("""COMPUTED_VALUE"""),"System Dumps")</f>
        <v>System Dumps</v>
      </c>
      <c r="L80" s="3"/>
      <c r="M80" s="3"/>
      <c r="N80" s="3"/>
      <c r="O80" s="3"/>
    </row>
    <row r="81" spans="1:15" ht="168">
      <c r="A81" s="3" t="s">
        <v>63</v>
      </c>
      <c r="B81" s="3" t="str">
        <f ca="1">IFERROR(__xludf.DUMMYFUNCTION("""COMPUTED_VALUE"""),"Agree")</f>
        <v>Agree</v>
      </c>
      <c r="C81" s="3" t="str">
        <f ca="1">IFERROR(__xludf.DUMMYFUNCTION("""COMPUTED_VALUE"""),"Disagree")</f>
        <v>Disagree</v>
      </c>
      <c r="D81" s="3">
        <f ca="1">IFERROR(__xludf.DUMMYFUNCTION("""COMPUTED_VALUE"""),79)</f>
        <v>79</v>
      </c>
      <c r="E81" s="3" t="str">
        <f ca="1">IFERROR(__xludf.DUMMYFUNCTION("""COMPUTED_VALUE"""),"Yes")</f>
        <v>Yes</v>
      </c>
      <c r="F81" s="3" t="str">
        <f ca="1">IFERROR(__xludf.DUMMYFUNCTION("""COMPUTED_VALUE"""),"NoRef")</f>
        <v>NoRef</v>
      </c>
      <c r="G81" s="3">
        <f ca="1">IFERROR(__xludf.DUMMYFUNCTION("""COMPUTED_VALUE"""),1654984)</f>
        <v>1654984</v>
      </c>
      <c r="H81" s="3"/>
      <c r="I81" s="4" t="str">
        <f ca="1">IFERROR(__xludf.DUMMYFUNCTION("""COMPUTED_VALUE"""),"https://bugzilla.mozilla.org/show_bug.cgi?id=1654984")</f>
        <v>https://bugzilla.mozilla.org/show_bug.cgi?id=1654984</v>
      </c>
      <c r="J81" s="3" t="str">
        <f ca="1">IFERROR(__xludf.DUMMYFUNCTION("""COMPUTED_VALUE"""),"['browser_startup_mainthreadio.js', 'comm/mailnews/compose/test/unit/test_sendMessageLater2.js', 'devtools/server/tests/xpcshell/test_addons_actor.js', 'comm/mailnews/compose/test/unit/test_autoReply.js', 'treeherder.mozilla.org/logviewer.html', 'browser/"&amp;"base/content/test/performance/browser_startup_mainthreadio.js', 'searchfox.org/comm-central/source/mozilla/browser/base/content/test/performance/browser_startup_mainthreadio.js', '\\Users\\task_1595623200\\AppData\\Local\\Temp\\tmplcf1sq.mozrunner\\logins"&amp;"-backup.json', 'logins-backup.json', 'treeherder.mozilla.org/intermittent-failures.html']")</f>
        <v>['browser_startup_mainthreadio.js', 'comm/mailnews/compose/test/unit/test_sendMessageLater2.js', 'devtools/server/tests/xpcshell/test_addons_actor.js', 'comm/mailnews/compose/test/unit/test_autoReply.js', 'treeherder.mozilla.org/logviewer.html', 'browser/base/content/test/performance/browser_startup_mainthreadio.js', 'searchfox.org/comm-central/source/mozilla/browser/base/content/test/performance/browser_startup_mainthreadio.js', '\\Users\\task_1595623200\\AppData\\Local\\Temp\\tmplcf1sq.mozrunner\\logins-backup.json', 'logins-backup.json', 'treeherder.mozilla.org/intermittent-failures.html']</v>
      </c>
      <c r="K81" s="3" t="str">
        <f ca="1">IFERROR(__xludf.DUMMYFUNCTION("""COMPUTED_VALUE"""),"File to Reproduce the Bug")</f>
        <v>File to Reproduce the Bug</v>
      </c>
      <c r="L81" s="3" t="str">
        <f ca="1">IFERROR(__xludf.DUMMYFUNCTION("""COMPUTED_VALUE"""),"System Dumps")</f>
        <v>System Dumps</v>
      </c>
      <c r="M81" s="3" t="str">
        <f ca="1">IFERROR(__xludf.DUMMYFUNCTION("""COMPUTED_VALUE"""),"Incorrect filepath format")</f>
        <v>Incorrect filepath format</v>
      </c>
      <c r="N81" s="3"/>
      <c r="O81" s="3"/>
    </row>
    <row r="82" spans="1:15" ht="70">
      <c r="A82" s="3" t="s">
        <v>63</v>
      </c>
      <c r="B82" s="3"/>
      <c r="C82" s="3" t="str">
        <f ca="1">IFERROR(__xludf.DUMMYFUNCTION("""COMPUTED_VALUE"""),"Agree")</f>
        <v>Agree</v>
      </c>
      <c r="D82" s="3">
        <f ca="1">IFERROR(__xludf.DUMMYFUNCTION("""COMPUTED_VALUE"""),80)</f>
        <v>80</v>
      </c>
      <c r="E82" s="3" t="str">
        <f ca="1">IFERROR(__xludf.DUMMYFUNCTION("""COMPUTED_VALUE"""),"Yes")</f>
        <v>Yes</v>
      </c>
      <c r="F82" s="3" t="str">
        <f ca="1">IFERROR(__xludf.DUMMYFUNCTION("""COMPUTED_VALUE"""),"NoRef")</f>
        <v>NoRef</v>
      </c>
      <c r="G82" s="3">
        <f ca="1">IFERROR(__xludf.DUMMYFUNCTION("""COMPUTED_VALUE"""),1563241)</f>
        <v>1563241</v>
      </c>
      <c r="H82" s="3"/>
      <c r="I82" s="4" t="str">
        <f ca="1">IFERROR(__xludf.DUMMYFUNCTION("""COMPUTED_VALUE"""),"https://bugzilla.mozilla.org/show_bug.cgi?id=1563241")</f>
        <v>https://bugzilla.mozilla.org/show_bug.cgi?id=1563241</v>
      </c>
      <c r="J82" s="3" t="str">
        <f ca="1">IFERROR(__xludf.DUMMYFUNCTION("""COMPUTED_VALUE"""),"['@/builds/worker/workspace/build/src/js/src/jit-test/tests/wasm/import-export.js', 'js/src/jit-test/tests/wasm/import-export-sigs.js', 'js/src/jit-test/tests/wasm/import-export.js', 'treeherder.mozilla.org/logviewer.html', 'builds/worker/workspace/build/"&amp;"src/js/src/jit-test/tests/wasm/import-export.js', 'wasm/import-export.js']")</f>
        <v>['@/builds/worker/workspace/build/src/js/src/jit-test/tests/wasm/import-export.js', 'js/src/jit-test/tests/wasm/import-export-sigs.js', 'js/src/jit-test/tests/wasm/import-export.js', 'treeherder.mozilla.org/logviewer.html', 'builds/worker/workspace/build/src/js/src/jit-test/tests/wasm/import-export.js', 'wasm/import-export.js']</v>
      </c>
      <c r="K82" s="3" t="str">
        <f ca="1">IFERROR(__xludf.DUMMYFUNCTION("""COMPUTED_VALUE"""),"System Dumps")</f>
        <v>System Dumps</v>
      </c>
      <c r="L82" s="3"/>
      <c r="M82" s="3"/>
      <c r="N82" s="3"/>
      <c r="O82" s="3"/>
    </row>
    <row r="83" spans="1:15" ht="112">
      <c r="A83" s="3" t="s">
        <v>63</v>
      </c>
      <c r="B83" s="3" t="str">
        <f ca="1">IFERROR(__xludf.DUMMYFUNCTION("""COMPUTED_VALUE"""),"Agree")</f>
        <v>Agree</v>
      </c>
      <c r="C83" s="3" t="str">
        <f ca="1">IFERROR(__xludf.DUMMYFUNCTION("""COMPUTED_VALUE"""),"Partial")</f>
        <v>Partial</v>
      </c>
      <c r="D83" s="3">
        <f ca="1">IFERROR(__xludf.DUMMYFUNCTION("""COMPUTED_VALUE"""),81)</f>
        <v>81</v>
      </c>
      <c r="E83" s="3" t="str">
        <f ca="1">IFERROR(__xludf.DUMMYFUNCTION("""COMPUTED_VALUE"""),"Yes")</f>
        <v>Yes</v>
      </c>
      <c r="F83" s="3" t="str">
        <f ca="1">IFERROR(__xludf.DUMMYFUNCTION("""COMPUTED_VALUE"""),"NoRef")</f>
        <v>NoRef</v>
      </c>
      <c r="G83" s="3">
        <f ca="1">IFERROR(__xludf.DUMMYFUNCTION("""COMPUTED_VALUE"""),1560193)</f>
        <v>1560193</v>
      </c>
      <c r="H83" s="3"/>
      <c r="I83" s="4" t="str">
        <f ca="1">IFERROR(__xludf.DUMMYFUNCTION("""COMPUTED_VALUE"""),"https://bugzilla.mozilla.org/show_bug.cgi?id=1560193")</f>
        <v>https://bugzilla.mozilla.org/show_bug.cgi?id=1560193</v>
      </c>
      <c r="J83" s="3" t="str">
        <f ca="1">IFERROR(__xludf.DUMMYFUNCTION("""COMPUTED_VALUE"""),"['internal/process/task_queues.js', 'home/barret/Workspace/src/hg.mozilla.org/mozilla-central/tools/browsertime/node_modules/browsertime/bin/browsertime.js', 'home/barret/Workspace/src/hg.mozilla.org/mozilla-central/tools/browsertime/node_modules/browsert"&amp;"ime/node_modules/execa/index.js', 'home/barret/Workspace/src/hg.mozilla.org/mozilla-central/tools/browsertime/node_modules/browsertime/vendor/visualmetrics.py']")</f>
        <v>['internal/process/task_queues.js', 'home/barret/Workspace/src/hg.mozilla.org/mozilla-central/tools/browsertime/node_modules/browsertime/bin/browsertime.js', 'home/barret/Workspace/src/hg.mozilla.org/mozilla-central/tools/browsertime/node_modules/browsertime/node_modules/execa/index.js', 'home/barret/Workspace/src/hg.mozilla.org/mozilla-central/tools/browsertime/node_modules/browsertime/vendor/visualmetrics.py']</v>
      </c>
      <c r="K83" s="3" t="str">
        <f ca="1">IFERROR(__xludf.DUMMYFUNCTION("""COMPUTED_VALUE"""),"System Dumps")</f>
        <v>System Dumps</v>
      </c>
      <c r="L83" s="3" t="str">
        <f ca="1">IFERROR(__xludf.DUMMYFUNCTION("""COMPUTED_VALUE"""),"System Dumps")</f>
        <v>System Dumps</v>
      </c>
      <c r="M83" s="3"/>
      <c r="N83" s="3"/>
      <c r="O83" s="3"/>
    </row>
    <row r="84" spans="1:15" ht="112">
      <c r="A84" s="3" t="s">
        <v>63</v>
      </c>
      <c r="B84" s="3"/>
      <c r="C84" s="3" t="str">
        <f ca="1">IFERROR(__xludf.DUMMYFUNCTION("""COMPUTED_VALUE"""),"Agree")</f>
        <v>Agree</v>
      </c>
      <c r="D84" s="3">
        <f ca="1">IFERROR(__xludf.DUMMYFUNCTION("""COMPUTED_VALUE"""),82)</f>
        <v>82</v>
      </c>
      <c r="E84" s="3" t="str">
        <f ca="1">IFERROR(__xludf.DUMMYFUNCTION("""COMPUTED_VALUE"""),"Yes")</f>
        <v>Yes</v>
      </c>
      <c r="F84" s="3" t="str">
        <f ca="1">IFERROR(__xludf.DUMMYFUNCTION("""COMPUTED_VALUE"""),"NoRef")</f>
        <v>NoRef</v>
      </c>
      <c r="G84" s="3">
        <f ca="1">IFERROR(__xludf.DUMMYFUNCTION("""COMPUTED_VALUE"""),1676503)</f>
        <v>1676503</v>
      </c>
      <c r="H84" s="3"/>
      <c r="I84" s="4" t="str">
        <f ca="1">IFERROR(__xludf.DUMMYFUNCTION("""COMPUTED_VALUE"""),"https://bugzilla.mozilla.org/show_bug.cgi?id=1676503")</f>
        <v>https://bugzilla.mozilla.org/show_bug.cgi?id=1676503</v>
      </c>
      <c r="J84" s="3" t="str">
        <f ca="1">IFERROR(__xludf.DUMMYFUNCTION("""COMPUTED_VALUE"""),"['xpcom/threads/nsThread.cpp', 'xpcom/threads/nsThreadUtils.h', 'widget/nsBaseAppShell.cpp', 'comm/mailnews/addrbook/src/nsAbLDAPDirectoryQuery.cpp', 'xpcom/threads/nsThreadUtils.cpp', 'hg.mozilla.org/releases/comm-beta/file/420fbcf6a85d8e26160b3afda06990"&amp;"9d92ce7c0b/mailnews/addrbook/src/nsAbLDAPDirectoryQuery.cpp', 'xpcom/threads/TaskController.cpp', 'searchfox.org/comm-central/source/ldap/xpcom/src/nsLDAPConnection.cpp']")</f>
        <v>['xpcom/threads/nsThread.cpp', 'xpcom/threads/nsThreadUtils.h', 'widget/nsBaseAppShell.cpp', 'comm/mailnews/addrbook/src/nsAbLDAPDirectoryQuery.cpp', 'xpcom/threads/nsThreadUtils.cpp', 'hg.mozilla.org/releases/comm-beta/file/420fbcf6a85d8e26160b3afda069909d92ce7c0b/mailnews/addrbook/src/nsAbLDAPDirectoryQuery.cpp', 'xpcom/threads/TaskController.cpp', 'searchfox.org/comm-central/source/ldap/xpcom/src/nsLDAPConnection.cpp']</v>
      </c>
      <c r="K84" s="3" t="str">
        <f ca="1">IFERROR(__xludf.DUMMYFUNCTION("""COMPUTED_VALUE"""),"System Dumps")</f>
        <v>System Dumps</v>
      </c>
      <c r="L84" s="3" t="str">
        <f ca="1">IFERROR(__xludf.DUMMYFUNCTION("""COMPUTED_VALUE"""),"Bug Description")</f>
        <v>Bug Description</v>
      </c>
      <c r="M84" s="3"/>
      <c r="N84" s="3"/>
      <c r="O84" s="3"/>
    </row>
    <row r="85" spans="1:15" ht="28">
      <c r="A85" s="3" t="s">
        <v>63</v>
      </c>
      <c r="B85" s="3"/>
      <c r="C85" s="3" t="str">
        <f ca="1">IFERROR(__xludf.DUMMYFUNCTION("""COMPUTED_VALUE"""),"Agree")</f>
        <v>Agree</v>
      </c>
      <c r="D85" s="3">
        <f ca="1">IFERROR(__xludf.DUMMYFUNCTION("""COMPUTED_VALUE"""),83)</f>
        <v>83</v>
      </c>
      <c r="E85" s="3" t="str">
        <f ca="1">IFERROR(__xludf.DUMMYFUNCTION("""COMPUTED_VALUE"""),"Yes")</f>
        <v>Yes</v>
      </c>
      <c r="F85" s="3" t="str">
        <f ca="1">IFERROR(__xludf.DUMMYFUNCTION("""COMPUTED_VALUE"""),"NoRef")</f>
        <v>NoRef</v>
      </c>
      <c r="G85" s="3">
        <f ca="1">IFERROR(__xludf.DUMMYFUNCTION("""COMPUTED_VALUE"""),1618501)</f>
        <v>1618501</v>
      </c>
      <c r="H85" s="3"/>
      <c r="I85" s="4" t="str">
        <f ca="1">IFERROR(__xludf.DUMMYFUNCTION("""COMPUTED_VALUE"""),"https://bugzilla.mozilla.org/show_bug.cgi?id=1618501")</f>
        <v>https://bugzilla.mozilla.org/show_bug.cgi?id=1618501</v>
      </c>
      <c r="J85" s="3" t="str">
        <f ca="1">IFERROR(__xludf.DUMMYFUNCTION("""COMPUTED_VALUE"""),"['testcase.html']")</f>
        <v>['testcase.html']</v>
      </c>
      <c r="K85" s="3" t="str">
        <f ca="1">IFERROR(__xludf.DUMMYFUNCTION("""COMPUTED_VALUE"""),"File to Reproduce the Bug")</f>
        <v>File to Reproduce the Bug</v>
      </c>
      <c r="L85" s="3"/>
      <c r="M85" s="3"/>
      <c r="N85" s="3"/>
      <c r="O85" s="3"/>
    </row>
    <row r="86" spans="1:15" ht="42">
      <c r="A86" s="3" t="s">
        <v>63</v>
      </c>
      <c r="B86" s="3"/>
      <c r="C86" s="3" t="str">
        <f ca="1">IFERROR(__xludf.DUMMYFUNCTION("""COMPUTED_VALUE"""),"Agree")</f>
        <v>Agree</v>
      </c>
      <c r="D86" s="3">
        <f ca="1">IFERROR(__xludf.DUMMYFUNCTION("""COMPUTED_VALUE"""),84)</f>
        <v>84</v>
      </c>
      <c r="E86" s="3" t="str">
        <f ca="1">IFERROR(__xludf.DUMMYFUNCTION("""COMPUTED_VALUE"""),"Yes")</f>
        <v>Yes</v>
      </c>
      <c r="F86" s="3" t="str">
        <f ca="1">IFERROR(__xludf.DUMMYFUNCTION("""COMPUTED_VALUE"""),"NoRef")</f>
        <v>NoRef</v>
      </c>
      <c r="G86" s="3">
        <f ca="1">IFERROR(__xludf.DUMMYFUNCTION("""COMPUTED_VALUE"""),1710312)</f>
        <v>1710312</v>
      </c>
      <c r="H86" s="3"/>
      <c r="I86" s="4" t="str">
        <f ca="1">IFERROR(__xludf.DUMMYFUNCTION("""COMPUTED_VALUE"""),"https://bugzilla.mozilla.org/show_bug.cgi?id=1710312")</f>
        <v>https://bugzilla.mozilla.org/show_bug.cgi?id=1710312</v>
      </c>
      <c r="J86" s="3" t="str">
        <f ca="1">IFERROR(__xludf.DUMMYFUNCTION("""COMPUTED_VALUE"""),"['Recover.cpp', 'JitFrames.cpp', 'Registers.h', 'Snapshots.h', 'BaselineBailouts.cpp', 'jit/JSJitFrameIter.h', 'Bailouts.cpp', 'JSJitFrameIter.h', 'jit/Registers.h', 'jit/JitFrames.cpp']")</f>
        <v>['Recover.cpp', 'JitFrames.cpp', 'Registers.h', 'Snapshots.h', 'BaselineBailouts.cpp', 'jit/JSJitFrameIter.h', 'Bailouts.cpp', 'JSJitFrameIter.h', 'jit/Registers.h', 'jit/JitFrames.cpp']</v>
      </c>
      <c r="K86" s="3" t="str">
        <f ca="1">IFERROR(__xludf.DUMMYFUNCTION("""COMPUTED_VALUE"""),"System Dumps")</f>
        <v>System Dumps</v>
      </c>
      <c r="L86" s="3"/>
      <c r="M86" s="3"/>
      <c r="N86" s="3"/>
      <c r="O86" s="3"/>
    </row>
    <row r="87" spans="1:15" ht="56">
      <c r="A87" s="3" t="s">
        <v>63</v>
      </c>
      <c r="B87" s="3"/>
      <c r="C87" s="3" t="str">
        <f ca="1">IFERROR(__xludf.DUMMYFUNCTION("""COMPUTED_VALUE"""),"Agree")</f>
        <v>Agree</v>
      </c>
      <c r="D87" s="3">
        <f ca="1">IFERROR(__xludf.DUMMYFUNCTION("""COMPUTED_VALUE"""),85)</f>
        <v>85</v>
      </c>
      <c r="E87" s="3" t="str">
        <f ca="1">IFERROR(__xludf.DUMMYFUNCTION("""COMPUTED_VALUE"""),"Yes")</f>
        <v>Yes</v>
      </c>
      <c r="F87" s="3" t="str">
        <f ca="1">IFERROR(__xludf.DUMMYFUNCTION("""COMPUTED_VALUE"""),"NoRef")</f>
        <v>NoRef</v>
      </c>
      <c r="G87" s="3">
        <f ca="1">IFERROR(__xludf.DUMMYFUNCTION("""COMPUTED_VALUE"""),1589672)</f>
        <v>1589672</v>
      </c>
      <c r="H87" s="3"/>
      <c r="I87" s="4" t="str">
        <f ca="1">IFERROR(__xludf.DUMMYFUNCTION("""COMPUTED_VALUE"""),"https://bugzilla.mozilla.org/show_bug.cgi?id=1589672")</f>
        <v>https://bugzilla.mozilla.org/show_bug.cgi?id=1589672</v>
      </c>
      <c r="J87" s="3" t="str">
        <f ca="1">IFERROR(__xludf.DUMMYFUNCTION("""COMPUTED_VALUE"""),"['tests/web-platform/tests/webdriver/tests/maximize_window/maximize.py', 'webdriver/tests/maximize_window/maximize.py', 'treeherder.mozilla.org/intermittent-failures.html', 'treeherder.mozilla.org/logviewer.html']")</f>
        <v>['tests/web-platform/tests/webdriver/tests/maximize_window/maximize.py', 'webdriver/tests/maximize_window/maximize.py', 'treeherder.mozilla.org/intermittent-failures.html', 'treeherder.mozilla.org/logviewer.html']</v>
      </c>
      <c r="K87" s="3" t="str">
        <f ca="1">IFERROR(__xludf.DUMMYFUNCTION("""COMPUTED_VALUE"""),"System Dumps")</f>
        <v>System Dumps</v>
      </c>
      <c r="L87" s="3" t="str">
        <f ca="1">IFERROR(__xludf.DUMMYFUNCTION("""COMPUTED_VALUE"""),"Bug Dependency")</f>
        <v>Bug Dependency</v>
      </c>
      <c r="M87" s="3"/>
      <c r="N87" s="3"/>
      <c r="O87" s="3"/>
    </row>
    <row r="88" spans="1:15" ht="28">
      <c r="A88" s="3" t="s">
        <v>63</v>
      </c>
      <c r="B88" s="3"/>
      <c r="C88" s="3" t="str">
        <f ca="1">IFERROR(__xludf.DUMMYFUNCTION("""COMPUTED_VALUE"""),"Agree")</f>
        <v>Agree</v>
      </c>
      <c r="D88" s="3">
        <f ca="1">IFERROR(__xludf.DUMMYFUNCTION("""COMPUTED_VALUE"""),86)</f>
        <v>86</v>
      </c>
      <c r="E88" s="3" t="str">
        <f ca="1">IFERROR(__xludf.DUMMYFUNCTION("""COMPUTED_VALUE"""),"Yes")</f>
        <v>Yes</v>
      </c>
      <c r="F88" s="3" t="str">
        <f ca="1">IFERROR(__xludf.DUMMYFUNCTION("""COMPUTED_VALUE"""),"NoRef")</f>
        <v>NoRef</v>
      </c>
      <c r="G88" s="3">
        <f ca="1">IFERROR(__xludf.DUMMYFUNCTION("""COMPUTED_VALUE"""),1650462)</f>
        <v>1650462</v>
      </c>
      <c r="H88" s="3"/>
      <c r="I88" s="4" t="str">
        <f ca="1">IFERROR(__xludf.DUMMYFUNCTION("""COMPUTED_VALUE"""),"https://bugzilla.mozilla.org/show_bug.cgi?id=1650462")</f>
        <v>https://bugzilla.mozilla.org/show_bug.cgi?id=1650462</v>
      </c>
      <c r="J88" s="3" t="str">
        <f ca="1">IFERROR(__xludf.DUMMYFUNCTION("""COMPUTED_VALUE"""),"['w3c.github.io/aria-practices/examples/treeview/treeview-1/treeview-1a.html']")</f>
        <v>['w3c.github.io/aria-practices/examples/treeview/treeview-1/treeview-1a.html']</v>
      </c>
      <c r="K88" s="3" t="str">
        <f ca="1">IFERROR(__xludf.DUMMYFUNCTION("""COMPUTED_VALUE"""),"File to Reproduce the Bug")</f>
        <v>File to Reproduce the Bug</v>
      </c>
      <c r="L88" s="3"/>
      <c r="M88" s="3"/>
      <c r="N88" s="3"/>
      <c r="O88" s="3"/>
    </row>
    <row r="89" spans="1:15" ht="56">
      <c r="A89" s="3" t="s">
        <v>63</v>
      </c>
      <c r="B89" s="3"/>
      <c r="C89" s="3" t="str">
        <f ca="1">IFERROR(__xludf.DUMMYFUNCTION("""COMPUTED_VALUE"""),"Agree")</f>
        <v>Agree</v>
      </c>
      <c r="D89" s="3">
        <f ca="1">IFERROR(__xludf.DUMMYFUNCTION("""COMPUTED_VALUE"""),87)</f>
        <v>87</v>
      </c>
      <c r="E89" s="3" t="str">
        <f ca="1">IFERROR(__xludf.DUMMYFUNCTION("""COMPUTED_VALUE"""),"Yes")</f>
        <v>Yes</v>
      </c>
      <c r="F89" s="3" t="str">
        <f ca="1">IFERROR(__xludf.DUMMYFUNCTION("""COMPUTED_VALUE"""),"NoRef")</f>
        <v>NoRef</v>
      </c>
      <c r="G89" s="3">
        <f ca="1">IFERROR(__xludf.DUMMYFUNCTION("""COMPUTED_VALUE"""),1719578)</f>
        <v>1719578</v>
      </c>
      <c r="H89" s="3"/>
      <c r="I89" s="4" t="str">
        <f ca="1">IFERROR(__xludf.DUMMYFUNCTION("""COMPUTED_VALUE"""),"https://bugzilla.mozilla.org/show_bug.cgi?id=1719578")</f>
        <v>https://bugzilla.mozilla.org/show_bug.cgi?id=1719578</v>
      </c>
      <c r="J89" s="3" t="str">
        <f ca="1">IFERROR(__xludf.DUMMYFUNCTION("""COMPUTED_VALUE"""),"['PeerConnectionImpl.cpp', 'example.com/tests/SimpleTest/SimpleTest.js', 'dom/media/webrtc/tests/mochitests/test_setSinkId.html', 'example.com/tests/dom/media/webrtc/tests/mochitests/test_setSinkId.html']")</f>
        <v>['PeerConnectionImpl.cpp', 'example.com/tests/SimpleTest/SimpleTest.js', 'dom/media/webrtc/tests/mochitests/test_setSinkId.html', 'example.com/tests/dom/media/webrtc/tests/mochitests/test_setSinkId.html']</v>
      </c>
      <c r="K89" s="3" t="str">
        <f ca="1">IFERROR(__xludf.DUMMYFUNCTION("""COMPUTED_VALUE"""),"System Dumps")</f>
        <v>System Dumps</v>
      </c>
      <c r="L89" s="3" t="str">
        <f ca="1">IFERROR(__xludf.DUMMYFUNCTION("""COMPUTED_VALUE"""),"File to Reproduce the Bug")</f>
        <v>File to Reproduce the Bug</v>
      </c>
      <c r="M89" s="3"/>
      <c r="N89" s="3"/>
      <c r="O89" s="3"/>
    </row>
    <row r="90" spans="1:15" ht="28">
      <c r="A90" s="3" t="s">
        <v>63</v>
      </c>
      <c r="B90" s="3" t="str">
        <f ca="1">IFERROR(__xludf.DUMMYFUNCTION("""COMPUTED_VALUE"""),"Agree")</f>
        <v>Agree</v>
      </c>
      <c r="C90" s="3" t="str">
        <f ca="1">IFERROR(__xludf.DUMMYFUNCTION("""COMPUTED_VALUE"""),"Disagree")</f>
        <v>Disagree</v>
      </c>
      <c r="D90" s="3">
        <f ca="1">IFERROR(__xludf.DUMMYFUNCTION("""COMPUTED_VALUE"""),88)</f>
        <v>88</v>
      </c>
      <c r="E90" s="3" t="str">
        <f ca="1">IFERROR(__xludf.DUMMYFUNCTION("""COMPUTED_VALUE"""),"Yes")</f>
        <v>Yes</v>
      </c>
      <c r="F90" s="3" t="str">
        <f ca="1">IFERROR(__xludf.DUMMYFUNCTION("""COMPUTED_VALUE"""),"NoRef")</f>
        <v>NoRef</v>
      </c>
      <c r="G90" s="3">
        <f ca="1">IFERROR(__xludf.DUMMYFUNCTION("""COMPUTED_VALUE"""),1725896)</f>
        <v>1725896</v>
      </c>
      <c r="H90" s="3"/>
      <c r="I90" s="4" t="str">
        <f ca="1">IFERROR(__xludf.DUMMYFUNCTION("""COMPUTED_VALUE"""),"https://bugzilla.mozilla.org/show_bug.cgi?id=1725896")</f>
        <v>https://bugzilla.mozilla.org/show_bug.cgi?id=1725896</v>
      </c>
      <c r="J90" s="3" t="str">
        <f ca="1">IFERROR(__xludf.DUMMYFUNCTION("""COMPUTED_VALUE"""),"['mail/components/im/themes/chat.css']")</f>
        <v>['mail/components/im/themes/chat.css']</v>
      </c>
      <c r="K90" s="3" t="str">
        <f ca="1">IFERROR(__xludf.DUMMYFUNCTION("""COMPUTED_VALUE"""),"Solution Draft")</f>
        <v>Solution Draft</v>
      </c>
      <c r="L90" s="3" t="str">
        <f ca="1">IFERROR(__xludf.DUMMYFUNCTION("""COMPUTED_VALUE"""),"Missing Mapping")</f>
        <v>Missing Mapping</v>
      </c>
      <c r="M90" s="3" t="str">
        <f ca="1">IFERROR(__xludf.DUMMYFUNCTION("""COMPUTED_VALUE"""),"Code Review")</f>
        <v>Code Review</v>
      </c>
      <c r="N90" s="3"/>
      <c r="O90" s="3" t="str">
        <f ca="1">IFERROR(__xludf.DUMMYFUNCTION("""COMPUTED_VALUE"""),"Code Review")</f>
        <v>Code Review</v>
      </c>
    </row>
    <row r="91" spans="1:15" ht="98">
      <c r="A91" s="3" t="s">
        <v>63</v>
      </c>
      <c r="B91" s="3" t="str">
        <f ca="1">IFERROR(__xludf.DUMMYFUNCTION("""COMPUTED_VALUE"""),"Agree")</f>
        <v>Agree</v>
      </c>
      <c r="C91" s="3" t="str">
        <f ca="1">IFERROR(__xludf.DUMMYFUNCTION("""COMPUTED_VALUE"""),"Disagree")</f>
        <v>Disagree</v>
      </c>
      <c r="D91" s="3">
        <f ca="1">IFERROR(__xludf.DUMMYFUNCTION("""COMPUTED_VALUE"""),89)</f>
        <v>89</v>
      </c>
      <c r="E91" s="3" t="str">
        <f ca="1">IFERROR(__xludf.DUMMYFUNCTION("""COMPUTED_VALUE"""),"Yes")</f>
        <v>Yes</v>
      </c>
      <c r="F91" s="3" t="str">
        <f ca="1">IFERROR(__xludf.DUMMYFUNCTION("""COMPUTED_VALUE"""),"NoRef")</f>
        <v>NoRef</v>
      </c>
      <c r="G91" s="3">
        <f ca="1">IFERROR(__xludf.DUMMYFUNCTION("""COMPUTED_VALUE"""),1665577)</f>
        <v>1665577</v>
      </c>
      <c r="H91" s="3"/>
      <c r="I91" s="4" t="str">
        <f ca="1">IFERROR(__xludf.DUMMYFUNCTION("""COMPUTED_VALUE"""),"https://bugzilla.mozilla.org/show_bug.cgi?id=1665577")</f>
        <v>https://bugzilla.mozilla.org/show_bug.cgi?id=1665577</v>
      </c>
      <c r="J91" s="3" t="str">
        <f ca="1">IFERROR(__xludf.DUMMYFUNCTION("""COMPUTED_VALUE"""),"['cert_override.txt', 'mailnews/compose/src/MessageSend.jsm', 'exceptionDialog.xhtml', 'mailnews/compose/public/nsIMsgSendListener.idl', 'pippki/content/exceptionDialog.xhtml', 'mailnews/compose/src/nsMsgSend.cpp', 'mail/components/compose/content/MsgComp"&amp;"oseCommands.js', 'MessageSend.jsm', 'stunt-smtp-server.py', 'Cert_Override.txt']")</f>
        <v>['cert_override.txt', 'mailnews/compose/src/MessageSend.jsm', 'exceptionDialog.xhtml', 'mailnews/compose/public/nsIMsgSendListener.idl', 'pippki/content/exceptionDialog.xhtml', 'mailnews/compose/src/nsMsgSend.cpp', 'mail/components/compose/content/MsgComposeCommands.js', 'MessageSend.jsm', 'stunt-smtp-server.py', 'Cert_Override.txt']</v>
      </c>
      <c r="K91" s="3" t="str">
        <f ca="1">IFERROR(__xludf.DUMMYFUNCTION("""COMPUTED_VALUE"""),"Solution Draft")</f>
        <v>Solution Draft</v>
      </c>
      <c r="L91" s="3" t="str">
        <f ca="1">IFERROR(__xludf.DUMMYFUNCTION("""COMPUTED_VALUE"""),"Bug Description")</f>
        <v>Bug Description</v>
      </c>
      <c r="M91" s="3" t="str">
        <f ca="1">IFERROR(__xludf.DUMMYFUNCTION("""COMPUTED_VALUE"""),"Missing Mapping")</f>
        <v>Missing Mapping</v>
      </c>
      <c r="N91" s="3" t="str">
        <f ca="1">IFERROR(__xludf.DUMMYFUNCTION("""COMPUTED_VALUE"""),"Code Review")</f>
        <v>Code Review</v>
      </c>
      <c r="O91" s="3" t="str">
        <f ca="1">IFERROR(__xludf.DUMMYFUNCTION("""COMPUTED_VALUE"""),"Code Review")</f>
        <v>Code Review</v>
      </c>
    </row>
    <row r="92" spans="1:15" ht="28">
      <c r="A92" s="3" t="s">
        <v>63</v>
      </c>
      <c r="B92" s="3" t="str">
        <f ca="1">IFERROR(__xludf.DUMMYFUNCTION("""COMPUTED_VALUE"""),"Agree")</f>
        <v>Agree</v>
      </c>
      <c r="C92" s="3" t="str">
        <f ca="1">IFERROR(__xludf.DUMMYFUNCTION("""COMPUTED_VALUE"""),"Partial")</f>
        <v>Partial</v>
      </c>
      <c r="D92" s="3">
        <f ca="1">IFERROR(__xludf.DUMMYFUNCTION("""COMPUTED_VALUE"""),90)</f>
        <v>90</v>
      </c>
      <c r="E92" s="3" t="str">
        <f ca="1">IFERROR(__xludf.DUMMYFUNCTION("""COMPUTED_VALUE"""),"Yes")</f>
        <v>Yes</v>
      </c>
      <c r="F92" s="3" t="str">
        <f ca="1">IFERROR(__xludf.DUMMYFUNCTION("""COMPUTED_VALUE"""),"NoRef")</f>
        <v>NoRef</v>
      </c>
      <c r="G92" s="3">
        <f ca="1">IFERROR(__xludf.DUMMYFUNCTION("""COMPUTED_VALUE"""),1582857)</f>
        <v>1582857</v>
      </c>
      <c r="H92" s="3"/>
      <c r="I92" s="4" t="str">
        <f ca="1">IFERROR(__xludf.DUMMYFUNCTION("""COMPUTED_VALUE"""),"https://bugzilla.mozilla.org/show_bug.cgi?id=1582857")</f>
        <v>https://bugzilla.mozilla.org/show_bug.cgi?id=1582857</v>
      </c>
      <c r="J92" s="3" t="str">
        <f ca="1">IFERROR(__xludf.DUMMYFUNCTION("""COMPUTED_VALUE"""),"['advisory.txt']")</f>
        <v>['advisory.txt']</v>
      </c>
      <c r="K92" s="3" t="str">
        <f ca="1">IFERROR(__xludf.DUMMYFUNCTION("""COMPUTED_VALUE"""),"Solution Draft")</f>
        <v>Solution Draft</v>
      </c>
      <c r="L92" s="3" t="str">
        <f ca="1">IFERROR(__xludf.DUMMYFUNCTION("""COMPUTED_VALUE"""),"Missing Mapping")</f>
        <v>Missing Mapping</v>
      </c>
      <c r="M92" s="3"/>
      <c r="N92" s="3"/>
      <c r="O92" s="3"/>
    </row>
    <row r="93" spans="1:15" ht="56">
      <c r="A93" s="3" t="s">
        <v>63</v>
      </c>
      <c r="B93" s="3" t="str">
        <f ca="1">IFERROR(__xludf.DUMMYFUNCTION("""COMPUTED_VALUE"""),"Agree")</f>
        <v>Agree</v>
      </c>
      <c r="C93" s="3" t="str">
        <f ca="1">IFERROR(__xludf.DUMMYFUNCTION("""COMPUTED_VALUE"""),"Disagree")</f>
        <v>Disagree</v>
      </c>
      <c r="D93" s="3">
        <f ca="1">IFERROR(__xludf.DUMMYFUNCTION("""COMPUTED_VALUE"""),91)</f>
        <v>91</v>
      </c>
      <c r="E93" s="3" t="str">
        <f ca="1">IFERROR(__xludf.DUMMYFUNCTION("""COMPUTED_VALUE"""),"Yes")</f>
        <v>Yes</v>
      </c>
      <c r="F93" s="3" t="str">
        <f ca="1">IFERROR(__xludf.DUMMYFUNCTION("""COMPUTED_VALUE"""),"NoRef")</f>
        <v>NoRef</v>
      </c>
      <c r="G93" s="3">
        <f ca="1">IFERROR(__xludf.DUMMYFUNCTION("""COMPUTED_VALUE"""),1632688)</f>
        <v>1632688</v>
      </c>
      <c r="H93" s="3"/>
      <c r="I93" s="3" t="str">
        <f ca="1">IFERROR(__xludf.DUMMYFUNCTION("""COMPUTED_VALUE"""),"1632688 - `mach try` now adds all untracked files in the source tree to the temporary commit before pushing")</f>
        <v>1632688 - `mach try` now adds all untracked files in the source tree to the temporary commit before pushing</v>
      </c>
      <c r="J93" s="3" t="str">
        <f ca="1">IFERROR(__xludf.DUMMYFUNCTION("""COMPUTED_VALUE"""),"['try_task_config.json', 'hg.mozilla.org/users/mozilla_hocat.ca/hg-extra/file/tip/hgext3rd/esr_uplifts/include.py']")</f>
        <v>['try_task_config.json', 'hg.mozilla.org/users/mozilla_hocat.ca/hg-extra/file/tip/hgext3rd/esr_uplifts/include.py']</v>
      </c>
      <c r="K93" s="3" t="str">
        <f ca="1">IFERROR(__xludf.DUMMYFUNCTION("""COMPUTED_VALUE"""),"System Dumps")</f>
        <v>System Dumps</v>
      </c>
      <c r="L93" s="3" t="str">
        <f ca="1">IFERROR(__xludf.DUMMYFUNCTION("""COMPUTED_VALUE"""),"File to Reproduce the Bug")</f>
        <v>File to Reproduce the Bug</v>
      </c>
      <c r="M93" s="3"/>
      <c r="N93" s="3"/>
      <c r="O93" s="3"/>
    </row>
    <row r="94" spans="1:15" ht="28">
      <c r="A94" s="3" t="s">
        <v>63</v>
      </c>
      <c r="B94" s="3"/>
      <c r="C94" s="3" t="str">
        <f ca="1">IFERROR(__xludf.DUMMYFUNCTION("""COMPUTED_VALUE"""),"Agree")</f>
        <v>Agree</v>
      </c>
      <c r="D94" s="3">
        <f ca="1">IFERROR(__xludf.DUMMYFUNCTION("""COMPUTED_VALUE"""),92)</f>
        <v>92</v>
      </c>
      <c r="E94" s="3" t="str">
        <f ca="1">IFERROR(__xludf.DUMMYFUNCTION("""COMPUTED_VALUE"""),"Yes")</f>
        <v>Yes</v>
      </c>
      <c r="F94" s="3" t="str">
        <f ca="1">IFERROR(__xludf.DUMMYFUNCTION("""COMPUTED_VALUE"""),"NoRef")</f>
        <v>NoRef</v>
      </c>
      <c r="G94" s="3">
        <f ca="1">IFERROR(__xludf.DUMMYFUNCTION("""COMPUTED_VALUE"""),1642303)</f>
        <v>1642303</v>
      </c>
      <c r="H94" s="3"/>
      <c r="I94" s="4" t="str">
        <f ca="1">IFERROR(__xludf.DUMMYFUNCTION("""COMPUTED_VALUE"""),"https://bugzilla.mozilla.org/show_bug.cgi?id=1642303")</f>
        <v>https://bugzilla.mozilla.org/show_bug.cgi?id=1642303</v>
      </c>
      <c r="J94" s="3" t="str">
        <f ca="1">IFERROR(__xludf.DUMMYFUNCTION("""COMPUTED_VALUE"""),"['treeherder.mozilla.org/perf.html', 'commons.js', 'ourworldindata.org/assets/js/commons.js']")</f>
        <v>['treeherder.mozilla.org/perf.html', 'commons.js', 'ourworldindata.org/assets/js/commons.js']</v>
      </c>
      <c r="K94" s="3" t="str">
        <f ca="1">IFERROR(__xludf.DUMMYFUNCTION("""COMPUTED_VALUE"""),"System Dumps")</f>
        <v>System Dumps</v>
      </c>
      <c r="L94" s="3" t="str">
        <f ca="1">IFERROR(__xludf.DUMMYFUNCTION("""COMPUTED_VALUE"""),"System Dumps")</f>
        <v>System Dumps</v>
      </c>
      <c r="M94" s="3"/>
      <c r="N94" s="3"/>
      <c r="O94" s="3"/>
    </row>
    <row r="95" spans="1:15" ht="42">
      <c r="A95" s="3" t="s">
        <v>63</v>
      </c>
      <c r="B95" s="3" t="str">
        <f ca="1">IFERROR(__xludf.DUMMYFUNCTION("""COMPUTED_VALUE"""),"Agree")</f>
        <v>Agree</v>
      </c>
      <c r="C95" s="3" t="str">
        <f ca="1">IFERROR(__xludf.DUMMYFUNCTION("""COMPUTED_VALUE"""),"Disagree")</f>
        <v>Disagree</v>
      </c>
      <c r="D95" s="3">
        <f ca="1">IFERROR(__xludf.DUMMYFUNCTION("""COMPUTED_VALUE"""),93)</f>
        <v>93</v>
      </c>
      <c r="E95" s="3" t="str">
        <f ca="1">IFERROR(__xludf.DUMMYFUNCTION("""COMPUTED_VALUE"""),"Yes")</f>
        <v>Yes</v>
      </c>
      <c r="F95" s="3" t="str">
        <f ca="1">IFERROR(__xludf.DUMMYFUNCTION("""COMPUTED_VALUE"""),"NoRef")</f>
        <v>NoRef</v>
      </c>
      <c r="G95" s="3">
        <f ca="1">IFERROR(__xludf.DUMMYFUNCTION("""COMPUTED_VALUE"""),1748997)</f>
        <v>1748997</v>
      </c>
      <c r="H95" s="3"/>
      <c r="I95" s="3" t="str">
        <f ca="1">IFERROR(__xludf.DUMMYFUNCTION("""COMPUTED_VALUE"""),"1748997 - Local Windows builds don't bootstrap mozmake")</f>
        <v>1748997 - Local Windows builds don't bootstrap mozmake</v>
      </c>
      <c r="J95" s="3" t="str">
        <f ca="1">IFERROR(__xludf.DUMMYFUNCTION("""COMPUTED_VALUE"""),"['Users/Mathew/source/repos/mozilla-central\\configure.py']")</f>
        <v>['Users/Mathew/source/repos/mozilla-central\\configure.py']</v>
      </c>
      <c r="K95" s="3" t="str">
        <f ca="1">IFERROR(__xludf.DUMMYFUNCTION("""COMPUTED_VALUE"""),"System Dumps")</f>
        <v>System Dumps</v>
      </c>
      <c r="L95" s="3" t="str">
        <f ca="1">IFERROR(__xludf.DUMMYFUNCTION("""COMPUTED_VALUE"""),"Incorrect filepath format")</f>
        <v>Incorrect filepath format</v>
      </c>
      <c r="M95" s="3"/>
      <c r="N95" s="3"/>
      <c r="O95" s="3"/>
    </row>
    <row r="96" spans="1:15" ht="28">
      <c r="A96" s="3" t="s">
        <v>63</v>
      </c>
      <c r="B96" s="3"/>
      <c r="C96" s="3" t="str">
        <f ca="1">IFERROR(__xludf.DUMMYFUNCTION("""COMPUTED_VALUE"""),"Agree")</f>
        <v>Agree</v>
      </c>
      <c r="D96" s="3">
        <f ca="1">IFERROR(__xludf.DUMMYFUNCTION("""COMPUTED_VALUE"""),94)</f>
        <v>94</v>
      </c>
      <c r="E96" s="3" t="str">
        <f ca="1">IFERROR(__xludf.DUMMYFUNCTION("""COMPUTED_VALUE"""),"Yes")</f>
        <v>Yes</v>
      </c>
      <c r="F96" s="3" t="str">
        <f ca="1">IFERROR(__xludf.DUMMYFUNCTION("""COMPUTED_VALUE"""),"NoRef")</f>
        <v>NoRef</v>
      </c>
      <c r="G96" s="3">
        <f ca="1">IFERROR(__xludf.DUMMYFUNCTION("""COMPUTED_VALUE"""),1766430)</f>
        <v>1766430</v>
      </c>
      <c r="H96" s="3"/>
      <c r="I96" s="4" t="str">
        <f ca="1">IFERROR(__xludf.DUMMYFUNCTION("""COMPUTED_VALUE"""),"https://bugzilla.mozilla.org/show_bug.cgi?id=1766430")</f>
        <v>https://bugzilla.mozilla.org/show_bug.cgi?id=1766430</v>
      </c>
      <c r="J96" s="3" t="str">
        <f ca="1">IFERROR(__xludf.DUMMYFUNCTION("""COMPUTED_VALUE"""),"['user.js']")</f>
        <v>['user.js']</v>
      </c>
      <c r="K96" s="3" t="str">
        <f ca="1">IFERROR(__xludf.DUMMYFUNCTION("""COMPUTED_VALUE"""),"File to Reproduce the Bug")</f>
        <v>File to Reproduce the Bug</v>
      </c>
      <c r="L96" s="3"/>
      <c r="M96" s="3"/>
      <c r="N96" s="3"/>
      <c r="O96" s="3"/>
    </row>
    <row r="97" spans="1:15" ht="70">
      <c r="A97" s="3" t="s">
        <v>63</v>
      </c>
      <c r="B97" s="3"/>
      <c r="C97" s="3" t="str">
        <f ca="1">IFERROR(__xludf.DUMMYFUNCTION("""COMPUTED_VALUE"""),"Agree")</f>
        <v>Agree</v>
      </c>
      <c r="D97" s="3">
        <f ca="1">IFERROR(__xludf.DUMMYFUNCTION("""COMPUTED_VALUE"""),95)</f>
        <v>95</v>
      </c>
      <c r="E97" s="3" t="str">
        <f ca="1">IFERROR(__xludf.DUMMYFUNCTION("""COMPUTED_VALUE"""),"Yes")</f>
        <v>Yes</v>
      </c>
      <c r="F97" s="3" t="str">
        <f ca="1">IFERROR(__xludf.DUMMYFUNCTION("""COMPUTED_VALUE"""),"NoRef")</f>
        <v>NoRef</v>
      </c>
      <c r="G97" s="3">
        <f ca="1">IFERROR(__xludf.DUMMYFUNCTION("""COMPUTED_VALUE"""),1622751)</f>
        <v>1622751</v>
      </c>
      <c r="H97" s="3"/>
      <c r="I97" s="4" t="str">
        <f ca="1">IFERROR(__xludf.DUMMYFUNCTION("""COMPUTED_VALUE"""),"https://bugzilla.mozilla.org/show_bug.cgi?id=1622751")</f>
        <v>https://bugzilla.mozilla.org/show_bug.cgi?id=1622751</v>
      </c>
      <c r="J97" s="3" t="str">
        <f ca="1">IFERROR(__xludf.DUMMYFUNCTION("""COMPUTED_VALUE"""),"['xpcom/threads/nsThread.cpp', 'ipc/glue/MessagePump.cpp', 'ipc/ipdl/PDocAccessibleChild.cpp', 'ipc/chromium/src/base/message_loop.cc', 'ipc/ipdl/PContentChild.cpp', 'xpcom/threads/SchedulerGroup.cpp', 'dom/ipc/ContentChild.cpp', 'ipc/glue/MessageChannel."&amp;"cpp']")</f>
        <v>['xpcom/threads/nsThread.cpp', 'ipc/glue/MessagePump.cpp', 'ipc/ipdl/PDocAccessibleChild.cpp', 'ipc/chromium/src/base/message_loop.cc', 'ipc/ipdl/PContentChild.cpp', 'xpcom/threads/SchedulerGroup.cpp', 'dom/ipc/ContentChild.cpp', 'ipc/glue/MessageChannel.cpp']</v>
      </c>
      <c r="K97" s="3" t="str">
        <f ca="1">IFERROR(__xludf.DUMMYFUNCTION("""COMPUTED_VALUE"""),"System Dumps")</f>
        <v>System Dumps</v>
      </c>
      <c r="L97" s="3"/>
      <c r="M97" s="3"/>
      <c r="N97" s="3"/>
      <c r="O97" s="3"/>
    </row>
    <row r="98" spans="1:15" ht="112">
      <c r="A98" s="3" t="s">
        <v>63</v>
      </c>
      <c r="B98" s="3" t="str">
        <f ca="1">IFERROR(__xludf.DUMMYFUNCTION("""COMPUTED_VALUE"""),"Agree")</f>
        <v>Agree</v>
      </c>
      <c r="C98" s="3" t="str">
        <f ca="1">IFERROR(__xludf.DUMMYFUNCTION("""COMPUTED_VALUE"""),"Disagree")</f>
        <v>Disagree</v>
      </c>
      <c r="D98" s="3">
        <f ca="1">IFERROR(__xludf.DUMMYFUNCTION("""COMPUTED_VALUE"""),96)</f>
        <v>96</v>
      </c>
      <c r="E98" s="3" t="str">
        <f ca="1">IFERROR(__xludf.DUMMYFUNCTION("""COMPUTED_VALUE"""),"Yes")</f>
        <v>Yes</v>
      </c>
      <c r="F98" s="3" t="str">
        <f ca="1">IFERROR(__xludf.DUMMYFUNCTION("""COMPUTED_VALUE"""),"NoRef")</f>
        <v>NoRef</v>
      </c>
      <c r="G98" s="3">
        <f ca="1">IFERROR(__xludf.DUMMYFUNCTION("""COMPUTED_VALUE"""),1752593)</f>
        <v>1752593</v>
      </c>
      <c r="H98" s="3"/>
      <c r="I98" s="4" t="str">
        <f ca="1">IFERROR(__xludf.DUMMYFUNCTION("""COMPUTED_VALUE"""),"https://bugzilla.mozilla.org/show_bug.cgi?id=1752593")</f>
        <v>https://bugzilla.mozilla.org/show_bug.cgi?id=1752593</v>
      </c>
      <c r="J98" s="3" t="str">
        <f ca="1">IFERROR(__xludf.DUMMYFUNCTION("""COMPUTED_VALUE"""),"['\\task_164339268047312\\build\\tests\\talos\\talos\\run_tests.py', 'builds/worker/checkouts/gecko/ipc/chromium/src/base/process_util_win.cc', '\\\\task_164339268047312\\\\build\\\\application\\\\firefox\\\\browser\\\\crashreporter-override.ini', '\\task"&amp;"_164339268047312\\build\\tests\\talos\\talos\\results.py', '\\task_164339268047312\\build\\tests\\talos\\talos\\ttest.py', '127.0.0.1/gmpmanager-dummy/update.xml']")</f>
        <v>['\\task_164339268047312\\build\\tests\\talos\\talos\\run_tests.py', 'builds/worker/checkouts/gecko/ipc/chromium/src/base/process_util_win.cc', '\\\\task_164339268047312\\\\build\\\\application\\\\firefox\\\\browser\\\\crashreporter-override.ini', '\\task_164339268047312\\build\\tests\\talos\\talos\\results.py', '\\task_164339268047312\\build\\tests\\talos\\talos\\ttest.py', '127.0.0.1/gmpmanager-dummy/update.xml']</v>
      </c>
      <c r="K98" s="3" t="str">
        <f ca="1">IFERROR(__xludf.DUMMYFUNCTION("""COMPUTED_VALUE"""),"System Dumps")</f>
        <v>System Dumps</v>
      </c>
      <c r="L98" s="3" t="str">
        <f ca="1">IFERROR(__xludf.DUMMYFUNCTION("""COMPUTED_VALUE"""),"Incorrect filepath format")</f>
        <v>Incorrect filepath format</v>
      </c>
      <c r="M98" s="3"/>
      <c r="N98" s="3"/>
      <c r="O98" s="3"/>
    </row>
    <row r="99" spans="1:15" ht="14">
      <c r="A99" s="3" t="s">
        <v>63</v>
      </c>
      <c r="B99" s="3"/>
      <c r="C99" s="3" t="str">
        <f ca="1">IFERROR(__xludf.DUMMYFUNCTION("""COMPUTED_VALUE"""),"Agree")</f>
        <v>Agree</v>
      </c>
      <c r="D99" s="3">
        <f ca="1">IFERROR(__xludf.DUMMYFUNCTION("""COMPUTED_VALUE"""),97)</f>
        <v>97</v>
      </c>
      <c r="E99" s="3" t="str">
        <f ca="1">IFERROR(__xludf.DUMMYFUNCTION("""COMPUTED_VALUE"""),"Yes")</f>
        <v>Yes</v>
      </c>
      <c r="F99" s="3" t="str">
        <f ca="1">IFERROR(__xludf.DUMMYFUNCTION("""COMPUTED_VALUE"""),"NoRef")</f>
        <v>NoRef</v>
      </c>
      <c r="G99" s="3">
        <f ca="1">IFERROR(__xludf.DUMMYFUNCTION("""COMPUTED_VALUE"""),1643204)</f>
        <v>1643204</v>
      </c>
      <c r="H99" s="3"/>
      <c r="I99" s="3" t="str">
        <f ca="1">IFERROR(__xludf.DUMMYFUNCTION("""COMPUTED_VALUE"""),"hear no audio when joining calls on MIT (W3C) WebEx instance")</f>
        <v>hear no audio when joining calls on MIT (W3C) WebEx instance</v>
      </c>
      <c r="J99" s="3" t="str">
        <f ca="1">IFERROR(__xludf.DUMMYFUNCTION("""COMPUTED_VALUE"""),"['reload.window.html', 'akamaicdn.webex.com/pb/web/40.4.3.173/thinClientSupportAPI.js', 'lists.w3.org/Archives/Member/w3c-css-wg/2017OctDec/0076.html', 'www.webex.com/test-meeting.html', 'treeherder.mozilla.org/logviewer.html', 'join-test.webex.com/webapp"&amp;"ng/scripts/vendor.8f815900.js', 'test.js', 'test.html', 'throw-on-dynamic-markup-insertion-counter-construct.html']")</f>
        <v>['reload.window.html', 'akamaicdn.webex.com/pb/web/40.4.3.173/thinClientSupportAPI.js', 'lists.w3.org/Archives/Member/w3c-css-wg/2017OctDec/0076.html', 'www.webex.com/test-meeting.html', 'treeherder.mozilla.org/logviewer.html', 'join-test.webex.com/webappng/scripts/vendor.8f815900.js', 'test.js', 'test.html', 'throw-on-dynamic-markup-insertion-counter-construct.html']</v>
      </c>
      <c r="K99" s="3" t="str">
        <f ca="1">IFERROR(__xludf.DUMMYFUNCTION("""COMPUTED_VALUE"""),"Bug Description")</f>
        <v>Bug Description</v>
      </c>
      <c r="L99" s="3" t="str">
        <f ca="1">IFERROR(__xludf.DUMMYFUNCTION("""COMPUTED_VALUE"""),"File to Reproduce the Bug")</f>
        <v>File to Reproduce the Bug</v>
      </c>
      <c r="M99" s="3"/>
      <c r="N99" s="3"/>
      <c r="O99" s="3"/>
    </row>
    <row r="100" spans="1:15" ht="14">
      <c r="A100" s="3" t="s">
        <v>63</v>
      </c>
      <c r="B100" s="3"/>
      <c r="C100" s="3" t="str">
        <f ca="1">IFERROR(__xludf.DUMMYFUNCTION("""COMPUTED_VALUE"""),"Agree")</f>
        <v>Agree</v>
      </c>
      <c r="D100" s="3">
        <f ca="1">IFERROR(__xludf.DUMMYFUNCTION("""COMPUTED_VALUE"""),98)</f>
        <v>98</v>
      </c>
      <c r="E100" s="3" t="str">
        <f ca="1">IFERROR(__xludf.DUMMYFUNCTION("""COMPUTED_VALUE"""),"Yes")</f>
        <v>Yes</v>
      </c>
      <c r="F100" s="3" t="str">
        <f ca="1">IFERROR(__xludf.DUMMYFUNCTION("""COMPUTED_VALUE"""),"NoRef")</f>
        <v>NoRef</v>
      </c>
      <c r="G100" s="3">
        <f ca="1">IFERROR(__xludf.DUMMYFUNCTION("""COMPUTED_VALUE"""),1605402)</f>
        <v>1605402</v>
      </c>
      <c r="H100" s="3"/>
      <c r="I100" s="3" t="str">
        <f ca="1">IFERROR(__xludf.DUMMYFUNCTION("""COMPUTED_VALUE"""),"1605402 - maven.mozilla.org: maven-metadata.xml is often outdated preventing Fenix to build with the most recent code")</f>
        <v>1605402 - maven.mozilla.org: maven-metadata.xml is often outdated preventing Fenix to build with the most recent code</v>
      </c>
      <c r="J100" s="3" t="str">
        <f ca="1">IFERROR(__xludf.DUMMYFUNCTION("""COMPUTED_VALUE"""),"['maven-metadata.xml', 'snapshots.maven.mozilla.org/maven2/org/mozilla/components/feature-app-links/27.0.0-SNAPSHOT/maven-metadata.xml', 'github.com/mozilla-releng/maven-lambda/blob/cca6eb9c67af6300b821c26a072ff0e3aedd174d/maven_lambda/metadata.py', 'boto"&amp;"3.amazonaws.com/v1/documentation/api/latest/reference/services/s3.html', 'maven-metadata-logs.txt']")</f>
        <v>['maven-metadata.xml', 'snapshots.maven.mozilla.org/maven2/org/mozilla/components/feature-app-links/27.0.0-SNAPSHOT/maven-metadata.xml', 'github.com/mozilla-releng/maven-lambda/blob/cca6eb9c67af6300b821c26a072ff0e3aedd174d/maven_lambda/metadata.py', 'boto3.amazonaws.com/v1/documentation/api/latest/reference/services/s3.html', 'maven-metadata-logs.txt']</v>
      </c>
      <c r="K100" s="3" t="str">
        <f ca="1">IFERROR(__xludf.DUMMYFUNCTION("""COMPUTED_VALUE"""),"Bug Description")</f>
        <v>Bug Description</v>
      </c>
      <c r="L100" s="3" t="str">
        <f ca="1">IFERROR(__xludf.DUMMYFUNCTION("""COMPUTED_VALUE"""),"Solution Draft")</f>
        <v>Solution Draft</v>
      </c>
      <c r="M100" s="3"/>
      <c r="N100" s="3"/>
      <c r="O100" s="3"/>
    </row>
    <row r="101" spans="1:15" ht="28">
      <c r="A101" s="3" t="s">
        <v>63</v>
      </c>
      <c r="B101" s="3"/>
      <c r="C101" s="3" t="str">
        <f ca="1">IFERROR(__xludf.DUMMYFUNCTION("""COMPUTED_VALUE"""),"Agree")</f>
        <v>Agree</v>
      </c>
      <c r="D101" s="3">
        <f ca="1">IFERROR(__xludf.DUMMYFUNCTION("""COMPUTED_VALUE"""),99)</f>
        <v>99</v>
      </c>
      <c r="E101" s="3" t="str">
        <f ca="1">IFERROR(__xludf.DUMMYFUNCTION("""COMPUTED_VALUE"""),"Yes")</f>
        <v>Yes</v>
      </c>
      <c r="F101" s="3" t="str">
        <f ca="1">IFERROR(__xludf.DUMMYFUNCTION("""COMPUTED_VALUE"""),"NoRef")</f>
        <v>NoRef</v>
      </c>
      <c r="G101" s="3">
        <f ca="1">IFERROR(__xludf.DUMMYFUNCTION("""COMPUTED_VALUE"""),1697836)</f>
        <v>1697836</v>
      </c>
      <c r="H101" s="3"/>
      <c r="I101" s="4" t="str">
        <f ca="1">IFERROR(__xludf.DUMMYFUNCTION("""COMPUTED_VALUE"""),"https://bugzilla.mozilla.org/show_bug.cgi?id=1697836")</f>
        <v>https://bugzilla.mozilla.org/show_bug.cgi?id=1697836</v>
      </c>
      <c r="J101" s="3" t="str">
        <f ca="1">IFERROR(__xludf.DUMMYFUNCTION("""COMPUTED_VALUE"""),"['PRINTBUG_MAIN.html', 'PRINTBUG_DATAPAGE.html']")</f>
        <v>['PRINTBUG_MAIN.html', 'PRINTBUG_DATAPAGE.html']</v>
      </c>
      <c r="K101" s="3" t="str">
        <f ca="1">IFERROR(__xludf.DUMMYFUNCTION("""COMPUTED_VALUE"""),"File to Reproduce the Bug")</f>
        <v>File to Reproduce the Bug</v>
      </c>
      <c r="L101" s="3"/>
      <c r="M101" s="3"/>
      <c r="N101" s="3"/>
      <c r="O101" s="3"/>
    </row>
    <row r="102" spans="1:15" ht="154">
      <c r="A102" s="3" t="s">
        <v>63</v>
      </c>
      <c r="B102" s="3"/>
      <c r="C102" s="3" t="str">
        <f ca="1">IFERROR(__xludf.DUMMYFUNCTION("""COMPUTED_VALUE"""),"Agree")</f>
        <v>Agree</v>
      </c>
      <c r="D102" s="3">
        <f ca="1">IFERROR(__xludf.DUMMYFUNCTION("""COMPUTED_VALUE"""),100)</f>
        <v>100</v>
      </c>
      <c r="E102" s="3" t="str">
        <f ca="1">IFERROR(__xludf.DUMMYFUNCTION("""COMPUTED_VALUE"""),"Yes")</f>
        <v>Yes</v>
      </c>
      <c r="F102" s="3" t="str">
        <f ca="1">IFERROR(__xludf.DUMMYFUNCTION("""COMPUTED_VALUE"""),"NoRef")</f>
        <v>NoRef</v>
      </c>
      <c r="G102" s="3">
        <f ca="1">IFERROR(__xludf.DUMMYFUNCTION("""COMPUTED_VALUE"""),1747269)</f>
        <v>1747269</v>
      </c>
      <c r="H102" s="3"/>
      <c r="I102" s="4" t="str">
        <f ca="1">IFERROR(__xludf.DUMMYFUNCTION("""COMPUTED_VALUE"""),"https://bugzilla.mozilla.org/show_bug.cgi?id=1747269")</f>
        <v>https://bugzilla.mozilla.org/show_bug.cgi?id=1747269</v>
      </c>
      <c r="J102" s="3" t="str">
        <f ca="1">IFERROR(__xludf.DUMMYFUNCTION("""COMPUTED_VALUE"""),"['usr/lib/python3.9/ssl.py', 'builds/worker/checkouts/gecko/toolkit/crashreporter/tools/upload_symbols.py', 'builds/worker/checkouts/gecko/third_party/python/requests/requests/adapters.py', 'builds/worker/checkouts/gecko/third_party/python/requests/reques"&amp;"ts/api.py', 'builds/worker/checkouts/gecko/third_party/python/requests/requests/sessions.py', 'builds/worker/checkouts/gecko/third_party/python/urllib3/urllib3/connectionpool.py', 'usr/lib/python3.9/http/client.py']")</f>
        <v>['usr/lib/python3.9/ssl.py', 'builds/worker/checkouts/gecko/toolkit/crashreporter/tools/upload_symbols.py', 'builds/worker/checkouts/gecko/third_party/python/requests/requests/adapters.py', 'builds/worker/checkouts/gecko/third_party/python/requests/requests/api.py', 'builds/worker/checkouts/gecko/third_party/python/requests/requests/sessions.py', 'builds/worker/checkouts/gecko/third_party/python/urllib3/urllib3/connectionpool.py', 'usr/lib/python3.9/http/client.py']</v>
      </c>
      <c r="K102" s="3" t="str">
        <f ca="1">IFERROR(__xludf.DUMMYFUNCTION("""COMPUTED_VALUE"""),"System Dumps")</f>
        <v>System Dumps</v>
      </c>
      <c r="L102" s="3"/>
      <c r="M102" s="3"/>
      <c r="N102" s="3"/>
      <c r="O102" s="3"/>
    </row>
    <row r="103" spans="1:15" ht="28">
      <c r="A103" s="3" t="s">
        <v>63</v>
      </c>
      <c r="B103" s="3"/>
      <c r="C103" s="3" t="str">
        <f ca="1">IFERROR(__xludf.DUMMYFUNCTION("""COMPUTED_VALUE"""),"Agree")</f>
        <v>Agree</v>
      </c>
      <c r="D103" s="3">
        <f ca="1">IFERROR(__xludf.DUMMYFUNCTION("""COMPUTED_VALUE"""),101)</f>
        <v>101</v>
      </c>
      <c r="E103" s="3" t="str">
        <f ca="1">IFERROR(__xludf.DUMMYFUNCTION("""COMPUTED_VALUE"""),"Yes")</f>
        <v>Yes</v>
      </c>
      <c r="F103" s="3" t="str">
        <f ca="1">IFERROR(__xludf.DUMMYFUNCTION("""COMPUTED_VALUE"""),"NoRef")</f>
        <v>NoRef</v>
      </c>
      <c r="G103" s="3">
        <f ca="1">IFERROR(__xludf.DUMMYFUNCTION("""COMPUTED_VALUE"""),1616620)</f>
        <v>1616620</v>
      </c>
      <c r="H103" s="3"/>
      <c r="I103" s="4" t="str">
        <f ca="1">IFERROR(__xludf.DUMMYFUNCTION("""COMPUTED_VALUE"""),"https://bugzilla.mozilla.org/show_bug.cgi?id=1616620")</f>
        <v>https://bugzilla.mozilla.org/show_bug.cgi?id=1616620</v>
      </c>
      <c r="J103" s="3" t="str">
        <f ca="1">IFERROR(__xludf.DUMMYFUNCTION("""COMPUTED_VALUE"""),"['html.spec.whatwg.org/multipage/input.html', 'html.spec.whatwg.org/multipage/form-control-infrastructure.html']")</f>
        <v>['html.spec.whatwg.org/multipage/input.html', 'html.spec.whatwg.org/multipage/form-control-infrastructure.html']</v>
      </c>
      <c r="K103" s="3" t="str">
        <f ca="1">IFERROR(__xludf.DUMMYFUNCTION("""COMPUTED_VALUE"""),"Bug Description")</f>
        <v>Bug Description</v>
      </c>
      <c r="L103" s="3" t="str">
        <f ca="1">IFERROR(__xludf.DUMMYFUNCTION("""COMPUTED_VALUE"""),"File to Reproduce the Bug")</f>
        <v>File to Reproduce the Bug</v>
      </c>
      <c r="M103" s="3" t="str">
        <f ca="1">IFERROR(__xludf.DUMMYFUNCTION("""COMPUTED_VALUE"""),"Solution Draft")</f>
        <v>Solution Draft</v>
      </c>
      <c r="N103" s="3"/>
      <c r="O103" s="3"/>
    </row>
    <row r="104" spans="1:15" ht="196">
      <c r="A104" s="3" t="s">
        <v>63</v>
      </c>
      <c r="B104" s="3"/>
      <c r="C104" s="3" t="str">
        <f ca="1">IFERROR(__xludf.DUMMYFUNCTION("""COMPUTED_VALUE"""),"Agree")</f>
        <v>Agree</v>
      </c>
      <c r="D104" s="3">
        <f ca="1">IFERROR(__xludf.DUMMYFUNCTION("""COMPUTED_VALUE"""),102)</f>
        <v>102</v>
      </c>
      <c r="E104" s="3" t="str">
        <f ca="1">IFERROR(__xludf.DUMMYFUNCTION("""COMPUTED_VALUE"""),"Yes")</f>
        <v>Yes</v>
      </c>
      <c r="F104" s="3" t="str">
        <f ca="1">IFERROR(__xludf.DUMMYFUNCTION("""COMPUTED_VALUE"""),"NoRef")</f>
        <v>NoRef</v>
      </c>
      <c r="G104" s="3">
        <f ca="1">IFERROR(__xludf.DUMMYFUNCTION("""COMPUTED_VALUE"""),1747910)</f>
        <v>1747910</v>
      </c>
      <c r="H104" s="3"/>
      <c r="I104" s="4" t="str">
        <f ca="1">IFERROR(__xludf.DUMMYFUNCTION("""COMPUTED_VALUE"""),"https://bugzilla.mozilla.org/show_bug.cgi?id=1747910")</f>
        <v>https://bugzilla.mozilla.org/show_bug.cgi?id=1747910</v>
      </c>
      <c r="J104" s="3" t="str">
        <f ca="1">IFERROR(__xludf.DUMMYFUNCTION("""COMPUTED_VALUE"""),"['logs/localconfig.json', 'home/cltbld/tasks/task_164078054761266/build/venv/lib/python3.6/site-packages/mozproxy/backends/mitm/mitm.py', 'home/cltbld/tasks/task_164078054761266/build/tests/raptor/raptor/perftest.py', 'home/cltbld/tasks/task_1640780547612"&amp;"66/build/blobber_upload_dir/perfherder-data.json', 'home/cltbld/tasks/task_164078054761266/build/tests/raptor/raptor/browsertime/base.py', 'public/logs/localconfig.json', 'build/blobber_upload_dir/resource-usage.json', 'public/test_info/resource-usage.jso"&amp;"n', 'home/cltbld/tasks/task_164078054761266/build/raptor.json', 'home/cltbld/tasks/task_164078054761266/build/tests/raptor/raptor/raptor.py']")</f>
        <v>['logs/localconfig.json', 'home/cltbld/tasks/task_164078054761266/build/venv/lib/python3.6/site-packages/mozproxy/backends/mitm/mitm.py', 'home/cltbld/tasks/task_164078054761266/build/tests/raptor/raptor/perftest.py', 'home/cltbld/tasks/task_164078054761266/build/blobber_upload_dir/perfherder-data.json', 'home/cltbld/tasks/task_164078054761266/build/tests/raptor/raptor/browsertime/base.py', 'public/logs/localconfig.json', 'build/blobber_upload_dir/resource-usage.json', 'public/test_info/resource-usage.json', 'home/cltbld/tasks/task_164078054761266/build/raptor.json', 'home/cltbld/tasks/task_164078054761266/build/tests/raptor/raptor/raptor.py']</v>
      </c>
      <c r="K104" s="3" t="str">
        <f ca="1">IFERROR(__xludf.DUMMYFUNCTION("""COMPUTED_VALUE"""),"System Dumps")</f>
        <v>System Dumps</v>
      </c>
      <c r="L104" s="3" t="str">
        <f ca="1">IFERROR(__xludf.DUMMYFUNCTION("""COMPUTED_VALUE"""),"Backout")</f>
        <v>Backout</v>
      </c>
      <c r="M104" s="3"/>
      <c r="N104" s="3"/>
      <c r="O104" s="3"/>
    </row>
    <row r="105" spans="1:15" ht="14">
      <c r="A105" s="3" t="s">
        <v>63</v>
      </c>
      <c r="B105" s="3"/>
      <c r="C105" s="3" t="str">
        <f ca="1">IFERROR(__xludf.DUMMYFUNCTION("""COMPUTED_VALUE"""),"Agree")</f>
        <v>Agree</v>
      </c>
      <c r="D105" s="3">
        <f ca="1">IFERROR(__xludf.DUMMYFUNCTION("""COMPUTED_VALUE"""),103)</f>
        <v>103</v>
      </c>
      <c r="E105" s="3" t="str">
        <f ca="1">IFERROR(__xludf.DUMMYFUNCTION("""COMPUTED_VALUE"""),"Yes")</f>
        <v>Yes</v>
      </c>
      <c r="F105" s="3" t="str">
        <f ca="1">IFERROR(__xludf.DUMMYFUNCTION("""COMPUTED_VALUE"""),"NoRef")</f>
        <v>NoRef</v>
      </c>
      <c r="G105" s="3">
        <f ca="1">IFERROR(__xludf.DUMMYFUNCTION("""COMPUTED_VALUE"""),1636855)</f>
        <v>1636855</v>
      </c>
      <c r="H105" s="3"/>
      <c r="I105" s="3" t="str">
        <f ca="1">IFERROR(__xludf.DUMMYFUNCTION("""COMPUTED_VALUE"""),"1636855 - paste clipboard ignores maxlength attribute")</f>
        <v>1636855 - paste clipboard ignores maxlength attribute</v>
      </c>
      <c r="J105" s="3" t="str">
        <f ca="1">IFERROR(__xludf.DUMMYFUNCTION("""COMPUTED_VALUE"""),"['html.spec.whatwg.org/multipage/input.html', 'www.w3.org/TR/html52/sec-forms.html', 'input_maxlength_withtitle.html', 'input_maxlength.html']")</f>
        <v>['html.spec.whatwg.org/multipage/input.html', 'www.w3.org/TR/html52/sec-forms.html', 'input_maxlength_withtitle.html', 'input_maxlength.html']</v>
      </c>
      <c r="K105" s="3" t="str">
        <f ca="1">IFERROR(__xludf.DUMMYFUNCTION("""COMPUTED_VALUE"""),"Links")</f>
        <v>Links</v>
      </c>
      <c r="L105" s="3"/>
      <c r="M105" s="3"/>
      <c r="N105" s="3"/>
      <c r="O105" s="3"/>
    </row>
    <row r="106" spans="1:15" ht="28">
      <c r="A106" s="3" t="s">
        <v>63</v>
      </c>
      <c r="B106" s="3"/>
      <c r="C106" s="3" t="str">
        <f ca="1">IFERROR(__xludf.DUMMYFUNCTION("""COMPUTED_VALUE"""),"Agree")</f>
        <v>Agree</v>
      </c>
      <c r="D106" s="3">
        <f ca="1">IFERROR(__xludf.DUMMYFUNCTION("""COMPUTED_VALUE"""),104)</f>
        <v>104</v>
      </c>
      <c r="E106" s="3" t="str">
        <f ca="1">IFERROR(__xludf.DUMMYFUNCTION("""COMPUTED_VALUE"""),"Yes")</f>
        <v>Yes</v>
      </c>
      <c r="F106" s="3" t="str">
        <f ca="1">IFERROR(__xludf.DUMMYFUNCTION("""COMPUTED_VALUE"""),"NoRef")</f>
        <v>NoRef</v>
      </c>
      <c r="G106" s="3">
        <f ca="1">IFERROR(__xludf.DUMMYFUNCTION("""COMPUTED_VALUE"""),1782313)</f>
        <v>1782313</v>
      </c>
      <c r="H106" s="3"/>
      <c r="I106" s="4" t="str">
        <f ca="1">IFERROR(__xludf.DUMMYFUNCTION("""COMPUTED_VALUE"""),"https://bugzilla.mozilla.org/show_bug.cgi?id=1782313")</f>
        <v>https://bugzilla.mozilla.org/show_bug.cgi?id=1782313</v>
      </c>
      <c r="J106" s="3" t="str">
        <f ca="1">IFERROR(__xludf.DUMMYFUNCTION("""COMPUTED_VALUE"""),"['tracked_attention.py']")</f>
        <v>['tracked_attention.py']</v>
      </c>
      <c r="K106" s="3" t="str">
        <f ca="1">IFERROR(__xludf.DUMMYFUNCTION("""COMPUTED_VALUE"""),"Links")</f>
        <v>Links</v>
      </c>
      <c r="L106" s="3"/>
      <c r="M106" s="3"/>
      <c r="N106" s="3"/>
      <c r="O106" s="3"/>
    </row>
    <row r="107" spans="1:15" ht="28">
      <c r="A107" s="3" t="s">
        <v>63</v>
      </c>
      <c r="B107" s="3"/>
      <c r="C107" s="3" t="str">
        <f ca="1">IFERROR(__xludf.DUMMYFUNCTION("""COMPUTED_VALUE"""),"Agree")</f>
        <v>Agree</v>
      </c>
      <c r="D107" s="3">
        <f ca="1">IFERROR(__xludf.DUMMYFUNCTION("""COMPUTED_VALUE"""),105)</f>
        <v>105</v>
      </c>
      <c r="E107" s="3" t="str">
        <f ca="1">IFERROR(__xludf.DUMMYFUNCTION("""COMPUTED_VALUE"""),"Yes")</f>
        <v>Yes</v>
      </c>
      <c r="F107" s="3" t="str">
        <f ca="1">IFERROR(__xludf.DUMMYFUNCTION("""COMPUTED_VALUE"""),"NoRef")</f>
        <v>NoRef</v>
      </c>
      <c r="G107" s="3">
        <f ca="1">IFERROR(__xludf.DUMMYFUNCTION("""COMPUTED_VALUE"""),1696691)</f>
        <v>1696691</v>
      </c>
      <c r="H107" s="3"/>
      <c r="I107" s="4" t="str">
        <f ca="1">IFERROR(__xludf.DUMMYFUNCTION("""COMPUTED_VALUE"""),"https://bugzilla.mozilla.org/show_bug.cgi?id=1696691")</f>
        <v>https://bugzilla.mozilla.org/show_bug.cgi?id=1696691</v>
      </c>
      <c r="J107" s="3" t="str">
        <f ca="1">IFERROR(__xludf.DUMMYFUNCTION("""COMPUTED_VALUE"""),"['about-support.txt', 'support.txt', 'third_party/angle/src/gpu_info_util/SystemInfo_libpci.cpp']")</f>
        <v>['about-support.txt', 'support.txt', 'third_party/angle/src/gpu_info_util/SystemInfo_libpci.cpp']</v>
      </c>
      <c r="K107" s="3" t="str">
        <f ca="1">IFERROR(__xludf.DUMMYFUNCTION("""COMPUTED_VALUE"""),"File to Reproduce the Bug")</f>
        <v>File to Reproduce the Bug</v>
      </c>
      <c r="L107" s="3" t="str">
        <f ca="1">IFERROR(__xludf.DUMMYFUNCTION("""COMPUTED_VALUE"""),"Solution Draft")</f>
        <v>Solution Draft</v>
      </c>
      <c r="M107" s="3"/>
      <c r="N107" s="3"/>
      <c r="O107" s="3"/>
    </row>
    <row r="108" spans="1:15" ht="28">
      <c r="A108" s="3" t="s">
        <v>63</v>
      </c>
      <c r="B108" s="3"/>
      <c r="C108" s="3" t="str">
        <f ca="1">IFERROR(__xludf.DUMMYFUNCTION("""COMPUTED_VALUE"""),"Agree")</f>
        <v>Agree</v>
      </c>
      <c r="D108" s="3">
        <f ca="1">IFERROR(__xludf.DUMMYFUNCTION("""COMPUTED_VALUE"""),106)</f>
        <v>106</v>
      </c>
      <c r="E108" s="3" t="str">
        <f ca="1">IFERROR(__xludf.DUMMYFUNCTION("""COMPUTED_VALUE"""),"Yes")</f>
        <v>Yes</v>
      </c>
      <c r="F108" s="3" t="str">
        <f ca="1">IFERROR(__xludf.DUMMYFUNCTION("""COMPUTED_VALUE"""),"NoRef")</f>
        <v>NoRef</v>
      </c>
      <c r="G108" s="3">
        <f ca="1">IFERROR(__xludf.DUMMYFUNCTION("""COMPUTED_VALUE"""),1740481)</f>
        <v>1740481</v>
      </c>
      <c r="H108" s="3"/>
      <c r="I108" s="4" t="str">
        <f ca="1">IFERROR(__xludf.DUMMYFUNCTION("""COMPUTED_VALUE"""),"https://bugzilla.mozilla.org/show_bug.cgi?id=1740481")</f>
        <v>https://bugzilla.mozilla.org/show_bug.cgi?id=1740481</v>
      </c>
      <c r="J108" s="3" t="str">
        <f ca="1">IFERROR(__xludf.DUMMYFUNCTION("""COMPUTED_VALUE"""),"['Index.html']")</f>
        <v>['Index.html']</v>
      </c>
      <c r="K108" s="3" t="str">
        <f ca="1">IFERROR(__xludf.DUMMYFUNCTION("""COMPUTED_VALUE"""),"File to Reproduce the Bug")</f>
        <v>File to Reproduce the Bug</v>
      </c>
      <c r="L108" s="3"/>
      <c r="M108" s="3"/>
      <c r="N108" s="3"/>
      <c r="O108" s="3"/>
    </row>
    <row r="109" spans="1:15" ht="42">
      <c r="A109" s="3" t="s">
        <v>63</v>
      </c>
      <c r="B109" s="3"/>
      <c r="C109" s="3" t="str">
        <f ca="1">IFERROR(__xludf.DUMMYFUNCTION("""COMPUTED_VALUE"""),"Agree")</f>
        <v>Agree</v>
      </c>
      <c r="D109" s="3">
        <f ca="1">IFERROR(__xludf.DUMMYFUNCTION("""COMPUTED_VALUE"""),107)</f>
        <v>107</v>
      </c>
      <c r="E109" s="3" t="str">
        <f ca="1">IFERROR(__xludf.DUMMYFUNCTION("""COMPUTED_VALUE"""),"Yes")</f>
        <v>Yes</v>
      </c>
      <c r="F109" s="3" t="str">
        <f ca="1">IFERROR(__xludf.DUMMYFUNCTION("""COMPUTED_VALUE"""),"NoRef")</f>
        <v>NoRef</v>
      </c>
      <c r="G109" s="3">
        <f ca="1">IFERROR(__xludf.DUMMYFUNCTION("""COMPUTED_VALUE"""),1596696)</f>
        <v>1596696</v>
      </c>
      <c r="H109" s="3"/>
      <c r="I109" s="4" t="str">
        <f ca="1">IFERROR(__xludf.DUMMYFUNCTION("""COMPUTED_VALUE"""),"https://bugzilla.mozilla.org/show_bug.cgi?id=1596696")</f>
        <v>https://bugzilla.mozilla.org/show_bug.cgi?id=1596696</v>
      </c>
      <c r="J109" s="3" t="str">
        <f ca="1">IFERROR(__xludf.DUMMYFUNCTION("""COMPUTED_VALUE"""),"['builds/worker/workspace/build/src/xpcom/threads/BlockingResourceBase.cpp', 'builds/worker/workspace/build/src/xpcom/base/nsTraceRefcnt.cpp', 'treeherder.mozilla.org/intermittent-failures.html']")</f>
        <v>['builds/worker/workspace/build/src/xpcom/threads/BlockingResourceBase.cpp', 'builds/worker/workspace/build/src/xpcom/base/nsTraceRefcnt.cpp', 'treeherder.mozilla.org/intermittent-failures.html']</v>
      </c>
      <c r="K109" s="3" t="str">
        <f ca="1">IFERROR(__xludf.DUMMYFUNCTION("""COMPUTED_VALUE"""),"System Dumps")</f>
        <v>System Dumps</v>
      </c>
      <c r="L109" s="3"/>
      <c r="M109" s="3"/>
      <c r="N109" s="3"/>
      <c r="O109" s="3"/>
    </row>
    <row r="110" spans="1:15" ht="112">
      <c r="A110" s="3" t="s">
        <v>63</v>
      </c>
      <c r="B110" s="3" t="str">
        <f ca="1">IFERROR(__xludf.DUMMYFUNCTION("""COMPUTED_VALUE"""),"Agree")</f>
        <v>Agree</v>
      </c>
      <c r="C110" s="3" t="str">
        <f ca="1">IFERROR(__xludf.DUMMYFUNCTION("""COMPUTED_VALUE"""),"Disagree")</f>
        <v>Disagree</v>
      </c>
      <c r="D110" s="3">
        <f ca="1">IFERROR(__xludf.DUMMYFUNCTION("""COMPUTED_VALUE"""),108)</f>
        <v>108</v>
      </c>
      <c r="E110" s="3" t="str">
        <f ca="1">IFERROR(__xludf.DUMMYFUNCTION("""COMPUTED_VALUE"""),"Yes")</f>
        <v>Yes</v>
      </c>
      <c r="F110" s="3" t="str">
        <f ca="1">IFERROR(__xludf.DUMMYFUNCTION("""COMPUTED_VALUE"""),"NoRef")</f>
        <v>NoRef</v>
      </c>
      <c r="G110" s="3">
        <f ca="1">IFERROR(__xludf.DUMMYFUNCTION("""COMPUTED_VALUE"""),1680757)</f>
        <v>1680757</v>
      </c>
      <c r="H110" s="3"/>
      <c r="I110" s="4" t="str">
        <f ca="1">IFERROR(__xludf.DUMMYFUNCTION("""COMPUTED_VALUE"""),"https://bugzilla.mozilla.org/show_bug.cgi?id=1680757")</f>
        <v>https://bugzilla.mozilla.org/show_bug.cgi?id=1680757</v>
      </c>
      <c r="J110" s="3" t="str">
        <f ca="1">IFERROR(__xludf.DUMMYFUNCTION("""COMPUTED_VALUE"""),"['mail/extensions/openpgp/content/modules/dialog.jsm', 'openpgp/content/modules/files.jsm', 'files.jsm', 'searchfox.org/mozilla-central/rev/7067bbd8194f4346ec59d77c33cd88f06763e090/widget/gtk/nsFilePicker.cpp', 'openpgp/content/modules/key.jsm', 'openpgp/"&amp;"content/ui/keyWizard.js', 'searchfox.org/mozilla-central/rev/7067bbd8194f4346ec59d77c33cd88f06763e090/widget/cocoa/nsFilePicker.mm', 'searchfox.org/mozilla-central/source/widget/nsIFilePicker.idl']")</f>
        <v>['mail/extensions/openpgp/content/modules/dialog.jsm', 'openpgp/content/modules/files.jsm', 'files.jsm', 'searchfox.org/mozilla-central/rev/7067bbd8194f4346ec59d77c33cd88f06763e090/widget/gtk/nsFilePicker.cpp', 'openpgp/content/modules/key.jsm', 'openpgp/content/ui/keyWizard.js', 'searchfox.org/mozilla-central/rev/7067bbd8194f4346ec59d77c33cd88f06763e090/widget/cocoa/nsFilePicker.mm', 'searchfox.org/mozilla-central/source/widget/nsIFilePicker.idl']</v>
      </c>
      <c r="K110" s="3" t="str">
        <f ca="1">IFERROR(__xludf.DUMMYFUNCTION("""COMPUTED_VALUE"""),"System Dumps")</f>
        <v>System Dumps</v>
      </c>
      <c r="L110" s="3" t="str">
        <f ca="1">IFERROR(__xludf.DUMMYFUNCTION("""COMPUTED_VALUE"""),"Solution Draft")</f>
        <v>Solution Draft</v>
      </c>
      <c r="M110" s="3" t="str">
        <f ca="1">IFERROR(__xludf.DUMMYFUNCTION("""COMPUTED_VALUE"""),"Missing Mapping")</f>
        <v>Missing Mapping</v>
      </c>
      <c r="N110" s="3" t="str">
        <f ca="1">IFERROR(__xludf.DUMMYFUNCTION("""COMPUTED_VALUE"""),"Code Review")</f>
        <v>Code Review</v>
      </c>
      <c r="O110" s="3" t="str">
        <f ca="1">IFERROR(__xludf.DUMMYFUNCTION("""COMPUTED_VALUE"""),"Code Review of Solution Draft")</f>
        <v>Code Review of Solution Draft</v>
      </c>
    </row>
    <row r="111" spans="1:15" ht="28">
      <c r="A111" s="3" t="s">
        <v>63</v>
      </c>
      <c r="B111" s="3"/>
      <c r="C111" s="3" t="str">
        <f ca="1">IFERROR(__xludf.DUMMYFUNCTION("""COMPUTED_VALUE"""),"Agree")</f>
        <v>Agree</v>
      </c>
      <c r="D111" s="3">
        <f ca="1">IFERROR(__xludf.DUMMYFUNCTION("""COMPUTED_VALUE"""),109)</f>
        <v>109</v>
      </c>
      <c r="E111" s="3" t="str">
        <f ca="1">IFERROR(__xludf.DUMMYFUNCTION("""COMPUTED_VALUE"""),"Yes")</f>
        <v>Yes</v>
      </c>
      <c r="F111" s="3" t="str">
        <f ca="1">IFERROR(__xludf.DUMMYFUNCTION("""COMPUTED_VALUE"""),"NoRef")</f>
        <v>NoRef</v>
      </c>
      <c r="G111" s="3">
        <f ca="1">IFERROR(__xludf.DUMMYFUNCTION("""COMPUTED_VALUE"""),1803542)</f>
        <v>1803542</v>
      </c>
      <c r="H111" s="3"/>
      <c r="I111" s="4" t="str">
        <f ca="1">IFERROR(__xludf.DUMMYFUNCTION("""COMPUTED_VALUE"""),"https://bugzilla.mozilla.org/show_bug.cgi?id=1803542")</f>
        <v>https://bugzilla.mozilla.org/show_bug.cgi?id=1803542</v>
      </c>
      <c r="J111" s="3" t="str">
        <f ca="1">IFERROR(__xludf.DUMMYFUNCTION("""COMPUTED_VALUE"""),"['www.dhl.de/en/privatkunden.html']")</f>
        <v>['www.dhl.de/en/privatkunden.html']</v>
      </c>
      <c r="K111" s="3" t="str">
        <f ca="1">IFERROR(__xludf.DUMMYFUNCTION("""COMPUTED_VALUE"""),"File to Reproduce the Bug")</f>
        <v>File to Reproduce the Bug</v>
      </c>
      <c r="L111" s="3"/>
      <c r="M111" s="3"/>
      <c r="N111" s="3"/>
      <c r="O111" s="3"/>
    </row>
    <row r="112" spans="1:15" ht="28">
      <c r="A112" s="3" t="s">
        <v>63</v>
      </c>
      <c r="B112" s="3"/>
      <c r="C112" s="3" t="str">
        <f ca="1">IFERROR(__xludf.DUMMYFUNCTION("""COMPUTED_VALUE"""),"Agree")</f>
        <v>Agree</v>
      </c>
      <c r="D112" s="3">
        <f ca="1">IFERROR(__xludf.DUMMYFUNCTION("""COMPUTED_VALUE"""),110)</f>
        <v>110</v>
      </c>
      <c r="E112" s="3" t="str">
        <f ca="1">IFERROR(__xludf.DUMMYFUNCTION("""COMPUTED_VALUE"""),"Yes")</f>
        <v>Yes</v>
      </c>
      <c r="F112" s="3" t="str">
        <f ca="1">IFERROR(__xludf.DUMMYFUNCTION("""COMPUTED_VALUE"""),"NoRef")</f>
        <v>NoRef</v>
      </c>
      <c r="G112" s="3">
        <f ca="1">IFERROR(__xludf.DUMMYFUNCTION("""COMPUTED_VALUE"""),1577987)</f>
        <v>1577987</v>
      </c>
      <c r="H112" s="3"/>
      <c r="I112" s="4" t="str">
        <f ca="1">IFERROR(__xludf.DUMMYFUNCTION("""COMPUTED_VALUE"""),"https://bugzilla.mozilla.org/show_bug.cgi?id=1577987")</f>
        <v>https://bugzilla.mozilla.org/show_bug.cgi?id=1577987</v>
      </c>
      <c r="J112" s="3" t="str">
        <f ca="1">IFERROR(__xludf.DUMMYFUNCTION("""COMPUTED_VALUE"""),"['utilityOverlay.js']")</f>
        <v>['utilityOverlay.js']</v>
      </c>
      <c r="K112" s="3" t="str">
        <f ca="1">IFERROR(__xludf.DUMMYFUNCTION("""COMPUTED_VALUE"""),"Bug Description")</f>
        <v>Bug Description</v>
      </c>
      <c r="L112" s="3"/>
      <c r="M112" s="3"/>
      <c r="N112" s="3"/>
      <c r="O112" s="3"/>
    </row>
    <row r="113" spans="1:15" ht="140">
      <c r="A113" s="3" t="s">
        <v>65</v>
      </c>
      <c r="B113" s="3" t="str">
        <f ca="1">IFERROR(__xludf.DUMMYFUNCTION(" QUERY(IMPORTRANGE(""https://docs.google.com/spreadsheets/d/1Wm6PnjUFiFY6LCNBQ4-bXG8ZC6TGVB2Rev9eOtKBkRs/edit#gid=1224113483"", ""Pooja!A2:N378""), ""select * where Col4 is not null"")"),"Agree")</f>
        <v>Agree</v>
      </c>
      <c r="C113" s="3" t="str">
        <f ca="1">IFERROR(__xludf.DUMMYFUNCTION("""COMPUTED_VALUE"""),"Partial")</f>
        <v>Partial</v>
      </c>
      <c r="D113" s="3">
        <f ca="1">IFERROR(__xludf.DUMMYFUNCTION("""COMPUTED_VALUE"""),0)</f>
        <v>0</v>
      </c>
      <c r="E113" s="3" t="str">
        <f ca="1">IFERROR(__xludf.DUMMYFUNCTION("""COMPUTED_VALUE"""),"Yes")</f>
        <v>Yes</v>
      </c>
      <c r="F113" s="3" t="str">
        <f ca="1">IFERROR(__xludf.DUMMYFUNCTION("""COMPUTED_VALUE"""),"FixRef")</f>
        <v>FixRef</v>
      </c>
      <c r="G113" s="3">
        <f ca="1">IFERROR(__xludf.DUMMYFUNCTION("""COMPUTED_VALUE"""),1715155)</f>
        <v>1715155</v>
      </c>
      <c r="H113" s="3" t="str">
        <f ca="1">IFERROR(__xludf.DUMMYFUNCTION("""COMPUTED_VALUE"""),"{1713787}")</f>
        <v>{1713787}</v>
      </c>
      <c r="I113" s="4" t="str">
        <f ca="1">IFERROR(__xludf.DUMMYFUNCTION("""COMPUTED_VALUE"""),"https://bugzilla.mozilla.org/show_bug.cgi?id=1715155")</f>
        <v>https://bugzilla.mozilla.org/show_bug.cgi?id=1715155</v>
      </c>
      <c r="J113" s="3" t="str">
        <f ca="1">IFERROR(__xludf.DUMMYFUNCTION("""COMPUTED_VALUE"""),"['8000/css/css-properties-values-api/registered-property-cssom.html', '8000/css/css-properties-values-api/resources/utils.js', 'css/css-properties-values-api/registered-property-initial.html', '8000/css/css-properties-values-api/registered-property-comput"&amp;"ation.html', '8000/css/css-properties-values-api/at-property.html', 'css/css-properties-values-api/at-property.html', 'css/css-properties-values-api/conditional-rules.html', '8000/resources/testharness.js', 'css/css-properties-values-api/registered-proper"&amp;"ty-cssom.html', 'css/css-properties-values-api/at-property-typedom.html', 'css/css-properties-values-api/registered-property-computation.html']")</f>
        <v>['8000/css/css-properties-values-api/registered-property-cssom.html', '8000/css/css-properties-values-api/resources/utils.js', 'css/css-properties-values-api/registered-property-initial.html', '8000/css/css-properties-values-api/registered-property-computation.html', '8000/css/css-properties-values-api/at-property.html', 'css/css-properties-values-api/at-property.html', 'css/css-properties-values-api/conditional-rules.html', '8000/resources/testharness.js', 'css/css-properties-values-api/registered-property-cssom.html', 'css/css-properties-values-api/at-property-typedom.html', 'css/css-properties-values-api/registered-property-computation.html']</v>
      </c>
      <c r="K113" s="3" t="str">
        <f ca="1">IFERROR(__xludf.DUMMYFUNCTION("""COMPUTED_VALUE"""),"System Dumps")</f>
        <v>System Dumps</v>
      </c>
      <c r="L113" s="3"/>
      <c r="M113" s="3"/>
      <c r="N113" s="3"/>
      <c r="O113" s="3" t="str">
        <f ca="1">IFERROR(__xludf.DUMMYFUNCTION("""COMPUTED_VALUE"""),"Discuss code elements fixed in one of the files")</f>
        <v>Discuss code elements fixed in one of the files</v>
      </c>
    </row>
    <row r="114" spans="1:15" ht="224">
      <c r="A114" s="3" t="s">
        <v>65</v>
      </c>
      <c r="B114" s="3" t="str">
        <f ca="1">IFERROR(__xludf.DUMMYFUNCTION("""COMPUTED_VALUE"""),"Agree")</f>
        <v>Agree</v>
      </c>
      <c r="C114" s="3" t="str">
        <f ca="1">IFERROR(__xludf.DUMMYFUNCTION("""COMPUTED_VALUE"""),"Partial")</f>
        <v>Partial</v>
      </c>
      <c r="D114" s="3">
        <f ca="1">IFERROR(__xludf.DUMMYFUNCTION("""COMPUTED_VALUE"""),1)</f>
        <v>1</v>
      </c>
      <c r="E114" s="3" t="str">
        <f ca="1">IFERROR(__xludf.DUMMYFUNCTION("""COMPUTED_VALUE"""),"Yes")</f>
        <v>Yes</v>
      </c>
      <c r="F114" s="3" t="str">
        <f ca="1">IFERROR(__xludf.DUMMYFUNCTION("""COMPUTED_VALUE"""),"BothRef")</f>
        <v>BothRef</v>
      </c>
      <c r="G114" s="3">
        <f ca="1">IFERROR(__xludf.DUMMYFUNCTION("""COMPUTED_VALUE"""),1770872)</f>
        <v>1770872</v>
      </c>
      <c r="H114" s="3" t="str">
        <f ca="1">IFERROR(__xludf.DUMMYFUNCTION("""COMPUTED_VALUE"""),"{1770061}")</f>
        <v>{1770061}</v>
      </c>
      <c r="I114" s="4" t="str">
        <f ca="1">IFERROR(__xludf.DUMMYFUNCTION("""COMPUTED_VALUE"""),"https://bugzilla.mozilla.org/show_bug.cgi?id=1770872")</f>
        <v>https://bugzilla.mozilla.org/show_bug.cgi?id=1770872</v>
      </c>
      <c r="J114" s="3" t="str">
        <f ca="1">IFERROR(__xludf.DUMMYFUNCTION("""COMPUTED_VALUE"""),"['mochitests/content/browser/browser/components/privatebrowsing/test/browser/browser_privatebrowsing_focus_promo.js', 'builds/worker/checkouts/gecko/gfx/gl/GLContext.cpp', 'browser/content/browser.xhtml', 'browser_privatebrowsing_focus_promo.js', 'actors/"&amp;"ContentSearchParent.jsm', 'builds/worker/checkouts/gecko/dom/events/DOMEventTargetHelper.cpp', 'builds/worker/checkouts/gecko/dom/ipc/BrowserParent.cpp', 'builds/worker/checkouts/gecko/startupcache/StartupCache.cpp', 'builds/worker/checkouts/gecko/gfx/lay"&amp;"ers/apz/src/APZUpdater.cpp', 'specialpowers/SpecialPowersSandbox.jsm', 'specialpowers/SpecialPowersChild.jsm', 'browser/components/privatebrowsing/test/browser/browser_privatebrowsing_focus_promo.js', 'builds/worker/checkouts/gecko/caps/BasePrincipal.cpp'"&amp;", 'builds/worker/checkouts/gecko/gfx/gl/GLContextFeatures.cpp']")</f>
        <v>['mochitests/content/browser/browser/components/privatebrowsing/test/browser/browser_privatebrowsing_focus_promo.js', 'builds/worker/checkouts/gecko/gfx/gl/GLContext.cpp', 'browser/content/browser.xhtml', 'browser_privatebrowsing_focus_promo.js', 'actors/ContentSearchParent.jsm', 'builds/worker/checkouts/gecko/dom/events/DOMEventTargetHelper.cpp', 'builds/worker/checkouts/gecko/dom/ipc/BrowserParent.cpp', 'builds/worker/checkouts/gecko/startupcache/StartupCache.cpp', 'builds/worker/checkouts/gecko/gfx/layers/apz/src/APZUpdater.cpp', 'specialpowers/SpecialPowersSandbox.jsm', 'specialpowers/SpecialPowersChild.jsm', 'browser/components/privatebrowsing/test/browser/browser_privatebrowsing_focus_promo.js', 'builds/worker/checkouts/gecko/caps/BasePrincipal.cpp', 'builds/worker/checkouts/gecko/gfx/gl/GLContextFeatures.cpp']</v>
      </c>
      <c r="K114" s="3" t="str">
        <f ca="1">IFERROR(__xludf.DUMMYFUNCTION("""COMPUTED_VALUE"""),"System Dumps")</f>
        <v>System Dumps</v>
      </c>
      <c r="L114" s="3" t="str">
        <f ca="1">IFERROR(__xludf.DUMMYFUNCTION("""COMPUTED_VALUE"""),"File names are part of bug title, attachment title or commit messages")</f>
        <v>File names are part of bug title, attachment title or commit messages</v>
      </c>
      <c r="M114" s="3"/>
      <c r="N114" s="3"/>
      <c r="O114" s="3" t="str">
        <f ca="1">IFERROR(__xludf.DUMMYFUNCTION("""COMPUTED_VALUE"""),"Discuss code elements fixed in one of the files")</f>
        <v>Discuss code elements fixed in one of the files</v>
      </c>
    </row>
    <row r="115" spans="1:15" ht="140">
      <c r="A115" s="3" t="s">
        <v>65</v>
      </c>
      <c r="B115" s="3" t="str">
        <f ca="1">IFERROR(__xludf.DUMMYFUNCTION("""COMPUTED_VALUE"""),"Agree")</f>
        <v>Agree</v>
      </c>
      <c r="C115" s="3" t="str">
        <f ca="1">IFERROR(__xludf.DUMMYFUNCTION("""COMPUTED_VALUE"""),"Partial")</f>
        <v>Partial</v>
      </c>
      <c r="D115" s="3">
        <f ca="1">IFERROR(__xludf.DUMMYFUNCTION("""COMPUTED_VALUE"""),2)</f>
        <v>2</v>
      </c>
      <c r="E115" s="3" t="str">
        <f ca="1">IFERROR(__xludf.DUMMYFUNCTION("""COMPUTED_VALUE"""),"Yes")</f>
        <v>Yes</v>
      </c>
      <c r="F115" s="3" t="str">
        <f ca="1">IFERROR(__xludf.DUMMYFUNCTION("""COMPUTED_VALUE"""),"BothRef")</f>
        <v>BothRef</v>
      </c>
      <c r="G115" s="3">
        <f ca="1">IFERROR(__xludf.DUMMYFUNCTION("""COMPUTED_VALUE"""),1668097)</f>
        <v>1668097</v>
      </c>
      <c r="H115" s="3" t="str">
        <f ca="1">IFERROR(__xludf.DUMMYFUNCTION("""COMPUTED_VALUE"""),"{1638974}")</f>
        <v>{1638974}</v>
      </c>
      <c r="I115" s="4" t="str">
        <f ca="1">IFERROR(__xludf.DUMMYFUNCTION("""COMPUTED_VALUE"""),"https://bugzilla.mozilla.org/show_bug.cgi?id=1668097")</f>
        <v>https://bugzilla.mozilla.org/show_bug.cgi?id=1668097</v>
      </c>
      <c r="J115" s="3" t="str">
        <f ca="1">IFERROR(__xludf.DUMMYFUNCTION("""COMPUTED_VALUE"""),"['usr/lib/python3.8/subprocess.py', 'requirements.txt', 'home/gbrown/src/testing/tools/websocketprocessbridge/websocketprocessbridge_requirements.txt', 'tmp/pip-install-46jxgxn7/ipaddr/setup.py', 'searchfox.org/mozilla-central/rev/dfd9c0f72f9765bd4a187444"&amp;"e0c1e19e8834a506/testing/mochitest/mach_commands.py', 'tmp/pip-install-aedazlfg/twisted/setup.py', 'home/gbrown/src/build/mach_bootstrap.py', 'home/gbrown/src/testing/mochitest/mach_commands.py', 'tmp/pip-install-46jxgxn7/ipaddr/ipaddr.py', 'setup.py', 'h"&amp;"ome/gbrown/src/python/mozbuild/mozbuild/virtualenv.py']")</f>
        <v>['usr/lib/python3.8/subprocess.py', 'requirements.txt', 'home/gbrown/src/testing/tools/websocketprocessbridge/websocketprocessbridge_requirements.txt', 'tmp/pip-install-46jxgxn7/ipaddr/setup.py', 'searchfox.org/mozilla-central/rev/dfd9c0f72f9765bd4a187444e0c1e19e8834a506/testing/mochitest/mach_commands.py', 'tmp/pip-install-aedazlfg/twisted/setup.py', 'home/gbrown/src/build/mach_bootstrap.py', 'home/gbrown/src/testing/mochitest/mach_commands.py', 'tmp/pip-install-46jxgxn7/ipaddr/ipaddr.py', 'setup.py', 'home/gbrown/src/python/mozbuild/mozbuild/virtualenv.py']</v>
      </c>
      <c r="K115" s="3" t="str">
        <f ca="1">IFERROR(__xludf.DUMMYFUNCTION("""COMPUTED_VALUE"""),"System Dumps")</f>
        <v>System Dumps</v>
      </c>
      <c r="L115" s="3" t="str">
        <f ca="1">IFERROR(__xludf.DUMMYFUNCTION("""COMPUTED_VALUE"""),"File names are part of bug title, attachment title or commit messages")</f>
        <v>File names are part of bug title, attachment title or commit messages</v>
      </c>
      <c r="M115" s="3"/>
      <c r="N115" s="3"/>
      <c r="O115" s="3" t="str">
        <f ca="1">IFERROR(__xludf.DUMMYFUNCTION("""COMPUTED_VALUE"""),"Bug fix suggestion")</f>
        <v>Bug fix suggestion</v>
      </c>
    </row>
    <row r="116" spans="1:15" ht="56">
      <c r="A116" s="3" t="s">
        <v>65</v>
      </c>
      <c r="B116" s="3"/>
      <c r="C116" s="3" t="str">
        <f ca="1">IFERROR(__xludf.DUMMYFUNCTION("""COMPUTED_VALUE"""),"Agree")</f>
        <v>Agree</v>
      </c>
      <c r="D116" s="3">
        <f ca="1">IFERROR(__xludf.DUMMYFUNCTION("""COMPUTED_VALUE"""),3)</f>
        <v>3</v>
      </c>
      <c r="E116" s="3" t="str">
        <f ca="1">IFERROR(__xludf.DUMMYFUNCTION("""COMPUTED_VALUE"""),"Yes")</f>
        <v>Yes</v>
      </c>
      <c r="F116" s="3" t="str">
        <f ca="1">IFERROR(__xludf.DUMMYFUNCTION("""COMPUTED_VALUE"""),"FixRef")</f>
        <v>FixRef</v>
      </c>
      <c r="G116" s="3">
        <f ca="1">IFERROR(__xludf.DUMMYFUNCTION("""COMPUTED_VALUE"""),1540123)</f>
        <v>1540123</v>
      </c>
      <c r="H116" s="3" t="str">
        <f ca="1">IFERROR(__xludf.DUMMYFUNCTION("""COMPUTED_VALUE"""),"{1518932}")</f>
        <v>{1518932}</v>
      </c>
      <c r="I116" s="4" t="str">
        <f ca="1">IFERROR(__xludf.DUMMYFUNCTION("""COMPUTED_VALUE"""),"https://bugzilla.mozilla.org/show_bug.cgi?id=1540123")</f>
        <v>https://bugzilla.mozilla.org/show_bug.cgi?id=1540123</v>
      </c>
      <c r="J116" s="3" t="str">
        <f ca="1">IFERROR(__xludf.DUMMYFUNCTION("""COMPUTED_VALUE"""),"['browser_clientAuth_ui.js']")</f>
        <v>['browser_clientAuth_ui.js']</v>
      </c>
      <c r="K116" s="3" t="str">
        <f ca="1">IFERROR(__xludf.DUMMYFUNCTION("""COMPUTED_VALUE"""),"File names are part of bug title, attachment title or commit messages")</f>
        <v>File names are part of bug title, attachment title or commit messages</v>
      </c>
      <c r="L116" s="3"/>
      <c r="M116" s="3"/>
      <c r="N116" s="3"/>
      <c r="O116" s="3" t="str">
        <f ca="1">IFERROR(__xludf.DUMMYFUNCTION("""COMPUTED_VALUE"""),"File fixed the bug")</f>
        <v>File fixed the bug</v>
      </c>
    </row>
    <row r="117" spans="1:15" ht="42">
      <c r="A117" s="3" t="s">
        <v>65</v>
      </c>
      <c r="B117" s="3"/>
      <c r="C117" s="3" t="str">
        <f ca="1">IFERROR(__xludf.DUMMYFUNCTION("""COMPUTED_VALUE"""),"Agree")</f>
        <v>Agree</v>
      </c>
      <c r="D117" s="3">
        <f ca="1">IFERROR(__xludf.DUMMYFUNCTION("""COMPUTED_VALUE"""),4)</f>
        <v>4</v>
      </c>
      <c r="E117" s="3" t="str">
        <f ca="1">IFERROR(__xludf.DUMMYFUNCTION("""COMPUTED_VALUE"""),"Yes")</f>
        <v>Yes</v>
      </c>
      <c r="F117" s="3" t="str">
        <f ca="1">IFERROR(__xludf.DUMMYFUNCTION("""COMPUTED_VALUE"""),"BothRef")</f>
        <v>BothRef</v>
      </c>
      <c r="G117" s="3">
        <f ca="1">IFERROR(__xludf.DUMMYFUNCTION("""COMPUTED_VALUE"""),1789278)</f>
        <v>1789278</v>
      </c>
      <c r="H117" s="3" t="str">
        <f ca="1">IFERROR(__xludf.DUMMYFUNCTION("""COMPUTED_VALUE"""),"{1788273}")</f>
        <v>{1788273}</v>
      </c>
      <c r="I117" s="4" t="str">
        <f ca="1">IFERROR(__xludf.DUMMYFUNCTION("""COMPUTED_VALUE"""),"https://bugzilla.mozilla.org/show_bug.cgi?id=1789278")</f>
        <v>https://bugzilla.mozilla.org/show_bug.cgi?id=1789278</v>
      </c>
      <c r="J117" s="3" t="str">
        <f ca="1">IFERROR(__xludf.DUMMYFUNCTION("""COMPUTED_VALUE"""),"['searchfox.org/mozilla-central/rev/918fd22032de3a0025d6e9f4fcc8b7f625315068/toolkit/themes/windows/global/popup.css']")</f>
        <v>['searchfox.org/mozilla-central/rev/918fd22032de3a0025d6e9f4fcc8b7f625315068/toolkit/themes/windows/global/popup.css']</v>
      </c>
      <c r="K117" s="3" t="str">
        <f ca="1">IFERROR(__xludf.DUMMYFUNCTION("""COMPUTED_VALUE"""),"Bug Description")</f>
        <v>Bug Description</v>
      </c>
      <c r="L117" s="3" t="str">
        <f ca="1">IFERROR(__xludf.DUMMYFUNCTION("""COMPUTED_VALUE"""),"Solution Draft")</f>
        <v>Solution Draft</v>
      </c>
      <c r="M117" s="3"/>
      <c r="N117" s="3"/>
      <c r="O117" s="3" t="str">
        <f ca="1">IFERROR(__xludf.DUMMYFUNCTION("""COMPUTED_VALUE"""),"the link to the file is an indirect link (not visible)")</f>
        <v>the link to the file is an indirect link (not visible)</v>
      </c>
    </row>
    <row r="118" spans="1:15" ht="56">
      <c r="A118" s="3" t="s">
        <v>65</v>
      </c>
      <c r="B118" s="3"/>
      <c r="C118" s="3" t="str">
        <f ca="1">IFERROR(__xludf.DUMMYFUNCTION("""COMPUTED_VALUE"""),"Agree")</f>
        <v>Agree</v>
      </c>
      <c r="D118" s="3">
        <f ca="1">IFERROR(__xludf.DUMMYFUNCTION("""COMPUTED_VALUE"""),5)</f>
        <v>5</v>
      </c>
      <c r="E118" s="3" t="str">
        <f ca="1">IFERROR(__xludf.DUMMYFUNCTION("""COMPUTED_VALUE"""),"Yes")</f>
        <v>Yes</v>
      </c>
      <c r="F118" s="3" t="str">
        <f ca="1">IFERROR(__xludf.DUMMYFUNCTION("""COMPUTED_VALUE"""),"BothRef")</f>
        <v>BothRef</v>
      </c>
      <c r="G118" s="3">
        <f ca="1">IFERROR(__xludf.DUMMYFUNCTION("""COMPUTED_VALUE"""),1678352)</f>
        <v>1678352</v>
      </c>
      <c r="H118" s="3" t="str">
        <f ca="1">IFERROR(__xludf.DUMMYFUNCTION("""COMPUTED_VALUE"""),"{1674283}")</f>
        <v>{1674283}</v>
      </c>
      <c r="I118" s="4" t="str">
        <f ca="1">IFERROR(__xludf.DUMMYFUNCTION("""COMPUTED_VALUE"""),"https://bugzilla.mozilla.org/show_bug.cgi?id=1678352")</f>
        <v>https://bugzilla.mozilla.org/show_bug.cgi?id=1678352</v>
      </c>
      <c r="J118" s="3" t="str">
        <f ca="1">IFERROR(__xludf.DUMMYFUNCTION("""COMPUTED_VALUE"""),"['searchfox.org/mozilla-central/source/dom/media/gtest/AudioVerifier.h', 'WavDumper.h', 'SineWaveGenerator.h', 'builds/worker/checkouts/gecko/dom/media/gtest/TestAudioTrackGraph.cpp']")</f>
        <v>['searchfox.org/mozilla-central/source/dom/media/gtest/AudioVerifier.h', 'WavDumper.h', 'SineWaveGenerator.h', 'builds/worker/checkouts/gecko/dom/media/gtest/TestAudioTrackGraph.cpp']</v>
      </c>
      <c r="K118" s="3" t="str">
        <f ca="1">IFERROR(__xludf.DUMMYFUNCTION("""COMPUTED_VALUE"""),"File names are part of bug title, attachment title or commit messages")</f>
        <v>File names are part of bug title, attachment title or commit messages</v>
      </c>
      <c r="L118" s="3" t="str">
        <f ca="1">IFERROR(__xludf.DUMMYFUNCTION("""COMPUTED_VALUE"""),"System Dumps")</f>
        <v>System Dumps</v>
      </c>
      <c r="M118" s="3" t="str">
        <f ca="1">IFERROR(__xludf.DUMMYFUNCTION("""COMPUTED_VALUE"""),"Bug Description")</f>
        <v>Bug Description</v>
      </c>
      <c r="N118" s="3"/>
      <c r="O118" s="3"/>
    </row>
    <row r="119" spans="1:15" ht="140">
      <c r="A119" s="3" t="s">
        <v>65</v>
      </c>
      <c r="B119" s="3"/>
      <c r="C119" s="3" t="str">
        <f ca="1">IFERROR(__xludf.DUMMYFUNCTION("""COMPUTED_VALUE"""),"Agree")</f>
        <v>Agree</v>
      </c>
      <c r="D119" s="3">
        <f ca="1">IFERROR(__xludf.DUMMYFUNCTION("""COMPUTED_VALUE"""),6)</f>
        <v>6</v>
      </c>
      <c r="E119" s="3" t="str">
        <f ca="1">IFERROR(__xludf.DUMMYFUNCTION("""COMPUTED_VALUE"""),"Yes")</f>
        <v>Yes</v>
      </c>
      <c r="F119" s="3" t="str">
        <f ca="1">IFERROR(__xludf.DUMMYFUNCTION("""COMPUTED_VALUE"""),"FixRef")</f>
        <v>FixRef</v>
      </c>
      <c r="G119" s="3">
        <f ca="1">IFERROR(__xludf.DUMMYFUNCTION("""COMPUTED_VALUE"""),1598628)</f>
        <v>1598628</v>
      </c>
      <c r="H119" s="3" t="str">
        <f ca="1">IFERROR(__xludf.DUMMYFUNCTION("""COMPUTED_VALUE"""),"{1593414}")</f>
        <v>{1593414}</v>
      </c>
      <c r="I119" s="4" t="str">
        <f ca="1">IFERROR(__xludf.DUMMYFUNCTION("""COMPUTED_VALUE"""),"https://bugzilla.mozilla.org/show_bug.cgi?id=1598628")</f>
        <v>https://bugzilla.mozilla.org/show_bug.cgi?id=1598628</v>
      </c>
      <c r="J119" s="3" t="str">
        <f ca="1">IFERROR(__xludf.DUMMYFUNCTION("""COMPUTED_VALUE"""),"['task_1574426437/build/src/ipc/chromium/src/base/process_util_win.cc', 'people.com.cn/people.com.cn/index.html', '\\task_1574430151\\build\\tests\\talos\\talos\\run_tests.py', '\\task_1574430151\\build\\tests\\talos\\talos\\ttest.py', 'youtube.com/www.yo"&amp;"utube.com/music.html', 'xperf_whitelist.json', 'build\\blobber_upload_dir\\resource-usage.json', 'treeherder.mozilla.org/logviewer.html', 'logs\\localconfig.json', 'public/logs/localconfig.json', 'testing/talos/talos/xtalos/xperf_whitelist.json', 'public/"&amp;"test_info/resource-usage.json']")</f>
        <v>['task_1574426437/build/src/ipc/chromium/src/base/process_util_win.cc', 'people.com.cn/people.com.cn/index.html', '\\task_1574430151\\build\\tests\\talos\\talos\\run_tests.py', '\\task_1574430151\\build\\tests\\talos\\talos\\ttest.py', 'youtube.com/www.youtube.com/music.html', 'xperf_whitelist.json', 'build\\blobber_upload_dir\\resource-usage.json', 'treeherder.mozilla.org/logviewer.html', 'logs\\localconfig.json', 'public/logs/localconfig.json', 'testing/talos/talos/xtalos/xperf_whitelist.json', 'public/test_info/resource-usage.json']</v>
      </c>
      <c r="K119" s="3" t="str">
        <f ca="1">IFERROR(__xludf.DUMMYFUNCTION("""COMPUTED_VALUE"""),"Solution Draft")</f>
        <v>Solution Draft</v>
      </c>
      <c r="L119" s="3" t="str">
        <f ca="1">IFERROR(__xludf.DUMMYFUNCTION("""COMPUTED_VALUE"""),"System Dumps")</f>
        <v>System Dumps</v>
      </c>
      <c r="M119" s="3" t="str">
        <f ca="1">IFERROR(__xludf.DUMMYFUNCTION("""COMPUTED_VALUE"""),"File names are part of bug title, attachment title or commit messages")</f>
        <v>File names are part of bug title, attachment title or commit messages</v>
      </c>
      <c r="N119" s="3"/>
      <c r="O119" s="3"/>
    </row>
    <row r="120" spans="1:15" ht="42">
      <c r="A120" s="3" t="s">
        <v>65</v>
      </c>
      <c r="B120" s="3"/>
      <c r="C120" s="3" t="str">
        <f ca="1">IFERROR(__xludf.DUMMYFUNCTION("""COMPUTED_VALUE"""),"Agree")</f>
        <v>Agree</v>
      </c>
      <c r="D120" s="3">
        <f ca="1">IFERROR(__xludf.DUMMYFUNCTION("""COMPUTED_VALUE"""),7)</f>
        <v>7</v>
      </c>
      <c r="E120" s="3" t="str">
        <f ca="1">IFERROR(__xludf.DUMMYFUNCTION("""COMPUTED_VALUE"""),"Yes")</f>
        <v>Yes</v>
      </c>
      <c r="F120" s="3" t="str">
        <f ca="1">IFERROR(__xludf.DUMMYFUNCTION("""COMPUTED_VALUE"""),"BothRef")</f>
        <v>BothRef</v>
      </c>
      <c r="G120" s="3">
        <f ca="1">IFERROR(__xludf.DUMMYFUNCTION("""COMPUTED_VALUE"""),1572923)</f>
        <v>1572923</v>
      </c>
      <c r="H120" s="3" t="str">
        <f ca="1">IFERROR(__xludf.DUMMYFUNCTION("""COMPUTED_VALUE"""),"{1481593}")</f>
        <v>{1481593}</v>
      </c>
      <c r="I120" s="4" t="str">
        <f ca="1">IFERROR(__xludf.DUMMYFUNCTION("""COMPUTED_VALUE"""),"https://bugzilla.mozilla.org/show_bug.cgi?id=1572923")</f>
        <v>https://bugzilla.mozilla.org/show_bug.cgi?id=1572923</v>
      </c>
      <c r="J120" s="3" t="str">
        <f ca="1">IFERROR(__xludf.DUMMYFUNCTION("""COMPUTED_VALUE"""),"['searchfox.org/mozilla-central/rev/c7e8bc4996f979e5876b33afae3de3b1ab4f3ae1/layout/style/res/forms.css']")</f>
        <v>['searchfox.org/mozilla-central/rev/c7e8bc4996f979e5876b33afae3de3b1ab4f3ae1/layout/style/res/forms.css']</v>
      </c>
      <c r="K120" s="3" t="str">
        <f ca="1">IFERROR(__xludf.DUMMYFUNCTION("""COMPUTED_VALUE"""),"Bug Description")</f>
        <v>Bug Description</v>
      </c>
      <c r="L120" s="3"/>
      <c r="M120" s="3"/>
      <c r="N120" s="3"/>
      <c r="O120" s="3"/>
    </row>
    <row r="121" spans="1:15" ht="70">
      <c r="A121" s="3" t="s">
        <v>65</v>
      </c>
      <c r="B121" s="3"/>
      <c r="C121" s="3" t="str">
        <f ca="1">IFERROR(__xludf.DUMMYFUNCTION("""COMPUTED_VALUE"""),"Agree")</f>
        <v>Agree</v>
      </c>
      <c r="D121" s="3">
        <f ca="1">IFERROR(__xludf.DUMMYFUNCTION("""COMPUTED_VALUE"""),8)</f>
        <v>8</v>
      </c>
      <c r="E121" s="3" t="str">
        <f ca="1">IFERROR(__xludf.DUMMYFUNCTION("""COMPUTED_VALUE"""),"Yes")</f>
        <v>Yes</v>
      </c>
      <c r="F121" s="3" t="str">
        <f ca="1">IFERROR(__xludf.DUMMYFUNCTION("""COMPUTED_VALUE"""),"BothRef")</f>
        <v>BothRef</v>
      </c>
      <c r="G121" s="3">
        <f ca="1">IFERROR(__xludf.DUMMYFUNCTION("""COMPUTED_VALUE"""),1751882)</f>
        <v>1751882</v>
      </c>
      <c r="H121" s="3" t="str">
        <f ca="1">IFERROR(__xludf.DUMMYFUNCTION("""COMPUTED_VALUE"""),"{1738084}")</f>
        <v>{1738084}</v>
      </c>
      <c r="I121" s="4" t="str">
        <f ca="1">IFERROR(__xludf.DUMMYFUNCTION("""COMPUTED_VALUE"""),"https://bugzilla.mozilla.org/show_bug.cgi?id=1751882")</f>
        <v>https://bugzilla.mozilla.org/show_bug.cgi?id=1751882</v>
      </c>
      <c r="J121" s="3" t="str">
        <f ca="1">IFERROR(__xludf.DUMMYFUNCTION("""COMPUTED_VALUE"""),"['searchfox.org/mozilla-central/rev/7f1db1d2c556b82114b62f5aa4aa29397ad5bce4/toolkit/themes/windows/global/popup.css', 'searchfox.org/mozilla-central/rev/7f1db1d2c556b82114b62f5aa4aa29397ad5bce4/toolkit/themes/osx/global/popup.css']")</f>
        <v>['searchfox.org/mozilla-central/rev/7f1db1d2c556b82114b62f5aa4aa29397ad5bce4/toolkit/themes/windows/global/popup.css', 'searchfox.org/mozilla-central/rev/7f1db1d2c556b82114b62f5aa4aa29397ad5bce4/toolkit/themes/osx/global/popup.css']</v>
      </c>
      <c r="K121" s="3" t="str">
        <f ca="1">IFERROR(__xludf.DUMMYFUNCTION("""COMPUTED_VALUE"""),"Solution Draft")</f>
        <v>Solution Draft</v>
      </c>
      <c r="L121" s="3"/>
      <c r="M121" s="3"/>
      <c r="N121" s="3"/>
      <c r="O121" s="3"/>
    </row>
    <row r="122" spans="1:15" ht="42">
      <c r="A122" s="3" t="s">
        <v>65</v>
      </c>
      <c r="B122" s="3"/>
      <c r="C122" s="3" t="str">
        <f ca="1">IFERROR(__xludf.DUMMYFUNCTION("""COMPUTED_VALUE"""),"Agree")</f>
        <v>Agree</v>
      </c>
      <c r="D122" s="3">
        <f ca="1">IFERROR(__xludf.DUMMYFUNCTION("""COMPUTED_VALUE"""),9)</f>
        <v>9</v>
      </c>
      <c r="E122" s="3" t="str">
        <f ca="1">IFERROR(__xludf.DUMMYFUNCTION("""COMPUTED_VALUE"""),"Yes")</f>
        <v>Yes</v>
      </c>
      <c r="F122" s="3" t="str">
        <f ca="1">IFERROR(__xludf.DUMMYFUNCTION("""COMPUTED_VALUE"""),"BothRef")</f>
        <v>BothRef</v>
      </c>
      <c r="G122" s="3">
        <f ca="1">IFERROR(__xludf.DUMMYFUNCTION("""COMPUTED_VALUE"""),1576447)</f>
        <v>1576447</v>
      </c>
      <c r="H122" s="3" t="str">
        <f ca="1">IFERROR(__xludf.DUMMYFUNCTION("""COMPUTED_VALUE"""),"{1561533}")</f>
        <v>{1561533}</v>
      </c>
      <c r="I122" s="4" t="str">
        <f ca="1">IFERROR(__xludf.DUMMYFUNCTION("""COMPUTED_VALUE"""),"https://bugzilla.mozilla.org/show_bug.cgi?id=1576447")</f>
        <v>https://bugzilla.mozilla.org/show_bug.cgi?id=1576447</v>
      </c>
      <c r="J122" s="3" t="str">
        <f ca="1">IFERROR(__xludf.DUMMYFUNCTION("""COMPUTED_VALUE"""),"['searchfox.org/mozilla-central/rev/4d1b5b9a5c94a91b36802d4654c25bef57376861/browser/components/urlbar/UrlbarInput.jsm', 'search-one-offs.js']")</f>
        <v>['searchfox.org/mozilla-central/rev/4d1b5b9a5c94a91b36802d4654c25bef57376861/browser/components/urlbar/UrlbarInput.jsm', 'search-one-offs.js']</v>
      </c>
      <c r="K122" s="3" t="str">
        <f ca="1">IFERROR(__xludf.DUMMYFUNCTION("""COMPUTED_VALUE"""),"Bug Description")</f>
        <v>Bug Description</v>
      </c>
      <c r="L122" s="3"/>
      <c r="M122" s="3"/>
      <c r="N122" s="3"/>
      <c r="O122" s="3" t="str">
        <f ca="1">IFERROR(__xludf.DUMMYFUNCTION("""COMPUTED_VALUE"""),"Bug fix suggestion. Reference to fix sample solution in the file")</f>
        <v>Bug fix suggestion. Reference to fix sample solution in the file</v>
      </c>
    </row>
    <row r="123" spans="1:15" ht="56">
      <c r="A123" s="3" t="s">
        <v>65</v>
      </c>
      <c r="B123" s="3"/>
      <c r="C123" s="3" t="str">
        <f ca="1">IFERROR(__xludf.DUMMYFUNCTION("""COMPUTED_VALUE"""),"Agree")</f>
        <v>Agree</v>
      </c>
      <c r="D123" s="3">
        <f ca="1">IFERROR(__xludf.DUMMYFUNCTION("""COMPUTED_VALUE"""),10)</f>
        <v>10</v>
      </c>
      <c r="E123" s="3" t="str">
        <f ca="1">IFERROR(__xludf.DUMMYFUNCTION("""COMPUTED_VALUE"""),"Yes")</f>
        <v>Yes</v>
      </c>
      <c r="F123" s="3" t="str">
        <f ca="1">IFERROR(__xludf.DUMMYFUNCTION("""COMPUTED_VALUE"""),"BothRef")</f>
        <v>BothRef</v>
      </c>
      <c r="G123" s="3">
        <f ca="1">IFERROR(__xludf.DUMMYFUNCTION("""COMPUTED_VALUE"""),1692351)</f>
        <v>1692351</v>
      </c>
      <c r="H123" s="3" t="str">
        <f ca="1">IFERROR(__xludf.DUMMYFUNCTION("""COMPUTED_VALUE"""),"{1686523}")</f>
        <v>{1686523}</v>
      </c>
      <c r="I123" s="4" t="str">
        <f ca="1">IFERROR(__xludf.DUMMYFUNCTION("""COMPUTED_VALUE"""),"https://bugzilla.mozilla.org/show_bug.cgi?id=1692351")</f>
        <v>https://bugzilla.mozilla.org/show_bug.cgi?id=1692351</v>
      </c>
      <c r="J123" s="3" t="str">
        <f ca="1">IFERROR(__xludf.DUMMYFUNCTION("""COMPUTED_VALUE"""),"['modules/CustomizableUI.jsm', 'browser_970511_undo_restore_default.js', 'searchfox.org/mozilla-central/rev/d3343662ce0aced933b30e053b33c93f759292eb/browser/components/customizableui/CustomizableUI.jsm']")</f>
        <v>['modules/CustomizableUI.jsm', 'browser_970511_undo_restore_default.js', 'searchfox.org/mozilla-central/rev/d3343662ce0aced933b30e053b33c93f759292eb/browser/components/customizableui/CustomizableUI.jsm']</v>
      </c>
      <c r="K123" s="3" t="str">
        <f ca="1">IFERROR(__xludf.DUMMYFUNCTION("""COMPUTED_VALUE"""),"System Dumps")</f>
        <v>System Dumps</v>
      </c>
      <c r="L123" s="3" t="str">
        <f ca="1">IFERROR(__xludf.DUMMYFUNCTION("""COMPUTED_VALUE"""),"Backout")</f>
        <v>Backout</v>
      </c>
      <c r="M123" s="3" t="str">
        <f ca="1">IFERROR(__xludf.DUMMYFUNCTION("""COMPUTED_VALUE"""),"File to Reproduce the Bug")</f>
        <v>File to Reproduce the Bug</v>
      </c>
      <c r="N123" s="3"/>
      <c r="O123" s="3"/>
    </row>
    <row r="124" spans="1:15" ht="168">
      <c r="A124" s="3" t="s">
        <v>65</v>
      </c>
      <c r="B124" s="3" t="str">
        <f ca="1">IFERROR(__xludf.DUMMYFUNCTION("""COMPUTED_VALUE"""),"Agree")</f>
        <v>Agree</v>
      </c>
      <c r="C124" s="3" t="str">
        <f ca="1">IFERROR(__xludf.DUMMYFUNCTION("""COMPUTED_VALUE"""),"Partial")</f>
        <v>Partial</v>
      </c>
      <c r="D124" s="3">
        <f ca="1">IFERROR(__xludf.DUMMYFUNCTION("""COMPUTED_VALUE"""),11)</f>
        <v>11</v>
      </c>
      <c r="E124" s="3" t="str">
        <f ca="1">IFERROR(__xludf.DUMMYFUNCTION("""COMPUTED_VALUE"""),"Yes")</f>
        <v>Yes</v>
      </c>
      <c r="F124" s="3" t="str">
        <f ca="1">IFERROR(__xludf.DUMMYFUNCTION("""COMPUTED_VALUE"""),"BothRef")</f>
        <v>BothRef</v>
      </c>
      <c r="G124" s="3">
        <f ca="1">IFERROR(__xludf.DUMMYFUNCTION("""COMPUTED_VALUE"""),1653135)</f>
        <v>1653135</v>
      </c>
      <c r="H124" s="3" t="str">
        <f ca="1">IFERROR(__xludf.DUMMYFUNCTION("""COMPUTED_VALUE"""),"{1652615}")</f>
        <v>{1652615}</v>
      </c>
      <c r="I124" s="4" t="str">
        <f ca="1">IFERROR(__xludf.DUMMYFUNCTION("""COMPUTED_VALUE"""),"https://bugzilla.mozilla.org/show_bug.cgi?id=1653135")</f>
        <v>https://bugzilla.mozilla.org/show_bug.cgi?id=1653135</v>
      </c>
      <c r="J124" s="3" t="str">
        <f ca="1">IFERROR(__xludf.DUMMYFUNCTION("""COMPUTED_VALUE"""),"['builds/worker/checkouts/gecko/python/mozbuild/mozbuild/telemetry.py', 'python/mach/mach/test/test_dispatcher.py', 'builds/worker/checkouts/gecko/python/mach/mach/test/test_conditions.py', 'builds/worker/checkouts/gecko/python/mach/mach/sentry.py', 'buil"&amp;"ds/worker/checkouts/gecko/python/mach/mach/test/test_commands.py', 'treeherder.mozilla.org/logviewer.html', 'builds/worker/checkouts/gecko/python/mach/mach/config.py', 'builds/worker/checkouts/gecko/config/mozunit/mozunit/pytest.ini', 'python/mach/mach/te"&amp;"st/test_commands.py', 'treeherder.mozilla.org/intermittent-failures.html', 'builds/worker/checkouts/gecko/python/mach/mach/main.py', 'python/mach/mach/test/test_conditions.py']")</f>
        <v>['builds/worker/checkouts/gecko/python/mozbuild/mozbuild/telemetry.py', 'python/mach/mach/test/test_dispatcher.py', 'builds/worker/checkouts/gecko/python/mach/mach/test/test_conditions.py', 'builds/worker/checkouts/gecko/python/mach/mach/sentry.py', 'builds/worker/checkouts/gecko/python/mach/mach/test/test_commands.py', 'treeherder.mozilla.org/logviewer.html', 'builds/worker/checkouts/gecko/python/mach/mach/config.py', 'builds/worker/checkouts/gecko/config/mozunit/mozunit/pytest.ini', 'python/mach/mach/test/test_commands.py', 'treeherder.mozilla.org/intermittent-failures.html', 'builds/worker/checkouts/gecko/python/mach/mach/main.py', 'python/mach/mach/test/test_conditions.py']</v>
      </c>
      <c r="K124" s="3" t="str">
        <f ca="1">IFERROR(__xludf.DUMMYFUNCTION("""COMPUTED_VALUE"""),"System Dumps")</f>
        <v>System Dumps</v>
      </c>
      <c r="L124" s="3" t="str">
        <f ca="1">IFERROR(__xludf.DUMMYFUNCTION("""COMPUTED_VALUE"""),"File names are part of bug title, attachment title or commit messages")</f>
        <v>File names are part of bug title, attachment title or commit messages</v>
      </c>
      <c r="M124" s="3"/>
      <c r="N124" s="3"/>
      <c r="O124" s="3"/>
    </row>
    <row r="125" spans="1:15" ht="252">
      <c r="A125" s="3" t="s">
        <v>65</v>
      </c>
      <c r="B125" s="3" t="str">
        <f ca="1">IFERROR(__xludf.DUMMYFUNCTION("""COMPUTED_VALUE"""),"Agree")</f>
        <v>Agree</v>
      </c>
      <c r="C125" s="3" t="str">
        <f ca="1">IFERROR(__xludf.DUMMYFUNCTION("""COMPUTED_VALUE"""),"Partial")</f>
        <v>Partial</v>
      </c>
      <c r="D125" s="3">
        <f ca="1">IFERROR(__xludf.DUMMYFUNCTION("""COMPUTED_VALUE"""),12)</f>
        <v>12</v>
      </c>
      <c r="E125" s="3" t="str">
        <f ca="1">IFERROR(__xludf.DUMMYFUNCTION("""COMPUTED_VALUE"""),"Yes")</f>
        <v>Yes</v>
      </c>
      <c r="F125" s="3" t="str">
        <f ca="1">IFERROR(__xludf.DUMMYFUNCTION("""COMPUTED_VALUE"""),"BothRef")</f>
        <v>BothRef</v>
      </c>
      <c r="G125" s="3">
        <f ca="1">IFERROR(__xludf.DUMMYFUNCTION("""COMPUTED_VALUE"""),1717808)</f>
        <v>1717808</v>
      </c>
      <c r="H125" s="3" t="str">
        <f ca="1">IFERROR(__xludf.DUMMYFUNCTION("""COMPUTED_VALUE"""),"{1706374}")</f>
        <v>{1706374}</v>
      </c>
      <c r="I125" s="4" t="str">
        <f ca="1">IFERROR(__xludf.DUMMYFUNCTION("""COMPUTED_VALUE"""),"https://bugzilla.mozilla.org/show_bug.cgi?id=1717808")</f>
        <v>https://bugzilla.mozilla.org/show_bug.cgi?id=1717808</v>
      </c>
      <c r="J125" s="3" t="str">
        <f ca="1">IFERROR(__xludf.DUMMYFUNCTION("""COMPUTED_VALUE"""),"['nsLoadGroup.cpp', 'SerializedStructuredCloneBuffer.h', 'EventListenerBinding.cpp', 'message_loop.cc', 'BufferList.h', 'gre/modules/XULStore.jsm', 'nsWindowsWMain.cpp', 'nsThreadUtils.h', 'BrowserChild.cpp', 'SchedulerGroup.cpp', '\\task_1624444163\\buil"&amp;"d\\tests\\reftest\\tests\\testing\\crashtest\\crashtests.list', 'nsAppShell.cpp', 'EventListenerManager.cpp', 'MessagePump.cpp', 'StructuredCloneData.cpp', 'PBrowserChild.cpp', 'Bootstrap.cpp', 'searchfox.org/mozilla-central/rev/9975889f5c0d5c59bd22121a45"&amp;"4beba774cbae71/ipc/chromium/src/base/pickle.cc', 'MessageManagerBinding.cpp', 'nsDocLoader.cpp', 'IPDLParamTraits.h', 'EventDispatcher.cpp', 'nsBaseAppShell.cpp', 'Interpreter.cpp', 'nsDocumentViewer.cpp', 'pickle.cc', 'searchfox.org/mozilla-central/rev/9"&amp;"975889f5c0d5c59bd22121a454beba774cbae71/ipc/glue/SerializedStructuredCloneBuffer.h', 'BindingUtils.cpp', 'nsFrameMessageManager.cpp', 'TaskController.cpp', 'nsDocShell.cpp', 'nsEmbedFunctions.cpp', 'nsThread.cpp', 'builds/worker/workspace/obj-build/dist/i"&amp;"nclude/mozilla/BufferList.h', 'Document.cpp']")</f>
        <v>['nsLoadGroup.cpp', 'SerializedStructuredCloneBuffer.h', 'EventListenerBinding.cpp', 'message_loop.cc', 'BufferList.h', 'gre/modules/XULStore.jsm', 'nsWindowsWMain.cpp', 'nsThreadUtils.h', 'BrowserChild.cpp', 'SchedulerGroup.cpp', '\\task_1624444163\\build\\tests\\reftest\\tests\\testing\\crashtest\\crashtests.list', 'nsAppShell.cpp', 'EventListenerManager.cpp', 'MessagePump.cpp', 'StructuredCloneData.cpp', 'PBrowserChild.cpp', 'Bootstrap.cpp', 'searchfox.org/mozilla-central/rev/9975889f5c0d5c59bd22121a454beba774cbae71/ipc/chromium/src/base/pickle.cc', 'MessageManagerBinding.cpp', 'nsDocLoader.cpp', 'IPDLParamTraits.h', 'EventDispatcher.cpp', 'nsBaseAppShell.cpp', 'Interpreter.cpp', 'nsDocumentViewer.cpp', 'pickle.cc', 'searchfox.org/mozilla-central/rev/9975889f5c0d5c59bd22121a454beba774cbae71/ipc/glue/SerializedStructuredCloneBuffer.h', 'BindingUtils.cpp', 'nsFrameMessageManager.cpp', 'TaskController.cpp', 'nsDocShell.cpp', 'nsEmbedFunctions.cpp', 'nsThread.cpp', 'builds/worker/workspace/obj-build/dist/include/mozilla/BufferList.h', 'Document.cpp']</v>
      </c>
      <c r="K125" s="3" t="str">
        <f ca="1">IFERROR(__xludf.DUMMYFUNCTION("""COMPUTED_VALUE"""),"System Dumps")</f>
        <v>System Dumps</v>
      </c>
      <c r="L125" s="3" t="str">
        <f ca="1">IFERROR(__xludf.DUMMYFUNCTION("""COMPUTED_VALUE"""),"Bug Description")</f>
        <v>Bug Description</v>
      </c>
      <c r="M125" s="3" t="str">
        <f ca="1">IFERROR(__xludf.DUMMYFUNCTION("""COMPUTED_VALUE"""),"File names are part of bug title, attachment title or commit messages")</f>
        <v>File names are part of bug title, attachment title or commit messages</v>
      </c>
      <c r="N125" s="3"/>
      <c r="O125" s="3"/>
    </row>
    <row r="126" spans="1:15" ht="70">
      <c r="A126" s="3" t="s">
        <v>65</v>
      </c>
      <c r="B126" s="3" t="str">
        <f ca="1">IFERROR(__xludf.DUMMYFUNCTION("""COMPUTED_VALUE"""),"Agree")</f>
        <v>Agree</v>
      </c>
      <c r="C126" s="3" t="str">
        <f ca="1">IFERROR(__xludf.DUMMYFUNCTION("""COMPUTED_VALUE"""),"Partial")</f>
        <v>Partial</v>
      </c>
      <c r="D126" s="3">
        <f ca="1">IFERROR(__xludf.DUMMYFUNCTION("""COMPUTED_VALUE"""),13)</f>
        <v>13</v>
      </c>
      <c r="E126" s="3" t="str">
        <f ca="1">IFERROR(__xludf.DUMMYFUNCTION("""COMPUTED_VALUE"""),"Yes")</f>
        <v>Yes</v>
      </c>
      <c r="F126" s="3" t="str">
        <f ca="1">IFERROR(__xludf.DUMMYFUNCTION("""COMPUTED_VALUE"""),"BothRef")</f>
        <v>BothRef</v>
      </c>
      <c r="G126" s="3">
        <f ca="1">IFERROR(__xludf.DUMMYFUNCTION("""COMPUTED_VALUE"""),1762725)</f>
        <v>1762725</v>
      </c>
      <c r="H126" s="3" t="str">
        <f ca="1">IFERROR(__xludf.DUMMYFUNCTION("""COMPUTED_VALUE"""),"{1759137}")</f>
        <v>{1759137}</v>
      </c>
      <c r="I126" s="4" t="str">
        <f ca="1">IFERROR(__xludf.DUMMYFUNCTION("""COMPUTED_VALUE"""),"https://bugzilla.mozilla.org/show_bug.cgi?id=1762725")</f>
        <v>https://bugzilla.mozilla.org/show_bug.cgi?id=1762725</v>
      </c>
      <c r="J126" s="3" t="str">
        <f ca="1">IFERROR(__xludf.DUMMYFUNCTION("""COMPUTED_VALUE"""),"['xpcom/threads/MozPromise.h', 'dom/media/platforms/ffmpeg/FFmpegDataDecoder.cpp', 'dom/media/platforms/ffmpeg/FFmpegVideoFramePool.cpp', 'dom/media/platforms/ffmpeg/FFmpegVideoDecoder.cpp', 'xpcom/threads/TaskQueue.cpp', 'libavcodec/h264_picture.c']")</f>
        <v>['xpcom/threads/MozPromise.h', 'dom/media/platforms/ffmpeg/FFmpegDataDecoder.cpp', 'dom/media/platforms/ffmpeg/FFmpegVideoFramePool.cpp', 'dom/media/platforms/ffmpeg/FFmpegVideoDecoder.cpp', 'xpcom/threads/TaskQueue.cpp', 'libavcodec/h264_picture.c']</v>
      </c>
      <c r="K126" s="3" t="str">
        <f ca="1">IFERROR(__xludf.DUMMYFUNCTION("""COMPUTED_VALUE"""),"System Dumps")</f>
        <v>System Dumps</v>
      </c>
      <c r="L126" s="3"/>
      <c r="M126" s="3"/>
      <c r="N126" s="3"/>
      <c r="O126" s="3" t="str">
        <f ca="1">IFERROR(__xludf.DUMMYFUNCTION("""COMPUTED_VALUE"""),"Discuss bug cause and found it caused by another bug fix.")</f>
        <v>Discuss bug cause and found it caused by another bug fix.</v>
      </c>
    </row>
    <row r="127" spans="1:15" ht="112">
      <c r="A127" s="3" t="s">
        <v>65</v>
      </c>
      <c r="B127" s="3" t="str">
        <f ca="1">IFERROR(__xludf.DUMMYFUNCTION("""COMPUTED_VALUE"""),"Agree")</f>
        <v>Agree</v>
      </c>
      <c r="C127" s="3" t="str">
        <f ca="1">IFERROR(__xludf.DUMMYFUNCTION("""COMPUTED_VALUE"""),"Partial")</f>
        <v>Partial</v>
      </c>
      <c r="D127" s="3">
        <f ca="1">IFERROR(__xludf.DUMMYFUNCTION("""COMPUTED_VALUE"""),14)</f>
        <v>14</v>
      </c>
      <c r="E127" s="3" t="str">
        <f ca="1">IFERROR(__xludf.DUMMYFUNCTION("""COMPUTED_VALUE"""),"Yes")</f>
        <v>Yes</v>
      </c>
      <c r="F127" s="3" t="str">
        <f ca="1">IFERROR(__xludf.DUMMYFUNCTION("""COMPUTED_VALUE"""),"FixRef")</f>
        <v>FixRef</v>
      </c>
      <c r="G127" s="3">
        <f ca="1">IFERROR(__xludf.DUMMYFUNCTION("""COMPUTED_VALUE"""),1633718)</f>
        <v>1633718</v>
      </c>
      <c r="H127" s="3" t="str">
        <f ca="1">IFERROR(__xludf.DUMMYFUNCTION("""COMPUTED_VALUE"""),"{1544435}")</f>
        <v>{1544435}</v>
      </c>
      <c r="I127" s="3" t="str">
        <f ca="1">IFERROR(__xludf.DUMMYFUNCTION("""COMPUTED_VALUE"""),"1633718 - ThemeSupportsWidget is extremely slow when WindowBlinds is installed")</f>
        <v>1633718 - ThemeSupportsWidget is extremely slow when WindowBlinds is installed</v>
      </c>
      <c r="J127" s="3" t="str">
        <f ca="1">IFERROR(__xludf.DUMMYFUNCTION("""COMPUTED_VALUE"""),"['googleprojectzero.blogspot.com/2016/11/breaking-chain.html', 'searchfox.org/mozilla-central/source/widget/windows/nsNativeThemeWin.cpp', 'searchfox.org/mozilla-central/rev/158bac3df3a1890da55bdb6ffdaf9a7ffc0bfb0a/widget/windows/nsUXThemeData.cpp', 'sear"&amp;"chfox.org/mozilla-central/rev/2bfe3415fb3a2fba9b1c694bc0b376365e086927/widget/windows/nsUXThemeData.cpp', 'test.html']")</f>
        <v>['googleprojectzero.blogspot.com/2016/11/breaking-chain.html', 'searchfox.org/mozilla-central/source/widget/windows/nsNativeThemeWin.cpp', 'searchfox.org/mozilla-central/rev/158bac3df3a1890da55bdb6ffdaf9a7ffc0bfb0a/widget/windows/nsUXThemeData.cpp', 'searchfox.org/mozilla-central/rev/2bfe3415fb3a2fba9b1c694bc0b376365e086927/widget/windows/nsUXThemeData.cpp', 'test.html']</v>
      </c>
      <c r="K127" s="3" t="str">
        <f ca="1">IFERROR(__xludf.DUMMYFUNCTION("""COMPUTED_VALUE"""),"File to Reproduce the Bug")</f>
        <v>File to Reproduce the Bug</v>
      </c>
      <c r="L127" s="3" t="str">
        <f ca="1">IFERROR(__xludf.DUMMYFUNCTION("""COMPUTED_VALUE"""),"Bug Description")</f>
        <v>Bug Description</v>
      </c>
      <c r="M127" s="3"/>
      <c r="N127" s="3"/>
      <c r="O127" s="3" t="str">
        <f ca="1">IFERROR(__xludf.DUMMYFUNCTION("""COMPUTED_VALUE"""),"Links")</f>
        <v>Links</v>
      </c>
    </row>
    <row r="128" spans="1:15" ht="28">
      <c r="A128" s="3" t="s">
        <v>65</v>
      </c>
      <c r="B128" s="3"/>
      <c r="C128" s="3" t="str">
        <f ca="1">IFERROR(__xludf.DUMMYFUNCTION("""COMPUTED_VALUE"""),"Agree")</f>
        <v>Agree</v>
      </c>
      <c r="D128" s="3">
        <f ca="1">IFERROR(__xludf.DUMMYFUNCTION("""COMPUTED_VALUE"""),15)</f>
        <v>15</v>
      </c>
      <c r="E128" s="3" t="str">
        <f ca="1">IFERROR(__xludf.DUMMYFUNCTION("""COMPUTED_VALUE"""),"Yes")</f>
        <v>Yes</v>
      </c>
      <c r="F128" s="3" t="str">
        <f ca="1">IFERROR(__xludf.DUMMYFUNCTION("""COMPUTED_VALUE"""),"BothRef")</f>
        <v>BothRef</v>
      </c>
      <c r="G128" s="3">
        <f ca="1">IFERROR(__xludf.DUMMYFUNCTION("""COMPUTED_VALUE"""),1666095)</f>
        <v>1666095</v>
      </c>
      <c r="H128" s="3" t="str">
        <f ca="1">IFERROR(__xludf.DUMMYFUNCTION("""COMPUTED_VALUE"""),"{1515073}")</f>
        <v>{1515073}</v>
      </c>
      <c r="I128" s="4" t="str">
        <f ca="1">IFERROR(__xludf.DUMMYFUNCTION("""COMPUTED_VALUE"""),"https://bugzilla.mozilla.org/show_bug.cgi?id=1666095")</f>
        <v>https://bugzilla.mozilla.org/show_bug.cgi?id=1666095</v>
      </c>
      <c r="J128" s="3" t="str">
        <f ca="1">IFERROR(__xludf.DUMMYFUNCTION("""COMPUTED_VALUE"""),"['searchfox.org/mozilla-central/source/dom/events/EventStateManager.cpp']")</f>
        <v>['searchfox.org/mozilla-central/source/dom/events/EventStateManager.cpp']</v>
      </c>
      <c r="K128" s="3" t="str">
        <f ca="1">IFERROR(__xludf.DUMMYFUNCTION("""COMPUTED_VALUE"""),"Bug Description")</f>
        <v>Bug Description</v>
      </c>
      <c r="L128" s="3"/>
      <c r="M128" s="3"/>
      <c r="N128" s="3"/>
      <c r="O128" s="3"/>
    </row>
    <row r="129" spans="1:15" ht="28">
      <c r="A129" s="3" t="s">
        <v>65</v>
      </c>
      <c r="B129" s="3"/>
      <c r="C129" s="3" t="str">
        <f ca="1">IFERROR(__xludf.DUMMYFUNCTION("""COMPUTED_VALUE"""),"Agree")</f>
        <v>Agree</v>
      </c>
      <c r="D129" s="3">
        <f ca="1">IFERROR(__xludf.DUMMYFUNCTION("""COMPUTED_VALUE"""),16)</f>
        <v>16</v>
      </c>
      <c r="E129" s="3" t="str">
        <f ca="1">IFERROR(__xludf.DUMMYFUNCTION("""COMPUTED_VALUE"""),"Yes")</f>
        <v>Yes</v>
      </c>
      <c r="F129" s="3" t="str">
        <f ca="1">IFERROR(__xludf.DUMMYFUNCTION("""COMPUTED_VALUE"""),"BothRef")</f>
        <v>BothRef</v>
      </c>
      <c r="G129" s="3">
        <f ca="1">IFERROR(__xludf.DUMMYFUNCTION("""COMPUTED_VALUE"""),1729338)</f>
        <v>1729338</v>
      </c>
      <c r="H129" s="3" t="str">
        <f ca="1">IFERROR(__xludf.DUMMYFUNCTION("""COMPUTED_VALUE"""),"{1714585}")</f>
        <v>{1714585}</v>
      </c>
      <c r="I129" s="4" t="str">
        <f ca="1">IFERROR(__xludf.DUMMYFUNCTION("""COMPUTED_VALUE"""),"https://bugzilla.mozilla.org/show_bug.cgi?id=1729338")</f>
        <v>https://bugzilla.mozilla.org/show_bug.cgi?id=1729338</v>
      </c>
      <c r="J129" s="3" t="str">
        <f ca="1">IFERROR(__xludf.DUMMYFUNCTION("""COMPUTED_VALUE"""),"['hg.mozilla.org/mozilla-central/file/tip/taskcluster/ci/test/awsy.yml']")</f>
        <v>['hg.mozilla.org/mozilla-central/file/tip/taskcluster/ci/test/awsy.yml']</v>
      </c>
      <c r="K129" s="3" t="str">
        <f ca="1">IFERROR(__xludf.DUMMYFUNCTION("""COMPUTED_VALUE"""),"Bug Description")</f>
        <v>Bug Description</v>
      </c>
      <c r="L129" s="3"/>
      <c r="M129" s="3"/>
      <c r="N129" s="3"/>
      <c r="O129" s="3"/>
    </row>
    <row r="130" spans="1:15" ht="112">
      <c r="A130" s="3" t="s">
        <v>65</v>
      </c>
      <c r="B130" s="3"/>
      <c r="C130" s="3" t="str">
        <f ca="1">IFERROR(__xludf.DUMMYFUNCTION("""COMPUTED_VALUE"""),"Agree")</f>
        <v>Agree</v>
      </c>
      <c r="D130" s="3">
        <f ca="1">IFERROR(__xludf.DUMMYFUNCTION("""COMPUTED_VALUE"""),17)</f>
        <v>17</v>
      </c>
      <c r="E130" s="3" t="str">
        <f ca="1">IFERROR(__xludf.DUMMYFUNCTION("""COMPUTED_VALUE"""),"Yes")</f>
        <v>Yes</v>
      </c>
      <c r="F130" s="3" t="str">
        <f ca="1">IFERROR(__xludf.DUMMYFUNCTION("""COMPUTED_VALUE"""),"FixRef")</f>
        <v>FixRef</v>
      </c>
      <c r="G130" s="3">
        <f ca="1">IFERROR(__xludf.DUMMYFUNCTION("""COMPUTED_VALUE"""),1621173)</f>
        <v>1621173</v>
      </c>
      <c r="H130" s="3" t="str">
        <f ca="1">IFERROR(__xludf.DUMMYFUNCTION("""COMPUTED_VALUE"""),"{1617983}")</f>
        <v>{1617983}</v>
      </c>
      <c r="I130" s="3" t="str">
        <f ca="1">IFERROR(__xludf.DUMMYFUNCTION("""COMPUTED_VALUE"""),"1621173 - Intermittent browser/base/content/test/general/browser_bug724239.js | about:newtab was added to the session history when AS was enabled. - Got false, expected true")</f>
        <v>1621173 - Intermittent browser/base/content/test/general/browser_bug724239.js | about:newtab was added to the session history when AS was enabled. - Got false, expected true</v>
      </c>
      <c r="J130" s="3" t="str">
        <f ca="1">IFERROR(__xludf.DUMMYFUNCTION("""COMPUTED_VALUE"""),"['browser/content/browser.xhtml', 'builds/worker/checkouts/gecko/netwerk/base/nsLoadGroup.cpp', 'treeherder.mozilla.org/logviewer.html', 'builds/worker/workspace/obj-build/dist/include/mozilla/MouseEvents.h', 'browser/base/content/test/general/browser_bug"&amp;"724239.js', 'browser_bug724239.js', 'mozapps/content/downloads/unknownContentType.xhtml', 'treeherder.mozilla.org/intermittent-failures.html']")</f>
        <v>['browser/content/browser.xhtml', 'builds/worker/checkouts/gecko/netwerk/base/nsLoadGroup.cpp', 'treeherder.mozilla.org/logviewer.html', 'builds/worker/workspace/obj-build/dist/include/mozilla/MouseEvents.h', 'browser/base/content/test/general/browser_bug724239.js', 'browser_bug724239.js', 'mozapps/content/downloads/unknownContentType.xhtml', 'treeherder.mozilla.org/intermittent-failures.html']</v>
      </c>
      <c r="K130" s="3" t="str">
        <f ca="1">IFERROR(__xludf.DUMMYFUNCTION("""COMPUTED_VALUE"""),"System Dumps")</f>
        <v>System Dumps</v>
      </c>
      <c r="L130" s="3" t="str">
        <f ca="1">IFERROR(__xludf.DUMMYFUNCTION("""COMPUTED_VALUE"""),"File names are part of bug title, attachment title or commit messages")</f>
        <v>File names are part of bug title, attachment title or commit messages</v>
      </c>
      <c r="M130" s="3"/>
      <c r="N130" s="3"/>
      <c r="O130" s="3"/>
    </row>
    <row r="131" spans="1:15" ht="28">
      <c r="A131" s="3" t="s">
        <v>65</v>
      </c>
      <c r="B131" s="3" t="str">
        <f ca="1">IFERROR(__xludf.DUMMYFUNCTION("""COMPUTED_VALUE"""),"Agree")</f>
        <v>Agree</v>
      </c>
      <c r="C131" s="3" t="str">
        <f ca="1">IFERROR(__xludf.DUMMYFUNCTION("""COMPUTED_VALUE"""),"Partial")</f>
        <v>Partial</v>
      </c>
      <c r="D131" s="3">
        <f ca="1">IFERROR(__xludf.DUMMYFUNCTION("""COMPUTED_VALUE"""),18)</f>
        <v>18</v>
      </c>
      <c r="E131" s="3" t="str">
        <f ca="1">IFERROR(__xludf.DUMMYFUNCTION("""COMPUTED_VALUE"""),"Yes")</f>
        <v>Yes</v>
      </c>
      <c r="F131" s="3" t="str">
        <f ca="1">IFERROR(__xludf.DUMMYFUNCTION("""COMPUTED_VALUE"""),"BothRef")</f>
        <v>BothRef</v>
      </c>
      <c r="G131" s="3">
        <f ca="1">IFERROR(__xludf.DUMMYFUNCTION("""COMPUTED_VALUE"""),1663862)</f>
        <v>1663862</v>
      </c>
      <c r="H131" s="3" t="str">
        <f ca="1">IFERROR(__xludf.DUMMYFUNCTION("""COMPUTED_VALUE"""),"{1561521}")</f>
        <v>{1561521}</v>
      </c>
      <c r="I131" s="4" t="str">
        <f ca="1">IFERROR(__xludf.DUMMYFUNCTION("""COMPUTED_VALUE"""),"https://bugzilla.mozilla.org/show_bug.cgi?id=1663862")</f>
        <v>https://bugzilla.mozilla.org/show_bug.cgi?id=1663862</v>
      </c>
      <c r="J131" s="3" t="str">
        <f ca="1">IFERROR(__xludf.DUMMYFUNCTION("""COMPUTED_VALUE"""),"['js/src/wasm/WasmJS.cpp', 'js/src/builtin/Eval.cpp', 'js/src/vm/Interpreter.cpp', 'js/src/jit/BaselineIC.cpp']")</f>
        <v>['js/src/wasm/WasmJS.cpp', 'js/src/builtin/Eval.cpp', 'js/src/vm/Interpreter.cpp', 'js/src/jit/BaselineIC.cpp']</v>
      </c>
      <c r="K131" s="3" t="str">
        <f ca="1">IFERROR(__xludf.DUMMYFUNCTION("""COMPUTED_VALUE"""),"System Dumps")</f>
        <v>System Dumps</v>
      </c>
      <c r="L131" s="3"/>
      <c r="M131" s="3"/>
      <c r="N131" s="3"/>
      <c r="O131" s="3" t="str">
        <f ca="1">IFERROR(__xludf.DUMMYFUNCTION("""COMPUTED_VALUE"""),"Points to buggy code elements in the files ")</f>
        <v xml:space="preserve">Points to buggy code elements in the files </v>
      </c>
    </row>
    <row r="132" spans="1:15" ht="56">
      <c r="A132" s="3" t="s">
        <v>65</v>
      </c>
      <c r="B132" s="3" t="str">
        <f ca="1">IFERROR(__xludf.DUMMYFUNCTION("""COMPUTED_VALUE"""),"Agree")</f>
        <v>Agree</v>
      </c>
      <c r="C132" s="3" t="str">
        <f ca="1">IFERROR(__xludf.DUMMYFUNCTION("""COMPUTED_VALUE"""),"Partial")</f>
        <v>Partial</v>
      </c>
      <c r="D132" s="3">
        <f ca="1">IFERROR(__xludf.DUMMYFUNCTION("""COMPUTED_VALUE"""),19)</f>
        <v>19</v>
      </c>
      <c r="E132" s="3" t="str">
        <f ca="1">IFERROR(__xludf.DUMMYFUNCTION("""COMPUTED_VALUE"""),"Yes")</f>
        <v>Yes</v>
      </c>
      <c r="F132" s="3" t="str">
        <f ca="1">IFERROR(__xludf.DUMMYFUNCTION("""COMPUTED_VALUE"""),"BothRef")</f>
        <v>BothRef</v>
      </c>
      <c r="G132" s="3">
        <f ca="1">IFERROR(__xludf.DUMMYFUNCTION("""COMPUTED_VALUE"""),1642480)</f>
        <v>1642480</v>
      </c>
      <c r="H132" s="3" t="str">
        <f ca="1">IFERROR(__xludf.DUMMYFUNCTION("""COMPUTED_VALUE"""),"{1572860}")</f>
        <v>{1572860}</v>
      </c>
      <c r="I132" s="4" t="str">
        <f ca="1">IFERROR(__xludf.DUMMYFUNCTION("""COMPUTED_VALUE"""),"https://bugzilla.mozilla.org/show_bug.cgi?id=1642480")</f>
        <v>https://bugzilla.mozilla.org/show_bug.cgi?id=1642480</v>
      </c>
      <c r="J132" s="3" t="str">
        <f ca="1">IFERROR(__xludf.DUMMYFUNCTION("""COMPUTED_VALUE"""),"['layout/base/nsRefreshDriver.cpp', 'accessible/base/nsAccUtils.cpp', 'accessible/base/nsEventShell.cpp', 'accessible/generic/Accessible.cpp', 'accessible/windows/msaa/AccessibleWrap.cpp', 'accessible/base/NotificationController.cpp']")</f>
        <v>['layout/base/nsRefreshDriver.cpp', 'accessible/base/nsAccUtils.cpp', 'accessible/base/nsEventShell.cpp', 'accessible/generic/Accessible.cpp', 'accessible/windows/msaa/AccessibleWrap.cpp', 'accessible/base/NotificationController.cpp']</v>
      </c>
      <c r="K132" s="3" t="str">
        <f ca="1">IFERROR(__xludf.DUMMYFUNCTION("""COMPUTED_VALUE"""),"System Dumps")</f>
        <v>System Dumps</v>
      </c>
      <c r="L132" s="3"/>
      <c r="M132" s="3"/>
      <c r="N132" s="3"/>
      <c r="O132" s="3" t="str">
        <f ca="1">IFERROR(__xludf.DUMMYFUNCTION("""COMPUTED_VALUE"""),"Points to buggy code elements in the files and suggest bug fix sample solution")</f>
        <v>Points to buggy code elements in the files and suggest bug fix sample solution</v>
      </c>
    </row>
    <row r="133" spans="1:15" ht="56">
      <c r="A133" s="3" t="s">
        <v>65</v>
      </c>
      <c r="B133" s="3"/>
      <c r="C133" s="3" t="str">
        <f ca="1">IFERROR(__xludf.DUMMYFUNCTION("""COMPUTED_VALUE"""),"Agree")</f>
        <v>Agree</v>
      </c>
      <c r="D133" s="3">
        <f ca="1">IFERROR(__xludf.DUMMYFUNCTION("""COMPUTED_VALUE"""),20)</f>
        <v>20</v>
      </c>
      <c r="E133" s="3" t="str">
        <f ca="1">IFERROR(__xludf.DUMMYFUNCTION("""COMPUTED_VALUE"""),"Yes")</f>
        <v>Yes</v>
      </c>
      <c r="F133" s="3" t="str">
        <f ca="1">IFERROR(__xludf.DUMMYFUNCTION("""COMPUTED_VALUE"""),"FixRef")</f>
        <v>FixRef</v>
      </c>
      <c r="G133" s="3">
        <f ca="1">IFERROR(__xludf.DUMMYFUNCTION("""COMPUTED_VALUE"""),1707652)</f>
        <v>1707652</v>
      </c>
      <c r="H133" s="3" t="str">
        <f ca="1">IFERROR(__xludf.DUMMYFUNCTION("""COMPUTED_VALUE"""),"{1700679}")</f>
        <v>{1700679}</v>
      </c>
      <c r="I133" s="3" t="str">
        <f ca="1">IFERROR(__xludf.DUMMYFUNCTION("""COMPUTED_VALUE"""),"1707652 - Wrong set of menu items is displayed in native context menu in Downloads panel")</f>
        <v>1707652 - Wrong set of menu items is displayed in native context menu in Downloads panel</v>
      </c>
      <c r="J133" s="3" t="str">
        <f ca="1">IFERROR(__xludf.DUMMYFUNCTION("""COMPUTED_VALUE"""),"['searchfox.org/mozilla-central/rev/37edd2782e67e716dd07a85016da07b4d6275e5d/browser/components/downloads/content/downloads.css']")</f>
        <v>['searchfox.org/mozilla-central/rev/37edd2782e67e716dd07a85016da07b4d6275e5d/browser/components/downloads/content/downloads.css']</v>
      </c>
      <c r="K133" s="3" t="str">
        <f ca="1">IFERROR(__xludf.DUMMYFUNCTION("""COMPUTED_VALUE"""),"Bug Description")</f>
        <v>Bug Description</v>
      </c>
      <c r="L133" s="3" t="str">
        <f ca="1">IFERROR(__xludf.DUMMYFUNCTION("""COMPUTED_VALUE"""),"Links")</f>
        <v>Links</v>
      </c>
      <c r="M133" s="3"/>
      <c r="N133" s="3"/>
      <c r="O133" s="3"/>
    </row>
    <row r="134" spans="1:15" ht="56">
      <c r="A134" s="3" t="s">
        <v>65</v>
      </c>
      <c r="B134" s="3"/>
      <c r="C134" s="3" t="str">
        <f ca="1">IFERROR(__xludf.DUMMYFUNCTION("""COMPUTED_VALUE"""),"Agree")</f>
        <v>Agree</v>
      </c>
      <c r="D134" s="3">
        <f ca="1">IFERROR(__xludf.DUMMYFUNCTION("""COMPUTED_VALUE"""),21)</f>
        <v>21</v>
      </c>
      <c r="E134" s="3" t="str">
        <f ca="1">IFERROR(__xludf.DUMMYFUNCTION("""COMPUTED_VALUE"""),"Yes")</f>
        <v>Yes</v>
      </c>
      <c r="F134" s="3" t="str">
        <f ca="1">IFERROR(__xludf.DUMMYFUNCTION("""COMPUTED_VALUE"""),"BothRef")</f>
        <v>BothRef</v>
      </c>
      <c r="G134" s="3">
        <f ca="1">IFERROR(__xludf.DUMMYFUNCTION("""COMPUTED_VALUE"""),1674437)</f>
        <v>1674437</v>
      </c>
      <c r="H134" s="3" t="str">
        <f ca="1">IFERROR(__xludf.DUMMYFUNCTION("""COMPUTED_VALUE"""),"{1565574}")</f>
        <v>{1565574}</v>
      </c>
      <c r="I134" s="3" t="str">
        <f ca="1">IFERROR(__xludf.DUMMYFUNCTION("""COMPUTED_VALUE"""),"1674437 - ContentDispatchChooser throws if no triggering principal is passed")</f>
        <v>1674437 - ContentDispatchChooser throws if no triggering principal is passed</v>
      </c>
      <c r="J134" s="3" t="str">
        <f ca="1">IFERROR(__xludf.DUMMYFUNCTION("""COMPUTED_VALUE"""),"['hg.mozilla.org/mozilla-unified/file/tip/toolkit/mozapps/handling/ContentDispatchChooser.jsm']")</f>
        <v>['hg.mozilla.org/mozilla-unified/file/tip/toolkit/mozapps/handling/ContentDispatchChooser.jsm']</v>
      </c>
      <c r="K134" s="3" t="str">
        <f ca="1">IFERROR(__xludf.DUMMYFUNCTION("""COMPUTED_VALUE"""),"File to Reproduce the Bug")</f>
        <v>File to Reproduce the Bug</v>
      </c>
      <c r="L134" s="3"/>
      <c r="M134" s="3"/>
      <c r="N134" s="3"/>
      <c r="O134" s="3"/>
    </row>
    <row r="135" spans="1:15" ht="56">
      <c r="A135" s="3" t="s">
        <v>65</v>
      </c>
      <c r="B135" s="3"/>
      <c r="C135" s="3" t="str">
        <f ca="1">IFERROR(__xludf.DUMMYFUNCTION("""COMPUTED_VALUE"""),"Agree")</f>
        <v>Agree</v>
      </c>
      <c r="D135" s="3">
        <f ca="1">IFERROR(__xludf.DUMMYFUNCTION("""COMPUTED_VALUE"""),22)</f>
        <v>22</v>
      </c>
      <c r="E135" s="3" t="str">
        <f ca="1">IFERROR(__xludf.DUMMYFUNCTION("""COMPUTED_VALUE"""),"Yes")</f>
        <v>Yes</v>
      </c>
      <c r="F135" s="3" t="str">
        <f ca="1">IFERROR(__xludf.DUMMYFUNCTION("""COMPUTED_VALUE"""),"BothRef")</f>
        <v>BothRef</v>
      </c>
      <c r="G135" s="3">
        <f ca="1">IFERROR(__xludf.DUMMYFUNCTION("""COMPUTED_VALUE"""),1731540)</f>
        <v>1731540</v>
      </c>
      <c r="H135" s="3" t="str">
        <f ca="1">IFERROR(__xludf.DUMMYFUNCTION("""COMPUTED_VALUE"""),"{1730699}")</f>
        <v>{1730699}</v>
      </c>
      <c r="I135" s="4" t="str">
        <f ca="1">IFERROR(__xludf.DUMMYFUNCTION("""COMPUTED_VALUE"""),"https://bugzilla.mozilla.org/show_bug.cgi?id=1731540")</f>
        <v>https://bugzilla.mozilla.org/show_bug.cgi?id=1731540</v>
      </c>
      <c r="J135" s="3" t="str">
        <f ca="1">IFERROR(__xludf.DUMMYFUNCTION("""COMPUTED_VALUE"""),"['searchfox.org/mozilla-central/source/js/src/jit/JitFrames.cpp', 'searchfox.org/mozilla-central/rev/13378066961f195595822d4f543c8ac5b7f46490/js/src/vm/Iteration.cpp']")</f>
        <v>['searchfox.org/mozilla-central/source/js/src/jit/JitFrames.cpp', 'searchfox.org/mozilla-central/rev/13378066961f195595822d4f543c8ac5b7f46490/js/src/vm/Iteration.cpp']</v>
      </c>
      <c r="K135" s="3" t="str">
        <f ca="1">IFERROR(__xludf.DUMMYFUNCTION("""COMPUTED_VALUE"""),"Bug Description")</f>
        <v>Bug Description</v>
      </c>
      <c r="L135" s="3" t="str">
        <f ca="1">IFERROR(__xludf.DUMMYFUNCTION("""COMPUTED_VALUE"""),"Links")</f>
        <v>Links</v>
      </c>
      <c r="M135" s="3"/>
      <c r="N135" s="3"/>
      <c r="O135" s="3"/>
    </row>
    <row r="136" spans="1:15" ht="42">
      <c r="A136" s="3" t="s">
        <v>65</v>
      </c>
      <c r="B136" s="3" t="str">
        <f ca="1">IFERROR(__xludf.DUMMYFUNCTION("""COMPUTED_VALUE"""),"Agree")</f>
        <v>Agree</v>
      </c>
      <c r="C136" s="3" t="str">
        <f ca="1">IFERROR(__xludf.DUMMYFUNCTION("""COMPUTED_VALUE"""),"Partial")</f>
        <v>Partial</v>
      </c>
      <c r="D136" s="3">
        <f ca="1">IFERROR(__xludf.DUMMYFUNCTION("""COMPUTED_VALUE"""),23)</f>
        <v>23</v>
      </c>
      <c r="E136" s="3" t="str">
        <f ca="1">IFERROR(__xludf.DUMMYFUNCTION("""COMPUTED_VALUE"""),"Yes")</f>
        <v>Yes</v>
      </c>
      <c r="F136" s="3" t="str">
        <f ca="1">IFERROR(__xludf.DUMMYFUNCTION("""COMPUTED_VALUE"""),"FixRef")</f>
        <v>FixRef</v>
      </c>
      <c r="G136" s="3">
        <f ca="1">IFERROR(__xludf.DUMMYFUNCTION("""COMPUTED_VALUE"""),1691941)</f>
        <v>1691941</v>
      </c>
      <c r="H136" s="3" t="str">
        <f ca="1">IFERROR(__xludf.DUMMYFUNCTION("""COMPUTED_VALUE"""),"{1681567}")</f>
        <v>{1681567}</v>
      </c>
      <c r="I136" s="3" t="str">
        <f ca="1">IFERROR(__xludf.DUMMYFUNCTION("""COMPUTED_VALUE"""),"1691941 - Hide the rest-array in default derived class constructors")</f>
        <v>1691941 - Hide the rest-array in default derived class constructors</v>
      </c>
      <c r="J136" s="3" t="str">
        <f ca="1">IFERROR(__xludf.DUMMYFUNCTION("""COMPUTED_VALUE"""),"['devtools/shared/protocol/Front.js', 'searchfox.org/mozilla-central/rev/7067bbd8194f4346ec59d77c33cd88f06763e090/js/src/debugger/Debugger.cpp', 'devtools/server/actors/environment.js']")</f>
        <v>['devtools/shared/protocol/Front.js', 'searchfox.org/mozilla-central/rev/7067bbd8194f4346ec59d77c33cd88f06763e090/js/src/debugger/Debugger.cpp', 'devtools/server/actors/environment.js']</v>
      </c>
      <c r="K136" s="3" t="str">
        <f ca="1">IFERROR(__xludf.DUMMYFUNCTION("""COMPUTED_VALUE"""),"Solution Draft")</f>
        <v>Solution Draft</v>
      </c>
      <c r="L136" s="3" t="str">
        <f ca="1">IFERROR(__xludf.DUMMYFUNCTION("""COMPUTED_VALUE"""),"Bug Description")</f>
        <v>Bug Description</v>
      </c>
      <c r="M136" s="3" t="str">
        <f ca="1">IFERROR(__xludf.DUMMYFUNCTION("""COMPUTED_VALUE"""),"System Dumps")</f>
        <v>System Dumps</v>
      </c>
      <c r="N136" s="3"/>
      <c r="O136" s="3"/>
    </row>
    <row r="137" spans="1:15" ht="332">
      <c r="A137" s="3" t="s">
        <v>65</v>
      </c>
      <c r="B137" s="3" t="str">
        <f ca="1">IFERROR(__xludf.DUMMYFUNCTION("""COMPUTED_VALUE"""),"Agree")</f>
        <v>Agree</v>
      </c>
      <c r="C137" s="3" t="str">
        <f ca="1">IFERROR(__xludf.DUMMYFUNCTION("""COMPUTED_VALUE"""),"Partial")</f>
        <v>Partial</v>
      </c>
      <c r="D137" s="3">
        <f ca="1">IFERROR(__xludf.DUMMYFUNCTION("""COMPUTED_VALUE"""),24)</f>
        <v>24</v>
      </c>
      <c r="E137" s="3" t="str">
        <f ca="1">IFERROR(__xludf.DUMMYFUNCTION("""COMPUTED_VALUE"""),"Yes")</f>
        <v>Yes</v>
      </c>
      <c r="F137" s="3" t="str">
        <f ca="1">IFERROR(__xludf.DUMMYFUNCTION("""COMPUTED_VALUE"""),"BothRef")</f>
        <v>BothRef</v>
      </c>
      <c r="G137" s="3">
        <f ca="1">IFERROR(__xludf.DUMMYFUNCTION("""COMPUTED_VALUE"""),1772968)</f>
        <v>1772968</v>
      </c>
      <c r="H137" s="3" t="str">
        <f ca="1">IFERROR(__xludf.DUMMYFUNCTION("""COMPUTED_VALUE"""),"{1771151}")</f>
        <v>{1771151}</v>
      </c>
      <c r="I137" s="3" t="str">
        <f ca="1">IFERROR(__xludf.DUMMYFUNCTION("""COMPUTED_VALUE"""),"Assertion failure: slowNode == node (These should always be in sync!), at /builds/worker/checkouts/gecko/dom/base/nsINode.cpp:518")</f>
        <v>Assertion failure: slowNode == node (These should always be in sync!), at /builds/worker/checkouts/gecko/dom/base/nsINode.cpp:518</v>
      </c>
      <c r="J137" s="3" t="str">
        <f ca="1">IFERROR(__xludf.DUMMYFUNCTION("""COMPUTED_VALUE"""),"['builds/worker/checkouts/gecko/dom/base/nsINode.cpp', 'pernos.co/debug/ZyiyaxH7Nf9cTRZwiQg2lg/index.html', 'builds/worker/workspace/obj-build/dom/bindings/DocumentBinding.cpp', 'builds/worker/workspace/obj-build/dist/include/mozilla/dom/PromiseBinding.h'"&amp;", 'src/browser/app/../../ipc/contentproc/plugin-container.cpp', 'src/ipc/glue/MessagePump.cpp', 'src/dom/base/Element.cpp', 'src/js/xpconnect/src/XPCJSContext.cpp', 'src/dom/base/DocumentOrShadowRoot.cpp', 'src/js/src/vm/SelfHosting.cpp', 'src/xpcom/threa"&amp;"ds/nsThreadUtils.cpp', 'src/ipc/chromium/src/base/message_loop.cc', 'src/layout/base/nsPresContext.cpp', 'builds/worker/workspace/obj-build/dom/bindings/PromiseBinding.cpp', 'src/browser/app/nsBrowserApp.cpp', 'src/dom/base/Document.cpp', 'src/dom/base/ns"&amp;"INode.cpp', 'src/dom/html/nsGenericHTMLElement.cpp', 'src/widget/nsBaseAppShell.cpp', 'src/js/src/vm/Interpreter.cpp', 'src/xpcom/base/CycleCollectedJSContext.cpp', 'src/js/src/builtin/Promise.cpp', 'build/glibc-SzIz7B/glibc-2.31/csu/../csu/libc-start.c',"&amp;" 'src/xpcom/threads/nsThread.cpp', 'src/js/src/vm/AsyncFunction.cpp', 'src/dom/html/HTMLSharedElement.cpp', 'src/dom/bindings/BindingUtils.cpp', 'testcase.html', 'src/toolkit/xre/nsEmbedFunctions.cpp', 'src/js/src/vm/CallAndConstruct.cpp']")</f>
        <v>['builds/worker/checkouts/gecko/dom/base/nsINode.cpp', 'pernos.co/debug/ZyiyaxH7Nf9cTRZwiQg2lg/index.html', 'builds/worker/workspace/obj-build/dom/bindings/DocumentBinding.cpp', 'builds/worker/workspace/obj-build/dist/include/mozilla/dom/PromiseBinding.h', 'src/browser/app/../../ipc/contentproc/plugin-container.cpp', 'src/ipc/glue/MessagePump.cpp', 'src/dom/base/Element.cpp', 'src/js/xpconnect/src/XPCJSContext.cpp', 'src/dom/base/DocumentOrShadowRoot.cpp', 'src/js/src/vm/SelfHosting.cpp', 'src/xpcom/threads/nsThreadUtils.cpp', 'src/ipc/chromium/src/base/message_loop.cc', 'src/layout/base/nsPresContext.cpp', 'builds/worker/workspace/obj-build/dom/bindings/PromiseBinding.cpp', 'src/browser/app/nsBrowserApp.cpp', 'src/dom/base/Document.cpp', 'src/dom/base/nsINode.cpp', 'src/dom/html/nsGenericHTMLElement.cpp', 'src/widget/nsBaseAppShell.cpp', 'src/js/src/vm/Interpreter.cpp', 'src/xpcom/base/CycleCollectedJSContext.cpp', 'src/js/src/builtin/Promise.cpp', 'build/glibc-SzIz7B/glibc-2.31/csu/../csu/libc-start.c', 'src/xpcom/threads/nsThread.cpp', 'src/js/src/vm/AsyncFunction.cpp', 'src/dom/html/HTMLSharedElement.cpp', 'src/dom/bindings/BindingUtils.cpp', 'testcase.html', 'src/toolkit/xre/nsEmbedFunctions.cpp', 'src/js/src/vm/CallAndConstruct.cpp']</v>
      </c>
      <c r="K137" s="3" t="str">
        <f ca="1">IFERROR(__xludf.DUMMYFUNCTION("""COMPUTED_VALUE"""),"System Dumps")</f>
        <v>System Dumps</v>
      </c>
      <c r="L137" s="3"/>
      <c r="M137" s="3"/>
      <c r="N137" s="3"/>
      <c r="O137" s="3" t="str">
        <f ca="1">IFERROR(__xludf.DUMMYFUNCTION("""COMPUTED_VALUE"""),"Points to buggy elements and suggest bug fix sample solution")</f>
        <v>Points to buggy elements and suggest bug fix sample solution</v>
      </c>
    </row>
    <row r="138" spans="1:15" ht="182">
      <c r="A138" s="3" t="s">
        <v>65</v>
      </c>
      <c r="B138" s="3"/>
      <c r="C138" s="3" t="str">
        <f ca="1">IFERROR(__xludf.DUMMYFUNCTION("""COMPUTED_VALUE"""),"Agree")</f>
        <v>Agree</v>
      </c>
      <c r="D138" s="3">
        <f ca="1">IFERROR(__xludf.DUMMYFUNCTION("""COMPUTED_VALUE"""),25)</f>
        <v>25</v>
      </c>
      <c r="E138" s="3" t="str">
        <f ca="1">IFERROR(__xludf.DUMMYFUNCTION("""COMPUTED_VALUE"""),"Yes")</f>
        <v>Yes</v>
      </c>
      <c r="F138" s="3" t="str">
        <f ca="1">IFERROR(__xludf.DUMMYFUNCTION("""COMPUTED_VALUE"""),"BothRef")</f>
        <v>BothRef</v>
      </c>
      <c r="G138" s="3">
        <f ca="1">IFERROR(__xludf.DUMMYFUNCTION("""COMPUTED_VALUE"""),1584746)</f>
        <v>1584746</v>
      </c>
      <c r="H138" s="3" t="str">
        <f ca="1">IFERROR(__xludf.DUMMYFUNCTION("""COMPUTED_VALUE"""),"{1581067}")</f>
        <v>{1581067}</v>
      </c>
      <c r="I138" s="4" t="str">
        <f ca="1">IFERROR(__xludf.DUMMYFUNCTION("""COMPUTED_VALUE"""),"https://bugzilla.mozilla.org/show_bug.cgi?id=1584746")</f>
        <v>https://bugzilla.mozilla.org/show_bug.cgi?id=1584746</v>
      </c>
      <c r="J138" s="3" t="str">
        <f ca="1">IFERROR(__xludf.DUMMYFUNCTION("""COMPUTED_VALUE"""),"['Context.cpp', 'Nsrc/dom/cache/CacheOpChild.cpp', 'xpcom/threads/nsThread.cpp', 'build/build/src/dom/cache/FileUtils.cpp', 'runtests.py', 'nsprpub/pr/src/threads/combined/pruthr.c', 'd.cpp', 'FileUtils.cpp', 'treeherder.mozilla.org/intermittent-failures."&amp;"html', 'build/build/src/dom/cache/CacheOpChilFileUtils.cpp', 'browser/components/preferences/in-content/tests/siteData/browser_clearSiteData.js', 'ipc/chromium/src/base/message_loop.cc', 'treeherder.mozilla.org/logviewer.html', 'xpcom/threads/nsThreadUtil"&amp;"s.cpp', 'dom/cache/Context.cpp', 'browser_clearSiteData.js', 'nsprpub/pr/src/md/windows/w95thred.c', 'ipc/glue/MessagePump.cpp', 'dom/cache/Context.h', 'nsThread.cpp', 'Context.h']")</f>
        <v>['Context.cpp', 'Nsrc/dom/cache/CacheOpChild.cpp', 'xpcom/threads/nsThread.cpp', 'build/build/src/dom/cache/FileUtils.cpp', 'runtests.py', 'nsprpub/pr/src/threads/combined/pruthr.c', 'd.cpp', 'FileUtils.cpp', 'treeherder.mozilla.org/intermittent-failures.html', 'build/build/src/dom/cache/CacheOpChilFileUtils.cpp', 'browser/components/preferences/in-content/tests/siteData/browser_clearSiteData.js', 'ipc/chromium/src/base/message_loop.cc', 'treeherder.mozilla.org/logviewer.html', 'xpcom/threads/nsThreadUtils.cpp', 'dom/cache/Context.cpp', 'browser_clearSiteData.js', 'nsprpub/pr/src/md/windows/w95thred.c', 'ipc/glue/MessagePump.cpp', 'dom/cache/Context.h', 'nsThread.cpp', 'Context.h']</v>
      </c>
      <c r="K138" s="3" t="str">
        <f ca="1">IFERROR(__xludf.DUMMYFUNCTION("""COMPUTED_VALUE"""),"System Dumps")</f>
        <v>System Dumps</v>
      </c>
      <c r="L138" s="3"/>
      <c r="M138" s="3"/>
      <c r="N138" s="3"/>
      <c r="O138" s="3" t="str">
        <f ca="1">IFERROR(__xludf.DUMMYFUNCTION("""COMPUTED_VALUE"""),"the files at the top of stack trace seems to fix the issue (in this case fileUtils.cpp)")</f>
        <v>the files at the top of stack trace seems to fix the issue (in this case fileUtils.cpp)</v>
      </c>
    </row>
    <row r="139" spans="1:15" ht="70">
      <c r="A139" s="3" t="s">
        <v>65</v>
      </c>
      <c r="B139" s="3"/>
      <c r="C139" s="3" t="str">
        <f ca="1">IFERROR(__xludf.DUMMYFUNCTION("""COMPUTED_VALUE"""),"Agree")</f>
        <v>Agree</v>
      </c>
      <c r="D139" s="3">
        <f ca="1">IFERROR(__xludf.DUMMYFUNCTION("""COMPUTED_VALUE"""),26)</f>
        <v>26</v>
      </c>
      <c r="E139" s="3" t="str">
        <f ca="1">IFERROR(__xludf.DUMMYFUNCTION("""COMPUTED_VALUE"""),"Yes")</f>
        <v>Yes</v>
      </c>
      <c r="F139" s="3" t="str">
        <f ca="1">IFERROR(__xludf.DUMMYFUNCTION("""COMPUTED_VALUE"""),"FixRef")</f>
        <v>FixRef</v>
      </c>
      <c r="G139" s="3">
        <f ca="1">IFERROR(__xludf.DUMMYFUNCTION("""COMPUTED_VALUE"""),1663731)</f>
        <v>1663731</v>
      </c>
      <c r="H139" s="3" t="str">
        <f ca="1">IFERROR(__xludf.DUMMYFUNCTION("""COMPUTED_VALUE"""),"{1620055}")</f>
        <v>{1620055}</v>
      </c>
      <c r="I139" s="4" t="str">
        <f ca="1">IFERROR(__xludf.DUMMYFUNCTION("""COMPUTED_VALUE"""),"https://bugzilla.mozilla.org/show_bug.cgi?id=1663731")</f>
        <v>https://bugzilla.mozilla.org/show_bug.cgi?id=1663731</v>
      </c>
      <c r="J139" s="3" t="str">
        <f ca="1">IFERROR(__xludf.DUMMYFUNCTION("""COMPUTED_VALUE"""),"['searchfox.org/mozilla-central/rev/9fab6c0021ed9b103a70bf5c296b45949a2950bc/gfx/layers/apz/util/APZEventState.cpp', 'searchfox.org/mozilla-central/rev/f21850ca45036ddb84cd25aa355a6969d7c94c4f/gfx/layers/apz/util/APZEventState.cpp', 'leaflet.js']")</f>
        <v>['searchfox.org/mozilla-central/rev/9fab6c0021ed9b103a70bf5c296b45949a2950bc/gfx/layers/apz/util/APZEventState.cpp', 'searchfox.org/mozilla-central/rev/f21850ca45036ddb84cd25aa355a6969d7c94c4f/gfx/layers/apz/util/APZEventState.cpp', 'leaflet.js']</v>
      </c>
      <c r="K139" s="3" t="str">
        <f ca="1">IFERROR(__xludf.DUMMYFUNCTION("""COMPUTED_VALUE"""),"Bug Description")</f>
        <v>Bug Description</v>
      </c>
      <c r="L139" s="3" t="str">
        <f ca="1">IFERROR(__xludf.DUMMYFUNCTION("""COMPUTED_VALUE"""),"File to Reproduce the Bug")</f>
        <v>File to Reproduce the Bug</v>
      </c>
      <c r="M139" s="3"/>
      <c r="N139" s="3"/>
      <c r="O139" s="3"/>
    </row>
    <row r="140" spans="1:15" ht="168">
      <c r="A140" s="3" t="s">
        <v>65</v>
      </c>
      <c r="B140" s="3"/>
      <c r="C140" s="3" t="str">
        <f ca="1">IFERROR(__xludf.DUMMYFUNCTION("""COMPUTED_VALUE"""),"Agree")</f>
        <v>Agree</v>
      </c>
      <c r="D140" s="3">
        <f ca="1">IFERROR(__xludf.DUMMYFUNCTION("""COMPUTED_VALUE"""),27)</f>
        <v>27</v>
      </c>
      <c r="E140" s="3" t="str">
        <f ca="1">IFERROR(__xludf.DUMMYFUNCTION("""COMPUTED_VALUE"""),"Yes")</f>
        <v>Yes</v>
      </c>
      <c r="F140" s="3" t="str">
        <f ca="1">IFERROR(__xludf.DUMMYFUNCTION("""COMPUTED_VALUE"""),"BothRef")</f>
        <v>BothRef</v>
      </c>
      <c r="G140" s="3">
        <f ca="1">IFERROR(__xludf.DUMMYFUNCTION("""COMPUTED_VALUE"""),1581589)</f>
        <v>1581589</v>
      </c>
      <c r="H140" s="3" t="str">
        <f ca="1">IFERROR(__xludf.DUMMYFUNCTION("""COMPUTED_VALUE"""),"{1576690}")</f>
        <v>{1576690}</v>
      </c>
      <c r="I140" s="3" t="str">
        <f ca="1">IFERROR(__xludf.DUMMYFUNCTION("""COMPUTED_VALUE"""),"Assertion failure: aIdxInParent &lt;= static_cast&lt;int32_t&gt;(aNewParent-&gt;mChildren.Length()) (Wrong insertion point for a moving child), at src/accessible/generic/DocAccessible.cpp:2293")</f>
        <v>Assertion failure: aIdxInParent &lt;= static_cast&lt;int32_t&gt;(aNewParent-&gt;mChildren.Length()) (Wrong insertion point for a moving child), at src/accessible/generic/DocAccessible.cpp:2293</v>
      </c>
      <c r="J140" s="3" t="str">
        <f ca="1">IFERROR(__xludf.DUMMYFUNCTION("""COMPUTED_VALUE"""),"['src/accessible/base/NotificationController.cpp', 'src/xpcom/threads/nsThreadUtils.cpp', 'src/ipc/chromium/src/base/message_loop.cc', 'prefs.js', 'src/layout/ipc/VsyncChild.cpp', 'src/ipc/glue/MessagePump.cpp', 'src/browser/app/../../ipc/contentproc/plug"&amp;"in-container.cpp', 'testcase.html', 'src/ipc/glue/MessageChannel.cpp', 'src/accessible/generic/DocAccessible.cpp', 'src/toolkit/xre/nsEmbedFunctions.cpp', 'src/obj-firefox/ipc/ipdl/PBackgroundChild.cpp', 'src/xpcom/threads/nsThread.cpp', 'src/layout/base/"&amp;"nsRefreshDriver.cpp', 'src/obj-firefox/ipc/ipdl/PVsyncChild.cpp', 'src/browser/app/nsBrowserApp.cpp', 'src/widget/nsBaseAppShell.cpp']")</f>
        <v>['src/accessible/base/NotificationController.cpp', 'src/xpcom/threads/nsThreadUtils.cpp', 'src/ipc/chromium/src/base/message_loop.cc', 'prefs.js', 'src/layout/ipc/VsyncChild.cpp', 'src/ipc/glue/MessagePump.cpp', 'src/browser/app/../../ipc/contentproc/plugin-container.cpp', 'testcase.html', 'src/ipc/glue/MessageChannel.cpp', 'src/accessible/generic/DocAccessible.cpp', 'src/toolkit/xre/nsEmbedFunctions.cpp', 'src/obj-firefox/ipc/ipdl/PBackgroundChild.cpp', 'src/xpcom/threads/nsThread.cpp', 'src/layout/base/nsRefreshDriver.cpp', 'src/obj-firefox/ipc/ipdl/PVsyncChild.cpp', 'src/browser/app/nsBrowserApp.cpp', 'src/widget/nsBaseAppShell.cpp']</v>
      </c>
      <c r="K140" s="3" t="str">
        <f ca="1">IFERROR(__xludf.DUMMYFUNCTION("""COMPUTED_VALUE"""),"System Dumps")</f>
        <v>System Dumps</v>
      </c>
      <c r="L140" s="3"/>
      <c r="M140" s="3"/>
      <c r="N140" s="3"/>
      <c r="O140" s="3" t="str">
        <f ca="1">IFERROR(__xludf.DUMMYFUNCTION("""COMPUTED_VALUE"""),"the files at the top of stack trace seems to fix the issue (in this case DocAccessible.cpp)")</f>
        <v>the files at the top of stack trace seems to fix the issue (in this case DocAccessible.cpp)</v>
      </c>
    </row>
    <row r="141" spans="1:15" ht="112">
      <c r="A141" s="3" t="s">
        <v>65</v>
      </c>
      <c r="B141" s="3" t="str">
        <f ca="1">IFERROR(__xludf.DUMMYFUNCTION("""COMPUTED_VALUE"""),"Agree")</f>
        <v>Agree</v>
      </c>
      <c r="C141" s="3" t="str">
        <f ca="1">IFERROR(__xludf.DUMMYFUNCTION("""COMPUTED_VALUE"""),"Partial")</f>
        <v>Partial</v>
      </c>
      <c r="D141" s="3">
        <f ca="1">IFERROR(__xludf.DUMMYFUNCTION("""COMPUTED_VALUE"""),28)</f>
        <v>28</v>
      </c>
      <c r="E141" s="3" t="str">
        <f ca="1">IFERROR(__xludf.DUMMYFUNCTION("""COMPUTED_VALUE"""),"Yes")</f>
        <v>Yes</v>
      </c>
      <c r="F141" s="3" t="str">
        <f ca="1">IFERROR(__xludf.DUMMYFUNCTION("""COMPUTED_VALUE"""),"BothRef")</f>
        <v>BothRef</v>
      </c>
      <c r="G141" s="3">
        <f ca="1">IFERROR(__xludf.DUMMYFUNCTION("""COMPUTED_VALUE"""),1768237)</f>
        <v>1768237</v>
      </c>
      <c r="H141" s="3" t="str">
        <f ca="1">IFERROR(__xludf.DUMMYFUNCTION("""COMPUTED_VALUE"""),"{1756474}")</f>
        <v>{1756474}</v>
      </c>
      <c r="I141" s="4" t="str">
        <f ca="1">IFERROR(__xludf.DUMMYFUNCTION("""COMPUTED_VALUE"""),"https://bugzilla.mozilla.org/show_bug.cgi?id=1768237")</f>
        <v>https://bugzilla.mozilla.org/show_bug.cgi?id=1768237</v>
      </c>
      <c r="J141" s="3" t="str">
        <f ca="1">IFERROR(__xludf.DUMMYFUNCTION("""COMPUTED_VALUE"""),"['gfx/thebes/gfxTextRun.cpp', 'gfx/src/nsFontCache.cpp', 'gfx/thebes/gfxPlatformFontList.cpp', 'layout/forms/nsTextControlFrame.cpp', 'gfx/thebes/gfxPlatform.cpp', 'gfx/src/nsThebesFontEnumerator.cpp', 'layout/base/nsLayoutUtils.cpp', 'gfx/thebes/gfxFontE"&amp;"ntry.cpp', 'gfx/thebes/gfxFontEntry.h', 'gfx/thebes/gfxFcPlatformFontList.cpp', 'gfx/thebes/gfxMacPlatformFontList.mm', 'mozglue/misc/RWLock_posix.cpp']")</f>
        <v>['gfx/thebes/gfxTextRun.cpp', 'gfx/src/nsFontCache.cpp', 'gfx/thebes/gfxPlatformFontList.cpp', 'layout/forms/nsTextControlFrame.cpp', 'gfx/thebes/gfxPlatform.cpp', 'gfx/src/nsThebesFontEnumerator.cpp', 'layout/base/nsLayoutUtils.cpp', 'gfx/thebes/gfxFontEntry.cpp', 'gfx/thebes/gfxFontEntry.h', 'gfx/thebes/gfxFcPlatformFontList.cpp', 'gfx/thebes/gfxMacPlatformFontList.mm', 'mozglue/misc/RWLock_posix.cpp']</v>
      </c>
      <c r="K141" s="3" t="str">
        <f ca="1">IFERROR(__xludf.DUMMYFUNCTION("""COMPUTED_VALUE"""),"System Dumps")</f>
        <v>System Dumps</v>
      </c>
      <c r="L141" s="3"/>
      <c r="M141" s="3"/>
      <c r="N141" s="3"/>
      <c r="O141" s="3" t="str">
        <f ca="1">IFERROR(__xludf.DUMMYFUNCTION("""COMPUTED_VALUE"""),"Points to buggy functions and bug fix sample solution. the files at the fourth position in stack trace seems to fix the issue (in this case gfxFontEntry.cpp, gfxMacPlatformFontList)")</f>
        <v>Points to buggy functions and bug fix sample solution. the files at the fourth position in stack trace seems to fix the issue (in this case gfxFontEntry.cpp, gfxMacPlatformFontList)</v>
      </c>
    </row>
    <row r="142" spans="1:15" ht="140">
      <c r="A142" s="3" t="s">
        <v>65</v>
      </c>
      <c r="B142" s="3" t="str">
        <f ca="1">IFERROR(__xludf.DUMMYFUNCTION("""COMPUTED_VALUE"""),"Agree")</f>
        <v>Agree</v>
      </c>
      <c r="C142" s="3" t="str">
        <f ca="1">IFERROR(__xludf.DUMMYFUNCTION("""COMPUTED_VALUE"""),"Partial")</f>
        <v>Partial</v>
      </c>
      <c r="D142" s="3">
        <f ca="1">IFERROR(__xludf.DUMMYFUNCTION("""COMPUTED_VALUE"""),29)</f>
        <v>29</v>
      </c>
      <c r="E142" s="3" t="str">
        <f ca="1">IFERROR(__xludf.DUMMYFUNCTION("""COMPUTED_VALUE"""),"Yes")</f>
        <v>Yes</v>
      </c>
      <c r="F142" s="3" t="str">
        <f ca="1">IFERROR(__xludf.DUMMYFUNCTION("""COMPUTED_VALUE"""),"FixRef")</f>
        <v>FixRef</v>
      </c>
      <c r="G142" s="3">
        <f ca="1">IFERROR(__xludf.DUMMYFUNCTION("""COMPUTED_VALUE"""),1594871)</f>
        <v>1594871</v>
      </c>
      <c r="H142" s="3" t="str">
        <f ca="1">IFERROR(__xludf.DUMMYFUNCTION("""COMPUTED_VALUE"""),"{1593560}")</f>
        <v>{1593560}</v>
      </c>
      <c r="I142" s="3" t="str">
        <f ca="1">IFERROR(__xludf.DUMMYFUNCTION("""COMPUTED_VALUE"""),"1594871 - Intermittent remote/test/browser/page/browser_captureScreenshot.js | Size of quality 10 is smaller than default -")</f>
        <v>1594871 - Intermittent remote/test/browser/page/browser_captureScreenshot.js | Size of quality 10 is smaller than default -</v>
      </c>
      <c r="J142" s="3" t="str">
        <f ca="1">IFERROR(__xludf.DUMMYFUNCTION("""COMPUTED_VALUE"""),"['searchfox.org/mozilla-central/source/remote/test/browser/head.js', 'browser_captureScreenshot.js', 'remote/test/browser/page/browser_captureScreenshot.js', 'pernos.co/debug/PcSVEvwigawYDjCYc5L32g/index.html', 'mochitests/content/browser/remote/test/brow"&amp;"ser/head.js', 'treeherder.mozilla.org/logviewer.html', 'mochitests/content/browser/remote/test/browser/page/browser_captureScreenshot.js', 'mochikit/content/browser-test.js', 'mochikit/content/tests/SimpleTest/SimpleTest.js', 'treeherder.mozilla.org/inter"&amp;"mittent-failures.html']")</f>
        <v>['searchfox.org/mozilla-central/source/remote/test/browser/head.js', 'browser_captureScreenshot.js', 'remote/test/browser/page/browser_captureScreenshot.js', 'pernos.co/debug/PcSVEvwigawYDjCYc5L32g/index.html', 'mochitests/content/browser/remote/test/browser/head.js', 'treeherder.mozilla.org/logviewer.html', 'mochitests/content/browser/remote/test/browser/page/browser_captureScreenshot.js', 'mochikit/content/browser-test.js', 'mochikit/content/tests/SimpleTest/SimpleTest.js', 'treeherder.mozilla.org/intermittent-failures.html']</v>
      </c>
      <c r="K142" s="3" t="str">
        <f ca="1">IFERROR(__xludf.DUMMYFUNCTION("""COMPUTED_VALUE"""),"System Dumps")</f>
        <v>System Dumps</v>
      </c>
      <c r="L142" s="3" t="str">
        <f ca="1">IFERROR(__xludf.DUMMYFUNCTION("""COMPUTED_VALUE"""),"File names are part of bug title, attachment title or commit messages")</f>
        <v>File names are part of bug title, attachment title or commit messages</v>
      </c>
      <c r="M142" s="3"/>
      <c r="N142" s="3"/>
      <c r="O142" s="3" t="str">
        <f ca="1">IFERROR(__xludf.DUMMYFUNCTION("""COMPUTED_VALUE"""),"Points to buggy functions and bug fix sample solution. the files at the top of stack trace seems to fix the issue (in this case browser_captureScreenshot.js)")</f>
        <v>Points to buggy functions and bug fix sample solution. the files at the top of stack trace seems to fix the issue (in this case browser_captureScreenshot.js)</v>
      </c>
    </row>
    <row r="143" spans="1:15" ht="112">
      <c r="A143" s="3" t="s">
        <v>65</v>
      </c>
      <c r="B143" s="3" t="str">
        <f ca="1">IFERROR(__xludf.DUMMYFUNCTION("""COMPUTED_VALUE"""),"Agree")</f>
        <v>Agree</v>
      </c>
      <c r="C143" s="3" t="str">
        <f ca="1">IFERROR(__xludf.DUMMYFUNCTION("""COMPUTED_VALUE"""),"Partial")</f>
        <v>Partial</v>
      </c>
      <c r="D143" s="3">
        <f ca="1">IFERROR(__xludf.DUMMYFUNCTION("""COMPUTED_VALUE"""),30)</f>
        <v>30</v>
      </c>
      <c r="E143" s="3" t="str">
        <f ca="1">IFERROR(__xludf.DUMMYFUNCTION("""COMPUTED_VALUE"""),"Yes")</f>
        <v>Yes</v>
      </c>
      <c r="F143" s="3" t="str">
        <f ca="1">IFERROR(__xludf.DUMMYFUNCTION("""COMPUTED_VALUE"""),"BothRef")</f>
        <v>BothRef</v>
      </c>
      <c r="G143" s="3">
        <f ca="1">IFERROR(__xludf.DUMMYFUNCTION("""COMPUTED_VALUE"""),1569281)</f>
        <v>1569281</v>
      </c>
      <c r="H143" s="3" t="str">
        <f ca="1">IFERROR(__xludf.DUMMYFUNCTION("""COMPUTED_VALUE"""),"{1598930}")</f>
        <v>{1598930}</v>
      </c>
      <c r="I143" s="4" t="str">
        <f ca="1">IFERROR(__xludf.DUMMYFUNCTION("""COMPUTED_VALUE"""),"https://bugzilla.mozilla.org/show_bug.cgi?id=1569281")</f>
        <v>https://bugzilla.mozilla.org/show_bug.cgi?id=1569281</v>
      </c>
      <c r="J143" s="3" t="str">
        <f ca="1">IFERROR(__xludf.DUMMYFUNCTION("""COMPUTED_VALUE"""),"['toolkit/components/normandy/test/browser/browser_RecipeRunner.js', 'hg.mozilla.org/mozilla-central/raw-file/tip/layout/tools/reftest/reftest-analyzer.xhtml', 'treeherder.mozilla.org/logviewer.html', 'missing_beta_status.py', 'testing-common/PromiseTestU"&amp;"tils.jsm', 'searchfox.org/mozilla-central/rev/6305f6935f496b3a302c7afcc579399a4217729c/toolkit/components/normandy/test/browser/browser_RecipeRunner.js', 'treeherder.mozilla.org/intermittent-failures.html']")</f>
        <v>['toolkit/components/normandy/test/browser/browser_RecipeRunner.js', 'hg.mozilla.org/mozilla-central/raw-file/tip/layout/tools/reftest/reftest-analyzer.xhtml', 'treeherder.mozilla.org/logviewer.html', 'missing_beta_status.py', 'testing-common/PromiseTestUtils.jsm', 'searchfox.org/mozilla-central/rev/6305f6935f496b3a302c7afcc579399a4217729c/toolkit/components/normandy/test/browser/browser_RecipeRunner.js', 'treeherder.mozilla.org/intermittent-failures.html']</v>
      </c>
      <c r="K143" s="3" t="str">
        <f ca="1">IFERROR(__xludf.DUMMYFUNCTION("""COMPUTED_VALUE"""),"System Dumps")</f>
        <v>System Dumps</v>
      </c>
      <c r="L143" s="3" t="str">
        <f ca="1">IFERROR(__xludf.DUMMYFUNCTION("""COMPUTED_VALUE"""),"File names are part of bug title, attachment title or commit messages")</f>
        <v>File names are part of bug title, attachment title or commit messages</v>
      </c>
      <c r="M143" s="3"/>
      <c r="N143" s="3"/>
      <c r="O143" s="3" t="str">
        <f ca="1">IFERROR(__xludf.DUMMYFUNCTION("""COMPUTED_VALUE"""),"Points to buggy functions and discuss bug fix sample solution. the files at the top of stack trace seems to fix the issue (in this case browser_RecipeRunner.js)")</f>
        <v>Points to buggy functions and discuss bug fix sample solution. the files at the top of stack trace seems to fix the issue (in this case browser_RecipeRunner.js)</v>
      </c>
    </row>
    <row r="144" spans="1:15" ht="224">
      <c r="A144" s="3" t="s">
        <v>65</v>
      </c>
      <c r="B144" s="3"/>
      <c r="C144" s="3" t="str">
        <f ca="1">IFERROR(__xludf.DUMMYFUNCTION("""COMPUTED_VALUE"""),"Agree")</f>
        <v>Agree</v>
      </c>
      <c r="D144" s="3">
        <f ca="1">IFERROR(__xludf.DUMMYFUNCTION("""COMPUTED_VALUE"""),31)</f>
        <v>31</v>
      </c>
      <c r="E144" s="3" t="str">
        <f ca="1">IFERROR(__xludf.DUMMYFUNCTION("""COMPUTED_VALUE"""),"Yes")</f>
        <v>Yes</v>
      </c>
      <c r="F144" s="3" t="str">
        <f ca="1">IFERROR(__xludf.DUMMYFUNCTION("""COMPUTED_VALUE"""),"BothRef")</f>
        <v>BothRef</v>
      </c>
      <c r="G144" s="3">
        <f ca="1">IFERROR(__xludf.DUMMYFUNCTION("""COMPUTED_VALUE"""),1603402)</f>
        <v>1603402</v>
      </c>
      <c r="H144" s="3" t="str">
        <f ca="1">IFERROR(__xludf.DUMMYFUNCTION("""COMPUTED_VALUE"""),"{1596682, 1598980}")</f>
        <v>{1596682, 1598980}</v>
      </c>
      <c r="I144" s="4" t="str">
        <f ca="1">IFERROR(__xludf.DUMMYFUNCTION("""COMPUTED_VALUE"""),"https://bugzilla.mozilla.org/show_bug.cgi?id=1603402")</f>
        <v>https://bugzilla.mozilla.org/show_bug.cgi?id=1603402</v>
      </c>
      <c r="J144" s="3" t="str">
        <f ca="1">IFERROR(__xludf.DUMMYFUNCTION("""COMPUTED_VALUE"""),"['builds/worker/workspace/build/src/netwerk/ipc/DocumentChannelChild.cpp', 'builds/worker/workspace/build/src/layout/base/nsPresContext.cpp', 'builds/worker/workspace/build/src/dom/ipc/PropertyBagUtils.cpp', 'builds/worker/workspace/build/src/dom/cache/Ca"&amp;"cheStorage.cpp', 'workerStart-tao-protected.https.html', 'treeherder.mozilla.org/logviewer.html', 'hg.mozilla.org/mozilla-central/file/tip/testing/web-platform/meta/resource-timing/workerStart-tao-protected.https.html.ini', 'builds/worker/workspace/build/"&amp;"src/dom/media/CubebUtils.cpp', 'builds/worker/workspace/build/src/dom/ipc/ContentChild.cpp', 'builds/worker/workspace/build/src/xpcom/components/nsComponentManager.cpp', 'builds/worker/workspace/build/src/xpcom/base/nsCycleCollector.cpp', 'builds/worker/w"&amp;"orkspace/build/src/dom/workers/RuntimeService.cpp', 'resource-timing/workerStart-tao-protected.https.html', 'treeherder.mozilla.org/intermittent-failures.html']")</f>
        <v>['builds/worker/workspace/build/src/netwerk/ipc/DocumentChannelChild.cpp', 'builds/worker/workspace/build/src/layout/base/nsPresContext.cpp', 'builds/worker/workspace/build/src/dom/ipc/PropertyBagUtils.cpp', 'builds/worker/workspace/build/src/dom/cache/CacheStorage.cpp', 'workerStart-tao-protected.https.html', 'treeherder.mozilla.org/logviewer.html', 'hg.mozilla.org/mozilla-central/file/tip/testing/web-platform/meta/resource-timing/workerStart-tao-protected.https.html.ini', 'builds/worker/workspace/build/src/dom/media/CubebUtils.cpp', 'builds/worker/workspace/build/src/dom/ipc/ContentChild.cpp', 'builds/worker/workspace/build/src/xpcom/components/nsComponentManager.cpp', 'builds/worker/workspace/build/src/xpcom/base/nsCycleCollector.cpp', 'builds/worker/workspace/build/src/dom/workers/RuntimeService.cpp', 'resource-timing/workerStart-tao-protected.https.html', 'treeherder.mozilla.org/intermittent-failures.html']</v>
      </c>
      <c r="K144" s="3" t="str">
        <f ca="1">IFERROR(__xludf.DUMMYFUNCTION("""COMPUTED_VALUE"""),"System Dumps")</f>
        <v>System Dumps</v>
      </c>
      <c r="L144" s="3" t="str">
        <f ca="1">IFERROR(__xludf.DUMMYFUNCTION("""COMPUTED_VALUE"""),"File names are part of bug title, attachment title or commit messages")</f>
        <v>File names are part of bug title, attachment title or commit messages</v>
      </c>
      <c r="M144" s="3"/>
      <c r="N144" s="3"/>
      <c r="O144" s="3"/>
    </row>
    <row r="145" spans="1:15" ht="126">
      <c r="A145" s="3" t="s">
        <v>65</v>
      </c>
      <c r="B145" s="3" t="str">
        <f ca="1">IFERROR(__xludf.DUMMYFUNCTION("""COMPUTED_VALUE"""),"Agree")</f>
        <v>Agree</v>
      </c>
      <c r="C145" s="3" t="str">
        <f ca="1">IFERROR(__xludf.DUMMYFUNCTION("""COMPUTED_VALUE"""),"Partial")</f>
        <v>Partial</v>
      </c>
      <c r="D145" s="3">
        <f ca="1">IFERROR(__xludf.DUMMYFUNCTION("""COMPUTED_VALUE"""),32)</f>
        <v>32</v>
      </c>
      <c r="E145" s="3" t="str">
        <f ca="1">IFERROR(__xludf.DUMMYFUNCTION("""COMPUTED_VALUE"""),"Yes")</f>
        <v>Yes</v>
      </c>
      <c r="F145" s="3" t="str">
        <f ca="1">IFERROR(__xludf.DUMMYFUNCTION("""COMPUTED_VALUE"""),"BothRef")</f>
        <v>BothRef</v>
      </c>
      <c r="G145" s="3">
        <f ca="1">IFERROR(__xludf.DUMMYFUNCTION("""COMPUTED_VALUE"""),1788895)</f>
        <v>1788895</v>
      </c>
      <c r="H145" s="3" t="str">
        <f ca="1">IFERROR(__xludf.DUMMYFUNCTION("""COMPUTED_VALUE"""),"{1758092}")</f>
        <v>{1758092}</v>
      </c>
      <c r="I145" s="4" t="str">
        <f ca="1">IFERROR(__xludf.DUMMYFUNCTION("""COMPUTED_VALUE"""),"https://bugzilla.mozilla.org/show_bug.cgi?id=1788895")</f>
        <v>https://bugzilla.mozilla.org/show_bug.cgi?id=1788895</v>
      </c>
      <c r="J145" s="3" t="str">
        <f ca="1">IFERROR(__xludf.DUMMYFUNCTION("""COMPUTED_VALUE"""),"['Unified_cpp_docshell_base0.cpp', 'builds/worker/workspace/obj-build/dist/include/mozilla/dom/quota/QuotaCommon.h', 'builds/worker/workspace/obj-build/dist/include/mozilla/MacroArgs.h', '-fsanitize-blacklist=/builds/worker/workspace/obj-build/ubsan_black"&amp;"list.txt', 'builds/worker/checkouts/gecko/dom/fs/parent/FileSystemManagerParentFactory.cpp', 'builds/worker/workspace/obj-build/mozilla-config.h', 'builds/worker/checkouts/gecko/dom/fs/parent/FileSystemManagerParent.cpp', 'builds/worker/checkouts/gecko/co"&amp;"nfig/gcc_hidden.h', 'Unified_cpp_dom_fs_parent0.cpp']")</f>
        <v>['Unified_cpp_docshell_base0.cpp', 'builds/worker/workspace/obj-build/dist/include/mozilla/dom/quota/QuotaCommon.h', 'builds/worker/workspace/obj-build/dist/include/mozilla/MacroArgs.h', '-fsanitize-blacklist=/builds/worker/workspace/obj-build/ubsan_blacklist.txt', 'builds/worker/checkouts/gecko/dom/fs/parent/FileSystemManagerParentFactory.cpp', 'builds/worker/workspace/obj-build/mozilla-config.h', 'builds/worker/checkouts/gecko/dom/fs/parent/FileSystemManagerParent.cpp', 'builds/worker/checkouts/gecko/config/gcc_hidden.h', 'Unified_cpp_dom_fs_parent0.cpp']</v>
      </c>
      <c r="K145" s="3" t="str">
        <f ca="1">IFERROR(__xludf.DUMMYFUNCTION("""COMPUTED_VALUE"""),"System Dumps")</f>
        <v>System Dumps</v>
      </c>
      <c r="L145" s="3" t="str">
        <f ca="1">IFERROR(__xludf.DUMMYFUNCTION("""COMPUTED_VALUE"""),"File names are part of bug title, attachment title or commit messages")</f>
        <v>File names are part of bug title, attachment title or commit messages</v>
      </c>
      <c r="M145" s="3"/>
      <c r="N145" s="3"/>
      <c r="O145" s="3" t="str">
        <f ca="1">IFERROR(__xludf.DUMMYFUNCTION("""COMPUTED_VALUE"""),"the files at the fourth position in stack trace seems to fix the issue (in this case FileSystemManagerParent.cpp). Points to bug fix solution from another similar bug")</f>
        <v>the files at the fourth position in stack trace seems to fix the issue (in this case FileSystemManagerParent.cpp). Points to bug fix solution from another similar bug</v>
      </c>
    </row>
    <row r="146" spans="1:15" ht="42">
      <c r="A146" s="3" t="s">
        <v>65</v>
      </c>
      <c r="B146" s="3" t="str">
        <f ca="1">IFERROR(__xludf.DUMMYFUNCTION("""COMPUTED_VALUE"""),"Agree")</f>
        <v>Agree</v>
      </c>
      <c r="C146" s="3" t="str">
        <f ca="1">IFERROR(__xludf.DUMMYFUNCTION("""COMPUTED_VALUE"""),"Partial")</f>
        <v>Partial</v>
      </c>
      <c r="D146" s="3">
        <f ca="1">IFERROR(__xludf.DUMMYFUNCTION("""COMPUTED_VALUE"""),33)</f>
        <v>33</v>
      </c>
      <c r="E146" s="3" t="str">
        <f ca="1">IFERROR(__xludf.DUMMYFUNCTION("""COMPUTED_VALUE"""),"Yes")</f>
        <v>Yes</v>
      </c>
      <c r="F146" s="3" t="str">
        <f ca="1">IFERROR(__xludf.DUMMYFUNCTION("""COMPUTED_VALUE"""),"FixRef")</f>
        <v>FixRef</v>
      </c>
      <c r="G146" s="3">
        <f ca="1">IFERROR(__xludf.DUMMYFUNCTION("""COMPUTED_VALUE"""),1689155)</f>
        <v>1689155</v>
      </c>
      <c r="H146" s="3" t="str">
        <f ca="1">IFERROR(__xludf.DUMMYFUNCTION("""COMPUTED_VALUE"""),"{1618639}")</f>
        <v>{1618639}</v>
      </c>
      <c r="I146" s="3" t="str">
        <f ca="1">IFERROR(__xludf.DUMMYFUNCTION("""COMPUTED_VALUE"""),"1689155 - Focus ring on links after switching back to tabs after 85 update.")</f>
        <v>1689155 - Focus ring on links after switching back to tabs after 85 update.</v>
      </c>
      <c r="J146" s="3" t="str">
        <f ca="1">IFERROR(__xludf.DUMMYFUNCTION("""COMPUTED_VALUE"""),"['browser_outline_refocus.js']")</f>
        <v>['browser_outline_refocus.js']</v>
      </c>
      <c r="K146" s="3" t="str">
        <f ca="1">IFERROR(__xludf.DUMMYFUNCTION("""COMPUTED_VALUE"""),"Bug Description")</f>
        <v>Bug Description</v>
      </c>
      <c r="L146" s="3"/>
      <c r="M146" s="3"/>
      <c r="N146" s="3"/>
      <c r="O146" s="3" t="str">
        <f ca="1">IFERROR(__xludf.DUMMYFUNCTION("""COMPUTED_VALUE"""),"Changeset cause the failure in the file")</f>
        <v>Changeset cause the failure in the file</v>
      </c>
    </row>
    <row r="147" spans="1:15" ht="56">
      <c r="A147" s="3" t="s">
        <v>65</v>
      </c>
      <c r="B147" s="3"/>
      <c r="C147" s="3" t="str">
        <f ca="1">IFERROR(__xludf.DUMMYFUNCTION("""COMPUTED_VALUE"""),"Agree")</f>
        <v>Agree</v>
      </c>
      <c r="D147" s="3">
        <f ca="1">IFERROR(__xludf.DUMMYFUNCTION("""COMPUTED_VALUE"""),34)</f>
        <v>34</v>
      </c>
      <c r="E147" s="3" t="str">
        <f ca="1">IFERROR(__xludf.DUMMYFUNCTION("""COMPUTED_VALUE"""),"Yes")</f>
        <v>Yes</v>
      </c>
      <c r="F147" s="3" t="str">
        <f ca="1">IFERROR(__xludf.DUMMYFUNCTION("""COMPUTED_VALUE"""),"BothRef")</f>
        <v>BothRef</v>
      </c>
      <c r="G147" s="3">
        <f ca="1">IFERROR(__xludf.DUMMYFUNCTION("""COMPUTED_VALUE"""),1759281)</f>
        <v>1759281</v>
      </c>
      <c r="H147" s="3" t="str">
        <f ca="1">IFERROR(__xludf.DUMMYFUNCTION("""COMPUTED_VALUE"""),"{1753692}")</f>
        <v>{1753692}</v>
      </c>
      <c r="I147" s="4" t="str">
        <f ca="1">IFERROR(__xludf.DUMMYFUNCTION("""COMPUTED_VALUE"""),"https://bugzilla.mozilla.org/show_bug.cgi?id=1759281")</f>
        <v>https://bugzilla.mozilla.org/show_bug.cgi?id=1759281</v>
      </c>
      <c r="J147" s="3" t="str">
        <f ca="1">IFERROR(__xludf.DUMMYFUNCTION("""COMPUTED_VALUE"""),"['builds/worker/checkouts/gecko/js/src/wasm/WasmTlsData.h', 'builds/worker/workspace/sm-package/mozjs-100.0.0/js/src/wasm/WasmInstance.h', 'WasmInstance.h', 'builds/worker/checkouts/gecko/js/src/wasm/WasmInstance.h']")</f>
        <v>['builds/worker/checkouts/gecko/js/src/wasm/WasmTlsData.h', 'builds/worker/workspace/sm-package/mozjs-100.0.0/js/src/wasm/WasmInstance.h', 'WasmInstance.h', 'builds/worker/checkouts/gecko/js/src/wasm/WasmInstance.h']</v>
      </c>
      <c r="K147" s="3" t="str">
        <f ca="1">IFERROR(__xludf.DUMMYFUNCTION("""COMPUTED_VALUE"""),"System Dumps")</f>
        <v>System Dumps</v>
      </c>
      <c r="L147" s="3" t="str">
        <f ca="1">IFERROR(__xludf.DUMMYFUNCTION("""COMPUTED_VALUE"""),"File names are part of bug title, attachment title or commit messages")</f>
        <v>File names are part of bug title, attachment title or commit messages</v>
      </c>
      <c r="M147" s="3"/>
      <c r="N147" s="3"/>
      <c r="O147" s="3" t="str">
        <f ca="1">IFERROR(__xludf.DUMMYFUNCTION("""COMPUTED_VALUE"""),"the files at the top of stack trace seems to fix the issue (in this case WasmInstance.h and WasmInstance.cpp)")</f>
        <v>the files at the top of stack trace seems to fix the issue (in this case WasmInstance.h and WasmInstance.cpp)</v>
      </c>
    </row>
    <row r="148" spans="1:15" ht="42">
      <c r="A148" s="3" t="s">
        <v>65</v>
      </c>
      <c r="B148" s="3"/>
      <c r="C148" s="3" t="str">
        <f ca="1">IFERROR(__xludf.DUMMYFUNCTION("""COMPUTED_VALUE"""),"Agree")</f>
        <v>Agree</v>
      </c>
      <c r="D148" s="3">
        <f ca="1">IFERROR(__xludf.DUMMYFUNCTION("""COMPUTED_VALUE"""),35)</f>
        <v>35</v>
      </c>
      <c r="E148" s="3" t="str">
        <f ca="1">IFERROR(__xludf.DUMMYFUNCTION("""COMPUTED_VALUE"""),"Yes")</f>
        <v>Yes</v>
      </c>
      <c r="F148" s="3" t="str">
        <f ca="1">IFERROR(__xludf.DUMMYFUNCTION("""COMPUTED_VALUE"""),"BothRef")</f>
        <v>BothRef</v>
      </c>
      <c r="G148" s="3">
        <f ca="1">IFERROR(__xludf.DUMMYFUNCTION("""COMPUTED_VALUE"""),1708217)</f>
        <v>1708217</v>
      </c>
      <c r="H148" s="3" t="str">
        <f ca="1">IFERROR(__xludf.DUMMYFUNCTION("""COMPUTED_VALUE"""),"{1700957}")</f>
        <v>{1700957}</v>
      </c>
      <c r="I148" s="4" t="str">
        <f ca="1">IFERROR(__xludf.DUMMYFUNCTION("""COMPUTED_VALUE"""),"https://bugzilla.mozilla.org/show_bug.cgi?id=1708217")</f>
        <v>https://bugzilla.mozilla.org/show_bug.cgi?id=1708217</v>
      </c>
      <c r="J148" s="3" t="str">
        <f ca="1">IFERROR(__xludf.DUMMYFUNCTION("""COMPUTED_VALUE"""),"['hg.mozilla.org/mozilla-central/file/e01ec8694924852acd5a4632c23f9dc8a6b19858/browser/themes/shared/controlcenter/panel.inc.css']")</f>
        <v>['hg.mozilla.org/mozilla-central/file/e01ec8694924852acd5a4632c23f9dc8a6b19858/browser/themes/shared/controlcenter/panel.inc.css']</v>
      </c>
      <c r="K148" s="3" t="str">
        <f ca="1">IFERROR(__xludf.DUMMYFUNCTION("""COMPUTED_VALUE"""),"Bug Description")</f>
        <v>Bug Description</v>
      </c>
      <c r="L148" s="3"/>
      <c r="M148" s="3"/>
      <c r="N148" s="3"/>
      <c r="O148" s="3"/>
    </row>
    <row r="149" spans="1:15" ht="409.6">
      <c r="A149" s="3" t="s">
        <v>65</v>
      </c>
      <c r="B149" s="3" t="str">
        <f ca="1">IFERROR(__xludf.DUMMYFUNCTION("""COMPUTED_VALUE"""),"Agree")</f>
        <v>Agree</v>
      </c>
      <c r="C149" s="3" t="str">
        <f ca="1">IFERROR(__xludf.DUMMYFUNCTION("""COMPUTED_VALUE"""),"Partial")</f>
        <v>Partial</v>
      </c>
      <c r="D149" s="3">
        <f ca="1">IFERROR(__xludf.DUMMYFUNCTION("""COMPUTED_VALUE"""),36)</f>
        <v>36</v>
      </c>
      <c r="E149" s="3" t="str">
        <f ca="1">IFERROR(__xludf.DUMMYFUNCTION("""COMPUTED_VALUE"""),"Yes")</f>
        <v>Yes</v>
      </c>
      <c r="F149" s="3" t="str">
        <f ca="1">IFERROR(__xludf.DUMMYFUNCTION("""COMPUTED_VALUE"""),"BothRef")</f>
        <v>BothRef</v>
      </c>
      <c r="G149" s="3">
        <f ca="1">IFERROR(__xludf.DUMMYFUNCTION("""COMPUTED_VALUE"""),1684497)</f>
        <v>1684497</v>
      </c>
      <c r="H149" s="3" t="str">
        <f ca="1">IFERROR(__xludf.DUMMYFUNCTION("""COMPUTED_VALUE"""),"{1663230}")</f>
        <v>{1663230}</v>
      </c>
      <c r="I149" s="4" t="str">
        <f ca="1">IFERROR(__xludf.DUMMYFUNCTION("""COMPUTED_VALUE"""),"https://bugzilla.mozilla.org/show_bug.cgi?id=1684497")</f>
        <v>https://bugzilla.mozilla.org/show_bug.cgi?id=1684497</v>
      </c>
      <c r="J149" s="3" t="str">
        <f ca="1">IFERROR(__xludf.DUMMYFUNCTION("""COMPUTED_VALUE"""),"['src/view/nsViewManager.cpp', 'src/browser/app/../../ipc/contentproc/plugin-container.cpp', 'src/layout/mathml/nsMathMLContainerFrame.cpp', 'src/ipc/glue/MessagePump.cpp', 'src/gfx/thebes/gfxFont.cpp', 'builds/worker/workspace/obj-build/ipc/ipdl/PBackgro"&amp;"undChild.cpp', 'src/layout/base/nsRefreshDriver.cpp', 'src/layout/generic/nsBlockFrame.cpp', 'builds/worker/workspace/obj-build/dist/include/gfxFont.h', 'src/xpcom/threads/nsThreadUtils.cpp', 'src/layout/base/nsLayoutUtils.cpp', 'src/ipc/chromium/src/base"&amp;"/message_loop.cc', 'src/gfx/layers/wr/WebRenderLayerManager.cpp', 'src/xpcom/threads/TaskController.cpp', 'src/gfx/layers/wr/WebRenderCommandBuilder.cpp', 'src/browser/app/nsBrowserApp.cpp', 'pernos.co/debug/qAXj5TiEttfWGhUP3vXqnw/index.html', 'src/widget"&amp;"/nsBaseAppShell.cpp', 'src/gfx/thebes/gfxTextRun.cpp', 'build/glibc-2ORdQG/glibc-2.27/csu/../csu/libc-start.c', 'builds/worker/workspace/obj-build/ipc/ipdl/PVsyncChild.cpp', 'src/dom/ipc/VsyncChild.cpp', 'src/layout/generic/nsTextRunTransformations.cpp', "&amp;"'src/layout/generic/nsTextFrame.cpp', 'src/xpcom/threads/nsThread.cpp', 'src/ipc/glue/MessageChannel.cpp', 'builds/worker/workspace/obj-build/dist/include/mozilla/Maybe.h', 'src/layout/generic/ReflowInput.cpp', 'src/layout/generic/nsIFrame.cpp', 'src/layo"&amp;"ut/base/PresShell.cpp', 'src/layout/painting/nsDisplayList.cpp', 'builds/worker/fetches/llvm-project/llvm/projects/compiler-rt/lib/asan/asan_malloc_linux.cpp', 'builds/worker/workspace/obj-build/dist/include/nsThreadUtils.h', 'builds/worker/workspace/obj-"&amp;"build/dist/include/gfxTextRun.h', 'src/toolkit/xre/nsEmbedFunctions.cpp', 'prod_comp_changed_with_priority.py', 'src/layout/generic/nsContainerFrame.cpp']")</f>
        <v>['src/view/nsViewManager.cpp', 'src/browser/app/../../ipc/contentproc/plugin-container.cpp', 'src/layout/mathml/nsMathMLContainerFrame.cpp', 'src/ipc/glue/MessagePump.cpp', 'src/gfx/thebes/gfxFont.cpp', 'builds/worker/workspace/obj-build/ipc/ipdl/PBackgroundChild.cpp', 'src/layout/base/nsRefreshDriver.cpp', 'src/layout/generic/nsBlockFrame.cpp', 'builds/worker/workspace/obj-build/dist/include/gfxFont.h', 'src/xpcom/threads/nsThreadUtils.cpp', 'src/layout/base/nsLayoutUtils.cpp', 'src/ipc/chromium/src/base/message_loop.cc', 'src/gfx/layers/wr/WebRenderLayerManager.cpp', 'src/xpcom/threads/TaskController.cpp', 'src/gfx/layers/wr/WebRenderCommandBuilder.cpp', 'src/browser/app/nsBrowserApp.cpp', 'pernos.co/debug/qAXj5TiEttfWGhUP3vXqnw/index.html', 'src/widget/nsBaseAppShell.cpp', 'src/gfx/thebes/gfxTextRun.cpp', 'build/glibc-2ORdQG/glibc-2.27/csu/../csu/libc-start.c', 'builds/worker/workspace/obj-build/ipc/ipdl/PVsyncChild.cpp', 'src/dom/ipc/VsyncChild.cpp', 'src/layout/generic/nsTextRunTransformations.cpp', 'src/layout/generic/nsTextFrame.cpp', 'src/xpcom/threads/nsThread.cpp', 'src/ipc/glue/MessageChannel.cpp', 'builds/worker/workspace/obj-build/dist/include/mozilla/Maybe.h', 'src/layout/generic/ReflowInput.cpp', 'src/layout/generic/nsIFrame.cpp', 'src/layout/base/PresShell.cpp', 'src/layout/painting/nsDisplayList.cpp', 'builds/worker/fetches/llvm-project/llvm/projects/compiler-rt/lib/asan/asan_malloc_linux.cpp', 'builds/worker/workspace/obj-build/dist/include/nsThreadUtils.h', 'builds/worker/workspace/obj-build/dist/include/gfxTextRun.h', 'src/toolkit/xre/nsEmbedFunctions.cpp', 'prod_comp_changed_with_priority.py', 'src/layout/generic/nsContainerFrame.cpp']</v>
      </c>
      <c r="K149" s="3" t="str">
        <f ca="1">IFERROR(__xludf.DUMMYFUNCTION("""COMPUTED_VALUE"""),"System Dumps")</f>
        <v>System Dumps</v>
      </c>
      <c r="L149" s="3"/>
      <c r="M149" s="3"/>
      <c r="N149" s="3"/>
      <c r="O149" s="3" t="str">
        <f ca="1">IFERROR(__xludf.DUMMYFUNCTION("""COMPUTED_VALUE"""),"Points to buggy functions. Show interest in developing static analysis and therefor ask for a high level analysis of the bug. ")</f>
        <v xml:space="preserve">Points to buggy functions. Show interest in developing static analysis and therefor ask for a high level analysis of the bug. </v>
      </c>
    </row>
    <row r="150" spans="1:15" ht="56">
      <c r="A150" s="3" t="s">
        <v>65</v>
      </c>
      <c r="B150" s="3"/>
      <c r="C150" s="3" t="str">
        <f ca="1">IFERROR(__xludf.DUMMYFUNCTION("""COMPUTED_VALUE"""),"Agree")</f>
        <v>Agree</v>
      </c>
      <c r="D150" s="3">
        <f ca="1">IFERROR(__xludf.DUMMYFUNCTION("""COMPUTED_VALUE"""),37)</f>
        <v>37</v>
      </c>
      <c r="E150" s="3" t="str">
        <f ca="1">IFERROR(__xludf.DUMMYFUNCTION("""COMPUTED_VALUE"""),"Yes")</f>
        <v>Yes</v>
      </c>
      <c r="F150" s="3" t="str">
        <f ca="1">IFERROR(__xludf.DUMMYFUNCTION("""COMPUTED_VALUE"""),"FixRef")</f>
        <v>FixRef</v>
      </c>
      <c r="G150" s="3">
        <f ca="1">IFERROR(__xludf.DUMMYFUNCTION("""COMPUTED_VALUE"""),1734984)</f>
        <v>1734984</v>
      </c>
      <c r="H150" s="3" t="str">
        <f ca="1">IFERROR(__xludf.DUMMYFUNCTION("""COMPUTED_VALUE"""),"{1729395}")</f>
        <v>{1729395}</v>
      </c>
      <c r="I150" s="3" t="str">
        <f ca="1">IFERROR(__xludf.DUMMYFUNCTION("""COMPUTED_VALUE"""),"1734984 - sender.url of the message sent at document_start is the previous page URL in this tab")</f>
        <v>1734984 - sender.url of the message sent at document_start is the previous page URL in this tab</v>
      </c>
      <c r="J150" s="3" t="str">
        <f ca="1">IFERROR(__xludf.DUMMYFUNCTION("""COMPUTED_VALUE"""),"['browser_ext_contentscript_sender_url.js']")</f>
        <v>['browser_ext_contentscript_sender_url.js']</v>
      </c>
      <c r="K150" s="3" t="str">
        <f ca="1">IFERROR(__xludf.DUMMYFUNCTION("""COMPUTED_VALUE"""),"Backout")</f>
        <v>Backout</v>
      </c>
      <c r="L150" s="3"/>
      <c r="M150" s="3"/>
      <c r="N150" s="3"/>
      <c r="O150" s="3"/>
    </row>
    <row r="151" spans="1:15" ht="42">
      <c r="A151" s="3" t="s">
        <v>65</v>
      </c>
      <c r="B151" s="3" t="str">
        <f ca="1">IFERROR(__xludf.DUMMYFUNCTION("""COMPUTED_VALUE"""),"Agree")</f>
        <v>Agree</v>
      </c>
      <c r="C151" s="3" t="str">
        <f ca="1">IFERROR(__xludf.DUMMYFUNCTION("""COMPUTED_VALUE"""),"Disagree")</f>
        <v>Disagree</v>
      </c>
      <c r="D151" s="3">
        <f ca="1">IFERROR(__xludf.DUMMYFUNCTION("""COMPUTED_VALUE"""),38)</f>
        <v>38</v>
      </c>
      <c r="E151" s="3" t="str">
        <f ca="1">IFERROR(__xludf.DUMMYFUNCTION("""COMPUTED_VALUE"""),"Yes")</f>
        <v>Yes</v>
      </c>
      <c r="F151" s="3" t="str">
        <f ca="1">IFERROR(__xludf.DUMMYFUNCTION("""COMPUTED_VALUE"""),"BothRef")</f>
        <v>BothRef</v>
      </c>
      <c r="G151" s="3">
        <f ca="1">IFERROR(__xludf.DUMMYFUNCTION("""COMPUTED_VALUE"""),1726532)</f>
        <v>1726532</v>
      </c>
      <c r="H151" s="3" t="str">
        <f ca="1">IFERROR(__xludf.DUMMYFUNCTION("""COMPUTED_VALUE"""),"{1718924, 1311934}")</f>
        <v>{1718924, 1311934}</v>
      </c>
      <c r="I151" s="4" t="str">
        <f ca="1">IFERROR(__xludf.DUMMYFUNCTION("""COMPUTED_VALUE"""),"https://bugzilla.mozilla.org/show_bug.cgi?id=1726532")</f>
        <v>https://bugzilla.mozilla.org/show_bug.cgi?id=1726532</v>
      </c>
      <c r="J151" s="3" t="str">
        <f ca="1">IFERROR(__xludf.DUMMYFUNCTION("""COMPUTED_VALUE"""),"['searchfox.org/mozilla-central/diff/886c96059ef6408618040356017028621bc574b9/editor/spellchecker/TextServicesDocument.cpp']")</f>
        <v>['searchfox.org/mozilla-central/diff/886c96059ef6408618040356017028621bc574b9/editor/spellchecker/TextServicesDocument.cpp']</v>
      </c>
      <c r="K151" s="3" t="str">
        <f ca="1">IFERROR(__xludf.DUMMYFUNCTION("""COMPUTED_VALUE"""),"Bug Description")</f>
        <v>Bug Description</v>
      </c>
      <c r="L151" s="3"/>
      <c r="M151" s="3"/>
      <c r="N151" s="3"/>
      <c r="O151" s="3"/>
    </row>
    <row r="152" spans="1:15" ht="409.6">
      <c r="A152" s="3" t="s">
        <v>65</v>
      </c>
      <c r="B152" s="3" t="str">
        <f ca="1">IFERROR(__xludf.DUMMYFUNCTION("""COMPUTED_VALUE"""),"Agree")</f>
        <v>Agree</v>
      </c>
      <c r="C152" s="3" t="str">
        <f ca="1">IFERROR(__xludf.DUMMYFUNCTION("""COMPUTED_VALUE"""),"Partial")</f>
        <v>Partial</v>
      </c>
      <c r="D152" s="3">
        <f ca="1">IFERROR(__xludf.DUMMYFUNCTION("""COMPUTED_VALUE"""),39)</f>
        <v>39</v>
      </c>
      <c r="E152" s="3" t="str">
        <f ca="1">IFERROR(__xludf.DUMMYFUNCTION("""COMPUTED_VALUE"""),"Yes")</f>
        <v>Yes</v>
      </c>
      <c r="F152" s="3" t="str">
        <f ca="1">IFERROR(__xludf.DUMMYFUNCTION("""COMPUTED_VALUE"""),"FixRef")</f>
        <v>FixRef</v>
      </c>
      <c r="G152" s="3">
        <f ca="1">IFERROR(__xludf.DUMMYFUNCTION("""COMPUTED_VALUE"""),1588259)</f>
        <v>1588259</v>
      </c>
      <c r="H152" s="3" t="str">
        <f ca="1">IFERROR(__xludf.DUMMYFUNCTION("""COMPUTED_VALUE"""),"{1602173}")</f>
        <v>{1602173}</v>
      </c>
      <c r="I152" s="3" t="str">
        <f ca="1">IFERROR(__xludf.DUMMYFUNCTION("""COMPUTED_VALUE"""),"Assertion failure: !chan (Why is there a document channel?), at src/toolkit/components/windowwatcher/nsWindowWatcher.cpp:996")</f>
        <v>Assertion failure: !chan (Why is there a document channel?), at src/toolkit/components/windowwatcher/nsWindowWatcher.cpp:996</v>
      </c>
      <c r="J152" s="3" t="str">
        <f ca="1">IFERROR(__xludf.DUMMYFUNCTION("""COMPUTED_VALUE"""),"['browser/app/nsBrowserApp.cpp', 'ipc/glue/MessageChannel.cpp', '1588259.html', 'xpcom/threads/nsThread.cpp', 'src/toolkit/components/windowwatcher/nsWindowWatcher.cpp', 'toolkit/components/windowwatcher/nsWindowWatcher.cpp', 'dom/bindings/BindingUtils.cp"&amp;"p', 'fd8cde07bc12da00eb110c7ee29edc1f156c76a3c38880b5eb998e6f5a508d631a6ba97e85c721400241c86c5644225bfec5fe45de8b84ef4fe326e48c5521d0/ipc/ipdl/PContentChild.cpp', 'pernos.co/debug/bVyvx3KJNllEhcokvK5prg/index.html', 'dom/base/nsGlobalWindowOuter.cpp', 'wi"&amp;"dget/nsBaseAppShell.cpp', 'js/src/jsapi.cpp', 'ipc/contentproc/plugin-container.cpp', 'dom/ipc/BrowserChild.cpp', 'treeherder.mozilla.org/intermittent-failures.html', 'searchfox.org/mozilla-central/rev/2f09184ec781a2667feec87499d4b81b32b6c48e/dom/base/Doc"&amp;"ument.cpp', 'acb3317ac9d61072476fc2d6ab9176bbb27feb31767ae7cd988b70851fa5be542fe03c469f03a486a2810b4af28eeab4b9162824485f333d59e63670d387c6d9/dom/bindings/MessageManagerBinding.cpp', 'ipc/chromium/src/base/message_loop.cc', 'treeherder.mozilla.org/logview"&amp;"er.html', 'xpcom/threads/nsThreadUtils.cpp', '84c23ddf36d28d54592fdfd39a82edc0df0d230ab7a09a827af294045764b77b75846c8e6784029203b6b7ef8fc8a28ad34e8c109f541581145bf5e0ebc07b32/ipc/ipdl/PBrowserChild.cpp', 'dom/base/nsGlobalWindowInner.cpp', 'js/src/vm/Inte"&amp;"rpreter.cpp', '69b81aac238fb2c3636a98f044e80fbb6d1d2f3d96731bb4792037410341ae71dfcc1fee0a36805040045dcb619619a99678d3ce937864c138673d150964450f/dom/bindings/WindowBinding.cpp', 'dom/base/nsFrameMessageManager.h', 'ipc/glue/MessagePump.cpp', 'toolkit/xre/n"&amp;"sEmbedFunctions.cpp', 'testcase.html', 'xpcom/threads/SchedulerGroup.cpp', '1da160f012ddb89bbe79c69f36ef267f43ae64110996cf1d23d0a8d3ee8d408cc7ec7c4b7706e07605c4f95cd1f997c55066f7671308d4e706b4342fb7345bca/dist/include/mozilla/dom/MessageManagerBinding.h',"&amp;" 'workflow.2Fno_priority.py']")</f>
        <v>['browser/app/nsBrowserApp.cpp', 'ipc/glue/MessageChannel.cpp', '1588259.html', 'xpcom/threads/nsThread.cpp', 'src/toolkit/components/windowwatcher/nsWindowWatcher.cpp', 'toolkit/components/windowwatcher/nsWindowWatcher.cpp', 'dom/bindings/BindingUtils.cpp', 'fd8cde07bc12da00eb110c7ee29edc1f156c76a3c38880b5eb998e6f5a508d631a6ba97e85c721400241c86c5644225bfec5fe45de8b84ef4fe326e48c5521d0/ipc/ipdl/PContentChild.cpp', 'pernos.co/debug/bVyvx3KJNllEhcokvK5prg/index.html', 'dom/base/nsGlobalWindowOuter.cpp', 'widget/nsBaseAppShell.cpp', 'js/src/jsapi.cpp', 'ipc/contentproc/plugin-container.cpp', 'dom/ipc/BrowserChild.cpp', 'treeherder.mozilla.org/intermittent-failures.html', 'searchfox.org/mozilla-central/rev/2f09184ec781a2667feec87499d4b81b32b6c48e/dom/base/Document.cpp', 'acb3317ac9d61072476fc2d6ab9176bbb27feb31767ae7cd988b70851fa5be542fe03c469f03a486a2810b4af28eeab4b9162824485f333d59e63670d387c6d9/dom/bindings/MessageManagerBinding.cpp', 'ipc/chromium/src/base/message_loop.cc', 'treeherder.mozilla.org/logviewer.html', 'xpcom/threads/nsThreadUtils.cpp', '84c23ddf36d28d54592fdfd39a82edc0df0d230ab7a09a827af294045764b77b75846c8e6784029203b6b7ef8fc8a28ad34e8c109f541581145bf5e0ebc07b32/ipc/ipdl/PBrowserChild.cpp', 'dom/base/nsGlobalWindowInner.cpp', 'js/src/vm/Interpreter.cpp', '69b81aac238fb2c3636a98f044e80fbb6d1d2f3d96731bb4792037410341ae71dfcc1fee0a36805040045dcb619619a99678d3ce937864c138673d150964450f/dom/bindings/WindowBinding.cpp', 'dom/base/nsFrameMessageManager.h', 'ipc/glue/MessagePump.cpp', 'toolkit/xre/nsEmbedFunctions.cpp', 'testcase.html', 'xpcom/threads/SchedulerGroup.cpp', '1da160f012ddb89bbe79c69f36ef267f43ae64110996cf1d23d0a8d3ee8d408cc7ec7c4b7706e07605c4f95cd1f997c55066f7671308d4e706b4342fb7345bca/dist/include/mozilla/dom/MessageManagerBinding.h', 'workflow.2Fno_priority.py']</v>
      </c>
      <c r="K152" s="3" t="str">
        <f ca="1">IFERROR(__xludf.DUMMYFUNCTION("""COMPUTED_VALUE"""),"System Dumps")</f>
        <v>System Dumps</v>
      </c>
      <c r="L152" s="3" t="str">
        <f ca="1">IFERROR(__xludf.DUMMYFUNCTION("""COMPUTED_VALUE"""),"Bug Description")</f>
        <v>Bug Description</v>
      </c>
      <c r="M152" s="3" t="str">
        <f ca="1">IFERROR(__xludf.DUMMYFUNCTION("""COMPUTED_VALUE"""),"File names are part of bug title, attachment title or commit messages")</f>
        <v>File names are part of bug title, attachment title or commit messages</v>
      </c>
      <c r="N152" s="3"/>
      <c r="O152" s="3" t="str">
        <f ca="1">IFERROR(__xludf.DUMMYFUNCTION("""COMPUTED_VALUE"""),"the stack trace does not contains the files that are fixed. Solution Draft")</f>
        <v>the stack trace does not contains the files that are fixed. Solution Draft</v>
      </c>
    </row>
    <row r="153" spans="1:15" ht="154">
      <c r="A153" s="3" t="s">
        <v>65</v>
      </c>
      <c r="B153" s="3" t="str">
        <f ca="1">IFERROR(__xludf.DUMMYFUNCTION("""COMPUTED_VALUE"""),"Agree")</f>
        <v>Agree</v>
      </c>
      <c r="C153" s="3" t="str">
        <f ca="1">IFERROR(__xludf.DUMMYFUNCTION("""COMPUTED_VALUE"""),"Partial")</f>
        <v>Partial</v>
      </c>
      <c r="D153" s="3">
        <f ca="1">IFERROR(__xludf.DUMMYFUNCTION("""COMPUTED_VALUE"""),40)</f>
        <v>40</v>
      </c>
      <c r="E153" s="3" t="str">
        <f ca="1">IFERROR(__xludf.DUMMYFUNCTION("""COMPUTED_VALUE"""),"Yes")</f>
        <v>Yes</v>
      </c>
      <c r="F153" s="3" t="str">
        <f ca="1">IFERROR(__xludf.DUMMYFUNCTION("""COMPUTED_VALUE"""),"FixRef")</f>
        <v>FixRef</v>
      </c>
      <c r="G153" s="3">
        <f ca="1">IFERROR(__xludf.DUMMYFUNCTION("""COMPUTED_VALUE"""),1720512)</f>
        <v>1720512</v>
      </c>
      <c r="H153" s="3" t="str">
        <f ca="1">IFERROR(__xludf.DUMMYFUNCTION("""COMPUTED_VALUE"""),"{1717739}")</f>
        <v>{1717739}</v>
      </c>
      <c r="I153" s="4" t="str">
        <f ca="1">IFERROR(__xludf.DUMMYFUNCTION("""COMPUTED_VALUE"""),"https://bugzilla.mozilla.org/show_bug.cgi?id=1720512")</f>
        <v>https://bugzilla.mozilla.org/show_bug.cgi?id=1720512</v>
      </c>
      <c r="J153" s="3" t="str">
        <f ca="1">IFERROR(__xludf.DUMMYFUNCTION("""COMPUTED_VALUE"""),"['devtools/shared/Loader.jsm', 'searchfox.org/mozilla-central/rev/c0fc8c4852e927b0ae75d893d35772b8c60ee06b/devtools/client/debugger/src/utils/breakpoint/index.js', 'devtools/shared/protocol/Actor.js', 'devtools/server/devtools-server-connection.js', 'Acto"&amp;"r.js', 'devtools/server/actors/watcher.js', 'devtools/server/actors/breakpoint-list.js', 'devtools/server/actors/watcher/WatcherRegistry.jsm', 'devtools/client/debugger/src/utils/breakpoint/index.js', 'devtools/shared/transport/local-transport.js', 'devto"&amp;"ols/server/actors/watcher/WatchedDataHelpers.jsm', 'scratch.json', 'devtools/shared/ThreadSafeDevToolsUtils.js']")</f>
        <v>['devtools/shared/Loader.jsm', 'searchfox.org/mozilla-central/rev/c0fc8c4852e927b0ae75d893d35772b8c60ee06b/devtools/client/debugger/src/utils/breakpoint/index.js', 'devtools/shared/protocol/Actor.js', 'devtools/server/devtools-server-connection.js', 'Actor.js', 'devtools/server/actors/watcher.js', 'devtools/server/actors/breakpoint-list.js', 'devtools/server/actors/watcher/WatcherRegistry.jsm', 'devtools/client/debugger/src/utils/breakpoint/index.js', 'devtools/shared/transport/local-transport.js', 'devtools/server/actors/watcher/WatchedDataHelpers.jsm', 'scratch.json', 'devtools/shared/ThreadSafeDevToolsUtils.js']</v>
      </c>
      <c r="K153" s="3" t="str">
        <f ca="1">IFERROR(__xludf.DUMMYFUNCTION("""COMPUTED_VALUE"""),"System Dumps")</f>
        <v>System Dumps</v>
      </c>
      <c r="L153" s="3" t="str">
        <f ca="1">IFERROR(__xludf.DUMMYFUNCTION("""COMPUTED_VALUE"""),"File to Reproduce the Bug")</f>
        <v>File to Reproduce the Bug</v>
      </c>
      <c r="M153" s="3"/>
      <c r="N153" s="3"/>
      <c r="O153" s="3"/>
    </row>
    <row r="154" spans="1:15" ht="42">
      <c r="A154" s="3" t="s">
        <v>65</v>
      </c>
      <c r="B154" s="3" t="str">
        <f ca="1">IFERROR(__xludf.DUMMYFUNCTION("""COMPUTED_VALUE"""),"Agree")</f>
        <v>Agree</v>
      </c>
      <c r="C154" s="3" t="str">
        <f ca="1">IFERROR(__xludf.DUMMYFUNCTION("""COMPUTED_VALUE"""),"Partial")</f>
        <v>Partial</v>
      </c>
      <c r="D154" s="3">
        <f ca="1">IFERROR(__xludf.DUMMYFUNCTION("""COMPUTED_VALUE"""),41)</f>
        <v>41</v>
      </c>
      <c r="E154" s="3" t="str">
        <f ca="1">IFERROR(__xludf.DUMMYFUNCTION("""COMPUTED_VALUE"""),"Yes")</f>
        <v>Yes</v>
      </c>
      <c r="F154" s="3" t="str">
        <f ca="1">IFERROR(__xludf.DUMMYFUNCTION("""COMPUTED_VALUE"""),"FixRef")</f>
        <v>FixRef</v>
      </c>
      <c r="G154" s="3">
        <f ca="1">IFERROR(__xludf.DUMMYFUNCTION("""COMPUTED_VALUE"""),1678413)</f>
        <v>1678413</v>
      </c>
      <c r="H154" s="3" t="str">
        <f ca="1">IFERROR(__xludf.DUMMYFUNCTION("""COMPUTED_VALUE"""),"{1465847}")</f>
        <v>{1465847}</v>
      </c>
      <c r="I154" s="3" t="str">
        <f ca="1">IFERROR(__xludf.DUMMYFUNCTION("""COMPUTED_VALUE"""),"1678413 - Blocking view-source via the WebsiteFilter causes a leak")</f>
        <v>1678413 - Blocking view-source via the WebsiteFilter causes a leak</v>
      </c>
      <c r="J154" s="3" t="str">
        <f ca="1">IFERROR(__xludf.DUMMYFUNCTION("""COMPUTED_VALUE"""),"['nsViewSourceChannel.h', 'searchfox.org/mozilla-central/rev/f081504642a115cb8236bea4d8250e5cb0f39b02/netwerk/protocol/http/nsHttpChannel.cpp', 'treeherder.mozilla.org/logviewer.html']")</f>
        <v>['nsViewSourceChannel.h', 'searchfox.org/mozilla-central/rev/f081504642a115cb8236bea4d8250e5cb0f39b02/netwerk/protocol/http/nsHttpChannel.cpp', 'treeherder.mozilla.org/logviewer.html']</v>
      </c>
      <c r="K154" s="3" t="str">
        <f ca="1">IFERROR(__xludf.DUMMYFUNCTION("""COMPUTED_VALUE"""),"Bug Description")</f>
        <v>Bug Description</v>
      </c>
      <c r="L154" s="3" t="str">
        <f ca="1">IFERROR(__xludf.DUMMYFUNCTION("""COMPUTED_VALUE"""),"System Dumps")</f>
        <v>System Dumps</v>
      </c>
      <c r="M154" s="3"/>
      <c r="N154" s="3"/>
      <c r="O154" s="3" t="str">
        <f ca="1">IFERROR(__xludf.DUMMYFUNCTION("""COMPUTED_VALUE"""),"File name without extension are part of attachment title or commit messages")</f>
        <v>File name without extension are part of attachment title or commit messages</v>
      </c>
    </row>
    <row r="155" spans="1:15" ht="56">
      <c r="A155" s="3" t="s">
        <v>65</v>
      </c>
      <c r="B155" s="3"/>
      <c r="C155" s="3" t="str">
        <f ca="1">IFERROR(__xludf.DUMMYFUNCTION("""COMPUTED_VALUE"""),"Agree")</f>
        <v>Agree</v>
      </c>
      <c r="D155" s="3">
        <f ca="1">IFERROR(__xludf.DUMMYFUNCTION("""COMPUTED_VALUE"""),42)</f>
        <v>42</v>
      </c>
      <c r="E155" s="3" t="str">
        <f ca="1">IFERROR(__xludf.DUMMYFUNCTION("""COMPUTED_VALUE"""),"Yes")</f>
        <v>Yes</v>
      </c>
      <c r="F155" s="3" t="str">
        <f ca="1">IFERROR(__xludf.DUMMYFUNCTION("""COMPUTED_VALUE"""),"FixRef")</f>
        <v>FixRef</v>
      </c>
      <c r="G155" s="3">
        <f ca="1">IFERROR(__xludf.DUMMYFUNCTION("""COMPUTED_VALUE"""),1618206)</f>
        <v>1618206</v>
      </c>
      <c r="H155" s="3" t="str">
        <f ca="1">IFERROR(__xludf.DUMMYFUNCTION("""COMPUTED_VALUE"""),"{1612106}")</f>
        <v>{1612106}</v>
      </c>
      <c r="I155" s="4" t="str">
        <f ca="1">IFERROR(__xludf.DUMMYFUNCTION("""COMPUTED_VALUE"""),"https://bugzilla.mozilla.org/show_bug.cgi?id=1618206")</f>
        <v>https://bugzilla.mozilla.org/show_bug.cgi?id=1618206</v>
      </c>
      <c r="J155" s="3" t="str">
        <f ca="1">IFERROR(__xludf.DUMMYFUNCTION("""COMPUTED_VALUE"""),"['update-and-send-events-replacement.html', 'web-animations/timing-model/timelines/update-and-send-events-replacement.html', 'treeherder.mozilla.org/logviewer.html']")</f>
        <v>['update-and-send-events-replacement.html', 'web-animations/timing-model/timelines/update-and-send-events-replacement.html', 'treeherder.mozilla.org/logviewer.html']</v>
      </c>
      <c r="K155" s="3" t="str">
        <f ca="1">IFERROR(__xludf.DUMMYFUNCTION("""COMPUTED_VALUE"""),"System Dumps")</f>
        <v>System Dumps</v>
      </c>
      <c r="L155" s="3" t="str">
        <f ca="1">IFERROR(__xludf.DUMMYFUNCTION("""COMPUTED_VALUE"""),"File names are part of bug title, attachment title or commit messages")</f>
        <v>File names are part of bug title, attachment title or commit messages</v>
      </c>
      <c r="M155" s="3" t="str">
        <f ca="1">IFERROR(__xludf.DUMMYFUNCTION("""COMPUTED_VALUE"""),"Links")</f>
        <v>Links</v>
      </c>
      <c r="N155" s="3"/>
      <c r="O155" s="3"/>
    </row>
    <row r="156" spans="1:15" ht="56">
      <c r="A156" s="3" t="s">
        <v>65</v>
      </c>
      <c r="B156" s="3"/>
      <c r="C156" s="3" t="str">
        <f ca="1">IFERROR(__xludf.DUMMYFUNCTION("""COMPUTED_VALUE"""),"Agree")</f>
        <v>Agree</v>
      </c>
      <c r="D156" s="3">
        <f ca="1">IFERROR(__xludf.DUMMYFUNCTION("""COMPUTED_VALUE"""),43)</f>
        <v>43</v>
      </c>
      <c r="E156" s="3" t="str">
        <f ca="1">IFERROR(__xludf.DUMMYFUNCTION("""COMPUTED_VALUE"""),"Yes")</f>
        <v>Yes</v>
      </c>
      <c r="F156" s="3" t="str">
        <f ca="1">IFERROR(__xludf.DUMMYFUNCTION("""COMPUTED_VALUE"""),"BothRef")</f>
        <v>BothRef</v>
      </c>
      <c r="G156" s="3">
        <f ca="1">IFERROR(__xludf.DUMMYFUNCTION("""COMPUTED_VALUE"""),1709311)</f>
        <v>1709311</v>
      </c>
      <c r="H156" s="3" t="str">
        <f ca="1">IFERROR(__xludf.DUMMYFUNCTION("""COMPUTED_VALUE"""),"{1694662}")</f>
        <v>{1694662}</v>
      </c>
      <c r="I156" s="4" t="str">
        <f ca="1">IFERROR(__xludf.DUMMYFUNCTION("""COMPUTED_VALUE"""),"https://bugzilla.mozilla.org/show_bug.cgi?id=1709311")</f>
        <v>https://bugzilla.mozilla.org/show_bug.cgi?id=1709311</v>
      </c>
      <c r="J156" s="3" t="str">
        <f ca="1">IFERROR(__xludf.DUMMYFUNCTION("""COMPUTED_VALUE"""),"['test_removeDataFromDomain.js', 'toolkit/components/forgetaboutsite/test/unit/test_removeDataFromDomain.js', 'xpcshell/head.js']")</f>
        <v>['test_removeDataFromDomain.js', 'toolkit/components/forgetaboutsite/test/unit/test_removeDataFromDomain.js', 'xpcshell/head.js']</v>
      </c>
      <c r="K156" s="3" t="str">
        <f ca="1">IFERROR(__xludf.DUMMYFUNCTION("""COMPUTED_VALUE"""),"System Dumps")</f>
        <v>System Dumps</v>
      </c>
      <c r="L156" s="3" t="str">
        <f ca="1">IFERROR(__xludf.DUMMYFUNCTION("""COMPUTED_VALUE"""),"File names are part of bug title, attachment title or commit messages")</f>
        <v>File names are part of bug title, attachment title or commit messages</v>
      </c>
      <c r="M156" s="3"/>
      <c r="N156" s="3"/>
      <c r="O156" s="3"/>
    </row>
    <row r="157" spans="1:15" ht="56">
      <c r="A157" s="3" t="s">
        <v>65</v>
      </c>
      <c r="B157" s="3"/>
      <c r="C157" s="3" t="str">
        <f ca="1">IFERROR(__xludf.DUMMYFUNCTION("""COMPUTED_VALUE"""),"Agree")</f>
        <v>Agree</v>
      </c>
      <c r="D157" s="3">
        <f ca="1">IFERROR(__xludf.DUMMYFUNCTION("""COMPUTED_VALUE"""),44)</f>
        <v>44</v>
      </c>
      <c r="E157" s="3" t="str">
        <f ca="1">IFERROR(__xludf.DUMMYFUNCTION("""COMPUTED_VALUE"""),"Yes")</f>
        <v>Yes</v>
      </c>
      <c r="F157" s="3" t="str">
        <f ca="1">IFERROR(__xludf.DUMMYFUNCTION("""COMPUTED_VALUE"""),"BothRef")</f>
        <v>BothRef</v>
      </c>
      <c r="G157" s="3">
        <f ca="1">IFERROR(__xludf.DUMMYFUNCTION("""COMPUTED_VALUE"""),1681948)</f>
        <v>1681948</v>
      </c>
      <c r="H157" s="3" t="str">
        <f ca="1">IFERROR(__xludf.DUMMYFUNCTION("""COMPUTED_VALUE"""),"{1674806}")</f>
        <v>{1674806}</v>
      </c>
      <c r="I157" s="4" t="str">
        <f ca="1">IFERROR(__xludf.DUMMYFUNCTION("""COMPUTED_VALUE"""),"https://bugzilla.mozilla.org/show_bug.cgi?id=1681948")</f>
        <v>https://bugzilla.mozilla.org/show_bug.cgi?id=1681948</v>
      </c>
      <c r="J157" s="3" t="str">
        <f ca="1">IFERROR(__xludf.DUMMYFUNCTION("""COMPUTED_VALUE"""),"['siteDataRemoveSelected.xhtml']")</f>
        <v>['siteDataRemoveSelected.xhtml']</v>
      </c>
      <c r="K157" s="3" t="str">
        <f ca="1">IFERROR(__xludf.DUMMYFUNCTION("""COMPUTED_VALUE"""),"File names are part of bug title, attachment title or commit messages")</f>
        <v>File names are part of bug title, attachment title or commit messages</v>
      </c>
      <c r="L157" s="3"/>
      <c r="M157" s="3"/>
      <c r="N157" s="3"/>
      <c r="O157" s="3"/>
    </row>
    <row r="158" spans="1:15" ht="56">
      <c r="A158" s="3" t="s">
        <v>65</v>
      </c>
      <c r="B158" s="3"/>
      <c r="C158" s="3" t="str">
        <f ca="1">IFERROR(__xludf.DUMMYFUNCTION("""COMPUTED_VALUE"""),"Agree")</f>
        <v>Agree</v>
      </c>
      <c r="D158" s="3">
        <f ca="1">IFERROR(__xludf.DUMMYFUNCTION("""COMPUTED_VALUE"""),45)</f>
        <v>45</v>
      </c>
      <c r="E158" s="3" t="str">
        <f ca="1">IFERROR(__xludf.DUMMYFUNCTION("""COMPUTED_VALUE"""),"Yes")</f>
        <v>Yes</v>
      </c>
      <c r="F158" s="3" t="str">
        <f ca="1">IFERROR(__xludf.DUMMYFUNCTION("""COMPUTED_VALUE"""),"BothRef")</f>
        <v>BothRef</v>
      </c>
      <c r="G158" s="3">
        <f ca="1">IFERROR(__xludf.DUMMYFUNCTION("""COMPUTED_VALUE"""),1555936)</f>
        <v>1555936</v>
      </c>
      <c r="H158" s="3" t="str">
        <f ca="1">IFERROR(__xludf.DUMMYFUNCTION("""COMPUTED_VALUE"""),"{1547565}")</f>
        <v>{1547565}</v>
      </c>
      <c r="I158" s="4" t="str">
        <f ca="1">IFERROR(__xludf.DUMMYFUNCTION("""COMPUTED_VALUE"""),"https://bugzilla.mozilla.org/show_bug.cgi?id=1555936")</f>
        <v>https://bugzilla.mozilla.org/show_bug.cgi?id=1555936</v>
      </c>
      <c r="J158" s="3" t="str">
        <f ca="1">IFERROR(__xludf.DUMMYFUNCTION("""COMPUTED_VALUE"""),"['js/src/gc/RootMarking.cpp', 'task_1558609429/build/src/dom/base/nsJSEnvironment.cpp', 'js/src/gc/GC.cpp', 'js/src/vm/JSAtom.cpp', 'dom/base/nsJSEnvironment.cpp']")</f>
        <v>['js/src/gc/RootMarking.cpp', 'task_1558609429/build/src/dom/base/nsJSEnvironment.cpp', 'js/src/gc/GC.cpp', 'js/src/vm/JSAtom.cpp', 'dom/base/nsJSEnvironment.cpp']</v>
      </c>
      <c r="K158" s="3" t="str">
        <f ca="1">IFERROR(__xludf.DUMMYFUNCTION("""COMPUTED_VALUE"""),"System Dumps")</f>
        <v>System Dumps</v>
      </c>
      <c r="L158" s="3"/>
      <c r="M158" s="3"/>
      <c r="N158" s="3"/>
      <c r="O158" s="3"/>
    </row>
    <row r="159" spans="1:15" ht="112">
      <c r="A159" s="3" t="s">
        <v>65</v>
      </c>
      <c r="B159" s="3" t="str">
        <f ca="1">IFERROR(__xludf.DUMMYFUNCTION("""COMPUTED_VALUE"""),"Agree")</f>
        <v>Agree</v>
      </c>
      <c r="C159" s="3" t="str">
        <f ca="1">IFERROR(__xludf.DUMMYFUNCTION("""COMPUTED_VALUE"""),"Partial")</f>
        <v>Partial</v>
      </c>
      <c r="D159" s="3">
        <f ca="1">IFERROR(__xludf.DUMMYFUNCTION("""COMPUTED_VALUE"""),46)</f>
        <v>46</v>
      </c>
      <c r="E159" s="3" t="str">
        <f ca="1">IFERROR(__xludf.DUMMYFUNCTION("""COMPUTED_VALUE"""),"Yes")</f>
        <v>Yes</v>
      </c>
      <c r="F159" s="3" t="str">
        <f ca="1">IFERROR(__xludf.DUMMYFUNCTION("""COMPUTED_VALUE"""),"BothRef")</f>
        <v>BothRef</v>
      </c>
      <c r="G159" s="3">
        <f ca="1">IFERROR(__xludf.DUMMYFUNCTION("""COMPUTED_VALUE"""),1625396)</f>
        <v>1625396</v>
      </c>
      <c r="H159" s="3" t="str">
        <f ca="1">IFERROR(__xludf.DUMMYFUNCTION("""COMPUTED_VALUE"""),"{1622699}")</f>
        <v>{1622699}</v>
      </c>
      <c r="I159" s="4" t="str">
        <f ca="1">IFERROR(__xludf.DUMMYFUNCTION("""COMPUTED_VALUE"""),"https://bugzilla.mozilla.org/show_bug.cgi?id=1625396")</f>
        <v>https://bugzilla.mozilla.org/show_bug.cgi?id=1625396</v>
      </c>
      <c r="J159" s="3" t="str">
        <f ca="1">IFERROR(__xludf.DUMMYFUNCTION("""COMPUTED_VALUE"""),"['XPCWrappedNativeJSOps.cpp', 'TimeoutExecutor.cpp', 'runtests.py', 'xpcAccessible.cpp', 'accessible/tests/mochitest/hittest/test_general.html', 'nsGlobalWindowInner.cpp', 'nsTimerImpl.cpp', 'treeherder.mozilla.org/intermittent-failures.html', 'TimeoutHan"&amp;"dler.cpp', 'FunctionBinding.cpp', 'jsapi.cpp', 'treeherder.mozilla.org/logviewer.html', 'TimeoutManager.cpp', 'Interpreter.cpp', 'ThrottledEventQueue.cpp', 'FunctionBinding.h', 'XPCWrappedNative.cpp', 'nsThread.cpp', 'AccessibleOrProxy.cpp', 'TimerThread."&amp;"cpp']")</f>
        <v>['XPCWrappedNativeJSOps.cpp', 'TimeoutExecutor.cpp', 'runtests.py', 'xpcAccessible.cpp', 'accessible/tests/mochitest/hittest/test_general.html', 'nsGlobalWindowInner.cpp', 'nsTimerImpl.cpp', 'treeherder.mozilla.org/intermittent-failures.html', 'TimeoutHandler.cpp', 'FunctionBinding.cpp', 'jsapi.cpp', 'treeherder.mozilla.org/logviewer.html', 'TimeoutManager.cpp', 'Interpreter.cpp', 'ThrottledEventQueue.cpp', 'FunctionBinding.h', 'XPCWrappedNative.cpp', 'nsThread.cpp', 'AccessibleOrProxy.cpp', 'TimerThread.cpp']</v>
      </c>
      <c r="K159" s="3" t="str">
        <f ca="1">IFERROR(__xludf.DUMMYFUNCTION("""COMPUTED_VALUE"""),"System Dumps")</f>
        <v>System Dumps</v>
      </c>
      <c r="L159" s="3" t="str">
        <f ca="1">IFERROR(__xludf.DUMMYFUNCTION("""COMPUTED_VALUE"""),"File names are part of bug title, attachment title or commit messages")</f>
        <v>File names are part of bug title, attachment title or commit messages</v>
      </c>
      <c r="M159" s="3"/>
      <c r="N159" s="3"/>
      <c r="O159" s="3"/>
    </row>
    <row r="160" spans="1:15" ht="182">
      <c r="A160" s="3" t="s">
        <v>65</v>
      </c>
      <c r="B160" s="3"/>
      <c r="C160" s="3" t="str">
        <f ca="1">IFERROR(__xludf.DUMMYFUNCTION("""COMPUTED_VALUE"""),"Agree")</f>
        <v>Agree</v>
      </c>
      <c r="D160" s="3">
        <f ca="1">IFERROR(__xludf.DUMMYFUNCTION("""COMPUTED_VALUE"""),47)</f>
        <v>47</v>
      </c>
      <c r="E160" s="3" t="str">
        <f ca="1">IFERROR(__xludf.DUMMYFUNCTION("""COMPUTED_VALUE"""),"Yes")</f>
        <v>Yes</v>
      </c>
      <c r="F160" s="3" t="str">
        <f ca="1">IFERROR(__xludf.DUMMYFUNCTION("""COMPUTED_VALUE"""),"BothRef")</f>
        <v>BothRef</v>
      </c>
      <c r="G160" s="3">
        <f ca="1">IFERROR(__xludf.DUMMYFUNCTION("""COMPUTED_VALUE"""),1560736)</f>
        <v>1560736</v>
      </c>
      <c r="H160" s="3" t="str">
        <f ca="1">IFERROR(__xludf.DUMMYFUNCTION("""COMPUTED_VALUE"""),"{1560040}")</f>
        <v>{1560040}</v>
      </c>
      <c r="I160" s="4" t="str">
        <f ca="1">IFERROR(__xludf.DUMMYFUNCTION("""COMPUTED_VALUE"""),"https://bugzilla.mozilla.org/show_bug.cgi?id=1560736")</f>
        <v>https://bugzilla.mozilla.org/show_bug.cgi?id=1560736</v>
      </c>
      <c r="J160" s="3" t="str">
        <f ca="1">IFERROR(__xludf.DUMMYFUNCTION("""COMPUTED_VALUE"""),"['searchfox.org/mozilla-central/rev/06bd14ced96f25ff1dbd5352cb985fc0fa12a64e/gfx/gl/GLContext.h', 'test_cryptomining_annotate.html', 'toolkit/components/url-classifier/tests/mochitest/test_socialtracking.html', 'nents/url-classifier/tests/mochitest/test_s"&amp;"ocialtracking.html', 'searchfox.org/mozilla-central/rev/06bd14ced96f25ff1dbd5352cb985fc0fa12a64e/gfx/layers/opengl/CompositorOGL.cpp', 'test_socialtracking_annotate.html', 'CompositorOGL.cpp', 'treeherder.mozilla.org/logviewer.html', 'remoteautomation.py'"&amp;", 'test_socialtracking.html', 'searchfox.org/mozilla-central/source/mobile/android/geckoview/src/main/java/org/mozilla/gecko/gfx/GeckoSurfaceTexture.java', 'GLContext.h', 'TestRunner.js', 'builds/worker/workspace/build/src/gfx/layers/opengl/CompositorOGL."&amp;"cpp', 'treeherder.mozilla.org/intermittent-failures.html']")</f>
        <v>['searchfox.org/mozilla-central/rev/06bd14ced96f25ff1dbd5352cb985fc0fa12a64e/gfx/gl/GLContext.h', 'test_cryptomining_annotate.html', 'toolkit/components/url-classifier/tests/mochitest/test_socialtracking.html', 'nents/url-classifier/tests/mochitest/test_socialtracking.html', 'searchfox.org/mozilla-central/rev/06bd14ced96f25ff1dbd5352cb985fc0fa12a64e/gfx/layers/opengl/CompositorOGL.cpp', 'test_socialtracking_annotate.html', 'CompositorOGL.cpp', 'treeherder.mozilla.org/logviewer.html', 'remoteautomation.py', 'test_socialtracking.html', 'searchfox.org/mozilla-central/source/mobile/android/geckoview/src/main/java/org/mozilla/gecko/gfx/GeckoSurfaceTexture.java', 'GLContext.h', 'TestRunner.js', 'builds/worker/workspace/build/src/gfx/layers/opengl/CompositorOGL.cpp', 'treeherder.mozilla.org/intermittent-failures.html']</v>
      </c>
      <c r="K160" s="3" t="str">
        <f ca="1">IFERROR(__xludf.DUMMYFUNCTION("""COMPUTED_VALUE"""),"System Dumps")</f>
        <v>System Dumps</v>
      </c>
      <c r="L160" s="3" t="str">
        <f ca="1">IFERROR(__xludf.DUMMYFUNCTION("""COMPUTED_VALUE"""),"File names are part of bug title, attachment title or commit messages")</f>
        <v>File names are part of bug title, attachment title or commit messages</v>
      </c>
      <c r="M160" s="3" t="str">
        <f ca="1">IFERROR(__xludf.DUMMYFUNCTION("""COMPUTED_VALUE"""),"Solution Draft")</f>
        <v>Solution Draft</v>
      </c>
      <c r="N160" s="3"/>
      <c r="O160" s="3" t="str">
        <f ca="1">IFERROR(__xludf.DUMMYFUNCTION("""COMPUTED_VALUE"""),"Some files appear more frequnetly in the bug discussion")</f>
        <v>Some files appear more frequnetly in the bug discussion</v>
      </c>
    </row>
    <row r="161" spans="1:15" ht="84">
      <c r="A161" s="3" t="s">
        <v>65</v>
      </c>
      <c r="B161" s="3" t="str">
        <f ca="1">IFERROR(__xludf.DUMMYFUNCTION("""COMPUTED_VALUE"""),"Agree")</f>
        <v>Agree</v>
      </c>
      <c r="C161" s="3" t="str">
        <f ca="1">IFERROR(__xludf.DUMMYFUNCTION("""COMPUTED_VALUE"""),"Partial")</f>
        <v>Partial</v>
      </c>
      <c r="D161" s="3">
        <f ca="1">IFERROR(__xludf.DUMMYFUNCTION("""COMPUTED_VALUE"""),48)</f>
        <v>48</v>
      </c>
      <c r="E161" s="3" t="str">
        <f ca="1">IFERROR(__xludf.DUMMYFUNCTION("""COMPUTED_VALUE"""),"Yes")</f>
        <v>Yes</v>
      </c>
      <c r="F161" s="3" t="str">
        <f ca="1">IFERROR(__xludf.DUMMYFUNCTION("""COMPUTED_VALUE"""),"BothRef")</f>
        <v>BothRef</v>
      </c>
      <c r="G161" s="3">
        <f ca="1">IFERROR(__xludf.DUMMYFUNCTION("""COMPUTED_VALUE"""),1617512)</f>
        <v>1617512</v>
      </c>
      <c r="H161" s="3" t="str">
        <f ca="1">IFERROR(__xludf.DUMMYFUNCTION("""COMPUTED_VALUE"""),"{1477756}")</f>
        <v>{1477756}</v>
      </c>
      <c r="I161" s="4" t="str">
        <f ca="1">IFERROR(__xludf.DUMMYFUNCTION("""COMPUTED_VALUE"""),"https://bugzilla.mozilla.org/show_bug.cgi?id=1617512")</f>
        <v>https://bugzilla.mozilla.org/show_bug.cgi?id=1617512</v>
      </c>
      <c r="J161" s="3" t="str">
        <f ca="1">IFERROR(__xludf.DUMMYFUNCTION("""COMPUTED_VALUE"""),"['test_conformance__ogles__GL__build__build_049_to_056.html', 'canvas/test/webgl-conf/generated-mochitest.ini', 'backslash-in-glsl-comment.html', 'treeherder.mozilla.org/logviewer.html', 'testcase-msvc-regex-nongreedy-eol.cpp', 'www.khronos.org/registry/w"&amp;"ebgl/sdk/tests/conformance/glsl/preprocessor/comments.html']")</f>
        <v>['test_conformance__ogles__GL__build__build_049_to_056.html', 'canvas/test/webgl-conf/generated-mochitest.ini', 'backslash-in-glsl-comment.html', 'treeherder.mozilla.org/logviewer.html', 'testcase-msvc-regex-nongreedy-eol.cpp', 'www.khronos.org/registry/webgl/sdk/tests/conformance/glsl/preprocessor/comments.html']</v>
      </c>
      <c r="K161" s="3" t="str">
        <f ca="1">IFERROR(__xludf.DUMMYFUNCTION("""COMPUTED_VALUE"""),"Backout")</f>
        <v>Backout</v>
      </c>
      <c r="L161" s="3" t="str">
        <f ca="1">IFERROR(__xludf.DUMMYFUNCTION("""COMPUTED_VALUE"""),"File names are part of bug title, attachment title or commit messages")</f>
        <v>File names are part of bug title, attachment title or commit messages</v>
      </c>
      <c r="M161" s="3" t="str">
        <f ca="1">IFERROR(__xludf.DUMMYFUNCTION("""COMPUTED_VALUE"""),"File to Reproduce the Bug")</f>
        <v>File to Reproduce the Bug</v>
      </c>
      <c r="N161" s="3"/>
      <c r="O161" s="3"/>
    </row>
    <row r="162" spans="1:15" ht="224">
      <c r="A162" s="3" t="s">
        <v>65</v>
      </c>
      <c r="B162" s="3" t="str">
        <f ca="1">IFERROR(__xludf.DUMMYFUNCTION("""COMPUTED_VALUE"""),"Agree")</f>
        <v>Agree</v>
      </c>
      <c r="C162" s="3" t="str">
        <f ca="1">IFERROR(__xludf.DUMMYFUNCTION("""COMPUTED_VALUE"""),"Partial")</f>
        <v>Partial</v>
      </c>
      <c r="D162" s="3">
        <f ca="1">IFERROR(__xludf.DUMMYFUNCTION("""COMPUTED_VALUE"""),49)</f>
        <v>49</v>
      </c>
      <c r="E162" s="3" t="str">
        <f ca="1">IFERROR(__xludf.DUMMYFUNCTION("""COMPUTED_VALUE"""),"Yes")</f>
        <v>Yes</v>
      </c>
      <c r="F162" s="3" t="str">
        <f ca="1">IFERROR(__xludf.DUMMYFUNCTION("""COMPUTED_VALUE"""),"BothRef")</f>
        <v>BothRef</v>
      </c>
      <c r="G162" s="3">
        <f ca="1">IFERROR(__xludf.DUMMYFUNCTION("""COMPUTED_VALUE"""),1580317)</f>
        <v>1580317</v>
      </c>
      <c r="H162" s="3" t="str">
        <f ca="1">IFERROR(__xludf.DUMMYFUNCTION("""COMPUTED_VALUE"""),"{1427639}")</f>
        <v>{1427639}</v>
      </c>
      <c r="I162" s="4" t="str">
        <f ca="1">IFERROR(__xludf.DUMMYFUNCTION("""COMPUTED_VALUE"""),"https://bugzilla.mozilla.org/show_bug.cgi?id=1580317")</f>
        <v>https://bugzilla.mozilla.org/show_bug.cgi?id=1580317</v>
      </c>
      <c r="J162" s="3" t="str">
        <f ca="1">IFERROR(__xludf.DUMMYFUNCTION("""COMPUTED_VALUE"""),"['mozilla-central/ipc/chromium/src/base/message_loop.cc', 'mozilla-central/ipc/glue/MessagePump.cpp', 'mozilla-central/xpcom/threads/nsThread.cpp', 'mozilla-central/xpcom/threads/nsThreadUtils.cpp', 'src/mozilla-central/image/StreamingLexer.h', 'mozilla-c"&amp;"entral/image/SurfacePipeFactory.h', 'mozilla-central/image/imgFrame.cpp', 'mozilla-central/image/decoders/nsGIFDecoder2.cpp', 'mozilla-central/image/SurfaceFilters.h', 'src/mozilla-central/image/imgFrame.cpp', 'mozilla-central/image/ImageOps.cpp', 'search"&amp;"fox.org/mozilla-central/rev/45f30e1d19bde27bf07e47a0a5dd0962dd27ba18/image/SurfaceCache.cpp', 'advisory.txt', 'mozilla-central/image/StreamingLexer.h', 'mozilla-central/image/IDecodingTask.cpp', 'mozilla-central/xpcom/threads/nsThreadSyncDispatch.h', 'moz"&amp;"illa-central/image/test/fuzzing/TestDecoders.cpp', 'mozilla-central/image/Decoder.cpp', 'mozilla-central/image/SurfacePipe.cpp']")</f>
        <v>['mozilla-central/ipc/chromium/src/base/message_loop.cc', 'mozilla-central/ipc/glue/MessagePump.cpp', 'mozilla-central/xpcom/threads/nsThread.cpp', 'mozilla-central/xpcom/threads/nsThreadUtils.cpp', 'src/mozilla-central/image/StreamingLexer.h', 'mozilla-central/image/SurfacePipeFactory.h', 'mozilla-central/image/imgFrame.cpp', 'mozilla-central/image/decoders/nsGIFDecoder2.cpp', 'mozilla-central/image/SurfaceFilters.h', 'src/mozilla-central/image/imgFrame.cpp', 'mozilla-central/image/ImageOps.cpp', 'searchfox.org/mozilla-central/rev/45f30e1d19bde27bf07e47a0a5dd0962dd27ba18/image/SurfaceCache.cpp', 'advisory.txt', 'mozilla-central/image/StreamingLexer.h', 'mozilla-central/image/IDecodingTask.cpp', 'mozilla-central/xpcom/threads/nsThreadSyncDispatch.h', 'mozilla-central/image/test/fuzzing/TestDecoders.cpp', 'mozilla-central/image/Decoder.cpp', 'mozilla-central/image/SurfacePipe.cpp']</v>
      </c>
      <c r="K162" s="3" t="str">
        <f ca="1">IFERROR(__xludf.DUMMYFUNCTION("""COMPUTED_VALUE"""),"System Dumps")</f>
        <v>System Dumps</v>
      </c>
      <c r="L162" s="3"/>
      <c r="M162" s="3"/>
      <c r="N162" s="3"/>
      <c r="O162" s="3" t="str">
        <f ca="1">IFERROR(__xludf.DUMMYFUNCTION("""COMPUTED_VALUE"""),"file name is part of a link. Points to buggy functions and discuss bug fix sample solution")</f>
        <v>file name is part of a link. Points to buggy functions and discuss bug fix sample solution</v>
      </c>
    </row>
    <row r="163" spans="1:15" ht="42">
      <c r="A163" s="3" t="s">
        <v>65</v>
      </c>
      <c r="B163" s="3"/>
      <c r="C163" s="3" t="str">
        <f ca="1">IFERROR(__xludf.DUMMYFUNCTION("""COMPUTED_VALUE"""),"Agree")</f>
        <v>Agree</v>
      </c>
      <c r="D163" s="3">
        <f ca="1">IFERROR(__xludf.DUMMYFUNCTION("""COMPUTED_VALUE"""),50)</f>
        <v>50</v>
      </c>
      <c r="E163" s="3" t="str">
        <f ca="1">IFERROR(__xludf.DUMMYFUNCTION("""COMPUTED_VALUE"""),"Yes")</f>
        <v>Yes</v>
      </c>
      <c r="F163" s="3" t="str">
        <f ca="1">IFERROR(__xludf.DUMMYFUNCTION("""COMPUTED_VALUE"""),"FixRef")</f>
        <v>FixRef</v>
      </c>
      <c r="G163" s="3">
        <f ca="1">IFERROR(__xludf.DUMMYFUNCTION("""COMPUTED_VALUE"""),1562437)</f>
        <v>1562437</v>
      </c>
      <c r="H163" s="3" t="str">
        <f ca="1">IFERROR(__xludf.DUMMYFUNCTION("""COMPUTED_VALUE"""),"{1502733}")</f>
        <v>{1502733}</v>
      </c>
      <c r="I163" s="3" t="str">
        <f ca="1">IFERROR(__xludf.DUMMYFUNCTION("""COMPUTED_VALUE"""),"1562437 - LeakSanitizer: [@ js::Mutex::heldMutexStack]")</f>
        <v>1562437 - LeakSanitizer: [@ js::Mutex::heldMutexStack]</v>
      </c>
      <c r="J163" s="3" t="str">
        <f ca="1">IFERROR(__xludf.DUMMYFUNCTION("""COMPUTED_VALUE"""),"['js/src/threading/Mutex.cpp', 'js/src/shell/js.cpp', 'home/ubuntu/shell-cache/js-dbg-64-dm-asan-linux-aarch64-900a0b127043/objdir-js/dist/include/js/Utility.h', 'js/src/threading/LockGuard.h']")</f>
        <v>['js/src/threading/Mutex.cpp', 'js/src/shell/js.cpp', 'home/ubuntu/shell-cache/js-dbg-64-dm-asan-linux-aarch64-900a0b127043/objdir-js/dist/include/js/Utility.h', 'js/src/threading/LockGuard.h']</v>
      </c>
      <c r="K163" s="3" t="str">
        <f ca="1">IFERROR(__xludf.DUMMYFUNCTION("""COMPUTED_VALUE"""),"System Dumps")</f>
        <v>System Dumps</v>
      </c>
      <c r="L163" s="3"/>
      <c r="M163" s="3"/>
      <c r="N163" s="3"/>
      <c r="O163" s="3" t="str">
        <f ca="1">IFERROR(__xludf.DUMMYFUNCTION("""COMPUTED_VALUE"""),"the file at the bottom of stack trace seems to fix the bug")</f>
        <v>the file at the bottom of stack trace seems to fix the bug</v>
      </c>
    </row>
    <row r="164" spans="1:15" ht="98">
      <c r="A164" s="3" t="s">
        <v>65</v>
      </c>
      <c r="B164" s="3"/>
      <c r="C164" s="3" t="str">
        <f ca="1">IFERROR(__xludf.DUMMYFUNCTION("""COMPUTED_VALUE"""),"Agree")</f>
        <v>Agree</v>
      </c>
      <c r="D164" s="3">
        <f ca="1">IFERROR(__xludf.DUMMYFUNCTION("""COMPUTED_VALUE"""),51)</f>
        <v>51</v>
      </c>
      <c r="E164" s="3" t="str">
        <f ca="1">IFERROR(__xludf.DUMMYFUNCTION("""COMPUTED_VALUE"""),"Yes")</f>
        <v>Yes</v>
      </c>
      <c r="F164" s="3" t="str">
        <f ca="1">IFERROR(__xludf.DUMMYFUNCTION("""COMPUTED_VALUE"""),"BothRef")</f>
        <v>BothRef</v>
      </c>
      <c r="G164" s="3">
        <f ca="1">IFERROR(__xludf.DUMMYFUNCTION("""COMPUTED_VALUE"""),1737865)</f>
        <v>1737865</v>
      </c>
      <c r="H164" s="3" t="str">
        <f ca="1">IFERROR(__xludf.DUMMYFUNCTION("""COMPUTED_VALUE"""),"{1714395}")</f>
        <v>{1714395}</v>
      </c>
      <c r="I164" s="4" t="str">
        <f ca="1">IFERROR(__xludf.DUMMYFUNCTION("""COMPUTED_VALUE"""),"https://bugzilla.mozilla.org/show_bug.cgi?id=1737865")</f>
        <v>https://bugzilla.mozilla.org/show_bug.cgi?id=1737865</v>
      </c>
      <c r="J164" s="3" t="str">
        <f ca="1">IFERROR(__xludf.DUMMYFUNCTION("""COMPUTED_VALUE"""),"['devtools/shared/protocol/Front/FrontClassWithSpec.js', 'devtools/shared/protocol/Front.js', 'devtools/shared/commands/target/legacy-target-watchers/legacy-serviceworkers-watcher.js', 'devtools/shared/commands/target/target-command.js', 'toolkit/componen"&amp;"ts/backgroundtasks/tests/xpcshell/test_backgroundtask_exitcodes.js']")</f>
        <v>['devtools/shared/protocol/Front/FrontClassWithSpec.js', 'devtools/shared/protocol/Front.js', 'devtools/shared/commands/target/legacy-target-watchers/legacy-serviceworkers-watcher.js', 'devtools/shared/commands/target/target-command.js', 'toolkit/components/backgroundtasks/tests/xpcshell/test_backgroundtask_exitcodes.js']</v>
      </c>
      <c r="K164" s="3" t="str">
        <f ca="1">IFERROR(__xludf.DUMMYFUNCTION("""COMPUTED_VALUE"""),"System Dumps")</f>
        <v>System Dumps</v>
      </c>
      <c r="L164" s="3"/>
      <c r="M164" s="3"/>
      <c r="N164" s="3"/>
      <c r="O164" s="3" t="str">
        <f ca="1">IFERROR(__xludf.DUMMYFUNCTION("""COMPUTED_VALUE"""),"Points to buggy functions and discuss bug fix sample solution")</f>
        <v>Points to buggy functions and discuss bug fix sample solution</v>
      </c>
    </row>
    <row r="165" spans="1:15" ht="28">
      <c r="A165" s="3" t="s">
        <v>65</v>
      </c>
      <c r="B165" s="3"/>
      <c r="C165" s="3" t="str">
        <f ca="1">IFERROR(__xludf.DUMMYFUNCTION("""COMPUTED_VALUE"""),"Agree")</f>
        <v>Agree</v>
      </c>
      <c r="D165" s="3">
        <f ca="1">IFERROR(__xludf.DUMMYFUNCTION("""COMPUTED_VALUE"""),52)</f>
        <v>52</v>
      </c>
      <c r="E165" s="3" t="str">
        <f ca="1">IFERROR(__xludf.DUMMYFUNCTION("""COMPUTED_VALUE"""),"Yes")</f>
        <v>Yes</v>
      </c>
      <c r="F165" s="3" t="str">
        <f ca="1">IFERROR(__xludf.DUMMYFUNCTION("""COMPUTED_VALUE"""),"BothRef")</f>
        <v>BothRef</v>
      </c>
      <c r="G165" s="3">
        <f ca="1">IFERROR(__xludf.DUMMYFUNCTION("""COMPUTED_VALUE"""),1562947)</f>
        <v>1562947</v>
      </c>
      <c r="H165" s="3" t="str">
        <f ca="1">IFERROR(__xludf.DUMMYFUNCTION("""COMPUTED_VALUE"""),"{1523741}")</f>
        <v>{1523741}</v>
      </c>
      <c r="I165" s="4" t="str">
        <f ca="1">IFERROR(__xludf.DUMMYFUNCTION("""COMPUTED_VALUE"""),"https://bugzilla.mozilla.org/show_bug.cgi?id=1562947")</f>
        <v>https://bugzilla.mozilla.org/show_bug.cgi?id=1562947</v>
      </c>
      <c r="J165" s="3" t="str">
        <f ca="1">IFERROR(__xludf.DUMMYFUNCTION("""COMPUTED_VALUE"""),"['aboutTelemetry.js']")</f>
        <v>['aboutTelemetry.js']</v>
      </c>
      <c r="K165" s="3" t="str">
        <f ca="1">IFERROR(__xludf.DUMMYFUNCTION("""COMPUTED_VALUE"""),"Bug Description")</f>
        <v>Bug Description</v>
      </c>
      <c r="L165" s="3"/>
      <c r="M165" s="3"/>
      <c r="N165" s="3"/>
      <c r="O165" s="3"/>
    </row>
    <row r="166" spans="1:15" ht="56">
      <c r="A166" s="3" t="s">
        <v>65</v>
      </c>
      <c r="B166" s="3"/>
      <c r="C166" s="3" t="str">
        <f ca="1">IFERROR(__xludf.DUMMYFUNCTION("""COMPUTED_VALUE"""),"Agree")</f>
        <v>Agree</v>
      </c>
      <c r="D166" s="3">
        <f ca="1">IFERROR(__xludf.DUMMYFUNCTION("""COMPUTED_VALUE"""),53)</f>
        <v>53</v>
      </c>
      <c r="E166" s="3" t="str">
        <f ca="1">IFERROR(__xludf.DUMMYFUNCTION("""COMPUTED_VALUE"""),"Yes")</f>
        <v>Yes</v>
      </c>
      <c r="F166" s="3" t="str">
        <f ca="1">IFERROR(__xludf.DUMMYFUNCTION("""COMPUTED_VALUE"""),"BothRef")</f>
        <v>BothRef</v>
      </c>
      <c r="G166" s="3">
        <f ca="1">IFERROR(__xludf.DUMMYFUNCTION("""COMPUTED_VALUE"""),1758536)</f>
        <v>1758536</v>
      </c>
      <c r="H166" s="3" t="str">
        <f ca="1">IFERROR(__xludf.DUMMYFUNCTION("""COMPUTED_VALUE"""),"{1272636}")</f>
        <v>{1272636}</v>
      </c>
      <c r="I166" s="4" t="str">
        <f ca="1">IFERROR(__xludf.DUMMYFUNCTION("""COMPUTED_VALUE"""),"https://bugzilla.mozilla.org/show_bug.cgi?id=1758536")</f>
        <v>https://bugzilla.mozilla.org/show_bug.cgi?id=1758536</v>
      </c>
      <c r="J166" s="3" t="str">
        <f ca="1">IFERROR(__xludf.DUMMYFUNCTION("""COMPUTED_VALUE"""),"['setup/&lt;@dom/media/test/test_played.html', 'SimpleTest.is@SimpleTest/SimpleTest.js', 'dom/media/test/test_played.html', 'test_played.html']")</f>
        <v>['setup/&lt;@dom/media/test/test_played.html', 'SimpleTest.is@SimpleTest/SimpleTest.js', 'dom/media/test/test_played.html', 'test_played.html']</v>
      </c>
      <c r="K166" s="3" t="str">
        <f ca="1">IFERROR(__xludf.DUMMYFUNCTION("""COMPUTED_VALUE"""),"System Dumps")</f>
        <v>System Dumps</v>
      </c>
      <c r="L166" s="3" t="str">
        <f ca="1">IFERROR(__xludf.DUMMYFUNCTION("""COMPUTED_VALUE"""),"File names are part of bug title, attachment title or commit messages")</f>
        <v>File names are part of bug title, attachment title or commit messages</v>
      </c>
      <c r="M166" s="3"/>
      <c r="N166" s="3"/>
      <c r="O166" s="3"/>
    </row>
    <row r="167" spans="1:15" ht="28">
      <c r="A167" s="3" t="s">
        <v>65</v>
      </c>
      <c r="B167" s="3"/>
      <c r="C167" s="3" t="str">
        <f ca="1">IFERROR(__xludf.DUMMYFUNCTION("""COMPUTED_VALUE"""),"Agree")</f>
        <v>Agree</v>
      </c>
      <c r="D167" s="3">
        <f ca="1">IFERROR(__xludf.DUMMYFUNCTION("""COMPUTED_VALUE"""),54)</f>
        <v>54</v>
      </c>
      <c r="E167" s="3" t="str">
        <f ca="1">IFERROR(__xludf.DUMMYFUNCTION("""COMPUTED_VALUE"""),"Yes")</f>
        <v>Yes</v>
      </c>
      <c r="F167" s="3" t="str">
        <f ca="1">IFERROR(__xludf.DUMMYFUNCTION("""COMPUTED_VALUE"""),"BothRef")</f>
        <v>BothRef</v>
      </c>
      <c r="G167" s="3">
        <f ca="1">IFERROR(__xludf.DUMMYFUNCTION("""COMPUTED_VALUE"""),1746814)</f>
        <v>1746814</v>
      </c>
      <c r="H167" s="3" t="str">
        <f ca="1">IFERROR(__xludf.DUMMYFUNCTION("""COMPUTED_VALUE"""),"{1678623}")</f>
        <v>{1678623}</v>
      </c>
      <c r="I167" s="4" t="str">
        <f ca="1">IFERROR(__xludf.DUMMYFUNCTION("""COMPUTED_VALUE"""),"https://bugzilla.mozilla.org/show_bug.cgi?id=1746814")</f>
        <v>https://bugzilla.mozilla.org/show_bug.cgi?id=1746814</v>
      </c>
      <c r="J167" s="3" t="str">
        <f ca="1">IFERROR(__xludf.DUMMYFUNCTION("""COMPUTED_VALUE"""),"['nsNavHistoryResult.cpp']")</f>
        <v>['nsNavHistoryResult.cpp']</v>
      </c>
      <c r="K167" s="3" t="str">
        <f ca="1">IFERROR(__xludf.DUMMYFUNCTION("""COMPUTED_VALUE"""),"Bug Description")</f>
        <v>Bug Description</v>
      </c>
      <c r="L167" s="3"/>
      <c r="M167" s="3"/>
      <c r="N167" s="3"/>
      <c r="O167" s="3"/>
    </row>
    <row r="168" spans="1:15" ht="140">
      <c r="A168" s="3" t="s">
        <v>65</v>
      </c>
      <c r="B168" s="3"/>
      <c r="C168" s="3" t="str">
        <f ca="1">IFERROR(__xludf.DUMMYFUNCTION("""COMPUTED_VALUE"""),"Agree")</f>
        <v>Agree</v>
      </c>
      <c r="D168" s="3">
        <f ca="1">IFERROR(__xludf.DUMMYFUNCTION("""COMPUTED_VALUE"""),55)</f>
        <v>55</v>
      </c>
      <c r="E168" s="3" t="str">
        <f ca="1">IFERROR(__xludf.DUMMYFUNCTION("""COMPUTED_VALUE"""),"Yes")</f>
        <v>Yes</v>
      </c>
      <c r="F168" s="3" t="str">
        <f ca="1">IFERROR(__xludf.DUMMYFUNCTION("""COMPUTED_VALUE"""),"BothRef")</f>
        <v>BothRef</v>
      </c>
      <c r="G168" s="3">
        <f ca="1">IFERROR(__xludf.DUMMYFUNCTION("""COMPUTED_VALUE"""),1632881)</f>
        <v>1632881</v>
      </c>
      <c r="H168" s="3" t="str">
        <f ca="1">IFERROR(__xludf.DUMMYFUNCTION("""COMPUTED_VALUE"""),"{1625151}")</f>
        <v>{1625151}</v>
      </c>
      <c r="I168" s="4" t="str">
        <f ca="1">IFERROR(__xludf.DUMMYFUNCTION("""COMPUTED_VALUE"""),"https://bugzilla.mozilla.org/show_bug.cgi?id=1632881")</f>
        <v>https://bugzilla.mozilla.org/show_bug.cgi?id=1632881</v>
      </c>
      <c r="J168" s="3" t="str">
        <f ca="1">IFERROR(__xludf.DUMMYFUNCTION("""COMPUTED_VALUE"""),"['modules/libpref/Preferences.cpp', 'searchfox.org/mozilla-central/rev/b8fbb6ead517720daf0b0211115f407b4b951c74/toolkit/xre/nsXREDirProvider.cpp', 'searchfox.org/mozilla-central/rev/4bb2401ecbfce89af06fb2b4d0ea3557682bd8ff/modules/libpref/Preferences.cpp'"&amp;", 'ipc/glue/GeckoChildProcessHost.cpp', 'netwerk/ipc/SocketProcessHost.cpp', 'searchfox.org/mozilla-central/rev/158bac3df3a1890da55bdb6ffdaf9a7ffc0bfb0a/netwerk/base/nsIOService.cpp', 'searchfox.org/mozilla-central/rev/158bac3df3a1890da55bdb6ffdaf9a7ffc0b"&amp;"fb0a/modules/libpref/Preferences.cpp']")</f>
        <v>['modules/libpref/Preferences.cpp', 'searchfox.org/mozilla-central/rev/b8fbb6ead517720daf0b0211115f407b4b951c74/toolkit/xre/nsXREDirProvider.cpp', 'searchfox.org/mozilla-central/rev/4bb2401ecbfce89af06fb2b4d0ea3557682bd8ff/modules/libpref/Preferences.cpp', 'ipc/glue/GeckoChildProcessHost.cpp', 'netwerk/ipc/SocketProcessHost.cpp', 'searchfox.org/mozilla-central/rev/158bac3df3a1890da55bdb6ffdaf9a7ffc0bfb0a/netwerk/base/nsIOService.cpp', 'searchfox.org/mozilla-central/rev/158bac3df3a1890da55bdb6ffdaf9a7ffc0bfb0a/modules/libpref/Preferences.cpp']</v>
      </c>
      <c r="K168" s="3" t="str">
        <f ca="1">IFERROR(__xludf.DUMMYFUNCTION("""COMPUTED_VALUE"""),"System Dumps")</f>
        <v>System Dumps</v>
      </c>
      <c r="L168" s="3"/>
      <c r="M168" s="3"/>
      <c r="N168" s="3"/>
      <c r="O168" s="3" t="str">
        <f ca="1">IFERROR(__xludf.DUMMYFUNCTION("""COMPUTED_VALUE"""),"show interest in developing static analysis and therefor ask for a high level analysis of the bug")</f>
        <v>show interest in developing static analysis and therefor ask for a high level analysis of the bug</v>
      </c>
    </row>
    <row r="169" spans="1:15" ht="252">
      <c r="A169" s="3" t="s">
        <v>65</v>
      </c>
      <c r="B169" s="3" t="str">
        <f ca="1">IFERROR(__xludf.DUMMYFUNCTION("""COMPUTED_VALUE"""),"Agree")</f>
        <v>Agree</v>
      </c>
      <c r="C169" s="3" t="str">
        <f ca="1">IFERROR(__xludf.DUMMYFUNCTION("""COMPUTED_VALUE"""),"Partial")</f>
        <v>Partial</v>
      </c>
      <c r="D169" s="3">
        <f ca="1">IFERROR(__xludf.DUMMYFUNCTION("""COMPUTED_VALUE"""),56)</f>
        <v>56</v>
      </c>
      <c r="E169" s="3" t="str">
        <f ca="1">IFERROR(__xludf.DUMMYFUNCTION("""COMPUTED_VALUE"""),"Yes")</f>
        <v>Yes</v>
      </c>
      <c r="F169" s="3" t="str">
        <f ca="1">IFERROR(__xludf.DUMMYFUNCTION("""COMPUTED_VALUE"""),"BothRef")</f>
        <v>BothRef</v>
      </c>
      <c r="G169" s="3">
        <f ca="1">IFERROR(__xludf.DUMMYFUNCTION("""COMPUTED_VALUE"""),1620222)</f>
        <v>1620222</v>
      </c>
      <c r="H169" s="3" t="str">
        <f ca="1">IFERROR(__xludf.DUMMYFUNCTION("""COMPUTED_VALUE"""),"{1620087}")</f>
        <v>{1620087}</v>
      </c>
      <c r="I169" s="3" t="str">
        <f ca="1">IFERROR(__xludf.DUMMYFUNCTION("""COMPUTED_VALUE"""),"1620222 - Intermittent [TV] devtools/client/webconsole/test/browser/browser_console_eager_eval.js | Test timed out -")</f>
        <v>1620222 - Intermittent [TV] devtools/client/webconsole/test/browser/browser_console_eager_eval.js | Test timed out -</v>
      </c>
      <c r="J169" s="3" t="str">
        <f ca="1">IFERROR(__xludf.DUMMYFUNCTION("""COMPUTED_VALUE"""),"['hg.mozilla.org/mozilla-central/raw-file/tip/layout/tools/reftest/reftest-analyzer.xhtml', '4638f0af-f762-4259-b80b-82f33dd18f3b/_generated_background_page.html', 'builds/worker/workspace/build/src/layout/base/nsPresContext.cpp', 'treeherder.mozilla.org/"&amp;"logviewer.html', 'devtools/shared/protocol/Front.js', 'builds/worker/workspace/build/src/netwerk/cookie/CookieJarSettings.cpp', 'builds/worker/workspace/build/src/dom/ipc/ContentChild.cpp', 'devtools/client/webconsole/test/browser/browser_console_eager_ev"&amp;"al.js', 'builds/worker/workspace/build/src/xpcom/components/nsComponentManager.cpp', 'builds/worker/workspace/build/src/extensions/permissions/nsPermission.cpp', 'builds/worker/workspace/build/src/dom/ipc/JSWindowActor.cpp', 'devtools/content/webconsole/i"&amp;"ndex.html', 'treeherder.mozilla.org/intermittent-failures.html', 'builds/worker/workspace/build/src/layout/base/nsLayoutUtils.cpp', 'builds/worker/workspace/build/src/toolkit/components/antitracking/StorageAccess.cpp']")</f>
        <v>['hg.mozilla.org/mozilla-central/raw-file/tip/layout/tools/reftest/reftest-analyzer.xhtml', '4638f0af-f762-4259-b80b-82f33dd18f3b/_generated_background_page.html', 'builds/worker/workspace/build/src/layout/base/nsPresContext.cpp', 'treeherder.mozilla.org/logviewer.html', 'devtools/shared/protocol/Front.js', 'builds/worker/workspace/build/src/netwerk/cookie/CookieJarSettings.cpp', 'builds/worker/workspace/build/src/dom/ipc/ContentChild.cpp', 'devtools/client/webconsole/test/browser/browser_console_eager_eval.js', 'builds/worker/workspace/build/src/xpcom/components/nsComponentManager.cpp', 'builds/worker/workspace/build/src/extensions/permissions/nsPermission.cpp', 'builds/worker/workspace/build/src/dom/ipc/JSWindowActor.cpp', 'devtools/content/webconsole/index.html', 'treeherder.mozilla.org/intermittent-failures.html', 'builds/worker/workspace/build/src/layout/base/nsLayoutUtils.cpp', 'builds/worker/workspace/build/src/toolkit/components/antitracking/StorageAccess.cpp']</v>
      </c>
      <c r="K169" s="3" t="str">
        <f ca="1">IFERROR(__xludf.DUMMYFUNCTION("""COMPUTED_VALUE"""),"System Dumps")</f>
        <v>System Dumps</v>
      </c>
      <c r="L169" s="3" t="str">
        <f ca="1">IFERROR(__xludf.DUMMYFUNCTION("""COMPUTED_VALUE"""),"File names are part of bug title, attachment title or commit messages")</f>
        <v>File names are part of bug title, attachment title or commit messages</v>
      </c>
      <c r="M169" s="3"/>
      <c r="N169" s="3"/>
      <c r="O169" s="3" t="str">
        <f ca="1">IFERROR(__xludf.DUMMYFUNCTION("""COMPUTED_VALUE"""),"the files at the top of stack trace seems to fix the issue (in this case browser_console_eager_eval.js)")</f>
        <v>the files at the top of stack trace seems to fix the issue (in this case browser_console_eager_eval.js)</v>
      </c>
    </row>
    <row r="170" spans="1:15" ht="70">
      <c r="A170" s="3" t="s">
        <v>65</v>
      </c>
      <c r="B170" s="3"/>
      <c r="C170" s="3" t="str">
        <f ca="1">IFERROR(__xludf.DUMMYFUNCTION("""COMPUTED_VALUE"""),"Agree")</f>
        <v>Agree</v>
      </c>
      <c r="D170" s="3">
        <f ca="1">IFERROR(__xludf.DUMMYFUNCTION("""COMPUTED_VALUE"""),57)</f>
        <v>57</v>
      </c>
      <c r="E170" s="3" t="str">
        <f ca="1">IFERROR(__xludf.DUMMYFUNCTION("""COMPUTED_VALUE"""),"Yes")</f>
        <v>Yes</v>
      </c>
      <c r="F170" s="3" t="str">
        <f ca="1">IFERROR(__xludf.DUMMYFUNCTION("""COMPUTED_VALUE"""),"BothRef")</f>
        <v>BothRef</v>
      </c>
      <c r="G170" s="3">
        <f ca="1">IFERROR(__xludf.DUMMYFUNCTION("""COMPUTED_VALUE"""),1764435)</f>
        <v>1764435</v>
      </c>
      <c r="H170" s="3" t="str">
        <f ca="1">IFERROR(__xludf.DUMMYFUNCTION("""COMPUTED_VALUE"""),"{1554571}")</f>
        <v>{1554571}</v>
      </c>
      <c r="I170" s="4" t="str">
        <f ca="1">IFERROR(__xludf.DUMMYFUNCTION("""COMPUTED_VALUE"""),"https://bugzilla.mozilla.org/show_bug.cgi?id=1764435")</f>
        <v>https://bugzilla.mozilla.org/show_bug.cgi?id=1764435</v>
      </c>
      <c r="J170" s="3" t="str">
        <f ca="1">IFERROR(__xludf.DUMMYFUNCTION("""COMPUTED_VALUE"""),"['mozilla-source/mozilla-central/widget/Theme.cpp', 'searchfox.org/mozilla-central/rev/d34f9713ae128a3138c2b70d8041a535f1049d19/toolkit/content/minimal-xul.css', 'searchfox.org/mozilla-central/rev/b72e9d7d63bf499d1d8168291b93d4ec7fde236e/widget/Theme.cpp'"&amp;", 'Theme.cpp']")</f>
        <v>['mozilla-source/mozilla-central/widget/Theme.cpp', 'searchfox.org/mozilla-central/rev/d34f9713ae128a3138c2b70d8041a535f1049d19/toolkit/content/minimal-xul.css', 'searchfox.org/mozilla-central/rev/b72e9d7d63bf499d1d8168291b93d4ec7fde236e/widget/Theme.cpp', 'Theme.cpp']</v>
      </c>
      <c r="K170" s="3" t="str">
        <f ca="1">IFERROR(__xludf.DUMMYFUNCTION("""COMPUTED_VALUE"""),"Bug Description")</f>
        <v>Bug Description</v>
      </c>
      <c r="L170" s="3" t="str">
        <f ca="1">IFERROR(__xludf.DUMMYFUNCTION("""COMPUTED_VALUE"""),"Links")</f>
        <v>Links</v>
      </c>
      <c r="M170" s="3"/>
      <c r="N170" s="3"/>
      <c r="O170" s="3"/>
    </row>
    <row r="171" spans="1:15" ht="42">
      <c r="A171" s="3" t="s">
        <v>65</v>
      </c>
      <c r="B171" s="3"/>
      <c r="C171" s="3" t="str">
        <f ca="1">IFERROR(__xludf.DUMMYFUNCTION("""COMPUTED_VALUE"""),"Agree")</f>
        <v>Agree</v>
      </c>
      <c r="D171" s="3">
        <f ca="1">IFERROR(__xludf.DUMMYFUNCTION("""COMPUTED_VALUE"""),58)</f>
        <v>58</v>
      </c>
      <c r="E171" s="3" t="str">
        <f ca="1">IFERROR(__xludf.DUMMYFUNCTION("""COMPUTED_VALUE"""),"Yes")</f>
        <v>Yes</v>
      </c>
      <c r="F171" s="3" t="str">
        <f ca="1">IFERROR(__xludf.DUMMYFUNCTION("""COMPUTED_VALUE"""),"BothRef")</f>
        <v>BothRef</v>
      </c>
      <c r="G171" s="3">
        <f ca="1">IFERROR(__xludf.DUMMYFUNCTION("""COMPUTED_VALUE"""),1572421)</f>
        <v>1572421</v>
      </c>
      <c r="H171" s="3" t="str">
        <f ca="1">IFERROR(__xludf.DUMMYFUNCTION("""COMPUTED_VALUE"""),"{1550640}")</f>
        <v>{1550640}</v>
      </c>
      <c r="I171" s="4" t="str">
        <f ca="1">IFERROR(__xludf.DUMMYFUNCTION("""COMPUTED_VALUE"""),"https://bugzilla.mozilla.org/show_bug.cgi?id=1572421")</f>
        <v>https://bugzilla.mozilla.org/show_bug.cgi?id=1572421</v>
      </c>
      <c r="J171" s="3" t="str">
        <f ca="1">IFERROR(__xludf.DUMMYFUNCTION("""COMPUTED_VALUE"""),"['raw_items.txt', 'wr-dl-dump.txt', 'searchfox.org/mozilla-central/rev/82c04b9cad5b98bdf682bd477f2b1e3071b004ad/gfx/wr/webrender_api/src/display_list.rs']")</f>
        <v>['raw_items.txt', 'wr-dl-dump.txt', 'searchfox.org/mozilla-central/rev/82c04b9cad5b98bdf682bd477f2b1e3071b004ad/gfx/wr/webrender_api/src/display_list.rs']</v>
      </c>
      <c r="K171" s="3" t="str">
        <f ca="1">IFERROR(__xludf.DUMMYFUNCTION("""COMPUTED_VALUE"""),"File to Reproduce the Bug")</f>
        <v>File to Reproduce the Bug</v>
      </c>
      <c r="L171" s="3" t="str">
        <f ca="1">IFERROR(__xludf.DUMMYFUNCTION("""COMPUTED_VALUE"""),"Solution Draft")</f>
        <v>Solution Draft</v>
      </c>
      <c r="M171" s="3"/>
      <c r="N171" s="3"/>
      <c r="O171" s="3"/>
    </row>
    <row r="172" spans="1:15" ht="56">
      <c r="A172" s="3" t="s">
        <v>65</v>
      </c>
      <c r="B172" s="3"/>
      <c r="C172" s="3" t="str">
        <f ca="1">IFERROR(__xludf.DUMMYFUNCTION("""COMPUTED_VALUE"""),"Agree")</f>
        <v>Agree</v>
      </c>
      <c r="D172" s="3">
        <f ca="1">IFERROR(__xludf.DUMMYFUNCTION("""COMPUTED_VALUE"""),59)</f>
        <v>59</v>
      </c>
      <c r="E172" s="3" t="str">
        <f ca="1">IFERROR(__xludf.DUMMYFUNCTION("""COMPUTED_VALUE"""),"Yes")</f>
        <v>Yes</v>
      </c>
      <c r="F172" s="3" t="str">
        <f ca="1">IFERROR(__xludf.DUMMYFUNCTION("""COMPUTED_VALUE"""),"FixRef")</f>
        <v>FixRef</v>
      </c>
      <c r="G172" s="3">
        <f ca="1">IFERROR(__xludf.DUMMYFUNCTION("""COMPUTED_VALUE"""),1783610)</f>
        <v>1783610</v>
      </c>
      <c r="H172" s="3" t="str">
        <f ca="1">IFERROR(__xludf.DUMMYFUNCTION("""COMPUTED_VALUE"""),"{1782527}")</f>
        <v>{1782527}</v>
      </c>
      <c r="I172" s="4" t="str">
        <f ca="1">IFERROR(__xludf.DUMMYFUNCTION("""COMPUTED_VALUE"""),"https://bugzilla.mozilla.org/show_bug.cgi?id=1783610")</f>
        <v>https://bugzilla.mozilla.org/show_bug.cgi?id=1783610</v>
      </c>
      <c r="J172" s="3" t="str">
        <f ca="1">IFERROR(__xludf.DUMMYFUNCTION("""COMPUTED_VALUE"""),"['browser-toolbox.js']")</f>
        <v>['browser-toolbox.js']</v>
      </c>
      <c r="K172" s="3" t="str">
        <f ca="1">IFERROR(__xludf.DUMMYFUNCTION("""COMPUTED_VALUE"""),"File names are part of bug title, attachment title or commit messages")</f>
        <v>File names are part of bug title, attachment title or commit messages</v>
      </c>
      <c r="L172" s="3"/>
      <c r="M172" s="3"/>
      <c r="N172" s="3"/>
      <c r="O172" s="3"/>
    </row>
    <row r="173" spans="1:15" ht="42">
      <c r="A173" s="3" t="s">
        <v>65</v>
      </c>
      <c r="B173" s="3"/>
      <c r="C173" s="3" t="str">
        <f ca="1">IFERROR(__xludf.DUMMYFUNCTION("""COMPUTED_VALUE"""),"Agree")</f>
        <v>Agree</v>
      </c>
      <c r="D173" s="3">
        <f ca="1">IFERROR(__xludf.DUMMYFUNCTION("""COMPUTED_VALUE"""),60)</f>
        <v>60</v>
      </c>
      <c r="E173" s="3" t="str">
        <f ca="1">IFERROR(__xludf.DUMMYFUNCTION("""COMPUTED_VALUE"""),"Yes")</f>
        <v>Yes</v>
      </c>
      <c r="F173" s="3" t="str">
        <f ca="1">IFERROR(__xludf.DUMMYFUNCTION("""COMPUTED_VALUE"""),"FixRef")</f>
        <v>FixRef</v>
      </c>
      <c r="G173" s="3">
        <f ca="1">IFERROR(__xludf.DUMMYFUNCTION("""COMPUTED_VALUE"""),1624384)</f>
        <v>1624384</v>
      </c>
      <c r="H173" s="3" t="str">
        <f ca="1">IFERROR(__xludf.DUMMYFUNCTION("""COMPUTED_VALUE"""),"{1729423}")</f>
        <v>{1729423}</v>
      </c>
      <c r="I173" s="4" t="str">
        <f ca="1">IFERROR(__xludf.DUMMYFUNCTION("""COMPUTED_VALUE"""),"https://bugzilla.mozilla.org/show_bug.cgi?id=1624384")</f>
        <v>https://bugzilla.mozilla.org/show_bug.cgi?id=1624384</v>
      </c>
      <c r="J173" s="3" t="str">
        <f ca="1">IFERROR(__xludf.DUMMYFUNCTION("""COMPUTED_VALUE"""),"['searchfox.org/mozilla-central/rev/202a285024f174c2d2bf2152d9cba90a03723eab/dom/base/PlacesObservers.cpp', 'workflow.2Fno_priority.py']")</f>
        <v>['searchfox.org/mozilla-central/rev/202a285024f174c2d2bf2152d9cba90a03723eab/dom/base/PlacesObservers.cpp', 'workflow.2Fno_priority.py']</v>
      </c>
      <c r="K173" s="3" t="str">
        <f ca="1">IFERROR(__xludf.DUMMYFUNCTION("""COMPUTED_VALUE"""),"Bug Description")</f>
        <v>Bug Description</v>
      </c>
      <c r="L173" s="3"/>
      <c r="M173" s="3"/>
      <c r="N173" s="3"/>
      <c r="O173" s="3"/>
    </row>
    <row r="174" spans="1:15" ht="266">
      <c r="A174" s="3" t="s">
        <v>65</v>
      </c>
      <c r="B174" s="3" t="str">
        <f ca="1">IFERROR(__xludf.DUMMYFUNCTION("""COMPUTED_VALUE"""),"Agree")</f>
        <v>Agree</v>
      </c>
      <c r="C174" s="3" t="str">
        <f ca="1">IFERROR(__xludf.DUMMYFUNCTION("""COMPUTED_VALUE"""),"Partial")</f>
        <v>Partial</v>
      </c>
      <c r="D174" s="3">
        <f ca="1">IFERROR(__xludf.DUMMYFUNCTION("""COMPUTED_VALUE"""),61)</f>
        <v>61</v>
      </c>
      <c r="E174" s="3" t="str">
        <f ca="1">IFERROR(__xludf.DUMMYFUNCTION("""COMPUTED_VALUE"""),"Yes")</f>
        <v>Yes</v>
      </c>
      <c r="F174" s="3" t="str">
        <f ca="1">IFERROR(__xludf.DUMMYFUNCTION("""COMPUTED_VALUE"""),"FixRef")</f>
        <v>FixRef</v>
      </c>
      <c r="G174" s="3">
        <f ca="1">IFERROR(__xludf.DUMMYFUNCTION("""COMPUTED_VALUE"""),1782562)</f>
        <v>1782562</v>
      </c>
      <c r="H174" s="3" t="str">
        <f ca="1">IFERROR(__xludf.DUMMYFUNCTION("""COMPUTED_VALUE"""),"{685783}")</f>
        <v>{685783}</v>
      </c>
      <c r="I174" s="4" t="str">
        <f ca="1">IFERROR(__xludf.DUMMYFUNCTION("""COMPUTED_VALUE"""),"https://bugzilla.mozilla.org/show_bug.cgi?id=1782562")</f>
        <v>https://bugzilla.mozilla.org/show_bug.cgi?id=1782562</v>
      </c>
      <c r="J174" s="3" t="str">
        <f ca="1">IFERROR(__xludf.DUMMYFUNCTION("""COMPUTED_VALUE"""),"['home/skygentoo/trees/mozilla-central/js/src/vm/CompilationAndEvaluation.cpp', 'home/skygentoo/trees/mozilla-central/js/src/shell/js.cpp', 'home/skygentoo/trees/mozilla-central/js/src/vm/Interpreter.h', 'home/skygentoo/trees/mozilla-central/js/src/jit/Ba"&amp;"selineJIT.cpp', 'bug1782468-ptrdiff-veclen.js', 'builds/worker/checkouts/gecko/js/src/jit-test/tests/bug1782468-ptrdiff-veclen.js', 'home/skygentoo/shell-cache/js-dbg-32-linux-x86_64-bc1d41e88ae3/objdir-js/dist/include/mozilla/Vector.h', 'home/skygentoo/t"&amp;"rees/mozilla-central/js/src/vm/ToSource.cpp', 'home/skygentoo/trees/mozilla-central/js/src/util/StringBuffer.cpp', 'home/skygentoo/trees/mozilla-central/js/src/vm/Interpreter.cpp', 'home/skygentoo/trees/mozilla-central/js/src/util/StringBuffer.h', 'home/s"&amp;"kygentoo/trees/mozilla-central/js/src/builtin/Object.cpp', 'builds/worker/checkouts/gecko/js/src/jit-test/tests/bug1782562-toSource-veclen.js', 'js/src/jit-test/tests/bug1782468-ptrdiff-veclen.js', 'home/skygentoo/trees/mozilla-central/js/src/jit/Baseline"&amp;"IC.cpp', 'home/skygentoo/trees/mozilla-central/js/src/builtin/String.cpp', 'js/src/jit-test/tests/bug1782562-toSource-veclen.js']")</f>
        <v>['home/skygentoo/trees/mozilla-central/js/src/vm/CompilationAndEvaluation.cpp', 'home/skygentoo/trees/mozilla-central/js/src/shell/js.cpp', 'home/skygentoo/trees/mozilla-central/js/src/vm/Interpreter.h', 'home/skygentoo/trees/mozilla-central/js/src/jit/BaselineJIT.cpp', 'bug1782468-ptrdiff-veclen.js', 'builds/worker/checkouts/gecko/js/src/jit-test/tests/bug1782468-ptrdiff-veclen.js', 'home/skygentoo/shell-cache/js-dbg-32-linux-x86_64-bc1d41e88ae3/objdir-js/dist/include/mozilla/Vector.h', 'home/skygentoo/trees/mozilla-central/js/src/vm/ToSource.cpp', 'home/skygentoo/trees/mozilla-central/js/src/util/StringBuffer.cpp', 'home/skygentoo/trees/mozilla-central/js/src/vm/Interpreter.cpp', 'home/skygentoo/trees/mozilla-central/js/src/util/StringBuffer.h', 'home/skygentoo/trees/mozilla-central/js/src/builtin/Object.cpp', 'builds/worker/checkouts/gecko/js/src/jit-test/tests/bug1782562-toSource-veclen.js', 'js/src/jit-test/tests/bug1782468-ptrdiff-veclen.js', 'home/skygentoo/trees/mozilla-central/js/src/jit/BaselineIC.cpp', 'home/skygentoo/trees/mozilla-central/js/src/builtin/String.cpp', 'js/src/jit-test/tests/bug1782562-toSource-veclen.js']</v>
      </c>
      <c r="K174" s="3" t="str">
        <f ca="1">IFERROR(__xludf.DUMMYFUNCTION("""COMPUTED_VALUE"""),"System Dumps")</f>
        <v>System Dumps</v>
      </c>
      <c r="L174" s="3" t="str">
        <f ca="1">IFERROR(__xludf.DUMMYFUNCTION("""COMPUTED_VALUE"""),"Bug Description")</f>
        <v>Bug Description</v>
      </c>
      <c r="M174" s="3" t="str">
        <f ca="1">IFERROR(__xludf.DUMMYFUNCTION("""COMPUTED_VALUE"""),"Backout")</f>
        <v>Backout</v>
      </c>
      <c r="N174" s="3" t="str">
        <f ca="1">IFERROR(__xludf.DUMMYFUNCTION("""COMPUTED_VALUE"""),"File names are part of bug title, attachment title or commit messages")</f>
        <v>File names are part of bug title, attachment title or commit messages</v>
      </c>
      <c r="O174" s="3"/>
    </row>
    <row r="175" spans="1:15" ht="84">
      <c r="A175" s="3" t="s">
        <v>65</v>
      </c>
      <c r="B175" s="3" t="str">
        <f ca="1">IFERROR(__xludf.DUMMYFUNCTION("""COMPUTED_VALUE"""),"Agree")</f>
        <v>Agree</v>
      </c>
      <c r="C175" s="3" t="str">
        <f ca="1">IFERROR(__xludf.DUMMYFUNCTION("""COMPUTED_VALUE"""),"Partial")</f>
        <v>Partial</v>
      </c>
      <c r="D175" s="3">
        <f ca="1">IFERROR(__xludf.DUMMYFUNCTION("""COMPUTED_VALUE"""),62)</f>
        <v>62</v>
      </c>
      <c r="E175" s="3" t="str">
        <f ca="1">IFERROR(__xludf.DUMMYFUNCTION("""COMPUTED_VALUE"""),"Yes")</f>
        <v>Yes</v>
      </c>
      <c r="F175" s="3" t="str">
        <f ca="1">IFERROR(__xludf.DUMMYFUNCTION("""COMPUTED_VALUE"""),"BothRef")</f>
        <v>BothRef</v>
      </c>
      <c r="G175" s="3">
        <f ca="1">IFERROR(__xludf.DUMMYFUNCTION("""COMPUTED_VALUE"""),1641153)</f>
        <v>1641153</v>
      </c>
      <c r="H175" s="3" t="str">
        <f ca="1">IFERROR(__xludf.DUMMYFUNCTION("""COMPUTED_VALUE"""),"{1637226}")</f>
        <v>{1637226}</v>
      </c>
      <c r="I175" s="4" t="str">
        <f ca="1">IFERROR(__xludf.DUMMYFUNCTION("""COMPUTED_VALUE"""),"https://bugzilla.mozilla.org/show_bug.cgi?id=1641153")</f>
        <v>https://bugzilla.mozilla.org/show_bug.cgi?id=1641153</v>
      </c>
      <c r="J175" s="3" t="str">
        <f ca="1">IFERROR(__xludf.DUMMYFUNCTION("""COMPUTED_VALUE"""),"['layout/base/nsDocumentViewer.cpp', 'ClientSource.cpp', 'dom/base/nsGlobalWindowOuter.cpp', 'uriloader/base/nsURILoader.cpp', 'docshell/base/nsDocShell.cpp', 'docshell/base/nsDSURIContentListener.cpp', 'dom/clients/manager/ClientSource.cpp', 'dom/base/ns"&amp;"GlobalWindowInner.cpp']")</f>
        <v>['layout/base/nsDocumentViewer.cpp', 'ClientSource.cpp', 'dom/base/nsGlobalWindowOuter.cpp', 'uriloader/base/nsURILoader.cpp', 'docshell/base/nsDocShell.cpp', 'docshell/base/nsDSURIContentListener.cpp', 'dom/clients/manager/ClientSource.cpp', 'dom/base/nsGlobalWindowInner.cpp']</v>
      </c>
      <c r="K175" s="3" t="str">
        <f ca="1">IFERROR(__xludf.DUMMYFUNCTION("""COMPUTED_VALUE"""),"System Dumps")</f>
        <v>System Dumps</v>
      </c>
      <c r="L175" s="3" t="str">
        <f ca="1">IFERROR(__xludf.DUMMYFUNCTION("""COMPUTED_VALUE"""),"File names are part of bug title, attachment title or commit messages")</f>
        <v>File names are part of bug title, attachment title or commit messages</v>
      </c>
      <c r="M175" s="3"/>
      <c r="N175" s="3"/>
      <c r="O175" s="3" t="str">
        <f ca="1">IFERROR(__xludf.DUMMYFUNCTION("""COMPUTED_VALUE"""),"the files at the top of stack trace seems to fix the issue (in this case ClientSource.cpp)")</f>
        <v>the files at the top of stack trace seems to fix the issue (in this case ClientSource.cpp)</v>
      </c>
    </row>
    <row r="176" spans="1:15" ht="409.6">
      <c r="A176" s="3" t="s">
        <v>65</v>
      </c>
      <c r="B176" s="3"/>
      <c r="C176" s="3" t="str">
        <f ca="1">IFERROR(__xludf.DUMMYFUNCTION("""COMPUTED_VALUE"""),"Agree")</f>
        <v>Agree</v>
      </c>
      <c r="D176" s="3">
        <f ca="1">IFERROR(__xludf.DUMMYFUNCTION("""COMPUTED_VALUE"""),63)</f>
        <v>63</v>
      </c>
      <c r="E176" s="3" t="str">
        <f ca="1">IFERROR(__xludf.DUMMYFUNCTION("""COMPUTED_VALUE"""),"Yes")</f>
        <v>Yes</v>
      </c>
      <c r="F176" s="3" t="str">
        <f ca="1">IFERROR(__xludf.DUMMYFUNCTION("""COMPUTED_VALUE"""),"BothRef")</f>
        <v>BothRef</v>
      </c>
      <c r="G176" s="3">
        <f ca="1">IFERROR(__xludf.DUMMYFUNCTION("""COMPUTED_VALUE"""),1641598)</f>
        <v>1641598</v>
      </c>
      <c r="H176" s="3" t="str">
        <f ca="1">IFERROR(__xludf.DUMMYFUNCTION("""COMPUTED_VALUE"""),"{1565515}")</f>
        <v>{1565515}</v>
      </c>
      <c r="I176" s="4" t="str">
        <f ca="1">IFERROR(__xludf.DUMMYFUNCTION("""COMPUTED_VALUE"""),"https://bugzilla.mozilla.org/show_bug.cgi?id=1641598")</f>
        <v>https://bugzilla.mozilla.org/show_bug.cgi?id=1641598</v>
      </c>
      <c r="J176" s="3" t="str">
        <f ca="1">IFERROR(__xludf.DUMMYFUNCTION("""COMPUTED_VALUE"""),"['browser/app/nsBrowserApp.cpp', '5abc72777d30ad0ea7b8b3e1392cd7961bd73b8cd08e5ab209f3b42251def563ee9c9a7cea98a24d0fa9d867edfc0c0297c165b0d167458ac5a2af4b7a0caebe/dist/include/mozilla/dom/EventHandlerBinding.h', 'dom/indexedDB/ActorsChild.cpp', 'xpcom/thr"&amp;"eads/nsThread.cpp', 'dom/events/EventDispatcher.cpp', 'dom/indexedDB/IDBObjectStore.cpp', 'dom/bindings/BindingUtils.cpp', 'dom/indexedDB/Key.cpp', '75695bbbf1ec93aad4718f03c359901f1be9ae34cba79945a5c42f3e8a2da054cc4ed1a56d373be9953080b82b366a6cd792a7b532"&amp;"3cd7f0d62bfa3c3b040098/ipc/ipdl/PBackgroundChild.cpp', 'dom/events/EventTarget.cpp', 'dom/events/EventListenerManager.cpp', 'builds/worker/checkouts/gecko/dom/indexedDB/Key.cpp', 'widget/nsBaseAppShell.cpp', 'js/src/jsapi.cpp', 'ipc/contentproc/plugin-con"&amp;"tainer.cpp', '5ceb4fd1d8dc61bfa9cb634c1ccbea88477929f8e3cd832f14dbaaa72fb11378c7536241ae3f9b1a6d2506d829d115fe64e0fdcf3301157cfcf64f24a4f984df/dom/bindings/EventHandlerBinding.cpp', 'ipc/chromium/src/base/message_loop.cc', 'xpcom/threads/nsThreadUtils.cpp"&amp;"', 'pernos.co/debug/4xUc_yGi3sI8FVa70Qj6vw/index.html', 'dom/events/DOMEventTargetHelper.cpp', 'js/src/vm/Interpreter.cpp', '2ad87b60434df00e11eab33b78feaf68c78ffef7d53b0eeb20de8c908a2a96c14455f2eecd205ea9ae779d1a8b372e8bf920b856dd5dd45b6ef96cf38be99491/i"&amp;"pc/ipdl/PBackgroundIDBDatabaseChild.cpp', 'ipc/glue/MessagePump.cpp', 'toolkit/xre/nsEmbedFunctions.cpp', 'testcase.html', 'xpcom/threads/SchedulerGroup.cpp', 'ad112e758790aa0777e9b2114eba439edc54bb393cfd20825f639a5f680c951c24f1faf85ce149909566546ff1a243d"&amp;"99c42d590beeff910abf352913eebaa5a/dom/bindings/IDBObjectStoreBinding.cpp', 'dom/events/JSEventHandler.cpp', 'mfbt/UniquePtr.h', 'ipc/glue/MessageChannel.cpp']")</f>
        <v>['browser/app/nsBrowserApp.cpp', '5abc72777d30ad0ea7b8b3e1392cd7961bd73b8cd08e5ab209f3b42251def563ee9c9a7cea98a24d0fa9d867edfc0c0297c165b0d167458ac5a2af4b7a0caebe/dist/include/mozilla/dom/EventHandlerBinding.h', 'dom/indexedDB/ActorsChild.cpp', 'xpcom/threads/nsThread.cpp', 'dom/events/EventDispatcher.cpp', 'dom/indexedDB/IDBObjectStore.cpp', 'dom/bindings/BindingUtils.cpp', 'dom/indexedDB/Key.cpp', '75695bbbf1ec93aad4718f03c359901f1be9ae34cba79945a5c42f3e8a2da054cc4ed1a56d373be9953080b82b366a6cd792a7b5323cd7f0d62bfa3c3b040098/ipc/ipdl/PBackgroundChild.cpp', 'dom/events/EventTarget.cpp', 'dom/events/EventListenerManager.cpp', 'builds/worker/checkouts/gecko/dom/indexedDB/Key.cpp', 'widget/nsBaseAppShell.cpp', 'js/src/jsapi.cpp', 'ipc/contentproc/plugin-container.cpp', '5ceb4fd1d8dc61bfa9cb634c1ccbea88477929f8e3cd832f14dbaaa72fb11378c7536241ae3f9b1a6d2506d829d115fe64e0fdcf3301157cfcf64f24a4f984df/dom/bindings/EventHandlerBinding.cpp', 'ipc/chromium/src/base/message_loop.cc', 'xpcom/threads/nsThreadUtils.cpp', 'pernos.co/debug/4xUc_yGi3sI8FVa70Qj6vw/index.html', 'dom/events/DOMEventTargetHelper.cpp', 'js/src/vm/Interpreter.cpp', '2ad87b60434df00e11eab33b78feaf68c78ffef7d53b0eeb20de8c908a2a96c14455f2eecd205ea9ae779d1a8b372e8bf920b856dd5dd45b6ef96cf38be99491/ipc/ipdl/PBackgroundIDBDatabaseChild.cpp', 'ipc/glue/MessagePump.cpp', 'toolkit/xre/nsEmbedFunctions.cpp', 'testcase.html', 'xpcom/threads/SchedulerGroup.cpp', 'ad112e758790aa0777e9b2114eba439edc54bb393cfd20825f639a5f680c951c24f1faf85ce149909566546ff1a243d99c42d590beeff910abf352913eebaa5a/dom/bindings/IDBObjectStoreBinding.cpp', 'dom/events/JSEventHandler.cpp', 'mfbt/UniquePtr.h', 'ipc/glue/MessageChannel.cpp']</v>
      </c>
      <c r="K176" s="3" t="str">
        <f ca="1">IFERROR(__xludf.DUMMYFUNCTION("""COMPUTED_VALUE"""),"System Dumps")</f>
        <v>System Dumps</v>
      </c>
      <c r="L176" s="3" t="str">
        <f ca="1">IFERROR(__xludf.DUMMYFUNCTION("""COMPUTED_VALUE"""),"File names are part of bug title, attachment title or commit messages")</f>
        <v>File names are part of bug title, attachment title or commit messages</v>
      </c>
      <c r="M176" s="3"/>
      <c r="N176" s="3"/>
      <c r="O176" s="3" t="str">
        <f ca="1">IFERROR(__xludf.DUMMYFUNCTION("""COMPUTED_VALUE"""),"the files at the top of stack trace seems to fix the issue (in this case Key.cpp)")</f>
        <v>the files at the top of stack trace seems to fix the issue (in this case Key.cpp)</v>
      </c>
    </row>
    <row r="177" spans="1:15" ht="42">
      <c r="A177" s="3" t="s">
        <v>65</v>
      </c>
      <c r="B177" s="3" t="str">
        <f ca="1">IFERROR(__xludf.DUMMYFUNCTION("""COMPUTED_VALUE"""),"Agree")</f>
        <v>Agree</v>
      </c>
      <c r="C177" s="3" t="str">
        <f ca="1">IFERROR(__xludf.DUMMYFUNCTION("""COMPUTED_VALUE"""),"Partial")</f>
        <v>Partial</v>
      </c>
      <c r="D177" s="3">
        <f ca="1">IFERROR(__xludf.DUMMYFUNCTION("""COMPUTED_VALUE"""),64)</f>
        <v>64</v>
      </c>
      <c r="E177" s="3" t="str">
        <f ca="1">IFERROR(__xludf.DUMMYFUNCTION("""COMPUTED_VALUE"""),"Yes")</f>
        <v>Yes</v>
      </c>
      <c r="F177" s="3" t="str">
        <f ca="1">IFERROR(__xludf.DUMMYFUNCTION("""COMPUTED_VALUE"""),"FixRef")</f>
        <v>FixRef</v>
      </c>
      <c r="G177" s="3">
        <f ca="1">IFERROR(__xludf.DUMMYFUNCTION("""COMPUTED_VALUE"""),1733625)</f>
        <v>1733625</v>
      </c>
      <c r="H177" s="3" t="str">
        <f ca="1">IFERROR(__xludf.DUMMYFUNCTION("""COMPUTED_VALUE"""),"{1729060}")</f>
        <v>{1729060}</v>
      </c>
      <c r="I177" s="4" t="str">
        <f ca="1">IFERROR(__xludf.DUMMYFUNCTION("""COMPUTED_VALUE"""),"https://bugzilla.mozilla.org/show_bug.cgi?id=1733625")</f>
        <v>https://bugzilla.mozilla.org/show_bug.cgi?id=1733625</v>
      </c>
      <c r="J177" s="3" t="str">
        <f ca="1">IFERROR(__xludf.DUMMYFUNCTION("""COMPUTED_VALUE"""),"['home/ahal/dev/mozilla-central/taskcluster/taskgraph/util/perfile.py', 'home/ahal/dev/mozilla-central/python/mozbuild/mozbuild/util.py', 'home/ahal/dev/mozilla-central/taskcluster/taskgraph/files_changed.py']")</f>
        <v>['home/ahal/dev/mozilla-central/taskcluster/taskgraph/util/perfile.py', 'home/ahal/dev/mozilla-central/python/mozbuild/mozbuild/util.py', 'home/ahal/dev/mozilla-central/taskcluster/taskgraph/files_changed.py']</v>
      </c>
      <c r="K177" s="3" t="str">
        <f ca="1">IFERROR(__xludf.DUMMYFUNCTION("""COMPUTED_VALUE"""),"System Dumps")</f>
        <v>System Dumps</v>
      </c>
      <c r="L177" s="3"/>
      <c r="M177" s="3"/>
      <c r="N177" s="3"/>
      <c r="O177" s="3" t="str">
        <f ca="1">IFERROR(__xludf.DUMMYFUNCTION("""COMPUTED_VALUE"""),"the files at the top of stack trace seems to fix the issue (in this case files_changed.py)")</f>
        <v>the files at the top of stack trace seems to fix the issue (in this case files_changed.py)</v>
      </c>
    </row>
    <row r="178" spans="1:15" ht="56">
      <c r="A178" s="3" t="s">
        <v>65</v>
      </c>
      <c r="B178" s="3"/>
      <c r="C178" s="3" t="str">
        <f ca="1">IFERROR(__xludf.DUMMYFUNCTION("""COMPUTED_VALUE"""),"Agree")</f>
        <v>Agree</v>
      </c>
      <c r="D178" s="3">
        <f ca="1">IFERROR(__xludf.DUMMYFUNCTION("""COMPUTED_VALUE"""),65)</f>
        <v>65</v>
      </c>
      <c r="E178" s="3" t="str">
        <f ca="1">IFERROR(__xludf.DUMMYFUNCTION("""COMPUTED_VALUE"""),"Yes")</f>
        <v>Yes</v>
      </c>
      <c r="F178" s="3" t="str">
        <f ca="1">IFERROR(__xludf.DUMMYFUNCTION("""COMPUTED_VALUE"""),"BothRef")</f>
        <v>BothRef</v>
      </c>
      <c r="G178" s="3">
        <f ca="1">IFERROR(__xludf.DUMMYFUNCTION("""COMPUTED_VALUE"""),1743807)</f>
        <v>1743807</v>
      </c>
      <c r="H178" s="3" t="str">
        <f ca="1">IFERROR(__xludf.DUMMYFUNCTION("""COMPUTED_VALUE"""),"{1731999}")</f>
        <v>{1731999}</v>
      </c>
      <c r="I178" s="4" t="str">
        <f ca="1">IFERROR(__xludf.DUMMYFUNCTION("""COMPUTED_VALUE"""),"https://bugzilla.mozilla.org/show_bug.cgi?id=1743807")</f>
        <v>https://bugzilla.mozilla.org/show_bug.cgi?id=1743807</v>
      </c>
      <c r="J178" s="3" t="str">
        <f ca="1">IFERROR(__xludf.DUMMYFUNCTION("""COMPUTED_VALUE"""),"['browser_partitionedServiceWorkers.js']")</f>
        <v>['browser_partitionedServiceWorkers.js']</v>
      </c>
      <c r="K178" s="3" t="str">
        <f ca="1">IFERROR(__xludf.DUMMYFUNCTION("""COMPUTED_VALUE"""),"File names are part of bug title, attachment title or commit messages")</f>
        <v>File names are part of bug title, attachment title or commit messages</v>
      </c>
      <c r="L178" s="3"/>
      <c r="M178" s="3"/>
      <c r="N178" s="3"/>
      <c r="O178" s="3"/>
    </row>
    <row r="179" spans="1:15" ht="42">
      <c r="A179" s="3" t="s">
        <v>65</v>
      </c>
      <c r="B179" s="3"/>
      <c r="C179" s="3" t="str">
        <f ca="1">IFERROR(__xludf.DUMMYFUNCTION("""COMPUTED_VALUE"""),"Agree")</f>
        <v>Agree</v>
      </c>
      <c r="D179" s="3">
        <f ca="1">IFERROR(__xludf.DUMMYFUNCTION("""COMPUTED_VALUE"""),66)</f>
        <v>66</v>
      </c>
      <c r="E179" s="3" t="str">
        <f ca="1">IFERROR(__xludf.DUMMYFUNCTION("""COMPUTED_VALUE"""),"Yes")</f>
        <v>Yes</v>
      </c>
      <c r="F179" s="3" t="str">
        <f ca="1">IFERROR(__xludf.DUMMYFUNCTION("""COMPUTED_VALUE"""),"FixRef")</f>
        <v>FixRef</v>
      </c>
      <c r="G179" s="3">
        <f ca="1">IFERROR(__xludf.DUMMYFUNCTION("""COMPUTED_VALUE"""),1728063)</f>
        <v>1728063</v>
      </c>
      <c r="H179" s="3" t="str">
        <f ca="1">IFERROR(__xludf.DUMMYFUNCTION("""COMPUTED_VALUE"""),"{1663173}")</f>
        <v>{1663173}</v>
      </c>
      <c r="I179" s="4" t="str">
        <f ca="1">IFERROR(__xludf.DUMMYFUNCTION("""COMPUTED_VALUE"""),"https://bugzilla.mozilla.org/show_bug.cgi?id=1728063")</f>
        <v>https://bugzilla.mozilla.org/show_bug.cgi?id=1728063</v>
      </c>
      <c r="J179" s="3" t="str">
        <f ca="1">IFERROR(__xludf.DUMMYFUNCTION("""COMPUTED_VALUE"""),"['searchfox.org/mozilla-central/rev/5a362eb7d054740dc9d7c82c79a2efbc5f3e4776/toolkit/themes/windows/global/toolbarbutton.css']")</f>
        <v>['searchfox.org/mozilla-central/rev/5a362eb7d054740dc9d7c82c79a2efbc5f3e4776/toolkit/themes/windows/global/toolbarbutton.css']</v>
      </c>
      <c r="K179" s="3" t="str">
        <f ca="1">IFERROR(__xludf.DUMMYFUNCTION("""COMPUTED_VALUE"""),"Bug Description")</f>
        <v>Bug Description</v>
      </c>
      <c r="L179" s="3"/>
      <c r="M179" s="3"/>
      <c r="N179" s="3"/>
      <c r="O179" s="3"/>
    </row>
    <row r="180" spans="1:15" ht="42">
      <c r="A180" s="3" t="s">
        <v>65</v>
      </c>
      <c r="B180" s="3"/>
      <c r="C180" s="3" t="str">
        <f ca="1">IFERROR(__xludf.DUMMYFUNCTION("""COMPUTED_VALUE"""),"Agree")</f>
        <v>Agree</v>
      </c>
      <c r="D180" s="3">
        <f ca="1">IFERROR(__xludf.DUMMYFUNCTION("""COMPUTED_VALUE"""),67)</f>
        <v>67</v>
      </c>
      <c r="E180" s="3" t="str">
        <f ca="1">IFERROR(__xludf.DUMMYFUNCTION("""COMPUTED_VALUE"""),"Yes")</f>
        <v>Yes</v>
      </c>
      <c r="F180" s="3" t="str">
        <f ca="1">IFERROR(__xludf.DUMMYFUNCTION("""COMPUTED_VALUE"""),"BothRef")</f>
        <v>BothRef</v>
      </c>
      <c r="G180" s="3">
        <f ca="1">IFERROR(__xludf.DUMMYFUNCTION("""COMPUTED_VALUE"""),1547237)</f>
        <v>1547237</v>
      </c>
      <c r="H180" s="3" t="str">
        <f ca="1">IFERROR(__xludf.DUMMYFUNCTION("""COMPUTED_VALUE"""),"{1544875}")</f>
        <v>{1544875}</v>
      </c>
      <c r="I180" s="4" t="str">
        <f ca="1">IFERROR(__xludf.DUMMYFUNCTION("""COMPUTED_VALUE"""),"https://bugzilla.mozilla.org/show_bug.cgi?id=1547237")</f>
        <v>https://bugzilla.mozilla.org/show_bug.cgi?id=1547237</v>
      </c>
      <c r="J180" s="3" t="str">
        <f ca="1">IFERROR(__xludf.DUMMYFUNCTION("""COMPUTED_VALUE"""),"['modules/EveryWindow.jsm', 'searchfox.org/mozilla-central/rev/75294521381b331f821aad3d6b60636844080ee2/browser/extensions/fxmonitor/privileged/api.js', 'privileged/api.js']")</f>
        <v>['modules/EveryWindow.jsm', 'searchfox.org/mozilla-central/rev/75294521381b331f821aad3d6b60636844080ee2/browser/extensions/fxmonitor/privileged/api.js', 'privileged/api.js']</v>
      </c>
      <c r="K180" s="3" t="str">
        <f ca="1">IFERROR(__xludf.DUMMYFUNCTION("""COMPUTED_VALUE"""),"Bug Description")</f>
        <v>Bug Description</v>
      </c>
      <c r="L180" s="3" t="str">
        <f ca="1">IFERROR(__xludf.DUMMYFUNCTION("""COMPUTED_VALUE"""),"System Dumps")</f>
        <v>System Dumps</v>
      </c>
      <c r="M180" s="3"/>
      <c r="N180" s="3"/>
      <c r="O180" s="3"/>
    </row>
    <row r="181" spans="1:15" ht="56">
      <c r="A181" s="3" t="s">
        <v>65</v>
      </c>
      <c r="B181" s="3"/>
      <c r="C181" s="3" t="str">
        <f ca="1">IFERROR(__xludf.DUMMYFUNCTION("""COMPUTED_VALUE"""),"Agree")</f>
        <v>Agree</v>
      </c>
      <c r="D181" s="3">
        <f ca="1">IFERROR(__xludf.DUMMYFUNCTION("""COMPUTED_VALUE"""),68)</f>
        <v>68</v>
      </c>
      <c r="E181" s="3" t="str">
        <f ca="1">IFERROR(__xludf.DUMMYFUNCTION("""COMPUTED_VALUE"""),"Yes")</f>
        <v>Yes</v>
      </c>
      <c r="F181" s="3" t="str">
        <f ca="1">IFERROR(__xludf.DUMMYFUNCTION("""COMPUTED_VALUE"""),"BothRef")</f>
        <v>BothRef</v>
      </c>
      <c r="G181" s="3">
        <f ca="1">IFERROR(__xludf.DUMMYFUNCTION("""COMPUTED_VALUE"""),1793766)</f>
        <v>1793766</v>
      </c>
      <c r="H181" s="3" t="str">
        <f ca="1">IFERROR(__xludf.DUMMYFUNCTION("""COMPUTED_VALUE"""),"{15232}")</f>
        <v>{15232}</v>
      </c>
      <c r="I181" s="4" t="str">
        <f ca="1">IFERROR(__xludf.DUMMYFUNCTION("""COMPUTED_VALUE"""),"https://bugzilla.mozilla.org/show_bug.cgi?id=1793766")</f>
        <v>https://bugzilla.mozilla.org/show_bug.cgi?id=1793766</v>
      </c>
      <c r="J181" s="3" t="str">
        <f ca="1">IFERROR(__xludf.DUMMYFUNCTION("""COMPUTED_VALUE"""),"['Unified_cpp_dom_xul0.cpp', 'builds/worker/workspace/obj-build/mozilla-config.h', 'builds/worker/checkouts/gecko/config/gcc_hidden.h', 'builds/worker/checkouts/gecko/gfx/angle/checkout/src/common/string_utils.cpp', 'builds/worker/checkouts/gecko/dom/xul/"&amp;"XULPersist.cpp']")</f>
        <v>['Unified_cpp_dom_xul0.cpp', 'builds/worker/workspace/obj-build/mozilla-config.h', 'builds/worker/checkouts/gecko/config/gcc_hidden.h', 'builds/worker/checkouts/gecko/gfx/angle/checkout/src/common/string_utils.cpp', 'builds/worker/checkouts/gecko/dom/xul/XULPersist.cpp']</v>
      </c>
      <c r="K181" s="3" t="str">
        <f ca="1">IFERROR(__xludf.DUMMYFUNCTION("""COMPUTED_VALUE"""),"System Dumps")</f>
        <v>System Dumps</v>
      </c>
      <c r="L181" s="3" t="str">
        <f ca="1">IFERROR(__xludf.DUMMYFUNCTION("""COMPUTED_VALUE"""),"File names are part of bug title, attachment title or commit messages")</f>
        <v>File names are part of bug title, attachment title or commit messages</v>
      </c>
      <c r="M181" s="3"/>
      <c r="N181" s="3"/>
      <c r="O181" s="3"/>
    </row>
    <row r="182" spans="1:15" ht="154">
      <c r="A182" s="3" t="s">
        <v>65</v>
      </c>
      <c r="B182" s="3"/>
      <c r="C182" s="3" t="str">
        <f ca="1">IFERROR(__xludf.DUMMYFUNCTION("""COMPUTED_VALUE"""),"Agree")</f>
        <v>Agree</v>
      </c>
      <c r="D182" s="3">
        <f ca="1">IFERROR(__xludf.DUMMYFUNCTION("""COMPUTED_VALUE"""),69)</f>
        <v>69</v>
      </c>
      <c r="E182" s="3" t="str">
        <f ca="1">IFERROR(__xludf.DUMMYFUNCTION("""COMPUTED_VALUE"""),"Yes")</f>
        <v>Yes</v>
      </c>
      <c r="F182" s="3" t="str">
        <f ca="1">IFERROR(__xludf.DUMMYFUNCTION("""COMPUTED_VALUE"""),"BothRef")</f>
        <v>BothRef</v>
      </c>
      <c r="G182" s="3">
        <f ca="1">IFERROR(__xludf.DUMMYFUNCTION("""COMPUTED_VALUE"""),1759631)</f>
        <v>1759631</v>
      </c>
      <c r="H182" s="3" t="str">
        <f ca="1">IFERROR(__xludf.DUMMYFUNCTION("""COMPUTED_VALUE"""),"{1749190}")</f>
        <v>{1749190}</v>
      </c>
      <c r="I182" s="4" t="str">
        <f ca="1">IFERROR(__xludf.DUMMYFUNCTION("""COMPUTED_VALUE"""),"https://bugzilla.mozilla.org/show_bug.cgi?id=1759631")</f>
        <v>https://bugzilla.mozilla.org/show_bug.cgi?id=1759631</v>
      </c>
      <c r="J182" s="3" t="str">
        <f ca="1">IFERROR(__xludf.DUMMYFUNCTION("""COMPUTED_VALUE"""),"['XPCWrappedNativeJSOps.cpp', 'builds/worker/checkouts/gecko/dom/serviceworkers/ServiceWorkerRegistrar.cpp', 'XPCWrappedJSClass.cpp', 'nsObserverList.cpp', 'layout/base/crashtests/1749190.html', 'hg.mozilla.org/mozilla-central/raw-file/tip/layout/tools/re"&amp;"ftest/reftest-analyzer.xhtml', 'nsBrowserApp.cpp', 'xptcstubs_x86_64_darwin.cpp', 'UniquePtr.h', 'nsXREDirProvider.cpp', 'XPCJSContext.cpp', 'Promise.cpp', 'nsDebugImpl.cpp', 'PromiseBinding.cpp', 'AppShutdown.cpp', 'CallAndConstruct.cpp', 'Interpreter.cp"&amp;"p', 'Jit.cpp', 'CycleCollectedJSContext.cpp', 'XPCWrappedNative.cpp', 'nsThread.cpp', 'nsAppRunner.cpp', 'nsObserverService.cpp']")</f>
        <v>['XPCWrappedNativeJSOps.cpp', 'builds/worker/checkouts/gecko/dom/serviceworkers/ServiceWorkerRegistrar.cpp', 'XPCWrappedJSClass.cpp', 'nsObserverList.cpp', 'layout/base/crashtests/1749190.html', 'hg.mozilla.org/mozilla-central/raw-file/tip/layout/tools/reftest/reftest-analyzer.xhtml', 'nsBrowserApp.cpp', 'xptcstubs_x86_64_darwin.cpp', 'UniquePtr.h', 'nsXREDirProvider.cpp', 'XPCJSContext.cpp', 'Promise.cpp', 'nsDebugImpl.cpp', 'PromiseBinding.cpp', 'AppShutdown.cpp', 'CallAndConstruct.cpp', 'Interpreter.cpp', 'Jit.cpp', 'CycleCollectedJSContext.cpp', 'XPCWrappedNative.cpp', 'nsThread.cpp', 'nsAppRunner.cpp', 'nsObserverService.cpp']</v>
      </c>
      <c r="K182" s="3" t="str">
        <f ca="1">IFERROR(__xludf.DUMMYFUNCTION("""COMPUTED_VALUE"""),"System Dumps")</f>
        <v>System Dumps</v>
      </c>
      <c r="L182" s="3" t="str">
        <f ca="1">IFERROR(__xludf.DUMMYFUNCTION("""COMPUTED_VALUE"""),"File names are part of bug title, attachment title or commit messages")</f>
        <v>File names are part of bug title, attachment title or commit messages</v>
      </c>
      <c r="M182" s="3"/>
      <c r="N182" s="3"/>
      <c r="O182" s="3" t="str">
        <f ca="1">IFERROR(__xludf.DUMMYFUNCTION("""COMPUTED_VALUE"""),"The bug is on a testcase. In the discussion they talk about the testcase without extension. Also the testcase has the same id of the fix-inducing pr bug I think this is a specific beavior of Mozilla devs")</f>
        <v>The bug is on a testcase. In the discussion they talk about the testcase without extension. Also the testcase has the same id of the fix-inducing pr bug I think this is a specific beavior of Mozilla devs</v>
      </c>
    </row>
    <row r="183" spans="1:15" ht="42">
      <c r="A183" s="3" t="s">
        <v>65</v>
      </c>
      <c r="B183" s="3"/>
      <c r="C183" s="3" t="str">
        <f ca="1">IFERROR(__xludf.DUMMYFUNCTION("""COMPUTED_VALUE"""),"Agree")</f>
        <v>Agree</v>
      </c>
      <c r="D183" s="3">
        <f ca="1">IFERROR(__xludf.DUMMYFUNCTION("""COMPUTED_VALUE"""),70)</f>
        <v>70</v>
      </c>
      <c r="E183" s="3" t="str">
        <f ca="1">IFERROR(__xludf.DUMMYFUNCTION("""COMPUTED_VALUE"""),"Yes")</f>
        <v>Yes</v>
      </c>
      <c r="F183" s="3" t="str">
        <f ca="1">IFERROR(__xludf.DUMMYFUNCTION("""COMPUTED_VALUE"""),"BothRef")</f>
        <v>BothRef</v>
      </c>
      <c r="G183" s="3">
        <f ca="1">IFERROR(__xludf.DUMMYFUNCTION("""COMPUTED_VALUE"""),1647735)</f>
        <v>1647735</v>
      </c>
      <c r="H183" s="3" t="str">
        <f ca="1">IFERROR(__xludf.DUMMYFUNCTION("""COMPUTED_VALUE"""),"{1631568}")</f>
        <v>{1631568}</v>
      </c>
      <c r="I183" s="4" t="str">
        <f ca="1">IFERROR(__xludf.DUMMYFUNCTION("""COMPUTED_VALUE"""),"https://bugzilla.mozilla.org/show_bug.cgi?id=1647735")</f>
        <v>https://bugzilla.mozilla.org/show_bug.cgi?id=1647735</v>
      </c>
      <c r="J183" s="3" t="str">
        <f ca="1">IFERROR(__xludf.DUMMYFUNCTION("""COMPUTED_VALUE"""),"['searchfox.org/mozilla-central/rev/cfaa250d14e344834932de4c2eed0061701654da/dom/base/Document.cpp', 'nsIDocShell.h', 'treeherder.mozilla.org/logviewer.html']")</f>
        <v>['searchfox.org/mozilla-central/rev/cfaa250d14e344834932de4c2eed0061701654da/dom/base/Document.cpp', 'nsIDocShell.h', 'treeherder.mozilla.org/logviewer.html']</v>
      </c>
      <c r="K183" s="3" t="str">
        <f ca="1">IFERROR(__xludf.DUMMYFUNCTION("""COMPUTED_VALUE"""),"Bug Description")</f>
        <v>Bug Description</v>
      </c>
      <c r="L183" s="3"/>
      <c r="M183" s="3"/>
      <c r="N183" s="3"/>
      <c r="O183" s="3" t="str">
        <f ca="1">IFERROR(__xludf.DUMMYFUNCTION("""COMPUTED_VALUE"""),"Good Detangling")</f>
        <v>Good Detangling</v>
      </c>
    </row>
    <row r="184" spans="1:15" ht="84">
      <c r="A184" s="3" t="s">
        <v>65</v>
      </c>
      <c r="B184" s="3"/>
      <c r="C184" s="3" t="str">
        <f ca="1">IFERROR(__xludf.DUMMYFUNCTION("""COMPUTED_VALUE"""),"Agree")</f>
        <v>Agree</v>
      </c>
      <c r="D184" s="3">
        <f ca="1">IFERROR(__xludf.DUMMYFUNCTION("""COMPUTED_VALUE"""),71)</f>
        <v>71</v>
      </c>
      <c r="E184" s="3" t="str">
        <f ca="1">IFERROR(__xludf.DUMMYFUNCTION("""COMPUTED_VALUE"""),"Yes")</f>
        <v>Yes</v>
      </c>
      <c r="F184" s="3" t="str">
        <f ca="1">IFERROR(__xludf.DUMMYFUNCTION("""COMPUTED_VALUE"""),"BothRef")</f>
        <v>BothRef</v>
      </c>
      <c r="G184" s="3">
        <f ca="1">IFERROR(__xludf.DUMMYFUNCTION("""COMPUTED_VALUE"""),1676417)</f>
        <v>1676417</v>
      </c>
      <c r="H184" s="3" t="str">
        <f ca="1">IFERROR(__xludf.DUMMYFUNCTION("""COMPUTED_VALUE"""),"{1674515}")</f>
        <v>{1674515}</v>
      </c>
      <c r="I184" s="4" t="str">
        <f ca="1">IFERROR(__xludf.DUMMYFUNCTION("""COMPUTED_VALUE"""),"https://bugzilla.mozilla.org/show_bug.cgi?id=1676417")</f>
        <v>https://bugzilla.mozilla.org/show_bug.cgi?id=1676417</v>
      </c>
      <c r="J184" s="3" t="str">
        <f ca="1">IFERROR(__xludf.DUMMYFUNCTION("""COMPUTED_VALUE"""),"['browser_autoshow_bookmarks_toolbar.js', 'browser/components/places/tests/browser/browser_autoshow_bookmarks_toolbar.js']")</f>
        <v>['browser_autoshow_bookmarks_toolbar.js', 'browser/components/places/tests/browser/browser_autoshow_bookmarks_toolbar.js']</v>
      </c>
      <c r="K184" s="3" t="str">
        <f ca="1">IFERROR(__xludf.DUMMYFUNCTION("""COMPUTED_VALUE"""),"Bug Description")</f>
        <v>Bug Description</v>
      </c>
      <c r="L184" s="3" t="str">
        <f ca="1">IFERROR(__xludf.DUMMYFUNCTION("""COMPUTED_VALUE"""),"System Dumps")</f>
        <v>System Dumps</v>
      </c>
      <c r="M184" s="3" t="str">
        <f ca="1">IFERROR(__xludf.DUMMYFUNCTION("""COMPUTED_VALUE"""),"File names are part of bug title, attachment title or commit messages")</f>
        <v>File names are part of bug title, attachment title or commit messages</v>
      </c>
      <c r="N184" s="3"/>
      <c r="O184" s="3"/>
    </row>
    <row r="185" spans="1:15" ht="84">
      <c r="A185" s="3" t="s">
        <v>65</v>
      </c>
      <c r="B185" s="3"/>
      <c r="C185" s="3" t="str">
        <f ca="1">IFERROR(__xludf.DUMMYFUNCTION("""COMPUTED_VALUE"""),"Partial")</f>
        <v>Partial</v>
      </c>
      <c r="D185" s="3">
        <f ca="1">IFERROR(__xludf.DUMMYFUNCTION("""COMPUTED_VALUE"""),72)</f>
        <v>72</v>
      </c>
      <c r="E185" s="3" t="str">
        <f ca="1">IFERROR(__xludf.DUMMYFUNCTION("""COMPUTED_VALUE"""),"Yes")</f>
        <v>Yes</v>
      </c>
      <c r="F185" s="3" t="str">
        <f ca="1">IFERROR(__xludf.DUMMYFUNCTION("""COMPUTED_VALUE"""),"BothRef")</f>
        <v>BothRef</v>
      </c>
      <c r="G185" s="3">
        <f ca="1">IFERROR(__xludf.DUMMYFUNCTION("""COMPUTED_VALUE"""),1755242)</f>
        <v>1755242</v>
      </c>
      <c r="H185" s="3" t="str">
        <f ca="1">IFERROR(__xludf.DUMMYFUNCTION("""COMPUTED_VALUE"""),"{1694389}")</f>
        <v>{1694389}</v>
      </c>
      <c r="I185" s="4" t="str">
        <f ca="1">IFERROR(__xludf.DUMMYFUNCTION("""COMPUTED_VALUE"""),"https://bugzilla.mozilla.org/show_bug.cgi?id=1755242")</f>
        <v>https://bugzilla.mozilla.org/show_bug.cgi?id=1755242</v>
      </c>
      <c r="J185" s="3" t="str">
        <f ca="1">IFERROR(__xludf.DUMMYFUNCTION("""COMPUTED_VALUE"""),"['webdriver/tests/bidi/browsing_context/context_created/context_created.py', 'webdriver/tests/bidi/errors/errors.py', '8000/webdriver/tests/support/inline.py']")</f>
        <v>['webdriver/tests/bidi/browsing_context/context_created/context_created.py', 'webdriver/tests/bidi/errors/errors.py', '8000/webdriver/tests/support/inline.py']</v>
      </c>
      <c r="K185" s="3" t="str">
        <f ca="1">IFERROR(__xludf.DUMMYFUNCTION("""COMPUTED_VALUE"""),"Bug Description")</f>
        <v>Bug Description</v>
      </c>
      <c r="L185" s="3" t="str">
        <f ca="1">IFERROR(__xludf.DUMMYFUNCTION("""COMPUTED_VALUE"""),"System Dumps")</f>
        <v>System Dumps</v>
      </c>
      <c r="M185" s="3" t="str">
        <f ca="1">IFERROR(__xludf.DUMMYFUNCTION("""COMPUTED_VALUE"""),"File names are part of bug title, attachment title or commit messages")</f>
        <v>File names are part of bug title, attachment title or commit messages</v>
      </c>
      <c r="N185" s="3" t="str">
        <f ca="1">IFERROR(__xludf.DUMMYFUNCTION("""COMPUTED_VALUE"""),"Solution Draft")</f>
        <v>Solution Draft</v>
      </c>
      <c r="O185" s="3" t="str">
        <f ca="1">IFERROR(__xludf.DUMMYFUNCTION("""COMPUTED_VALUE"""),"Good Detangling")</f>
        <v>Good Detangling</v>
      </c>
    </row>
    <row r="186" spans="1:15" ht="28">
      <c r="A186" s="3" t="s">
        <v>65</v>
      </c>
      <c r="B186" s="3"/>
      <c r="C186" s="3" t="str">
        <f ca="1">IFERROR(__xludf.DUMMYFUNCTION("""COMPUTED_VALUE"""),"Agree")</f>
        <v>Agree</v>
      </c>
      <c r="D186" s="3">
        <f ca="1">IFERROR(__xludf.DUMMYFUNCTION("""COMPUTED_VALUE"""),73)</f>
        <v>73</v>
      </c>
      <c r="E186" s="3" t="str">
        <f ca="1">IFERROR(__xludf.DUMMYFUNCTION("""COMPUTED_VALUE"""),"Yes")</f>
        <v>Yes</v>
      </c>
      <c r="F186" s="3" t="str">
        <f ca="1">IFERROR(__xludf.DUMMYFUNCTION("""COMPUTED_VALUE"""),"BothRef")</f>
        <v>BothRef</v>
      </c>
      <c r="G186" s="3">
        <f ca="1">IFERROR(__xludf.DUMMYFUNCTION("""COMPUTED_VALUE"""),1783959)</f>
        <v>1783959</v>
      </c>
      <c r="H186" s="3" t="str">
        <f ca="1">IFERROR(__xludf.DUMMYFUNCTION("""COMPUTED_VALUE"""),"{1581971}")</f>
        <v>{1581971}</v>
      </c>
      <c r="I186" s="4" t="str">
        <f ca="1">IFERROR(__xludf.DUMMYFUNCTION("""COMPUTED_VALUE"""),"https://bugzilla.mozilla.org/show_bug.cgi?id=1783959")</f>
        <v>https://bugzilla.mozilla.org/show_bug.cgi?id=1783959</v>
      </c>
      <c r="J186" s="3" t="str">
        <f ca="1">IFERROR(__xludf.DUMMYFUNCTION("""COMPUTED_VALUE"""),"['home/hiro/android/python/mozbuild/mozbuild/mach_commands.py']")</f>
        <v>['home/hiro/android/python/mozbuild/mozbuild/mach_commands.py']</v>
      </c>
      <c r="K186" s="3" t="str">
        <f ca="1">IFERROR(__xludf.DUMMYFUNCTION("""COMPUTED_VALUE"""),"System Dumps")</f>
        <v>System Dumps</v>
      </c>
      <c r="L186" s="3"/>
      <c r="M186" s="3"/>
      <c r="N186" s="3"/>
      <c r="O186" s="3"/>
    </row>
    <row r="187" spans="1:15" ht="112">
      <c r="A187" s="3" t="s">
        <v>65</v>
      </c>
      <c r="B187" s="3"/>
      <c r="C187" s="3" t="str">
        <f ca="1">IFERROR(__xludf.DUMMYFUNCTION("""COMPUTED_VALUE"""),"Partial")</f>
        <v>Partial</v>
      </c>
      <c r="D187" s="3">
        <f ca="1">IFERROR(__xludf.DUMMYFUNCTION("""COMPUTED_VALUE"""),74)</f>
        <v>74</v>
      </c>
      <c r="E187" s="3" t="str">
        <f ca="1">IFERROR(__xludf.DUMMYFUNCTION("""COMPUTED_VALUE"""),"Yes")</f>
        <v>Yes</v>
      </c>
      <c r="F187" s="3" t="str">
        <f ca="1">IFERROR(__xludf.DUMMYFUNCTION("""COMPUTED_VALUE"""),"BothRef")</f>
        <v>BothRef</v>
      </c>
      <c r="G187" s="3">
        <f ca="1">IFERROR(__xludf.DUMMYFUNCTION("""COMPUTED_VALUE"""),1686750)</f>
        <v>1686750</v>
      </c>
      <c r="H187" s="3" t="str">
        <f ca="1">IFERROR(__xludf.DUMMYFUNCTION("""COMPUTED_VALUE"""),"{1640607}")</f>
        <v>{1640607}</v>
      </c>
      <c r="I187" s="4" t="str">
        <f ca="1">IFERROR(__xludf.DUMMYFUNCTION("""COMPUTED_VALUE"""),"https://bugzilla.mozilla.org/show_bug.cgi?id=1686750")</f>
        <v>https://bugzilla.mozilla.org/show_bug.cgi?id=1686750</v>
      </c>
      <c r="J187" s="3" t="str">
        <f ca="1">IFERROR(__xludf.DUMMYFUNCTION("""COMPUTED_VALUE"""),"['dom/canvas/test/webgl-mochitest/test_video_fastpath_mp4.html', 'hg.mozilla.org/integration/autoland/file/4cff94ca98189769f21a855520a345c6c4e5c841/dom/canvas/TexUnpackBlob.cpp', 'TexUnpackBlob.cpp', 'remoteautomation.py', 'builds/worker/checkouts/gecko/d"&amp;"om/canvas/TexUnpackBlob.cpp', 'hg.mozilla.org/integration/autoland/file/4cff94ca98189769f21a855520a345c6c4e5c841/dom/canvas/WebGLTextureUpload.cpp', 'WebGLTextureUpload.cpp']")</f>
        <v>['dom/canvas/test/webgl-mochitest/test_video_fastpath_mp4.html', 'hg.mozilla.org/integration/autoland/file/4cff94ca98189769f21a855520a345c6c4e5c841/dom/canvas/TexUnpackBlob.cpp', 'TexUnpackBlob.cpp', 'remoteautomation.py', 'builds/worker/checkouts/gecko/dom/canvas/TexUnpackBlob.cpp', 'hg.mozilla.org/integration/autoland/file/4cff94ca98189769f21a855520a345c6c4e5c841/dom/canvas/WebGLTextureUpload.cpp', 'WebGLTextureUpload.cpp']</v>
      </c>
      <c r="K187" s="3" t="str">
        <f ca="1">IFERROR(__xludf.DUMMYFUNCTION("""COMPUTED_VALUE"""),"Bug Description")</f>
        <v>Bug Description</v>
      </c>
      <c r="L187" s="3" t="str">
        <f ca="1">IFERROR(__xludf.DUMMYFUNCTION("""COMPUTED_VALUE"""),"System Dumps")</f>
        <v>System Dumps</v>
      </c>
      <c r="M187" s="3" t="str">
        <f ca="1">IFERROR(__xludf.DUMMYFUNCTION("""COMPUTED_VALUE"""),"File names are part of bug title")</f>
        <v>File names are part of bug title</v>
      </c>
      <c r="N187" s="3"/>
      <c r="O187" s="3" t="str">
        <f ca="1">IFERROR(__xludf.DUMMYFUNCTION("""COMPUTED_VALUE"""),"Pointing Function")</f>
        <v>Pointing Function</v>
      </c>
    </row>
    <row r="188" spans="1:15" ht="42">
      <c r="A188" s="3" t="s">
        <v>65</v>
      </c>
      <c r="B188" s="3"/>
      <c r="C188" s="3" t="str">
        <f ca="1">IFERROR(__xludf.DUMMYFUNCTION("""COMPUTED_VALUE"""),"Agree")</f>
        <v>Agree</v>
      </c>
      <c r="D188" s="3">
        <f ca="1">IFERROR(__xludf.DUMMYFUNCTION("""COMPUTED_VALUE"""),75)</f>
        <v>75</v>
      </c>
      <c r="E188" s="3" t="str">
        <f ca="1">IFERROR(__xludf.DUMMYFUNCTION("""COMPUTED_VALUE"""),"Yes")</f>
        <v>Yes</v>
      </c>
      <c r="F188" s="3" t="str">
        <f ca="1">IFERROR(__xludf.DUMMYFUNCTION("""COMPUTED_VALUE"""),"BothRef")</f>
        <v>BothRef</v>
      </c>
      <c r="G188" s="3">
        <f ca="1">IFERROR(__xludf.DUMMYFUNCTION("""COMPUTED_VALUE"""),1603512)</f>
        <v>1603512</v>
      </c>
      <c r="H188" s="3" t="str">
        <f ca="1">IFERROR(__xludf.DUMMYFUNCTION("""COMPUTED_VALUE"""),"{1585482}")</f>
        <v>{1585482}</v>
      </c>
      <c r="I188" s="4" t="str">
        <f ca="1">IFERROR(__xludf.DUMMYFUNCTION("""COMPUTED_VALUE"""),"https://bugzilla.mozilla.org/show_bug.cgi?id=1603512")</f>
        <v>https://bugzilla.mozilla.org/show_bug.cgi?id=1603512</v>
      </c>
      <c r="J188" s="3" t="str">
        <f ca="1">IFERROR(__xludf.DUMMYFUNCTION("""COMPUTED_VALUE"""),"['searchfox.org/mozilla-central/rev/923eec8d2fb8078ebc7a33a9e1ce73eac01f7446/browser/components/preferences/in-content/subdialogs.js']")</f>
        <v>['searchfox.org/mozilla-central/rev/923eec8d2fb8078ebc7a33a9e1ce73eac01f7446/browser/components/preferences/in-content/subdialogs.js']</v>
      </c>
      <c r="K188" s="3" t="str">
        <f ca="1">IFERROR(__xludf.DUMMYFUNCTION("""COMPUTED_VALUE"""),"Bug Description")</f>
        <v>Bug Description</v>
      </c>
      <c r="L188" s="3"/>
      <c r="M188" s="3"/>
      <c r="N188" s="3"/>
      <c r="O188" s="3" t="str">
        <f ca="1">IFERROR(__xludf.DUMMYFUNCTION("""COMPUTED_VALUE"""),"Pointing Function")</f>
        <v>Pointing Function</v>
      </c>
    </row>
    <row r="189" spans="1:15" ht="126">
      <c r="A189" s="3" t="s">
        <v>65</v>
      </c>
      <c r="B189" s="3"/>
      <c r="C189" s="3" t="str">
        <f ca="1">IFERROR(__xludf.DUMMYFUNCTION("""COMPUTED_VALUE"""),"Partial")</f>
        <v>Partial</v>
      </c>
      <c r="D189" s="3">
        <f ca="1">IFERROR(__xludf.DUMMYFUNCTION("""COMPUTED_VALUE"""),76)</f>
        <v>76</v>
      </c>
      <c r="E189" s="3" t="str">
        <f ca="1">IFERROR(__xludf.DUMMYFUNCTION("""COMPUTED_VALUE"""),"Yes")</f>
        <v>Yes</v>
      </c>
      <c r="F189" s="3" t="str">
        <f ca="1">IFERROR(__xludf.DUMMYFUNCTION("""COMPUTED_VALUE"""),"BothRef")</f>
        <v>BothRef</v>
      </c>
      <c r="G189" s="3">
        <f ca="1">IFERROR(__xludf.DUMMYFUNCTION("""COMPUTED_VALUE"""),1772523)</f>
        <v>1772523</v>
      </c>
      <c r="H189" s="3" t="str">
        <f ca="1">IFERROR(__xludf.DUMMYFUNCTION("""COMPUTED_VALUE"""),"{1769485}")</f>
        <v>{1769485}</v>
      </c>
      <c r="I189" s="4" t="str">
        <f ca="1">IFERROR(__xludf.DUMMYFUNCTION("""COMPUTED_VALUE"""),"https://bugzilla.mozilla.org/show_bug.cgi?id=1772523")</f>
        <v>https://bugzilla.mozilla.org/show_bug.cgi?id=1772523</v>
      </c>
      <c r="J189" s="3" t="str">
        <f ca="1">IFERROR(__xludf.DUMMYFUNCTION("""COMPUTED_VALUE"""),"['builds/worker/checkouts/gecko/xpcom/build/XPCOMInit.cpp', 'Unified_cpp_xpcom_build0.cpp', '-fsanitize-blacklist=/builds/worker/workspace/obj-build/ubsan_blacklist.txt', 'builds/worker/workspace/obj-build/mozilla-config.h', 'builds/worker/workspace/obj-b"&amp;"uild/dist/include/mozilla/ScriptPreloader.h', 'builds/worker/checkouts/gecko/toolkit/components/telemetry/other/CombinedStacks.cpp', 'builds/worker/checkouts/gecko/config/gcc_hidden.h', 'builds/worker/checkouts/gecko/toolkit/components/telemetry/other/Tel"&amp;"emetryIOInterposeObserver.cpp']")</f>
        <v>['builds/worker/checkouts/gecko/xpcom/build/XPCOMInit.cpp', 'Unified_cpp_xpcom_build0.cpp', '-fsanitize-blacklist=/builds/worker/workspace/obj-build/ubsan_blacklist.txt', 'builds/worker/workspace/obj-build/mozilla-config.h', 'builds/worker/workspace/obj-build/dist/include/mozilla/ScriptPreloader.h', 'builds/worker/checkouts/gecko/toolkit/components/telemetry/other/CombinedStacks.cpp', 'builds/worker/checkouts/gecko/config/gcc_hidden.h', 'builds/worker/checkouts/gecko/toolkit/components/telemetry/other/TelemetryIOInterposeObserver.cpp']</v>
      </c>
      <c r="K189" s="3" t="str">
        <f ca="1">IFERROR(__xludf.DUMMYFUNCTION("""COMPUTED_VALUE"""),"System Dumps")</f>
        <v>System Dumps</v>
      </c>
      <c r="L189" s="3" t="str">
        <f ca="1">IFERROR(__xludf.DUMMYFUNCTION("""COMPUTED_VALUE"""),"File names are part of bug title")</f>
        <v>File names are part of bug title</v>
      </c>
      <c r="M189" s="3"/>
      <c r="N189" s="3"/>
      <c r="O189" s="3"/>
    </row>
    <row r="190" spans="1:15" ht="84">
      <c r="A190" s="3" t="s">
        <v>65</v>
      </c>
      <c r="B190" s="3"/>
      <c r="C190" s="3" t="str">
        <f ca="1">IFERROR(__xludf.DUMMYFUNCTION("""COMPUTED_VALUE"""),"Partial")</f>
        <v>Partial</v>
      </c>
      <c r="D190" s="3">
        <f ca="1">IFERROR(__xludf.DUMMYFUNCTION("""COMPUTED_VALUE"""),77)</f>
        <v>77</v>
      </c>
      <c r="E190" s="3" t="str">
        <f ca="1">IFERROR(__xludf.DUMMYFUNCTION("""COMPUTED_VALUE"""),"Yes")</f>
        <v>Yes</v>
      </c>
      <c r="F190" s="3" t="str">
        <f ca="1">IFERROR(__xludf.DUMMYFUNCTION("""COMPUTED_VALUE"""),"BothRef")</f>
        <v>BothRef</v>
      </c>
      <c r="G190" s="3">
        <f ca="1">IFERROR(__xludf.DUMMYFUNCTION("""COMPUTED_VALUE"""),1578951)</f>
        <v>1578951</v>
      </c>
      <c r="H190" s="3" t="str">
        <f ca="1">IFERROR(__xludf.DUMMYFUNCTION("""COMPUTED_VALUE"""),"{1552180}")</f>
        <v>{1552180}</v>
      </c>
      <c r="I190" s="4" t="str">
        <f ca="1">IFERROR(__xludf.DUMMYFUNCTION("""COMPUTED_VALUE"""),"https://bugzilla.mozilla.org/show_bug.cgi?id=1578951")</f>
        <v>https://bugzilla.mozilla.org/show_bug.cgi?id=1578951</v>
      </c>
      <c r="J190" s="3" t="str">
        <f ca="1">IFERROR(__xludf.DUMMYFUNCTION("""COMPUTED_VALUE"""),"['nsLayoutModule.cpp', 'Bootstrap.cpp', 'jsapi.cpp', 'XPCOMInit.cpp', 'StringType-inl.h', 'JSAtom.cpp', 'nsXPConnect.cpp', 'nsComponentManager.cpp', 'Heap-inl.h', 'XPCModule.cpp', 'browser_console_private_browsing.js', 'nsMailApp.cpp', 'nsAppRunner.cpp', "&amp;"'Allocator.cpp', 'workflow.2Fno_priority.py', 'browser_console_optimized_out_vars.js']")</f>
        <v>['nsLayoutModule.cpp', 'Bootstrap.cpp', 'jsapi.cpp', 'XPCOMInit.cpp', 'StringType-inl.h', 'JSAtom.cpp', 'nsXPConnect.cpp', 'nsComponentManager.cpp', 'Heap-inl.h', 'XPCModule.cpp', 'browser_console_private_browsing.js', 'nsMailApp.cpp', 'nsAppRunner.cpp', 'Allocator.cpp', 'workflow.2Fno_priority.py', 'browser_console_optimized_out_vars.js']</v>
      </c>
      <c r="K190" s="3" t="str">
        <f ca="1">IFERROR(__xludf.DUMMYFUNCTION("""COMPUTED_VALUE"""),"System Dumps")</f>
        <v>System Dumps</v>
      </c>
      <c r="L190" s="3" t="str">
        <f ca="1">IFERROR(__xludf.DUMMYFUNCTION("""COMPUTED_VALUE"""),"File names are part of bug title")</f>
        <v>File names are part of bug title</v>
      </c>
      <c r="M190" s="3"/>
      <c r="N190" s="3"/>
      <c r="O190" s="3"/>
    </row>
    <row r="191" spans="1:15" ht="70">
      <c r="A191" s="3" t="s">
        <v>65</v>
      </c>
      <c r="B191" s="3"/>
      <c r="C191" s="3" t="str">
        <f ca="1">IFERROR(__xludf.DUMMYFUNCTION("""COMPUTED_VALUE"""),"Agree")</f>
        <v>Agree</v>
      </c>
      <c r="D191" s="3">
        <f ca="1">IFERROR(__xludf.DUMMYFUNCTION("""COMPUTED_VALUE"""),78)</f>
        <v>78</v>
      </c>
      <c r="E191" s="3" t="str">
        <f ca="1">IFERROR(__xludf.DUMMYFUNCTION("""COMPUTED_VALUE"""),"Yes")</f>
        <v>Yes</v>
      </c>
      <c r="F191" s="3" t="str">
        <f ca="1">IFERROR(__xludf.DUMMYFUNCTION("""COMPUTED_VALUE"""),"BothRef")</f>
        <v>BothRef</v>
      </c>
      <c r="G191" s="3">
        <f ca="1">IFERROR(__xludf.DUMMYFUNCTION("""COMPUTED_VALUE"""),1719963)</f>
        <v>1719963</v>
      </c>
      <c r="H191" s="3" t="str">
        <f ca="1">IFERROR(__xludf.DUMMYFUNCTION("""COMPUTED_VALUE"""),"{1711437}")</f>
        <v>{1711437}</v>
      </c>
      <c r="I191" s="4" t="str">
        <f ca="1">IFERROR(__xludf.DUMMYFUNCTION("""COMPUTED_VALUE"""),"https://bugzilla.mozilla.org/show_bug.cgi?id=1719963")</f>
        <v>https://bugzilla.mozilla.org/show_bug.cgi?id=1719963</v>
      </c>
      <c r="J191" s="3" t="str">
        <f ca="1">IFERROR(__xludf.DUMMYFUNCTION("""COMPUTED_VALUE"""),"['servo/components/style/stylesheets/rules_iterator.rs', 'layout/base/nsRefreshDriver.cpp', 'layout/style/ServoStyleSet.cpp', 'layout/base/PresShell.cpp', 'servo/components/style/stylist.rs', 'servo/ports/geckolib/glue.rs', 'servo/components/style/stylesh"&amp;"eets/import_rule.rs']")</f>
        <v>['servo/components/style/stylesheets/rules_iterator.rs', 'layout/base/nsRefreshDriver.cpp', 'layout/style/ServoStyleSet.cpp', 'layout/base/PresShell.cpp', 'servo/components/style/stylist.rs', 'servo/ports/geckolib/glue.rs', 'servo/components/style/stylesheets/import_rule.rs']</v>
      </c>
      <c r="K191" s="3" t="str">
        <f ca="1">IFERROR(__xludf.DUMMYFUNCTION("""COMPUTED_VALUE"""),"System Dumps")</f>
        <v>System Dumps</v>
      </c>
      <c r="L191" s="3"/>
      <c r="M191" s="3"/>
      <c r="N191" s="3"/>
      <c r="O191" s="3"/>
    </row>
    <row r="192" spans="1:15" ht="319">
      <c r="A192" s="3" t="s">
        <v>65</v>
      </c>
      <c r="B192" s="3"/>
      <c r="C192" s="3" t="str">
        <f ca="1">IFERROR(__xludf.DUMMYFUNCTION("""COMPUTED_VALUE"""),"Partial")</f>
        <v>Partial</v>
      </c>
      <c r="D192" s="3">
        <f ca="1">IFERROR(__xludf.DUMMYFUNCTION("""COMPUTED_VALUE"""),79)</f>
        <v>79</v>
      </c>
      <c r="E192" s="3" t="str">
        <f ca="1">IFERROR(__xludf.DUMMYFUNCTION("""COMPUTED_VALUE"""),"Yes")</f>
        <v>Yes</v>
      </c>
      <c r="F192" s="3" t="str">
        <f ca="1">IFERROR(__xludf.DUMMYFUNCTION("""COMPUTED_VALUE"""),"BothRef")</f>
        <v>BothRef</v>
      </c>
      <c r="G192" s="3">
        <f ca="1">IFERROR(__xludf.DUMMYFUNCTION("""COMPUTED_VALUE"""),1640051)</f>
        <v>1640051</v>
      </c>
      <c r="H192" s="3" t="str">
        <f ca="1">IFERROR(__xludf.DUMMYFUNCTION("""COMPUTED_VALUE"""),"{1622935}")</f>
        <v>{1622935}</v>
      </c>
      <c r="I192" s="4" t="str">
        <f ca="1">IFERROR(__xludf.DUMMYFUNCTION("""COMPUTED_VALUE"""),"https://bugzilla.mozilla.org/show_bug.cgi?id=1640051")</f>
        <v>https://bugzilla.mozilla.org/show_bug.cgi?id=1640051</v>
      </c>
      <c r="J192" s="3" t="str">
        <f ca="1">IFERROR(__xludf.DUMMYFUNCTION("""COMPUTED_VALUE"""),"['layout/generic/ViewportFrame.cpp', 'browser/app/nsBrowserApp.cpp', 'xpcom/threads/nsThread.cpp', 'layout/generic/nsFlexContainerFrame.cpp', 'prefs.js', 'layout/generic/nsContainerFrame.cpp', 'layout/generic/nsGfxScrollFrame.cpp', '75695bbbf1ec93aad4718f"&amp;"03c359901f1be9ae34cba79945a5c42f3e8a2da054cc4ed1a56d373be9953080b82b366a6cd792a7b5323cd7f0d62bfa3c3b040098/ipc/ipdl/PBackgroundChild.cpp', 'layout/ipc/VsyncChild.cpp', 'layout/base/nsRefreshDriver.cpp', 'widget/nsBaseAppShell.cpp', 'ipc/contentproc/plugin"&amp;"-container.cpp', 'layout/base/PresShell.h', 'ipc/chromium/src/base/message_loop.cc', 'xpcom/threads/nsThreadUtils.cpp', 'pernos.co/debug/0QBDpax0lpQF2MZEZQI9Ng/index.html', 'layout/generic/nsColumnSetFrame.cpp', 'layout/base/PresShell.cpp', 'ipc/glue/Mess"&amp;"agePump.cpp', 'toolkit/xre/nsEmbedFunctions.cpp', 'layout/generic/nsCanvasFrame.cpp', 'testcase.html', '1640051-frame-tree.html', 'layout/generic/nsBlockFrame.cpp', 'src/layout/generic/nsContainerFrame.cpp', 'layout/generic/nsBlockReflowContext.cpp', 'ipc"&amp;"/glue/MessageChannel.cpp', '27495909b8eb16a2f6224f9af7a0c052f58ac4a1f37ddd12d240b8b6a62795d131a51db23214bbde8ed61a33c6a97d727ae972f588d3f35141a1a66f3aadceeb/ipc/ipdl/PVsyncChild.cpp']")</f>
        <v>['layout/generic/ViewportFrame.cpp', 'browser/app/nsBrowserApp.cpp', 'xpcom/threads/nsThread.cpp', 'layout/generic/nsFlexContainerFrame.cpp', 'prefs.js', 'layout/generic/nsContainerFrame.cpp', 'layout/generic/nsGfxScrollFrame.cpp', '75695bbbf1ec93aad4718f03c359901f1be9ae34cba79945a5c42f3e8a2da054cc4ed1a56d373be9953080b82b366a6cd792a7b5323cd7f0d62bfa3c3b040098/ipc/ipdl/PBackgroundChild.cpp', 'layout/ipc/VsyncChild.cpp', 'layout/base/nsRefreshDriver.cpp', 'widget/nsBaseAppShell.cpp', 'ipc/contentproc/plugin-container.cpp', 'layout/base/PresShell.h', 'ipc/chromium/src/base/message_loop.cc', 'xpcom/threads/nsThreadUtils.cpp', 'pernos.co/debug/0QBDpax0lpQF2MZEZQI9Ng/index.html', 'layout/generic/nsColumnSetFrame.cpp', 'layout/base/PresShell.cpp', 'ipc/glue/MessagePump.cpp', 'toolkit/xre/nsEmbedFunctions.cpp', 'layout/generic/nsCanvasFrame.cpp', 'testcase.html', '1640051-frame-tree.html', 'layout/generic/nsBlockFrame.cpp', 'src/layout/generic/nsContainerFrame.cpp', 'layout/generic/nsBlockReflowContext.cpp', 'ipc/glue/MessageChannel.cpp', '27495909b8eb16a2f6224f9af7a0c052f58ac4a1f37ddd12d240b8b6a62795d131a51db23214bbde8ed61a33c6a97d727ae972f588d3f35141a1a66f3aadceeb/ipc/ipdl/PVsyncChild.cpp']</v>
      </c>
      <c r="K192" s="3" t="str">
        <f ca="1">IFERROR(__xludf.DUMMYFUNCTION("""COMPUTED_VALUE"""),"System Dumps")</f>
        <v>System Dumps</v>
      </c>
      <c r="L192" s="3" t="str">
        <f ca="1">IFERROR(__xludf.DUMMYFUNCTION("""COMPUTED_VALUE"""),"File names are part of bug title")</f>
        <v>File names are part of bug title</v>
      </c>
      <c r="M192" s="3"/>
      <c r="N192" s="3"/>
      <c r="O192" s="3" t="str">
        <f ca="1">IFERROR(__xludf.DUMMYFUNCTION("""COMPUTED_VALUE"""),"Good Detangling")</f>
        <v>Good Detangling</v>
      </c>
    </row>
    <row r="193" spans="1:15" ht="56">
      <c r="A193" s="3" t="s">
        <v>65</v>
      </c>
      <c r="B193" s="3"/>
      <c r="C193" s="3" t="str">
        <f ca="1">IFERROR(__xludf.DUMMYFUNCTION("""COMPUTED_VALUE"""),"Partial")</f>
        <v>Partial</v>
      </c>
      <c r="D193" s="3">
        <f ca="1">IFERROR(__xludf.DUMMYFUNCTION("""COMPUTED_VALUE"""),80)</f>
        <v>80</v>
      </c>
      <c r="E193" s="3" t="str">
        <f ca="1">IFERROR(__xludf.DUMMYFUNCTION("""COMPUTED_VALUE"""),"Yes")</f>
        <v>Yes</v>
      </c>
      <c r="F193" s="3" t="str">
        <f ca="1">IFERROR(__xludf.DUMMYFUNCTION("""COMPUTED_VALUE"""),"FixRef")</f>
        <v>FixRef</v>
      </c>
      <c r="G193" s="3">
        <f ca="1">IFERROR(__xludf.DUMMYFUNCTION("""COMPUTED_VALUE"""),1777952)</f>
        <v>1777952</v>
      </c>
      <c r="H193" s="3" t="str">
        <f ca="1">IFERROR(__xludf.DUMMYFUNCTION("""COMPUTED_VALUE"""),"{1331109}")</f>
        <v>{1331109}</v>
      </c>
      <c r="I193" s="4" t="str">
        <f ca="1">IFERROR(__xludf.DUMMYFUNCTION("""COMPUTED_VALUE"""),"https://bugzilla.mozilla.org/show_bug.cgi?id=1777952")</f>
        <v>https://bugzilla.mozilla.org/show_bug.cgi?id=1777952</v>
      </c>
      <c r="J193" s="3" t="str">
        <f ca="1">IFERROR(__xludf.DUMMYFUNCTION("""COMPUTED_VALUE"""),"['GeckoSurface.java', 'searchfox.org/mozilla-central/rev/9379d512333cb143ed6ee5df5a40274f40d6ce87/mobile/android/geckoview/src/main/java/org/mozilla/gecko/gfx/SurfaceAllocator.java', 'GeckoThread.java', 'SurfaceAllocator.java']")</f>
        <v>['GeckoSurface.java', 'searchfox.org/mozilla-central/rev/9379d512333cb143ed6ee5df5a40274f40d6ce87/mobile/android/geckoview/src/main/java/org/mozilla/gecko/gfx/SurfaceAllocator.java', 'GeckoThread.java', 'SurfaceAllocator.java']</v>
      </c>
      <c r="K193" s="3" t="str">
        <f ca="1">IFERROR(__xludf.DUMMYFUNCTION("""COMPUTED_VALUE"""),"System Dumps")</f>
        <v>System Dumps</v>
      </c>
      <c r="L193" s="3" t="str">
        <f ca="1">IFERROR(__xludf.DUMMYFUNCTION("""COMPUTED_VALUE"""),"File names are part of bug title")</f>
        <v>File names are part of bug title</v>
      </c>
      <c r="M193" s="3" t="str">
        <f ca="1">IFERROR(__xludf.DUMMYFUNCTION("""COMPUTED_VALUE"""),"Bug Description")</f>
        <v>Bug Description</v>
      </c>
      <c r="N193" s="3"/>
      <c r="O193" s="3"/>
    </row>
    <row r="194" spans="1:15" ht="84">
      <c r="A194" s="3" t="s">
        <v>65</v>
      </c>
      <c r="B194" s="3"/>
      <c r="C194" s="3" t="str">
        <f ca="1">IFERROR(__xludf.DUMMYFUNCTION("""COMPUTED_VALUE"""),"Agree")</f>
        <v>Agree</v>
      </c>
      <c r="D194" s="3">
        <f ca="1">IFERROR(__xludf.DUMMYFUNCTION("""COMPUTED_VALUE"""),81)</f>
        <v>81</v>
      </c>
      <c r="E194" s="3" t="str">
        <f ca="1">IFERROR(__xludf.DUMMYFUNCTION("""COMPUTED_VALUE"""),"Yes")</f>
        <v>Yes</v>
      </c>
      <c r="F194" s="3" t="str">
        <f ca="1">IFERROR(__xludf.DUMMYFUNCTION("""COMPUTED_VALUE"""),"BothRef")</f>
        <v>BothRef</v>
      </c>
      <c r="G194" s="3">
        <f ca="1">IFERROR(__xludf.DUMMYFUNCTION("""COMPUTED_VALUE"""),1749013)</f>
        <v>1749013</v>
      </c>
      <c r="H194" s="3" t="str">
        <f ca="1">IFERROR(__xludf.DUMMYFUNCTION("""COMPUTED_VALUE"""),"{1748688}")</f>
        <v>{1748688}</v>
      </c>
      <c r="I194" s="4" t="str">
        <f ca="1">IFERROR(__xludf.DUMMYFUNCTION("""COMPUTED_VALUE"""),"https://bugzilla.mozilla.org/show_bug.cgi?id=1749013")</f>
        <v>https://bugzilla.mozilla.org/show_bug.cgi?id=1749013</v>
      </c>
      <c r="J194" s="3" t="str">
        <f ca="1">IFERROR(__xludf.DUMMYFUNCTION("""COMPUTED_VALUE"""),"['hg.mozilla.org/mozilla-central/raw-file/tip/layout/tools/reftest/reftest-analyzer.xhtml', 'browser_jsonview_save_json.js', 'devtools/client/jsonview/test/browser_jsonview_save_json.js', 'mochitests/content/browser/devtools/client/jsonview/test/browser_j"&amp;"sonview_save_json.js', 'mochikit/content/browser-test.js', 'mochikit/content/tests/SimpleTest/SimpleTest.js']")</f>
        <v>['hg.mozilla.org/mozilla-central/raw-file/tip/layout/tools/reftest/reftest-analyzer.xhtml', 'browser_jsonview_save_json.js', 'devtools/client/jsonview/test/browser_jsonview_save_json.js', 'mochitests/content/browser/devtools/client/jsonview/test/browser_jsonview_save_json.js', 'mochikit/content/browser-test.js', 'mochikit/content/tests/SimpleTest/SimpleTest.js']</v>
      </c>
      <c r="K194" s="3" t="str">
        <f ca="1">IFERROR(__xludf.DUMMYFUNCTION("""COMPUTED_VALUE"""),"System Dumps")</f>
        <v>System Dumps</v>
      </c>
      <c r="L194" s="3" t="str">
        <f ca="1">IFERROR(__xludf.DUMMYFUNCTION("""COMPUTED_VALUE"""),"File names are part of bug title")</f>
        <v>File names are part of bug title</v>
      </c>
      <c r="M194" s="3"/>
      <c r="N194" s="3"/>
      <c r="O194" s="3" t="str">
        <f ca="1">IFERROR(__xludf.DUMMYFUNCTION("""COMPUTED_VALUE"""),"one file fix")</f>
        <v>one file fix</v>
      </c>
    </row>
    <row r="195" spans="1:15" ht="319">
      <c r="A195" s="3" t="s">
        <v>65</v>
      </c>
      <c r="B195" s="3"/>
      <c r="C195" s="3" t="str">
        <f ca="1">IFERROR(__xludf.DUMMYFUNCTION("""COMPUTED_VALUE"""),"Agree")</f>
        <v>Agree</v>
      </c>
      <c r="D195" s="3">
        <f ca="1">IFERROR(__xludf.DUMMYFUNCTION("""COMPUTED_VALUE"""),82)</f>
        <v>82</v>
      </c>
      <c r="E195" s="3" t="str">
        <f ca="1">IFERROR(__xludf.DUMMYFUNCTION("""COMPUTED_VALUE"""),"Yes")</f>
        <v>Yes</v>
      </c>
      <c r="F195" s="3" t="str">
        <f ca="1">IFERROR(__xludf.DUMMYFUNCTION("""COMPUTED_VALUE"""),"BothRef")</f>
        <v>BothRef</v>
      </c>
      <c r="G195" s="3">
        <f ca="1">IFERROR(__xludf.DUMMYFUNCTION("""COMPUTED_VALUE"""),1673164)</f>
        <v>1673164</v>
      </c>
      <c r="H195" s="3" t="str">
        <f ca="1">IFERROR(__xludf.DUMMYFUNCTION("""COMPUTED_VALUE"""),"{1667113}")</f>
        <v>{1667113}</v>
      </c>
      <c r="I195" s="4" t="str">
        <f ca="1">IFERROR(__xludf.DUMMYFUNCTION("""COMPUTED_VALUE"""),"https://bugzilla.mozilla.org/show_bug.cgi?id=1673164")</f>
        <v>https://bugzilla.mozilla.org/show_bug.cgi?id=1673164</v>
      </c>
      <c r="J195" s="3" t="str">
        <f ca="1">IFERROR(__xludf.DUMMYFUNCTION("""COMPUTED_VALUE"""),"['xpcshell-icaljs.ini', 'modules/calendar/utils/calViewUtils.jsm', 'run@/builds/worker/workspace/build/tests/xpcshell/head.js', 'builds/worker/checkouts/gecko/dom/base/nsContentUtils.cpp', 'xpcshell/head.js', '_run_next_test/&lt;@/builds/worker/workspace/bui"&amp;"ld/tests/xpcshell/head.js', 'comm/calendar/test/unit/test_ltninvitationutils.js', '_do_main@/builds/worker/workspace/build/tests/xpcshell/head.js', 'treeherder.mozilla.org/intermittent-failures.html', 'lightning/content/lightning-invitation.xhtml', 'searc"&amp;"hfox.org/comm-central/rev/8d9e45511a64e83e3932983d036eca2a353a9261/calendar/base/modules/utils/calXMLUtils.jsm', 'createInvitationOverlay_test@/builds/worker/workspace/build/tests/xpcshell/tests/comm/calendar/test/unit/test_ltninvitationutils.js', 'search"&amp;"fox.org/mozilla-central/rev/c409dd9235c133ab41eba635f906aa16e050c197/dom/base/nsContentUtils.cpp', 'treeherder.mozilla.org/logviewer.html', '_run_next_test@/builds/worker/workspace/build/tests/xpcshell/head.js', '_execute_test@/builds/worker/workspace/bui"&amp;"ld/tests/xpcshell/head.js', 'searchfox.org/comm-central/rev/ccdaa27822e254ca10d9c576c9a3723e141a05ae/calendar/test/unit/test_ltninvitationutils.js', 'modules/calendar/ltnInvitationUtils.jsm', 'builds/worker/checkouts/gecko/dom/base/ThirdPartyUtil.cpp', 'b"&amp;"uilds/worker/checkouts/gecko/widget/gtk/nsLookAndFeel.cpp']")</f>
        <v>['xpcshell-icaljs.ini', 'modules/calendar/utils/calViewUtils.jsm', 'run@/builds/worker/workspace/build/tests/xpcshell/head.js', 'builds/worker/checkouts/gecko/dom/base/nsContentUtils.cpp', 'xpcshell/head.js', '_run_next_test/&lt;@/builds/worker/workspace/build/tests/xpcshell/head.js', 'comm/calendar/test/unit/test_ltninvitationutils.js', '_do_main@/builds/worker/workspace/build/tests/xpcshell/head.js', 'treeherder.mozilla.org/intermittent-failures.html', 'lightning/content/lightning-invitation.xhtml', 'searchfox.org/comm-central/rev/8d9e45511a64e83e3932983d036eca2a353a9261/calendar/base/modules/utils/calXMLUtils.jsm', 'createInvitationOverlay_test@/builds/worker/workspace/build/tests/xpcshell/tests/comm/calendar/test/unit/test_ltninvitationutils.js', 'searchfox.org/mozilla-central/rev/c409dd9235c133ab41eba635f906aa16e050c197/dom/base/nsContentUtils.cpp', 'treeherder.mozilla.org/logviewer.html', '_run_next_test@/builds/worker/workspace/build/tests/xpcshell/head.js', '_execute_test@/builds/worker/workspace/build/tests/xpcshell/head.js', 'searchfox.org/comm-central/rev/ccdaa27822e254ca10d9c576c9a3723e141a05ae/calendar/test/unit/test_ltninvitationutils.js', 'modules/calendar/ltnInvitationUtils.jsm', 'builds/worker/checkouts/gecko/dom/base/ThirdPartyUtil.cpp', 'builds/worker/checkouts/gecko/widget/gtk/nsLookAndFeel.cpp']</v>
      </c>
      <c r="K195" s="3" t="str">
        <f ca="1">IFERROR(__xludf.DUMMYFUNCTION("""COMPUTED_VALUE"""),"System Dumps")</f>
        <v>System Dumps</v>
      </c>
      <c r="L195" s="3" t="str">
        <f ca="1">IFERROR(__xludf.DUMMYFUNCTION("""COMPUTED_VALUE"""),"Bug Description")</f>
        <v>Bug Description</v>
      </c>
      <c r="M195" s="3"/>
      <c r="N195" s="3"/>
      <c r="O195" s="3" t="str">
        <f ca="1">IFERROR(__xludf.DUMMYFUNCTION("""COMPUTED_VALUE"""),"Half good Detangling: one good file discovered, one good discarded, two wrong discarded")</f>
        <v>Half good Detangling: one good file discovered, one good discarded, two wrong discarded</v>
      </c>
    </row>
    <row r="196" spans="1:15" ht="56">
      <c r="A196" s="3" t="s">
        <v>65</v>
      </c>
      <c r="B196" s="3"/>
      <c r="C196" s="3" t="str">
        <f ca="1">IFERROR(__xludf.DUMMYFUNCTION("""COMPUTED_VALUE"""),"Agree")</f>
        <v>Agree</v>
      </c>
      <c r="D196" s="3">
        <f ca="1">IFERROR(__xludf.DUMMYFUNCTION("""COMPUTED_VALUE"""),83)</f>
        <v>83</v>
      </c>
      <c r="E196" s="3" t="str">
        <f ca="1">IFERROR(__xludf.DUMMYFUNCTION("""COMPUTED_VALUE"""),"Yes")</f>
        <v>Yes</v>
      </c>
      <c r="F196" s="3" t="str">
        <f ca="1">IFERROR(__xludf.DUMMYFUNCTION("""COMPUTED_VALUE"""),"BothRef")</f>
        <v>BothRef</v>
      </c>
      <c r="G196" s="3">
        <f ca="1">IFERROR(__xludf.DUMMYFUNCTION("""COMPUTED_VALUE"""),1685773)</f>
        <v>1685773</v>
      </c>
      <c r="H196" s="3" t="str">
        <f ca="1">IFERROR(__xludf.DUMMYFUNCTION("""COMPUTED_VALUE"""),"{1685184}")</f>
        <v>{1685184}</v>
      </c>
      <c r="I196" s="4" t="str">
        <f ca="1">IFERROR(__xludf.DUMMYFUNCTION("""COMPUTED_VALUE"""),"https://bugzilla.mozilla.org/show_bug.cgi?id=1685773")</f>
        <v>https://bugzilla.mozilla.org/show_bug.cgi?id=1685773</v>
      </c>
      <c r="J196" s="3" t="str">
        <f ca="1">IFERROR(__xludf.DUMMYFUNCTION("""COMPUTED_VALUE"""),"['services-settings/RemoteSettingsClient.jsm', 'toolkit/components/printing/tests/browser_print_context_menu.js', 'builds/worker/checkouts/gecko/toolkit/xre/nsSigHandlers.cpp', 'browser_print_context_menu.js']")</f>
        <v>['services-settings/RemoteSettingsClient.jsm', 'toolkit/components/printing/tests/browser_print_context_menu.js', 'builds/worker/checkouts/gecko/toolkit/xre/nsSigHandlers.cpp', 'browser_print_context_menu.js']</v>
      </c>
      <c r="K196" s="3" t="str">
        <f ca="1">IFERROR(__xludf.DUMMYFUNCTION("""COMPUTED_VALUE"""),"System Dumps")</f>
        <v>System Dumps</v>
      </c>
      <c r="L196" s="3" t="str">
        <f ca="1">IFERROR(__xludf.DUMMYFUNCTION("""COMPUTED_VALUE"""),"File names are part of bug title, attachment title or commit messages")</f>
        <v>File names are part of bug title, attachment title or commit messages</v>
      </c>
      <c r="M196" s="3"/>
      <c r="N196" s="3"/>
      <c r="O196" s="3" t="str">
        <f ca="1">IFERROR(__xludf.DUMMYFUNCTION("""COMPUTED_VALUE"""),"Solution draft")</f>
        <v>Solution draft</v>
      </c>
    </row>
    <row r="197" spans="1:15" ht="70">
      <c r="A197" s="3" t="s">
        <v>65</v>
      </c>
      <c r="B197" s="3"/>
      <c r="C197" s="3" t="str">
        <f ca="1">IFERROR(__xludf.DUMMYFUNCTION("""COMPUTED_VALUE"""),"Partial")</f>
        <v>Partial</v>
      </c>
      <c r="D197" s="3">
        <f ca="1">IFERROR(__xludf.DUMMYFUNCTION("""COMPUTED_VALUE"""),84)</f>
        <v>84</v>
      </c>
      <c r="E197" s="3" t="str">
        <f ca="1">IFERROR(__xludf.DUMMYFUNCTION("""COMPUTED_VALUE"""),"Yes")</f>
        <v>Yes</v>
      </c>
      <c r="F197" s="3" t="str">
        <f ca="1">IFERROR(__xludf.DUMMYFUNCTION("""COMPUTED_VALUE"""),"BothRef")</f>
        <v>BothRef</v>
      </c>
      <c r="G197" s="3">
        <f ca="1">IFERROR(__xludf.DUMMYFUNCTION("""COMPUTED_VALUE"""),1764690)</f>
        <v>1764690</v>
      </c>
      <c r="H197" s="3" t="str">
        <f ca="1">IFERROR(__xludf.DUMMYFUNCTION("""COMPUTED_VALUE"""),"{1763313}")</f>
        <v>{1763313}</v>
      </c>
      <c r="I197" s="4" t="str">
        <f ca="1">IFERROR(__xludf.DUMMYFUNCTION("""COMPUTED_VALUE"""),"https://bugzilla.mozilla.org/show_bug.cgi?id=1764690")</f>
        <v>https://bugzilla.mozilla.org/show_bug.cgi?id=1764690</v>
      </c>
      <c r="J197" s="3" t="str">
        <f ca="1">IFERROR(__xludf.DUMMYFUNCTION("""COMPUTED_VALUE"""),"['mochitests/content/browser/devtools/client/storage/test/browser_storage_delete.js', 'devtools/client/storage/test/browser_storage_delete.js', 'mochitests/content/browser/devtools/client/shared/test/shared-head.js', 'mochikit/content/browser-test.js', 'm"&amp;"ochikit/content/tests/SimpleTest/SimpleTest.js']")</f>
        <v>['mochitests/content/browser/devtools/client/storage/test/browser_storage_delete.js', 'devtools/client/storage/test/browser_storage_delete.js', 'mochitests/content/browser/devtools/client/shared/test/shared-head.js', 'mochikit/content/browser-test.js', 'mochikit/content/tests/SimpleTest/SimpleTest.js']</v>
      </c>
      <c r="K197" s="3" t="str">
        <f ca="1">IFERROR(__xludf.DUMMYFUNCTION("""COMPUTED_VALUE"""),"System Dumps")</f>
        <v>System Dumps</v>
      </c>
      <c r="L197" s="3" t="str">
        <f ca="1">IFERROR(__xludf.DUMMYFUNCTION("""COMPUTED_VALUE"""),"File names are part of bug title")</f>
        <v>File names are part of bug title</v>
      </c>
      <c r="M197" s="3"/>
      <c r="N197" s="3"/>
      <c r="O197" s="3"/>
    </row>
    <row r="198" spans="1:15" ht="42">
      <c r="A198" s="3" t="s">
        <v>65</v>
      </c>
      <c r="B198" s="3"/>
      <c r="C198" s="3" t="str">
        <f ca="1">IFERROR(__xludf.DUMMYFUNCTION("""COMPUTED_VALUE"""),"Agree")</f>
        <v>Agree</v>
      </c>
      <c r="D198" s="3">
        <f ca="1">IFERROR(__xludf.DUMMYFUNCTION("""COMPUTED_VALUE"""),85)</f>
        <v>85</v>
      </c>
      <c r="E198" s="3" t="str">
        <f ca="1">IFERROR(__xludf.DUMMYFUNCTION("""COMPUTED_VALUE"""),"Yes")</f>
        <v>Yes</v>
      </c>
      <c r="F198" s="3" t="str">
        <f ca="1">IFERROR(__xludf.DUMMYFUNCTION("""COMPUTED_VALUE"""),"BothRef")</f>
        <v>BothRef</v>
      </c>
      <c r="G198" s="3">
        <f ca="1">IFERROR(__xludf.DUMMYFUNCTION("""COMPUTED_VALUE"""),1673341)</f>
        <v>1673341</v>
      </c>
      <c r="H198" s="3" t="str">
        <f ca="1">IFERROR(__xludf.DUMMYFUNCTION("""COMPUTED_VALUE"""),"{727668}")</f>
        <v>{727668}</v>
      </c>
      <c r="I198" s="4" t="str">
        <f ca="1">IFERROR(__xludf.DUMMYFUNCTION("""COMPUTED_VALUE"""),"https://bugzilla.mozilla.org/show_bug.cgi?id=1673341")</f>
        <v>https://bugzilla.mozilla.org/show_bug.cgi?id=1673341</v>
      </c>
      <c r="J198" s="3" t="str">
        <f ca="1">IFERROR(__xludf.DUMMYFUNCTION("""COMPUTED_VALUE"""),"['hg.mozilla.org/mozilla-central/file/b1a74943bc51bd3e62ea52242ec5e403ea3760bb/browser/base/content/browser.js']")</f>
        <v>['hg.mozilla.org/mozilla-central/file/b1a74943bc51bd3e62ea52242ec5e403ea3760bb/browser/base/content/browser.js']</v>
      </c>
      <c r="K198" s="3" t="str">
        <f ca="1">IFERROR(__xludf.DUMMYFUNCTION("""COMPUTED_VALUE"""),"Bug Description")</f>
        <v>Bug Description</v>
      </c>
      <c r="L198" s="3"/>
      <c r="M198" s="3"/>
      <c r="N198" s="3"/>
      <c r="O198" s="3"/>
    </row>
    <row r="199" spans="1:15" ht="70">
      <c r="A199" s="3" t="s">
        <v>65</v>
      </c>
      <c r="B199" s="3"/>
      <c r="C199" s="3" t="str">
        <f ca="1">IFERROR(__xludf.DUMMYFUNCTION("""COMPUTED_VALUE"""),"Agree")</f>
        <v>Agree</v>
      </c>
      <c r="D199" s="3">
        <f ca="1">IFERROR(__xludf.DUMMYFUNCTION("""COMPUTED_VALUE"""),86)</f>
        <v>86</v>
      </c>
      <c r="E199" s="3" t="str">
        <f ca="1">IFERROR(__xludf.DUMMYFUNCTION("""COMPUTED_VALUE"""),"Yes")</f>
        <v>Yes</v>
      </c>
      <c r="F199" s="3" t="str">
        <f ca="1">IFERROR(__xludf.DUMMYFUNCTION("""COMPUTED_VALUE"""),"BothRef")</f>
        <v>BothRef</v>
      </c>
      <c r="G199" s="3">
        <f ca="1">IFERROR(__xludf.DUMMYFUNCTION("""COMPUTED_VALUE"""),1717833)</f>
        <v>1717833</v>
      </c>
      <c r="H199" s="3" t="str">
        <f ca="1">IFERROR(__xludf.DUMMYFUNCTION("""COMPUTED_VALUE"""),"{1499092}")</f>
        <v>{1499092}</v>
      </c>
      <c r="I199" s="4" t="str">
        <f ca="1">IFERROR(__xludf.DUMMYFUNCTION("""COMPUTED_VALUE"""),"https://bugzilla.mozilla.org/show_bug.cgi?id=1717833")</f>
        <v>https://bugzilla.mozilla.org/show_bug.cgi?id=1717833</v>
      </c>
      <c r="J199" s="3" t="str">
        <f ca="1">IFERROR(__xludf.DUMMYFUNCTION("""COMPUTED_VALUE"""),"['searchfox.org/comm-central/rev/383d1860fd17e55f2c673fb388f07391a7b380b3/suite/chatzilla/js/lib/protocol-handlers.jsm', 'searchfox.org/mozilla-central/rev/9975889f5c0d5c59bd22121a454beba774cbae71/dom/base/Navigator.cpp']")</f>
        <v>['searchfox.org/comm-central/rev/383d1860fd17e55f2c673fb388f07391a7b380b3/suite/chatzilla/js/lib/protocol-handlers.jsm', 'searchfox.org/mozilla-central/rev/9975889f5c0d5c59bd22121a454beba774cbae71/dom/base/Navigator.cpp']</v>
      </c>
      <c r="K199" s="3" t="str">
        <f ca="1">IFERROR(__xludf.DUMMYFUNCTION("""COMPUTED_VALUE"""),"Bug Description")</f>
        <v>Bug Description</v>
      </c>
      <c r="L199" s="3"/>
      <c r="M199" s="3"/>
      <c r="N199" s="3"/>
      <c r="O199" s="3"/>
    </row>
    <row r="200" spans="1:15" ht="56">
      <c r="A200" s="3" t="s">
        <v>65</v>
      </c>
      <c r="B200" s="3"/>
      <c r="C200" s="3" t="str">
        <f ca="1">IFERROR(__xludf.DUMMYFUNCTION("""COMPUTED_VALUE"""),"Agree")</f>
        <v>Agree</v>
      </c>
      <c r="D200" s="3">
        <f ca="1">IFERROR(__xludf.DUMMYFUNCTION("""COMPUTED_VALUE"""),87)</f>
        <v>87</v>
      </c>
      <c r="E200" s="3" t="str">
        <f ca="1">IFERROR(__xludf.DUMMYFUNCTION("""COMPUTED_VALUE"""),"Yes")</f>
        <v>Yes</v>
      </c>
      <c r="F200" s="3" t="str">
        <f ca="1">IFERROR(__xludf.DUMMYFUNCTION("""COMPUTED_VALUE"""),"BothRef")</f>
        <v>BothRef</v>
      </c>
      <c r="G200" s="3">
        <f ca="1">IFERROR(__xludf.DUMMYFUNCTION("""COMPUTED_VALUE"""),1631276)</f>
        <v>1631276</v>
      </c>
      <c r="H200" s="3" t="str">
        <f ca="1">IFERROR(__xludf.DUMMYFUNCTION("""COMPUTED_VALUE"""),"{1598299}")</f>
        <v>{1598299}</v>
      </c>
      <c r="I200" s="4" t="str">
        <f ca="1">IFERROR(__xludf.DUMMYFUNCTION("""COMPUTED_VALUE"""),"https://bugzilla.mozilla.org/show_bug.cgi?id=1631276")</f>
        <v>https://bugzilla.mozilla.org/show_bug.cgi?id=1631276</v>
      </c>
      <c r="J200" s="3" t="str">
        <f ca="1">IFERROR(__xludf.DUMMYFUNCTION("""COMPUTED_VALUE"""),"['ipc/ipdl/PDocAccessibleParent.cpp', 'ipc/glue/ProtocolUtils.cpp', 'accessible/mac/mozAccessible.mm', 'accessible/ipc/other/ProxyAccessible.cpp']")</f>
        <v>['ipc/ipdl/PDocAccessibleParent.cpp', 'ipc/glue/ProtocolUtils.cpp', 'accessible/mac/mozAccessible.mm', 'accessible/ipc/other/ProxyAccessible.cpp']</v>
      </c>
      <c r="K200" s="3" t="str">
        <f ca="1">IFERROR(__xludf.DUMMYFUNCTION("""COMPUTED_VALUE"""),"System Dumps")</f>
        <v>System Dumps</v>
      </c>
      <c r="L200" s="3" t="str">
        <f ca="1">IFERROR(__xludf.DUMMYFUNCTION("""COMPUTED_VALUE"""),"File names are part of bug title, attachment title or commit messages")</f>
        <v>File names are part of bug title, attachment title or commit messages</v>
      </c>
      <c r="M200" s="3"/>
      <c r="N200" s="3"/>
      <c r="O200" s="3"/>
    </row>
    <row r="201" spans="1:15" ht="56">
      <c r="A201" s="3" t="s">
        <v>65</v>
      </c>
      <c r="B201" s="3"/>
      <c r="C201" s="3" t="str">
        <f ca="1">IFERROR(__xludf.DUMMYFUNCTION("""COMPUTED_VALUE"""),"Agree")</f>
        <v>Agree</v>
      </c>
      <c r="D201" s="3">
        <f ca="1">IFERROR(__xludf.DUMMYFUNCTION("""COMPUTED_VALUE"""),88)</f>
        <v>88</v>
      </c>
      <c r="E201" s="3" t="str">
        <f ca="1">IFERROR(__xludf.DUMMYFUNCTION("""COMPUTED_VALUE"""),"Yes")</f>
        <v>Yes</v>
      </c>
      <c r="F201" s="3" t="str">
        <f ca="1">IFERROR(__xludf.DUMMYFUNCTION("""COMPUTED_VALUE"""),"BothRef")</f>
        <v>BothRef</v>
      </c>
      <c r="G201" s="3">
        <f ca="1">IFERROR(__xludf.DUMMYFUNCTION("""COMPUTED_VALUE"""),1707595)</f>
        <v>1707595</v>
      </c>
      <c r="H201" s="3" t="str">
        <f ca="1">IFERROR(__xludf.DUMMYFUNCTION("""COMPUTED_VALUE"""),"{1706987}")</f>
        <v>{1706987}</v>
      </c>
      <c r="I201" s="4" t="str">
        <f ca="1">IFERROR(__xludf.DUMMYFUNCTION("""COMPUTED_VALUE"""),"https://bugzilla.mozilla.org/show_bug.cgi?id=1707595")</f>
        <v>https://bugzilla.mozilla.org/show_bug.cgi?id=1707595</v>
      </c>
      <c r="J201" s="3" t="str">
        <f ca="1">IFERROR(__xludf.DUMMYFUNCTION("""COMPUTED_VALUE"""),"['encoding/sharedarraybuffer.https.html']")</f>
        <v>['encoding/sharedarraybuffer.https.html']</v>
      </c>
      <c r="K201" s="3" t="str">
        <f ca="1">IFERROR(__xludf.DUMMYFUNCTION("""COMPUTED_VALUE"""),"File names are part of bug title, attachment title or commit messages")</f>
        <v>File names are part of bug title, attachment title or commit messages</v>
      </c>
      <c r="L201" s="3"/>
      <c r="M201" s="3"/>
      <c r="N201" s="3"/>
      <c r="O201" s="3"/>
    </row>
    <row r="202" spans="1:15" ht="42">
      <c r="A202" s="3" t="s">
        <v>65</v>
      </c>
      <c r="B202" s="3"/>
      <c r="C202" s="3" t="str">
        <f ca="1">IFERROR(__xludf.DUMMYFUNCTION("""COMPUTED_VALUE"""),"Agree")</f>
        <v>Agree</v>
      </c>
      <c r="D202" s="3">
        <f ca="1">IFERROR(__xludf.DUMMYFUNCTION("""COMPUTED_VALUE"""),89)</f>
        <v>89</v>
      </c>
      <c r="E202" s="3" t="str">
        <f ca="1">IFERROR(__xludf.DUMMYFUNCTION("""COMPUTED_VALUE"""),"Yes")</f>
        <v>Yes</v>
      </c>
      <c r="F202" s="3" t="str">
        <f ca="1">IFERROR(__xludf.DUMMYFUNCTION("""COMPUTED_VALUE"""),"FixRef")</f>
        <v>FixRef</v>
      </c>
      <c r="G202" s="3">
        <f ca="1">IFERROR(__xludf.DUMMYFUNCTION("""COMPUTED_VALUE"""),1703625)</f>
        <v>1703625</v>
      </c>
      <c r="H202" s="3" t="str">
        <f ca="1">IFERROR(__xludf.DUMMYFUNCTION("""COMPUTED_VALUE"""),"{1682522}")</f>
        <v>{1682522}</v>
      </c>
      <c r="I202" s="4" t="str">
        <f ca="1">IFERROR(__xludf.DUMMYFUNCTION("""COMPUTED_VALUE"""),"https://bugzilla.mozilla.org/show_bug.cgi?id=1703625")</f>
        <v>https://bugzilla.mozilla.org/show_bug.cgi?id=1703625</v>
      </c>
      <c r="J202" s="3" t="str">
        <f ca="1">IFERROR(__xludf.DUMMYFUNCTION("""COMPUTED_VALUE"""),"['searchfox.org/mozilla-central/rev/21110f35dbb95d3c41c8c5bd363ec689900af30f/browser/themes/shared/customizableui/panelUI.inc.css']")</f>
        <v>['searchfox.org/mozilla-central/rev/21110f35dbb95d3c41c8c5bd363ec689900af30f/browser/themes/shared/customizableui/panelUI.inc.css']</v>
      </c>
      <c r="K202" s="3" t="str">
        <f ca="1">IFERROR(__xludf.DUMMYFUNCTION("""COMPUTED_VALUE"""),"Bug Description")</f>
        <v>Bug Description</v>
      </c>
      <c r="L202" s="3"/>
      <c r="M202" s="3"/>
      <c r="N202" s="3"/>
      <c r="O202" s="3"/>
    </row>
    <row r="203" spans="1:15" ht="140">
      <c r="A203" s="3" t="s">
        <v>65</v>
      </c>
      <c r="B203" s="3"/>
      <c r="C203" s="3" t="str">
        <f ca="1">IFERROR(__xludf.DUMMYFUNCTION("""COMPUTED_VALUE"""),"Partial")</f>
        <v>Partial</v>
      </c>
      <c r="D203" s="3">
        <f ca="1">IFERROR(__xludf.DUMMYFUNCTION("""COMPUTED_VALUE"""),90)</f>
        <v>90</v>
      </c>
      <c r="E203" s="3" t="str">
        <f ca="1">IFERROR(__xludf.DUMMYFUNCTION("""COMPUTED_VALUE"""),"Yes")</f>
        <v>Yes</v>
      </c>
      <c r="F203" s="3" t="str">
        <f ca="1">IFERROR(__xludf.DUMMYFUNCTION("""COMPUTED_VALUE"""),"BothRef")</f>
        <v>BothRef</v>
      </c>
      <c r="G203" s="3">
        <f ca="1">IFERROR(__xludf.DUMMYFUNCTION("""COMPUTED_VALUE"""),1635783)</f>
        <v>1635783</v>
      </c>
      <c r="H203" s="3" t="str">
        <f ca="1">IFERROR(__xludf.DUMMYFUNCTION("""COMPUTED_VALUE"""),"{1478632}")</f>
        <v>{1478632}</v>
      </c>
      <c r="I203" s="4" t="str">
        <f ca="1">IFERROR(__xludf.DUMMYFUNCTION("""COMPUTED_VALUE"""),"https://bugzilla.mozilla.org/show_bug.cgi?id=1635783")</f>
        <v>https://bugzilla.mozilla.org/show_bug.cgi?id=1635783</v>
      </c>
      <c r="J203" s="3" t="str">
        <f ca="1">IFERROR(__xludf.DUMMYFUNCTION("""COMPUTED_VALUE"""),"['main@/builds/worker/workspace/build/src/js/src/jit-test/tests/wasm/ion-error-i64.js', 'wasm/ion-error-i64.js', 'builds/worker/workspace/build/src/js/src/jit-test/lib/wasm.js', 'treeherder.mozilla.org/logviewer.html', 'ion-error-ool.js', '@/builds/worker"&amp;"/workspace/build/src/js/src/jit-test/tests/wasm/ion-error-i64.js', 'js/src/jit-test/tests/wasm/ion-error-i64.js', 'js/src/jit-test/tests/wasm/ion-debugger.js', 'builds/worker/workspace/build/src/js/src/jit-test/tests/wasm/ion-error-i64.js', 'jit-test/lib/"&amp;"wasm.js', 'treeherder.mozilla.org/intermittent-failures.html']")</f>
        <v>['main@/builds/worker/workspace/build/src/js/src/jit-test/tests/wasm/ion-error-i64.js', 'wasm/ion-error-i64.js', 'builds/worker/workspace/build/src/js/src/jit-test/lib/wasm.js', 'treeherder.mozilla.org/logviewer.html', 'ion-error-ool.js', '@/builds/worker/workspace/build/src/js/src/jit-test/tests/wasm/ion-error-i64.js', 'js/src/jit-test/tests/wasm/ion-error-i64.js', 'js/src/jit-test/tests/wasm/ion-debugger.js', 'builds/worker/workspace/build/src/js/src/jit-test/tests/wasm/ion-error-i64.js', 'jit-test/lib/wasm.js', 'treeherder.mozilla.org/intermittent-failures.html']</v>
      </c>
      <c r="K203" s="3" t="str">
        <f ca="1">IFERROR(__xludf.DUMMYFUNCTION("""COMPUTED_VALUE"""),"System Dumps")</f>
        <v>System Dumps</v>
      </c>
      <c r="L203" s="3" t="str">
        <f ca="1">IFERROR(__xludf.DUMMYFUNCTION("""COMPUTED_VALUE"""),"File names are part of bug title")</f>
        <v>File names are part of bug title</v>
      </c>
      <c r="M203" s="3" t="str">
        <f ca="1">IFERROR(__xludf.DUMMYFUNCTION("""COMPUTED_VALUE"""),"Bug Description")</f>
        <v>Bug Description</v>
      </c>
      <c r="N203" s="3"/>
      <c r="O203" s="3"/>
    </row>
    <row r="204" spans="1:15" ht="42">
      <c r="A204" s="3" t="s">
        <v>65</v>
      </c>
      <c r="B204" s="3"/>
      <c r="C204" s="3" t="str">
        <f ca="1">IFERROR(__xludf.DUMMYFUNCTION("""COMPUTED_VALUE"""),"Agree")</f>
        <v>Agree</v>
      </c>
      <c r="D204" s="3">
        <f ca="1">IFERROR(__xludf.DUMMYFUNCTION("""COMPUTED_VALUE"""),91)</f>
        <v>91</v>
      </c>
      <c r="E204" s="3" t="str">
        <f ca="1">IFERROR(__xludf.DUMMYFUNCTION("""COMPUTED_VALUE"""),"Yes")</f>
        <v>Yes</v>
      </c>
      <c r="F204" s="3" t="str">
        <f ca="1">IFERROR(__xludf.DUMMYFUNCTION("""COMPUTED_VALUE"""),"FixRef")</f>
        <v>FixRef</v>
      </c>
      <c r="G204" s="3">
        <f ca="1">IFERROR(__xludf.DUMMYFUNCTION("""COMPUTED_VALUE"""),1637973)</f>
        <v>1637973</v>
      </c>
      <c r="H204" s="3" t="str">
        <f ca="1">IFERROR(__xludf.DUMMYFUNCTION("""COMPUTED_VALUE"""),"{1598216}")</f>
        <v>{1598216}</v>
      </c>
      <c r="I204" s="4" t="str">
        <f ca="1">IFERROR(__xludf.DUMMYFUNCTION("""COMPUTED_VALUE"""),"https://bugzilla.mozilla.org/show_bug.cgi?id=1637973")</f>
        <v>https://bugzilla.mozilla.org/show_bug.cgi?id=1637973</v>
      </c>
      <c r="J204" s="3" t="str">
        <f ca="1">IFERROR(__xludf.DUMMYFUNCTION("""COMPUTED_VALUE"""),"['background.js', 'manifest.json', 'searchfox.org/mozilla-central/rev/3ce874dc2703831af3e5ef3a1d216ffd08057fa5/toolkit/components/extensions/parent/ext-downloads.js']")</f>
        <v>['background.js', 'manifest.json', 'searchfox.org/mozilla-central/rev/3ce874dc2703831af3e5ef3a1d216ffd08057fa5/toolkit/components/extensions/parent/ext-downloads.js']</v>
      </c>
      <c r="K204" s="3" t="str">
        <f ca="1">IFERROR(__xludf.DUMMYFUNCTION("""COMPUTED_VALUE"""),"Bug Description")</f>
        <v>Bug Description</v>
      </c>
      <c r="L204" s="3"/>
      <c r="M204" s="3"/>
      <c r="N204" s="3"/>
      <c r="O204" s="3" t="str">
        <f ca="1">IFERROR(__xludf.DUMMYFUNCTION("""COMPUTED_VALUE"""),"Extrinsic bug , Solution Draft")</f>
        <v>Extrinsic bug , Solution Draft</v>
      </c>
    </row>
    <row r="205" spans="1:15" ht="28">
      <c r="A205" s="3" t="s">
        <v>65</v>
      </c>
      <c r="B205" s="3"/>
      <c r="C205" s="3" t="str">
        <f ca="1">IFERROR(__xludf.DUMMYFUNCTION("""COMPUTED_VALUE"""),"Agree")</f>
        <v>Agree</v>
      </c>
      <c r="D205" s="3">
        <f ca="1">IFERROR(__xludf.DUMMYFUNCTION("""COMPUTED_VALUE"""),92)</f>
        <v>92</v>
      </c>
      <c r="E205" s="3" t="str">
        <f ca="1">IFERROR(__xludf.DUMMYFUNCTION("""COMPUTED_VALUE"""),"Yes")</f>
        <v>Yes</v>
      </c>
      <c r="F205" s="3" t="str">
        <f ca="1">IFERROR(__xludf.DUMMYFUNCTION("""COMPUTED_VALUE"""),"BothRef")</f>
        <v>BothRef</v>
      </c>
      <c r="G205" s="3">
        <f ca="1">IFERROR(__xludf.DUMMYFUNCTION("""COMPUTED_VALUE"""),1673680)</f>
        <v>1673680</v>
      </c>
      <c r="H205" s="3" t="str">
        <f ca="1">IFERROR(__xludf.DUMMYFUNCTION("""COMPUTED_VALUE"""),"{1169044}")</f>
        <v>{1169044}</v>
      </c>
      <c r="I205" s="4" t="str">
        <f ca="1">IFERROR(__xludf.DUMMYFUNCTION("""COMPUTED_VALUE"""),"https://bugzilla.mozilla.org/show_bug.cgi?id=1673680")</f>
        <v>https://bugzilla.mozilla.org/show_bug.cgi?id=1673680</v>
      </c>
      <c r="J205" s="3" t="str">
        <f ca="1">IFERROR(__xludf.DUMMYFUNCTION("""COMPUTED_VALUE"""),"['URLSearchParams.h']")</f>
        <v>['URLSearchParams.h']</v>
      </c>
      <c r="K205" s="3" t="str">
        <f ca="1">IFERROR(__xludf.DUMMYFUNCTION("""COMPUTED_VALUE"""),"File names are part of commit messages")</f>
        <v>File names are part of commit messages</v>
      </c>
      <c r="L205" s="3"/>
      <c r="M205" s="3"/>
      <c r="N205" s="3"/>
      <c r="O205" s="3"/>
    </row>
    <row r="206" spans="1:15" ht="409.6">
      <c r="A206" s="3" t="s">
        <v>65</v>
      </c>
      <c r="B206" s="3"/>
      <c r="C206" s="3" t="str">
        <f ca="1">IFERROR(__xludf.DUMMYFUNCTION("""COMPUTED_VALUE"""),"Agree")</f>
        <v>Agree</v>
      </c>
      <c r="D206" s="3">
        <f ca="1">IFERROR(__xludf.DUMMYFUNCTION("""COMPUTED_VALUE"""),93)</f>
        <v>93</v>
      </c>
      <c r="E206" s="3" t="str">
        <f ca="1">IFERROR(__xludf.DUMMYFUNCTION("""COMPUTED_VALUE"""),"Yes")</f>
        <v>Yes</v>
      </c>
      <c r="F206" s="3" t="str">
        <f ca="1">IFERROR(__xludf.DUMMYFUNCTION("""COMPUTED_VALUE"""),"BothRef")</f>
        <v>BothRef</v>
      </c>
      <c r="G206" s="3">
        <f ca="1">IFERROR(__xludf.DUMMYFUNCTION("""COMPUTED_VALUE"""),1651928)</f>
        <v>1651928</v>
      </c>
      <c r="H206" s="3" t="str">
        <f ca="1">IFERROR(__xludf.DUMMYFUNCTION("""COMPUTED_VALUE"""),"{1631806}")</f>
        <v>{1631806}</v>
      </c>
      <c r="I206" s="4" t="str">
        <f ca="1">IFERROR(__xludf.DUMMYFUNCTION("""COMPUTED_VALUE"""),"https://bugzilla.mozilla.org/show_bug.cgi?id=1651928")</f>
        <v>https://bugzilla.mozilla.org/show_bug.cgi?id=1651928</v>
      </c>
      <c r="J206" s="3" t="str">
        <f ca="1">IFERROR(__xludf.DUMMYFUNCTION("""COMPUTED_VALUE"""),"['Users/cltbld/tasks/task_1594360574/checkouts/gecko/third_party/python/pytest/src/_pytest/setupplan.py', 'Users/cltbld/tasks/task_1594360574/checkouts/gecko/third_party/python/pytest/src/_pytest/resultlog.py', 'Users/cltbld/tasks/task_1594360574/checkout"&amp;"s/gecko/obj-x86_64-apple-darwin18.6.0/_virtualenvs/gecko-Ro2D8VTD-2/lib/python2.7/site-packages/mozlog/pytest_mozlog/plugin.py', 'Users/cltbld/tasks/task_1594360574/checkouts/gecko/third_party/python/pytest/src/_pytest/capture.py', 'Users/cltbld/tasks/tas"&amp;"k_1594360574/checkouts/gecko/third_party/python/pytest/src/_pytest/nose.py', 'Users/cltbld/tasks/task_1594360574/checkouts/gecko/third_party/python/pytest/src/_pytest/doctest.py', 'Users/cltbld/tasks/task_1594360574/checkouts/gecko/third_party/python/pyte"&amp;"st/src/_pytest/tmpdir.py', 'Users/cltbld/tasks/task_1594360574/checkouts/gecko/third_party/python/pytest/src/_pytest/unittest.py', 'Users/cltbld/tasks/task_1594360574/checkouts/gecko/testing/mozbase/mozversion/tests/test_binary.py', 'Users/cltbld/tasks/ta"&amp;"sk_1594360574/checkouts/gecko/third_party/python/pytest/src/_pytest/skipping.py', 'Users/cltbld/tasks/task_1594360574/checkouts/gecko/third_party/python/pytest/src/_pytest/main.py', 'Users/cltbld/tasks/task_1594360574/checkouts/gecko/third_party/python/py"&amp;"test/src/_pytest/debugging.py', 'Users/cltbld/tasks/task_1594360574/checkouts/gecko/testing/mozbase/mozproxy/tests/test_command_line.py', 'Users/cltbld/tasks/task_1594360574/checkouts/gecko/third_party/python/pytest/src/_pytest/logging.py', 'Users/cltbld/"&amp;"tasks/task_1594360574/checkouts/gecko/third_party/python/pytest/src/_pytest/python.py', 'Users/cltbld/tasks/task_1594360574/checkouts/gecko/third_party/python/pytest/src/_pytest/freeze_support.py', 'treeherder.mozilla.org/intermittent-failures.html', 'Use"&amp;"rs/cltbld/tasks/task_1594360574/checkouts/gecko/third_party/python/pytest/src/_pytest/monkeypatch.py', 'Users/cltbld/tasks/task_1594360574/checkouts/gecko/third_party/python/pytest/src/_pytest/runner.py', 'Users/cltbld/tasks/task_1594360574/checkouts/geck"&amp;"o/third_party/python/pytest/src/_pytest/junitxml.py', 'Users/cltbld/tasks/task_1594360574/checkouts/gecko/third_party/python/pytest/src/_pytest/warnings.py', 'Users/cltbld/tasks/task_1594360574/checkouts/gecko/third_party/python/pytest/src/_pytest/termina"&amp;"l.py', 'Users/cltbld/tasks/task_1594360574/checkouts/gecko/config/mozunit/mozunit/mozunit.py', 'treeherder.mozilla.org/logviewer.html', 'Users/cltbld/tasks/task_1594360574/checkouts/gecko/third_party/python/pytest/src/_pytest/setuponly.py', 'Users/cltbld/"&amp;"tasks/task_1594360574/checkouts/gecko/config/mozunit/mozunit/pytest_plugin.py', 'Users/cltbld/tasks/task_1594360574/checkouts/gecko/third_party/python/pluggy/pluggy/callers.py', 'Users/cltbld/tasks/task_1594360574/checkouts/gecko/testing/mozbase/mozversio"&amp;"n/tests/test_apk.py', 'Users/cltbld/tasks/task_1594360574/checkouts/gecko/third_party/python/pytest/src/_pytest/recwarn.py', 'Users/cltbld/tasks/task_1594360574/checkouts/gecko/third_party/python/pytest/src/_pytest/helpconfig.py', 'Users/cltbld/tasks/task"&amp;"_1594360574/checkouts/gecko/third_party/python/pytest/src/_pytest/fixtures.py', 'Users/cltbld/tasks/task_1594360574/checkouts/gecko/third_party/python/pytest/src/_pytest/pastebin.py']")</f>
        <v>['Users/cltbld/tasks/task_1594360574/checkouts/gecko/third_party/python/pytest/src/_pytest/setupplan.py', 'Users/cltbld/tasks/task_1594360574/checkouts/gecko/third_party/python/pytest/src/_pytest/resultlog.py', 'Users/cltbld/tasks/task_1594360574/checkouts/gecko/obj-x86_64-apple-darwin18.6.0/_virtualenvs/gecko-Ro2D8VTD-2/lib/python2.7/site-packages/mozlog/pytest_mozlog/plugin.py', 'Users/cltbld/tasks/task_1594360574/checkouts/gecko/third_party/python/pytest/src/_pytest/capture.py', 'Users/cltbld/tasks/task_1594360574/checkouts/gecko/third_party/python/pytest/src/_pytest/nose.py', 'Users/cltbld/tasks/task_1594360574/checkouts/gecko/third_party/python/pytest/src/_pytest/doctest.py', 'Users/cltbld/tasks/task_1594360574/checkouts/gecko/third_party/python/pytest/src/_pytest/tmpdir.py', 'Users/cltbld/tasks/task_1594360574/checkouts/gecko/third_party/python/pytest/src/_pytest/unittest.py', 'Users/cltbld/tasks/task_1594360574/checkouts/gecko/testing/mozbase/mozversion/tests/test_binary.py', 'Users/cltbld/tasks/task_1594360574/checkouts/gecko/third_party/python/pytest/src/_pytest/skipping.py', 'Users/cltbld/tasks/task_1594360574/checkouts/gecko/third_party/python/pytest/src/_pytest/main.py', 'Users/cltbld/tasks/task_1594360574/checkouts/gecko/third_party/python/pytest/src/_pytest/debugging.py', 'Users/cltbld/tasks/task_1594360574/checkouts/gecko/testing/mozbase/mozproxy/tests/test_command_line.py', 'Users/cltbld/tasks/task_1594360574/checkouts/gecko/third_party/python/pytest/src/_pytest/logging.py', 'Users/cltbld/tasks/task_1594360574/checkouts/gecko/third_party/python/pytest/src/_pytest/python.py', 'Users/cltbld/tasks/task_1594360574/checkouts/gecko/third_party/python/pytest/src/_pytest/freeze_support.py', 'treeherder.mozilla.org/intermittent-failures.html', 'Users/cltbld/tasks/task_1594360574/checkouts/gecko/third_party/python/pytest/src/_pytest/monkeypatch.py', 'Users/cltbld/tasks/task_1594360574/checkouts/gecko/third_party/python/pytest/src/_pytest/runner.py', 'Users/cltbld/tasks/task_1594360574/checkouts/gecko/third_party/python/pytest/src/_pytest/junitxml.py', 'Users/cltbld/tasks/task_1594360574/checkouts/gecko/third_party/python/pytest/src/_pytest/warnings.py', 'Users/cltbld/tasks/task_1594360574/checkouts/gecko/third_party/python/pytest/src/_pytest/terminal.py', 'Users/cltbld/tasks/task_1594360574/checkouts/gecko/config/mozunit/mozunit/mozunit.py', 'treeherder.mozilla.org/logviewer.html', 'Users/cltbld/tasks/task_1594360574/checkouts/gecko/third_party/python/pytest/src/_pytest/setuponly.py', 'Users/cltbld/tasks/task_1594360574/checkouts/gecko/config/mozunit/mozunit/pytest_plugin.py', 'Users/cltbld/tasks/task_1594360574/checkouts/gecko/third_party/python/pluggy/pluggy/callers.py', 'Users/cltbld/tasks/task_1594360574/checkouts/gecko/testing/mozbase/mozversion/tests/test_apk.py', 'Users/cltbld/tasks/task_1594360574/checkouts/gecko/third_party/python/pytest/src/_pytest/recwarn.py', 'Users/cltbld/tasks/task_1594360574/checkouts/gecko/third_party/python/pytest/src/_pytest/helpconfig.py', 'Users/cltbld/tasks/task_1594360574/checkouts/gecko/third_party/python/pytest/src/_pytest/fixtures.py', 'Users/cltbld/tasks/task_1594360574/checkouts/gecko/third_party/python/pytest/src/_pytest/pastebin.py']</v>
      </c>
      <c r="K206" s="3" t="str">
        <f ca="1">IFERROR(__xludf.DUMMYFUNCTION("""COMPUTED_VALUE"""),"System Dumps")</f>
        <v>System Dumps</v>
      </c>
      <c r="L206" s="3"/>
      <c r="M206" s="3"/>
      <c r="N206" s="3"/>
      <c r="O206" s="3" t="str">
        <f ca="1">IFERROR(__xludf.DUMMYFUNCTION("""COMPUTED_VALUE"""),"There is an external file added by issue references. However, it is one of 30, so the noise would be more than the value")</f>
        <v>There is an external file added by issue references. However, it is one of 30, so the noise would be more than the value</v>
      </c>
    </row>
    <row r="207" spans="1:15" ht="112">
      <c r="A207" s="3" t="s">
        <v>65</v>
      </c>
      <c r="B207" s="3"/>
      <c r="C207" s="3" t="str">
        <f ca="1">IFERROR(__xludf.DUMMYFUNCTION("""COMPUTED_VALUE"""),"Partial")</f>
        <v>Partial</v>
      </c>
      <c r="D207" s="3">
        <f ca="1">IFERROR(__xludf.DUMMYFUNCTION("""COMPUTED_VALUE"""),94)</f>
        <v>94</v>
      </c>
      <c r="E207" s="3" t="str">
        <f ca="1">IFERROR(__xludf.DUMMYFUNCTION("""COMPUTED_VALUE"""),"Yes")</f>
        <v>Yes</v>
      </c>
      <c r="F207" s="3" t="str">
        <f ca="1">IFERROR(__xludf.DUMMYFUNCTION("""COMPUTED_VALUE"""),"BothRef")</f>
        <v>BothRef</v>
      </c>
      <c r="G207" s="3">
        <f ca="1">IFERROR(__xludf.DUMMYFUNCTION("""COMPUTED_VALUE"""),1570684)</f>
        <v>1570684</v>
      </c>
      <c r="H207" s="3" t="str">
        <f ca="1">IFERROR(__xludf.DUMMYFUNCTION("""COMPUTED_VALUE"""),"{1493613}")</f>
        <v>{1493613}</v>
      </c>
      <c r="I207" s="4" t="str">
        <f ca="1">IFERROR(__xludf.DUMMYFUNCTION("""COMPUTED_VALUE"""),"https://bugzilla.mozilla.org/show_bug.cgi?id=1570684")</f>
        <v>https://bugzilla.mozilla.org/show_bug.cgi?id=1570684</v>
      </c>
      <c r="J207" s="3" t="str">
        <f ca="1">IFERROR(__xludf.DUMMYFUNCTION("""COMPUTED_VALUE"""),"['js/src/vm/Interpreter.cpp', 'dom/media/webaudio/MediaStreamAudioSourceNode.cpp', 'dom/media/webaudio/AudioContext.cpp', 'dom/bindings/AudioContextBinding.cpp', 'dom/media/MediaStreamTrack.cpp', 'hg.mozilla.org/mozilla-central/annotate/b0124f06562982dce6"&amp;"0b820d95aad23afd5cec90/dom/media/webaudio/MediaStreamAudioSourceNode.cpp', 'dom/bindings/BindingUtils.cpp']")</f>
        <v>['js/src/vm/Interpreter.cpp', 'dom/media/webaudio/MediaStreamAudioSourceNode.cpp', 'dom/media/webaudio/AudioContext.cpp', 'dom/bindings/AudioContextBinding.cpp', 'dom/media/MediaStreamTrack.cpp', 'hg.mozilla.org/mozilla-central/annotate/b0124f06562982dce60b820d95aad23afd5cec90/dom/media/webaudio/MediaStreamAudioSourceNode.cpp', 'dom/bindings/BindingUtils.cpp']</v>
      </c>
      <c r="K207" s="3" t="str">
        <f ca="1">IFERROR(__xludf.DUMMYFUNCTION("""COMPUTED_VALUE"""),"System Dumps")</f>
        <v>System Dumps</v>
      </c>
      <c r="L207" s="3" t="str">
        <f ca="1">IFERROR(__xludf.DUMMYFUNCTION("""COMPUTED_VALUE"""),"Bug Description")</f>
        <v>Bug Description</v>
      </c>
      <c r="M207" s="3"/>
      <c r="N207" s="3"/>
      <c r="O207" s="3"/>
    </row>
    <row r="208" spans="1:15" ht="126">
      <c r="A208" s="3" t="s">
        <v>65</v>
      </c>
      <c r="B208" s="3"/>
      <c r="C208" s="3" t="str">
        <f ca="1">IFERROR(__xludf.DUMMYFUNCTION("""COMPUTED_VALUE"""),"Partial")</f>
        <v>Partial</v>
      </c>
      <c r="D208" s="3">
        <f ca="1">IFERROR(__xludf.DUMMYFUNCTION("""COMPUTED_VALUE"""),95)</f>
        <v>95</v>
      </c>
      <c r="E208" s="3" t="str">
        <f ca="1">IFERROR(__xludf.DUMMYFUNCTION("""COMPUTED_VALUE"""),"Yes")</f>
        <v>Yes</v>
      </c>
      <c r="F208" s="3" t="str">
        <f ca="1">IFERROR(__xludf.DUMMYFUNCTION("""COMPUTED_VALUE"""),"FixRef")</f>
        <v>FixRef</v>
      </c>
      <c r="G208" s="3">
        <f ca="1">IFERROR(__xludf.DUMMYFUNCTION("""COMPUTED_VALUE"""),1668265)</f>
        <v>1668265</v>
      </c>
      <c r="H208" s="3" t="str">
        <f ca="1">IFERROR(__xludf.DUMMYFUNCTION("""COMPUTED_VALUE"""),"{1607756}")</f>
        <v>{1607756}</v>
      </c>
      <c r="I208" s="4" t="str">
        <f ca="1">IFERROR(__xludf.DUMMYFUNCTION("""COMPUTED_VALUE"""),"https://bugzilla.mozilla.org/show_bug.cgi?id=1668265")</f>
        <v>https://bugzilla.mozilla.org/show_bug.cgi?id=1668265</v>
      </c>
      <c r="J208" s="3" t="str">
        <f ca="1">IFERROR(__xludf.DUMMYFUNCTION("""COMPUTED_VALUE"""),"['devtools/client/framework/test/browser_keybindings_01.js', 'devtools/shared/protocol/Front/FrontClassWithSpec.js', 'devtools/client/devtools-client.js', 'devtools/client/fronts/targets/browsing-context.js', 'devtools/client/fronts/targets/target-mixin.j"&amp;"s', 'treeherder.mozilla.org/logviewer.html', 'devtools/shared/protocol/Front.js', 'devtools/shared/transport/local-transport.js', 'ThreadSafeDevToolsUtils.js', 'Front.js', 'target-mixin.js', 'devtools/shared/ThreadSafeDevToolsUtils.js', 'devtools/shared/e"&amp;"vent-emitter.js']")</f>
        <v>['devtools/client/framework/test/browser_keybindings_01.js', 'devtools/shared/protocol/Front/FrontClassWithSpec.js', 'devtools/client/devtools-client.js', 'devtools/client/fronts/targets/browsing-context.js', 'devtools/client/fronts/targets/target-mixin.js', 'treeherder.mozilla.org/logviewer.html', 'devtools/shared/protocol/Front.js', 'devtools/shared/transport/local-transport.js', 'ThreadSafeDevToolsUtils.js', 'Front.js', 'target-mixin.js', 'devtools/shared/ThreadSafeDevToolsUtils.js', 'devtools/shared/event-emitter.js']</v>
      </c>
      <c r="K208" s="3" t="str">
        <f ca="1">IFERROR(__xludf.DUMMYFUNCTION("""COMPUTED_VALUE"""),"System Dumps")</f>
        <v>System Dumps</v>
      </c>
      <c r="L208" s="3" t="str">
        <f ca="1">IFERROR(__xludf.DUMMYFUNCTION("""COMPUTED_VALUE"""),"Bug Description")</f>
        <v>Bug Description</v>
      </c>
      <c r="M208" s="3"/>
      <c r="N208" s="3"/>
      <c r="O208" s="3"/>
    </row>
    <row r="209" spans="1:15" ht="42">
      <c r="A209" s="3" t="s">
        <v>65</v>
      </c>
      <c r="B209" s="3"/>
      <c r="C209" s="3" t="str">
        <f ca="1">IFERROR(__xludf.DUMMYFUNCTION("""COMPUTED_VALUE"""),"Agree")</f>
        <v>Agree</v>
      </c>
      <c r="D209" s="3">
        <f ca="1">IFERROR(__xludf.DUMMYFUNCTION("""COMPUTED_VALUE"""),96)</f>
        <v>96</v>
      </c>
      <c r="E209" s="3" t="str">
        <f ca="1">IFERROR(__xludf.DUMMYFUNCTION("""COMPUTED_VALUE"""),"Yes")</f>
        <v>Yes</v>
      </c>
      <c r="F209" s="3" t="str">
        <f ca="1">IFERROR(__xludf.DUMMYFUNCTION("""COMPUTED_VALUE"""),"BothRef")</f>
        <v>BothRef</v>
      </c>
      <c r="G209" s="3">
        <f ca="1">IFERROR(__xludf.DUMMYFUNCTION("""COMPUTED_VALUE"""),1733707)</f>
        <v>1733707</v>
      </c>
      <c r="H209" s="3" t="str">
        <f ca="1">IFERROR(__xludf.DUMMYFUNCTION("""COMPUTED_VALUE"""),"{1608202}")</f>
        <v>{1608202}</v>
      </c>
      <c r="I209" s="4" t="str">
        <f ca="1">IFERROR(__xludf.DUMMYFUNCTION("""COMPUTED_VALUE"""),"https://bugzilla.mozilla.org/show_bug.cgi?id=1733707")</f>
        <v>https://bugzilla.mozilla.org/show_bug.cgi?id=1733707</v>
      </c>
      <c r="J209" s="3" t="str">
        <f ca="1">IFERROR(__xludf.DUMMYFUNCTION("""COMPUTED_VALUE"""),"['searchfox.org/mozilla-central/rev/c3d7964c593e0bedabea2fea0b35ba243cf9e696/browser/components/downloads/content/downloadsContextMenu.inc.xhtml']")</f>
        <v>['searchfox.org/mozilla-central/rev/c3d7964c593e0bedabea2fea0b35ba243cf9e696/browser/components/downloads/content/downloadsContextMenu.inc.xhtml']</v>
      </c>
      <c r="K209" s="3" t="str">
        <f ca="1">IFERROR(__xludf.DUMMYFUNCTION("""COMPUTED_VALUE"""),"Bug Description")</f>
        <v>Bug Description</v>
      </c>
      <c r="L209" s="3"/>
      <c r="M209" s="3"/>
      <c r="N209" s="3"/>
      <c r="O209" s="3"/>
    </row>
    <row r="210" spans="1:15" ht="28">
      <c r="A210" s="3" t="s">
        <v>65</v>
      </c>
      <c r="B210" s="3"/>
      <c r="C210" s="3" t="str">
        <f ca="1">IFERROR(__xludf.DUMMYFUNCTION("""COMPUTED_VALUE"""),"Agree")</f>
        <v>Agree</v>
      </c>
      <c r="D210" s="3">
        <f ca="1">IFERROR(__xludf.DUMMYFUNCTION("""COMPUTED_VALUE"""),97)</f>
        <v>97</v>
      </c>
      <c r="E210" s="3" t="str">
        <f ca="1">IFERROR(__xludf.DUMMYFUNCTION("""COMPUTED_VALUE"""),"Yes")</f>
        <v>Yes</v>
      </c>
      <c r="F210" s="3" t="str">
        <f ca="1">IFERROR(__xludf.DUMMYFUNCTION("""COMPUTED_VALUE"""),"BothRef")</f>
        <v>BothRef</v>
      </c>
      <c r="G210" s="3">
        <f ca="1">IFERROR(__xludf.DUMMYFUNCTION("""COMPUTED_VALUE"""),1645377)</f>
        <v>1645377</v>
      </c>
      <c r="H210" s="3" t="str">
        <f ca="1">IFERROR(__xludf.DUMMYFUNCTION("""COMPUTED_VALUE"""),"{1470369}")</f>
        <v>{1470369}</v>
      </c>
      <c r="I210" s="4" t="str">
        <f ca="1">IFERROR(__xludf.DUMMYFUNCTION("""COMPUTED_VALUE"""),"https://bugzilla.mozilla.org/show_bug.cgi?id=1645377")</f>
        <v>https://bugzilla.mozilla.org/show_bug.cgi?id=1645377</v>
      </c>
      <c r="J210" s="3" t="str">
        <f ca="1">IFERROR(__xludf.DUMMYFUNCTION("""COMPUTED_VALUE"""),"['builds/worker/checkouts/gecko/js/src/gc/StoreBuffer.h', 'pthread_create.c']")</f>
        <v>['builds/worker/checkouts/gecko/js/src/gc/StoreBuffer.h', 'pthread_create.c']</v>
      </c>
      <c r="K210" s="3" t="str">
        <f ca="1">IFERROR(__xludf.DUMMYFUNCTION("""COMPUTED_VALUE"""),"System Dumps")</f>
        <v>System Dumps</v>
      </c>
      <c r="L210" s="3"/>
      <c r="M210" s="3"/>
      <c r="N210" s="3"/>
      <c r="O210" s="3"/>
    </row>
    <row r="211" spans="1:15" ht="42">
      <c r="A211" s="3" t="s">
        <v>65</v>
      </c>
      <c r="B211" s="3"/>
      <c r="C211" s="3" t="str">
        <f ca="1">IFERROR(__xludf.DUMMYFUNCTION("""COMPUTED_VALUE"""),"Agree")</f>
        <v>Agree</v>
      </c>
      <c r="D211" s="3">
        <f ca="1">IFERROR(__xludf.DUMMYFUNCTION("""COMPUTED_VALUE"""),98)</f>
        <v>98</v>
      </c>
      <c r="E211" s="3" t="str">
        <f ca="1">IFERROR(__xludf.DUMMYFUNCTION("""COMPUTED_VALUE"""),"Yes")</f>
        <v>Yes</v>
      </c>
      <c r="F211" s="3" t="str">
        <f ca="1">IFERROR(__xludf.DUMMYFUNCTION("""COMPUTED_VALUE"""),"BothRef")</f>
        <v>BothRef</v>
      </c>
      <c r="G211" s="3">
        <f ca="1">IFERROR(__xludf.DUMMYFUNCTION("""COMPUTED_VALUE"""),1772489)</f>
        <v>1772489</v>
      </c>
      <c r="H211" s="3" t="str">
        <f ca="1">IFERROR(__xludf.DUMMYFUNCTION("""COMPUTED_VALUE"""),"{1767488}")</f>
        <v>{1767488}</v>
      </c>
      <c r="I211" s="4" t="str">
        <f ca="1">IFERROR(__xludf.DUMMYFUNCTION("""COMPUTED_VALUE"""),"https://bugzilla.mozilla.org/show_bug.cgi?id=1772489")</f>
        <v>https://bugzilla.mozilla.org/show_bug.cgi?id=1772489</v>
      </c>
      <c r="J211" s="3" t="str">
        <f ca="1">IFERROR(__xludf.DUMMYFUNCTION("""COMPUTED_VALUE"""),"['usr/lib/python3.6/concurrent/futures/thread.py', 'usr/lib/python3.6/concurrent/futures/_base.py', 'searchfox.org/mozilla-central/source/taskcluster/ci/condprof/kind.yml']")</f>
        <v>['usr/lib/python3.6/concurrent/futures/thread.py', 'usr/lib/python3.6/concurrent/futures/_base.py', 'searchfox.org/mozilla-central/source/taskcluster/ci/condprof/kind.yml']</v>
      </c>
      <c r="K211" s="3" t="str">
        <f ca="1">IFERROR(__xludf.DUMMYFUNCTION("""COMPUTED_VALUE"""),"System Dumps")</f>
        <v>System Dumps</v>
      </c>
      <c r="L211" s="3" t="str">
        <f ca="1">IFERROR(__xludf.DUMMYFUNCTION("""COMPUTED_VALUE"""),"Solution Draft")</f>
        <v>Solution Draft</v>
      </c>
      <c r="M211" s="3"/>
      <c r="N211" s="3"/>
      <c r="O211" s="3"/>
    </row>
    <row r="212" spans="1:15" ht="224">
      <c r="A212" s="3" t="s">
        <v>65</v>
      </c>
      <c r="B212" s="3"/>
      <c r="C212" s="3" t="str">
        <f ca="1">IFERROR(__xludf.DUMMYFUNCTION("""COMPUTED_VALUE"""),"Partial")</f>
        <v>Partial</v>
      </c>
      <c r="D212" s="3">
        <f ca="1">IFERROR(__xludf.DUMMYFUNCTION("""COMPUTED_VALUE"""),99)</f>
        <v>99</v>
      </c>
      <c r="E212" s="3" t="str">
        <f ca="1">IFERROR(__xludf.DUMMYFUNCTION("""COMPUTED_VALUE"""),"Yes")</f>
        <v>Yes</v>
      </c>
      <c r="F212" s="3" t="str">
        <f ca="1">IFERROR(__xludf.DUMMYFUNCTION("""COMPUTED_VALUE"""),"BothRef")</f>
        <v>BothRef</v>
      </c>
      <c r="G212" s="3">
        <f ca="1">IFERROR(__xludf.DUMMYFUNCTION("""COMPUTED_VALUE"""),1570816)</f>
        <v>1570816</v>
      </c>
      <c r="H212" s="3" t="str">
        <f ca="1">IFERROR(__xludf.DUMMYFUNCTION("""COMPUTED_VALUE"""),"{1548339}")</f>
        <v>{1548339}</v>
      </c>
      <c r="I212" s="4" t="str">
        <f ca="1">IFERROR(__xludf.DUMMYFUNCTION("""COMPUTED_VALUE"""),"https://bugzilla.mozilla.org/show_bug.cgi?id=1570816")</f>
        <v>https://bugzilla.mozilla.org/show_bug.cgi?id=1570816</v>
      </c>
      <c r="J212" s="3" t="str">
        <f ca="1">IFERROR(__xludf.DUMMYFUNCTION("""COMPUTED_VALUE"""),"['src/toolkit/library/rust/shared/lib.rs', 'rustc/61d1607e0f6a18bb4897d6f9b10abeac9e11eb8e/src/libcore/ops/function.rs', 'src/gfx/wr/webrender/src/frame_builder.rs', 'gfx/wr/webrender/src/texture_cache.rs', 'src/gfx/wr/webrender/src/renderer.rs', 'src/too"&amp;"lkit/xre/nsAppRunner.cpp', 'rustc/61d1607e0f6a18bb4897d6f9b10abeac9e11eb8e/src/libpanic_abort/lib.rs', 'src/gfx/wr/webrender/src/texture_cache.rs', 'rustc/61d1607e0f6a18bb4897d6f9b10abeac9e11eb8e/src/libstd/thread/mod.rs', 'src/gfx/wr/webrender/src/render"&amp;"_backend.rs', 'src/obj-firefox/dist/include/mozilla/Assertions.h', 'rustc/61d1607e0f6a18bb4897d6f9b10abeac9e11eb8e/src/libstd/sys_common/backtrace.rs', 'rustc/61d1607e0f6a18bb4897d6f9b10abeac9e11eb8e/src/libstd/panicking.rs', 'testcase.html', 'rustc/61d16"&amp;"07e0f6a18bb4897d6f9b10abeac9e11eb8e/src/libstd/panic.rs', 'src/gfx/wr/webrender/src/resource_cache.rs']")</f>
        <v>['src/toolkit/library/rust/shared/lib.rs', 'rustc/61d1607e0f6a18bb4897d6f9b10abeac9e11eb8e/src/libcore/ops/function.rs', 'src/gfx/wr/webrender/src/frame_builder.rs', 'gfx/wr/webrender/src/texture_cache.rs', 'src/gfx/wr/webrender/src/renderer.rs', 'src/toolkit/xre/nsAppRunner.cpp', 'rustc/61d1607e0f6a18bb4897d6f9b10abeac9e11eb8e/src/libpanic_abort/lib.rs', 'src/gfx/wr/webrender/src/texture_cache.rs', 'rustc/61d1607e0f6a18bb4897d6f9b10abeac9e11eb8e/src/libstd/thread/mod.rs', 'src/gfx/wr/webrender/src/render_backend.rs', 'src/obj-firefox/dist/include/mozilla/Assertions.h', 'rustc/61d1607e0f6a18bb4897d6f9b10abeac9e11eb8e/src/libstd/sys_common/backtrace.rs', 'rustc/61d1607e0f6a18bb4897d6f9b10abeac9e11eb8e/src/libstd/panicking.rs', 'testcase.html', 'rustc/61d1607e0f6a18bb4897d6f9b10abeac9e11eb8e/src/libstd/panic.rs', 'src/gfx/wr/webrender/src/resource_cache.rs']</v>
      </c>
      <c r="K212" s="3" t="str">
        <f ca="1">IFERROR(__xludf.DUMMYFUNCTION("""COMPUTED_VALUE"""),"System Dumps")</f>
        <v>System Dumps</v>
      </c>
      <c r="L212" s="3" t="str">
        <f ca="1">IFERROR(__xludf.DUMMYFUNCTION("""COMPUTED_VALUE"""),"File names are part of bug title")</f>
        <v>File names are part of bug title</v>
      </c>
      <c r="M212" s="3"/>
      <c r="N212" s="3"/>
      <c r="O212" s="3"/>
    </row>
    <row r="213" spans="1:15" ht="182">
      <c r="A213" s="3" t="s">
        <v>65</v>
      </c>
      <c r="B213" s="3"/>
      <c r="C213" s="3" t="str">
        <f ca="1">IFERROR(__xludf.DUMMYFUNCTION("""COMPUTED_VALUE"""),"Partial")</f>
        <v>Partial</v>
      </c>
      <c r="D213" s="3">
        <f ca="1">IFERROR(__xludf.DUMMYFUNCTION("""COMPUTED_VALUE"""),100)</f>
        <v>100</v>
      </c>
      <c r="E213" s="3" t="str">
        <f ca="1">IFERROR(__xludf.DUMMYFUNCTION("""COMPUTED_VALUE"""),"Yes")</f>
        <v>Yes</v>
      </c>
      <c r="F213" s="3" t="str">
        <f ca="1">IFERROR(__xludf.DUMMYFUNCTION("""COMPUTED_VALUE"""),"BothRef")</f>
        <v>BothRef</v>
      </c>
      <c r="G213" s="3">
        <f ca="1">IFERROR(__xludf.DUMMYFUNCTION("""COMPUTED_VALUE"""),1578750)</f>
        <v>1578750</v>
      </c>
      <c r="H213" s="3" t="str">
        <f ca="1">IFERROR(__xludf.DUMMYFUNCTION("""COMPUTED_VALUE"""),"{1577456}")</f>
        <v>{1577456}</v>
      </c>
      <c r="I213" s="4" t="str">
        <f ca="1">IFERROR(__xludf.DUMMYFUNCTION("""COMPUTED_VALUE"""),"https://bugzilla.mozilla.org/show_bug.cgi?id=1578750")</f>
        <v>https://bugzilla.mozilla.org/show_bug.cgi?id=1578750</v>
      </c>
      <c r="J213" s="3" t="str">
        <f ca="1">IFERROR(__xludf.DUMMYFUNCTION("""COMPUTED_VALUE"""),"['interfaces.https.html', 'html/dom/idlharness.https.html', 'searchfox.org/mozilla-central/source/dom/webidl/HTMLIFrameElement.webidl', 'github.com/mozilla/wpt-sync/blob/master/sync/downstream.py', 'testing/web-platform/meta/html/dom/interfaces.https.html"&amp;".ini', 'css/cssom/interfaces.html.ini', 'treeherder.mozilla.org/logviewer.html', 'idlharness.https.html', 'searchfox.org/mozilla-beta/rev/b57a9e23559c27580b7fbf0870e29c03d9fdefc7/testing/web-platform/meta/html/dom/interfaces.https.html.ini', 'searchfox.or"&amp;"g/mozilla-central/rev/e5327b05c822cdac24e233afa37d72c0552dbbaf/modules/libpref/init/StaticPrefList.yaml', 'searchfox.org/mozilla-central/source/modules/libpref/init/StaticPrefList.yaml', 'treeherder.mozilla.org/intermittent-failures.html']")</f>
        <v>['interfaces.https.html', 'html/dom/idlharness.https.html', 'searchfox.org/mozilla-central/source/dom/webidl/HTMLIFrameElement.webidl', 'github.com/mozilla/wpt-sync/blob/master/sync/downstream.py', 'testing/web-platform/meta/html/dom/interfaces.https.html.ini', 'css/cssom/interfaces.html.ini', 'treeherder.mozilla.org/logviewer.html', 'idlharness.https.html', 'searchfox.org/mozilla-beta/rev/b57a9e23559c27580b7fbf0870e29c03d9fdefc7/testing/web-platform/meta/html/dom/interfaces.https.html.ini', 'searchfox.org/mozilla-central/rev/e5327b05c822cdac24e233afa37d72c0552dbbaf/modules/libpref/init/StaticPrefList.yaml', 'searchfox.org/mozilla-central/source/modules/libpref/init/StaticPrefList.yaml', 'treeherder.mozilla.org/intermittent-failures.html']</v>
      </c>
      <c r="K213" s="3" t="str">
        <f ca="1">IFERROR(__xludf.DUMMYFUNCTION("""COMPUTED_VALUE"""),"System Dumps")</f>
        <v>System Dumps</v>
      </c>
      <c r="L213" s="3" t="str">
        <f ca="1">IFERROR(__xludf.DUMMYFUNCTION("""COMPUTED_VALUE"""),"File names are part of bug title")</f>
        <v>File names are part of bug title</v>
      </c>
      <c r="M213" s="3" t="str">
        <f ca="1">IFERROR(__xludf.DUMMYFUNCTION("""COMPUTED_VALUE"""),"Bug Description")</f>
        <v>Bug Description</v>
      </c>
      <c r="N213" s="3"/>
      <c r="O213" s="3"/>
    </row>
    <row r="214" spans="1:15" ht="42">
      <c r="A214" s="3" t="s">
        <v>65</v>
      </c>
      <c r="B214" s="3"/>
      <c r="C214" s="3" t="str">
        <f ca="1">IFERROR(__xludf.DUMMYFUNCTION("""COMPUTED_VALUE"""),"Agree")</f>
        <v>Agree</v>
      </c>
      <c r="D214" s="3">
        <f ca="1">IFERROR(__xludf.DUMMYFUNCTION("""COMPUTED_VALUE"""),101)</f>
        <v>101</v>
      </c>
      <c r="E214" s="3" t="str">
        <f ca="1">IFERROR(__xludf.DUMMYFUNCTION("""COMPUTED_VALUE"""),"Yes")</f>
        <v>Yes</v>
      </c>
      <c r="F214" s="3" t="str">
        <f ca="1">IFERROR(__xludf.DUMMYFUNCTION("""COMPUTED_VALUE"""),"BothRef")</f>
        <v>BothRef</v>
      </c>
      <c r="G214" s="3">
        <f ca="1">IFERROR(__xludf.DUMMYFUNCTION("""COMPUTED_VALUE"""),1570786)</f>
        <v>1570786</v>
      </c>
      <c r="H214" s="3" t="str">
        <f ca="1">IFERROR(__xludf.DUMMYFUNCTION("""COMPUTED_VALUE"""),"{1448058}")</f>
        <v>{1448058}</v>
      </c>
      <c r="I214" s="4" t="str">
        <f ca="1">IFERROR(__xludf.DUMMYFUNCTION("""COMPUTED_VALUE"""),"https://bugzilla.mozilla.org/show_bug.cgi?id=1570786")</f>
        <v>https://bugzilla.mozilla.org/show_bug.cgi?id=1570786</v>
      </c>
      <c r="J214" s="3" t="str">
        <f ca="1">IFERROR(__xludf.DUMMYFUNCTION("""COMPUTED_VALUE"""),"['searchfox.org/mozilla-central/rev/ac36d76c7aea37a18afc9dd094d121f40f7c5441/caps/SystemPrincipal.cpp']")</f>
        <v>['searchfox.org/mozilla-central/rev/ac36d76c7aea37a18afc9dd094d121f40f7c5441/caps/SystemPrincipal.cpp']</v>
      </c>
      <c r="K214" s="3" t="str">
        <f ca="1">IFERROR(__xludf.DUMMYFUNCTION("""COMPUTED_VALUE"""),"Bug Description")</f>
        <v>Bug Description</v>
      </c>
      <c r="L214" s="3"/>
      <c r="M214" s="3"/>
      <c r="N214" s="3"/>
      <c r="O214" s="3"/>
    </row>
    <row r="215" spans="1:15" ht="98">
      <c r="A215" s="3" t="s">
        <v>65</v>
      </c>
      <c r="B215" s="3"/>
      <c r="C215" s="3" t="str">
        <f ca="1">IFERROR(__xludf.DUMMYFUNCTION("""COMPUTED_VALUE"""),"Agree")</f>
        <v>Agree</v>
      </c>
      <c r="D215" s="3">
        <f ca="1">IFERROR(__xludf.DUMMYFUNCTION("""COMPUTED_VALUE"""),102)</f>
        <v>102</v>
      </c>
      <c r="E215" s="3" t="str">
        <f ca="1">IFERROR(__xludf.DUMMYFUNCTION("""COMPUTED_VALUE"""),"Yes")</f>
        <v>Yes</v>
      </c>
      <c r="F215" s="3" t="str">
        <f ca="1">IFERROR(__xludf.DUMMYFUNCTION("""COMPUTED_VALUE"""),"BothRef")</f>
        <v>BothRef</v>
      </c>
      <c r="G215" s="3">
        <f ca="1">IFERROR(__xludf.DUMMYFUNCTION("""COMPUTED_VALUE"""),1605347)</f>
        <v>1605347</v>
      </c>
      <c r="H215" s="3" t="str">
        <f ca="1">IFERROR(__xludf.DUMMYFUNCTION("""COMPUTED_VALUE"""),"{1588050}")</f>
        <v>{1588050}</v>
      </c>
      <c r="I215" s="4" t="str">
        <f ca="1">IFERROR(__xludf.DUMMYFUNCTION("""COMPUTED_VALUE"""),"https://bugzilla.mozilla.org/show_bug.cgi?id=1605347")</f>
        <v>https://bugzilla.mozilla.org/show_bug.cgi?id=1605347</v>
      </c>
      <c r="J215" s="3" t="str">
        <f ca="1">IFERROR(__xludf.DUMMYFUNCTION("""COMPUTED_VALUE"""),"['mochitests/content/browser/devtools/client/aboutdebugging/test/browser/browser_aboutdebugging_process_main.js', 'treeherder.mozilla.org/logviewer.html', 'builds/worker/workspace/build/src/dom/ipc/JSWindowActorService.cpp', 'devtools/client/aboutdebuggin"&amp;"g/test/browser/browser_aboutdebugging_process_main.js', 'mochikit/content/browser-test.js', 'browser_aboutdebugging_process_main.js']")</f>
        <v>['mochitests/content/browser/devtools/client/aboutdebugging/test/browser/browser_aboutdebugging_process_main.js', 'treeherder.mozilla.org/logviewer.html', 'builds/worker/workspace/build/src/dom/ipc/JSWindowActorService.cpp', 'devtools/client/aboutdebugging/test/browser/browser_aboutdebugging_process_main.js', 'mochikit/content/browser-test.js', 'browser_aboutdebugging_process_main.js']</v>
      </c>
      <c r="K215" s="3" t="str">
        <f ca="1">IFERROR(__xludf.DUMMYFUNCTION("""COMPUTED_VALUE"""),"System Dumps")</f>
        <v>System Dumps</v>
      </c>
      <c r="L215" s="3" t="str">
        <f ca="1">IFERROR(__xludf.DUMMYFUNCTION("""COMPUTED_VALUE"""),"File names are part of bug title, attachment title or commit messages")</f>
        <v>File names are part of bug title, attachment title or commit messages</v>
      </c>
      <c r="M215" s="3"/>
      <c r="N215" s="3"/>
      <c r="O215" s="3"/>
    </row>
    <row r="216" spans="1:15" ht="42">
      <c r="A216" s="3" t="s">
        <v>65</v>
      </c>
      <c r="B216" s="3"/>
      <c r="C216" s="3" t="str">
        <f ca="1">IFERROR(__xludf.DUMMYFUNCTION("""COMPUTED_VALUE"""),"Partial")</f>
        <v>Partial</v>
      </c>
      <c r="D216" s="3">
        <f ca="1">IFERROR(__xludf.DUMMYFUNCTION("""COMPUTED_VALUE"""),103)</f>
        <v>103</v>
      </c>
      <c r="E216" s="3" t="str">
        <f ca="1">IFERROR(__xludf.DUMMYFUNCTION("""COMPUTED_VALUE"""),"Yes")</f>
        <v>Yes</v>
      </c>
      <c r="F216" s="3" t="str">
        <f ca="1">IFERROR(__xludf.DUMMYFUNCTION("""COMPUTED_VALUE"""),"BothRef")</f>
        <v>BothRef</v>
      </c>
      <c r="G216" s="3">
        <f ca="1">IFERROR(__xludf.DUMMYFUNCTION("""COMPUTED_VALUE"""),1661454)</f>
        <v>1661454</v>
      </c>
      <c r="H216" s="3" t="str">
        <f ca="1">IFERROR(__xludf.DUMMYFUNCTION("""COMPUTED_VALUE"""),"{1660798}")</f>
        <v>{1660798}</v>
      </c>
      <c r="I216" s="4" t="str">
        <f ca="1">IFERROR(__xludf.DUMMYFUNCTION("""COMPUTED_VALUE"""),"https://bugzilla.mozilla.org/show_bug.cgi?id=1661454")</f>
        <v>https://bugzilla.mozilla.org/show_bug.cgi?id=1661454</v>
      </c>
      <c r="J216" s="3" t="str">
        <f ca="1">IFERROR(__xludf.DUMMYFUNCTION("""COMPUTED_VALUE"""),"['js/src/frontend/ParseContext.cpp', 'js/src/jit/BaselineIC.cpp', 'js/src/builtin/Eval.cpp', 'js/src/frontend/BytecodeCompiler.cpp', 'js/src/frontend/Parser.cpp']")</f>
        <v>['js/src/frontend/ParseContext.cpp', 'js/src/jit/BaselineIC.cpp', 'js/src/builtin/Eval.cpp', 'js/src/frontend/BytecodeCompiler.cpp', 'js/src/frontend/Parser.cpp']</v>
      </c>
      <c r="K216" s="3" t="str">
        <f ca="1">IFERROR(__xludf.DUMMYFUNCTION("""COMPUTED_VALUE"""),"System Dumps")</f>
        <v>System Dumps</v>
      </c>
      <c r="L216" s="3" t="str">
        <f ca="1">IFERROR(__xludf.DUMMYFUNCTION("""COMPUTED_VALUE"""),"File names are part of bug title")</f>
        <v>File names are part of bug title</v>
      </c>
      <c r="M216" s="3"/>
      <c r="N216" s="3"/>
      <c r="O216" s="3"/>
    </row>
    <row r="217" spans="1:15" ht="70">
      <c r="A217" s="3" t="s">
        <v>65</v>
      </c>
      <c r="B217" s="3"/>
      <c r="C217" s="3" t="str">
        <f ca="1">IFERROR(__xludf.DUMMYFUNCTION("""COMPUTED_VALUE"""),"Agree")</f>
        <v>Agree</v>
      </c>
      <c r="D217" s="3">
        <f ca="1">IFERROR(__xludf.DUMMYFUNCTION("""COMPUTED_VALUE"""),104)</f>
        <v>104</v>
      </c>
      <c r="E217" s="3" t="str">
        <f ca="1">IFERROR(__xludf.DUMMYFUNCTION("""COMPUTED_VALUE"""),"Yes")</f>
        <v>Yes</v>
      </c>
      <c r="F217" s="3" t="str">
        <f ca="1">IFERROR(__xludf.DUMMYFUNCTION("""COMPUTED_VALUE"""),"BothRef")</f>
        <v>BothRef</v>
      </c>
      <c r="G217" s="3">
        <f ca="1">IFERROR(__xludf.DUMMYFUNCTION("""COMPUTED_VALUE"""),1560720)</f>
        <v>1560720</v>
      </c>
      <c r="H217" s="3" t="str">
        <f ca="1">IFERROR(__xludf.DUMMYFUNCTION("""COMPUTED_VALUE"""),"{1429847}")</f>
        <v>{1429847}</v>
      </c>
      <c r="I217" s="4" t="str">
        <f ca="1">IFERROR(__xludf.DUMMYFUNCTION("""COMPUTED_VALUE"""),"https://bugzilla.mozilla.org/show_bug.cgi?id=1560720")</f>
        <v>https://bugzilla.mozilla.org/show_bug.cgi?id=1560720</v>
      </c>
      <c r="J217" s="3" t="str">
        <f ca="1">IFERROR(__xludf.DUMMYFUNCTION("""COMPUTED_VALUE"""),"['searchfox.org/mozilla-central/source/xpcom/build/GeckoProcessTypes.h', 'third_party/rust/audio_thread_priority/src/lib.rs', 'searchfox.org/mozilla-central/rev/543e1fbd04a8/dom/media/CubebUtils.cpp', 'Unified_cpp_dom_media4.cpp']")</f>
        <v>['searchfox.org/mozilla-central/source/xpcom/build/GeckoProcessTypes.h', 'third_party/rust/audio_thread_priority/src/lib.rs', 'searchfox.org/mozilla-central/rev/543e1fbd04a8/dom/media/CubebUtils.cpp', 'Unified_cpp_dom_media4.cpp']</v>
      </c>
      <c r="K217" s="3" t="str">
        <f ca="1">IFERROR(__xludf.DUMMYFUNCTION("""COMPUTED_VALUE"""),"System Dumps")</f>
        <v>System Dumps</v>
      </c>
      <c r="L217" s="3"/>
      <c r="M217" s="3"/>
      <c r="N217" s="3"/>
      <c r="O217" s="3"/>
    </row>
    <row r="218" spans="1:15" ht="168">
      <c r="A218" s="3" t="s">
        <v>65</v>
      </c>
      <c r="B218" s="3"/>
      <c r="C218" s="3" t="str">
        <f ca="1">IFERROR(__xludf.DUMMYFUNCTION("""COMPUTED_VALUE"""),"Agree")</f>
        <v>Agree</v>
      </c>
      <c r="D218" s="3">
        <f ca="1">IFERROR(__xludf.DUMMYFUNCTION("""COMPUTED_VALUE"""),105)</f>
        <v>105</v>
      </c>
      <c r="E218" s="3" t="str">
        <f ca="1">IFERROR(__xludf.DUMMYFUNCTION("""COMPUTED_VALUE"""),"Yes")</f>
        <v>Yes</v>
      </c>
      <c r="F218" s="3" t="str">
        <f ca="1">IFERROR(__xludf.DUMMYFUNCTION("""COMPUTED_VALUE"""),"BothRef")</f>
        <v>BothRef</v>
      </c>
      <c r="G218" s="3">
        <f ca="1">IFERROR(__xludf.DUMMYFUNCTION("""COMPUTED_VALUE"""),1556360)</f>
        <v>1556360</v>
      </c>
      <c r="H218" s="3" t="str">
        <f ca="1">IFERROR(__xludf.DUMMYFUNCTION("""COMPUTED_VALUE"""),"{1530190}")</f>
        <v>{1530190}</v>
      </c>
      <c r="I218" s="4" t="str">
        <f ca="1">IFERROR(__xludf.DUMMYFUNCTION("""COMPUTED_VALUE"""),"https://bugzilla.mozilla.org/show_bug.cgi?id=1556360")</f>
        <v>https://bugzilla.mozilla.org/show_bug.cgi?id=1556360</v>
      </c>
      <c r="J218" s="3" t="str">
        <f ca="1">IFERROR(__xludf.DUMMYFUNCTION("""COMPUTED_VALUE"""),"['nsLoadGroup.cpp', 'hg.mozilla.org/mozilla-central/raw-file/tip/layout/tools/reftest/reftest-analyzer.xhtml', 'nsIconChannel.cpp', 'nsThreadUtils.cpp', 'RequestContextService.cpp', 'task_1559549016/build/tests/reftest/tests/image/test/reftest/downscaling"&amp;"/downscale-moz-icon-1-ref.html', 'task_1559542658/build/src/ipc/chromium/src/base/process_util_win.cc', 'treeherder.mozilla.org/logviewer.html', 'PNeckoChild.cpp', 'task_1559549016/build/tests/reftest/tests/image/test/reftest/downscaling/downscale-moz-ico"&amp;"n-1.html', 'task_1559542658/build/src/ipc/chromium/src/chrome/common/ipc_channel_win.cc', 'MessageChannel.cpp', 'nsThread.cpp', 'rheftest/reftest.jsm', 'treeherder.mozilla.org/intermittent-failures.html', 'reftest/reftest.jsm']")</f>
        <v>['nsLoadGroup.cpp', 'hg.mozilla.org/mozilla-central/raw-file/tip/layout/tools/reftest/reftest-analyzer.xhtml', 'nsIconChannel.cpp', 'nsThreadUtils.cpp', 'RequestContextService.cpp', 'task_1559549016/build/tests/reftest/tests/image/test/reftest/downscaling/downscale-moz-icon-1-ref.html', 'task_1559542658/build/src/ipc/chromium/src/base/process_util_win.cc', 'treeherder.mozilla.org/logviewer.html', 'PNeckoChild.cpp', 'task_1559549016/build/tests/reftest/tests/image/test/reftest/downscaling/downscale-moz-icon-1.html', 'task_1559542658/build/src/ipc/chromium/src/chrome/common/ipc_channel_win.cc', 'MessageChannel.cpp', 'nsThread.cpp', 'rheftest/reftest.jsm', 'treeherder.mozilla.org/intermittent-failures.html', 'reftest/reftest.jsm']</v>
      </c>
      <c r="K218" s="3" t="str">
        <f ca="1">IFERROR(__xludf.DUMMYFUNCTION("""COMPUTED_VALUE"""),"System Dumps")</f>
        <v>System Dumps</v>
      </c>
      <c r="L218" s="3"/>
      <c r="M218" s="3"/>
      <c r="N218" s="3"/>
      <c r="O218" s="3"/>
    </row>
    <row r="219" spans="1:15" ht="182">
      <c r="A219" s="3" t="s">
        <v>65</v>
      </c>
      <c r="B219" s="3"/>
      <c r="C219" s="3" t="str">
        <f ca="1">IFERROR(__xludf.DUMMYFUNCTION("""COMPUTED_VALUE"""),"Agree")</f>
        <v>Agree</v>
      </c>
      <c r="D219" s="3">
        <f ca="1">IFERROR(__xludf.DUMMYFUNCTION("""COMPUTED_VALUE"""),106)</f>
        <v>106</v>
      </c>
      <c r="E219" s="3" t="str">
        <f ca="1">IFERROR(__xludf.DUMMYFUNCTION("""COMPUTED_VALUE"""),"Yes")</f>
        <v>Yes</v>
      </c>
      <c r="F219" s="3" t="str">
        <f ca="1">IFERROR(__xludf.DUMMYFUNCTION("""COMPUTED_VALUE"""),"BothRef")</f>
        <v>BothRef</v>
      </c>
      <c r="G219" s="3">
        <f ca="1">IFERROR(__xludf.DUMMYFUNCTION("""COMPUTED_VALUE"""),1691901)</f>
        <v>1691901</v>
      </c>
      <c r="H219" s="3" t="str">
        <f ca="1">IFERROR(__xludf.DUMMYFUNCTION("""COMPUTED_VALUE"""),"{1691373}")</f>
        <v>{1691373}</v>
      </c>
      <c r="I219" s="4" t="str">
        <f ca="1">IFERROR(__xludf.DUMMYFUNCTION("""COMPUTED_VALUE"""),"https://bugzilla.mozilla.org/show_bug.cgi?id=1691901")</f>
        <v>https://bugzilla.mozilla.org/show_bug.cgi?id=1691901</v>
      </c>
      <c r="J219" s="3" t="str">
        <f ca="1">IFERROR(__xludf.DUMMYFUNCTION("""COMPUTED_VALUE"""),"['home/skygentoo/shell-cache/js-dbg-64-linux-x86_64-89c5f958a3ac/objdir-js/dist/include/mozilla/Maybe.h', 'home/skygentoo/trees/mozilla-central/js/src/vm/CompilationAndEvaluation.cpp', 'home/skygentoo/shell-cache/js-dbg-64-linux-x86_64-89c5f958a3ac/objdir"&amp;"-js/dist/include/mozilla/Assertions.h', 'home/skygentoo/trees/mozilla-central/js/src/shell/js.cpp', 'home/skygentoo/trees/mozilla-central/js/src/gc/GC.cpp', 'js/src/jit-test/tests/gc/bug-1691901.js', 'home/skygentoo/trees/mozilla-central/js/src/gc/Statist"&amp;"ics.h', 'home/skygentoo/trees/mozilla-central/js/src/builtin/TestingFunctions.cpp', 'home/skygentoo/trees/mozilla-central/js/src/gc/Statistics.cpp', 'home/skygentoo/trees/mozilla-central/js/src/vm/Interpreter.cpp', 'home/skygentoo/trees/mozilla-central/js"&amp;"/src/gc/Marking.cpp']")</f>
        <v>['home/skygentoo/shell-cache/js-dbg-64-linux-x86_64-89c5f958a3ac/objdir-js/dist/include/mozilla/Maybe.h', 'home/skygentoo/trees/mozilla-central/js/src/vm/CompilationAndEvaluation.cpp', 'home/skygentoo/shell-cache/js-dbg-64-linux-x86_64-89c5f958a3ac/objdir-js/dist/include/mozilla/Assertions.h', 'home/skygentoo/trees/mozilla-central/js/src/shell/js.cpp', 'home/skygentoo/trees/mozilla-central/js/src/gc/GC.cpp', 'js/src/jit-test/tests/gc/bug-1691901.js', 'home/skygentoo/trees/mozilla-central/js/src/gc/Statistics.h', 'home/skygentoo/trees/mozilla-central/js/src/builtin/TestingFunctions.cpp', 'home/skygentoo/trees/mozilla-central/js/src/gc/Statistics.cpp', 'home/skygentoo/trees/mozilla-central/js/src/vm/Interpreter.cpp', 'home/skygentoo/trees/mozilla-central/js/src/gc/Marking.cpp']</v>
      </c>
      <c r="K219" s="3" t="str">
        <f ca="1">IFERROR(__xludf.DUMMYFUNCTION("""COMPUTED_VALUE"""),"System Dumps")</f>
        <v>System Dumps</v>
      </c>
      <c r="L219" s="3"/>
      <c r="M219" s="3"/>
      <c r="N219" s="3"/>
      <c r="O219" s="3" t="str">
        <f ca="1">IFERROR(__xludf.DUMMYFUNCTION("""COMPUTED_VALUE"""),"Backout")</f>
        <v>Backout</v>
      </c>
    </row>
    <row r="220" spans="1:15" ht="358">
      <c r="A220" s="3" t="s">
        <v>65</v>
      </c>
      <c r="B220" s="3"/>
      <c r="C220" s="3" t="str">
        <f ca="1">IFERROR(__xludf.DUMMYFUNCTION("""COMPUTED_VALUE"""),"Partial")</f>
        <v>Partial</v>
      </c>
      <c r="D220" s="3">
        <f ca="1">IFERROR(__xludf.DUMMYFUNCTION("""COMPUTED_VALUE"""),107)</f>
        <v>107</v>
      </c>
      <c r="E220" s="3" t="str">
        <f ca="1">IFERROR(__xludf.DUMMYFUNCTION("""COMPUTED_VALUE"""),"Yes")</f>
        <v>Yes</v>
      </c>
      <c r="F220" s="3" t="str">
        <f ca="1">IFERROR(__xludf.DUMMYFUNCTION("""COMPUTED_VALUE"""),"BothRef")</f>
        <v>BothRef</v>
      </c>
      <c r="G220" s="3">
        <f ca="1">IFERROR(__xludf.DUMMYFUNCTION("""COMPUTED_VALUE"""),1596761)</f>
        <v>1596761</v>
      </c>
      <c r="H220" s="3" t="str">
        <f ca="1">IFERROR(__xludf.DUMMYFUNCTION("""COMPUTED_VALUE"""),"{1582741}")</f>
        <v>{1582741}</v>
      </c>
      <c r="I220" s="4" t="str">
        <f ca="1">IFERROR(__xludf.DUMMYFUNCTION("""COMPUTED_VALUE"""),"https://bugzilla.mozilla.org/show_bug.cgi?id=1596761")</f>
        <v>https://bugzilla.mozilla.org/show_bug.cgi?id=1596761</v>
      </c>
      <c r="J220" s="3" t="str">
        <f ca="1">IFERROR(__xludf.DUMMYFUNCTION("""COMPUTED_VALUE"""),"['builds/worker/workspace/build/src/startupcache/StartupCache.cpp', 'do_report_result@/builds/worker/workspace/build/tests/xpcshell/head.js', 'xpcshell/head.js', 'searchfox.org/mozilla-central/rev/524bed6dfbc5ae21c62632d83b7573448b29e0ac/tools/profiler/co"&amp;"re/platform.cpp', 'builds/worker/workspace/build/tests/xpcshell/tests/tools/profiler/tests/xpcshell/shared-head.js', '@/builds/worker/workspace/build/tests/xpcshell/tests/tools/profiler/tests/xpcshell/test_feature_nativeallocations.js', 'builds/worker/wor"&amp;"kspace/mozharness/external_tools/performance-artifact-schema.json', 'builds/worker/workspace/build/src/toolkit/crashreporter/nsExceptionHandler.cpp', '_do_main@/builds/worker/workspace/build/tests/xpcshell/head.js', 'testing-common/Assert.jsm', 'Assert&lt;@/"&amp;"builds/worker/workspace/build/tests/xpcshell/head.js', '_abort_failed_test@/builds/worker/workspace/build/tests/xpcshell/head.js', 'treeherder.mozilla.org/logviewer.html', '_execute_test@/builds/worker/workspace/build/tests/xpcshell/head.js', 'tools/profi"&amp;"ler/tests/xpcshell/test_feature_nativeallocations.js', 'builds/worker/workspace/build/tests/xpcshell/head.js', 'builds/worker/workspace/build/src/dom/media/CubebUtils.cpp', 'builds/worker/workspace/build/tests/xpcshell/tests/tools/profiler/tests/xpcshell/"&amp;"test_feature_nativeallocations.js', 'builds/worker/workspace/build/src/toolkit/components/resistfingerprinting/nsRFPService.cpp']")</f>
        <v>['builds/worker/workspace/build/src/startupcache/StartupCache.cpp', 'do_report_result@/builds/worker/workspace/build/tests/xpcshell/head.js', 'xpcshell/head.js', 'searchfox.org/mozilla-central/rev/524bed6dfbc5ae21c62632d83b7573448b29e0ac/tools/profiler/core/platform.cpp', 'builds/worker/workspace/build/tests/xpcshell/tests/tools/profiler/tests/xpcshell/shared-head.js', '@/builds/worker/workspace/build/tests/xpcshell/tests/tools/profiler/tests/xpcshell/test_feature_nativeallocations.js', 'builds/worker/workspace/mozharness/external_tools/performance-artifact-schema.json', 'builds/worker/workspace/build/src/toolkit/crashreporter/nsExceptionHandler.cpp', '_do_main@/builds/worker/workspace/build/tests/xpcshell/head.js', 'testing-common/Assert.jsm', 'Assert&lt;@/builds/worker/workspace/build/tests/xpcshell/head.js', '_abort_failed_test@/builds/worker/workspace/build/tests/xpcshell/head.js', 'treeherder.mozilla.org/logviewer.html', '_execute_test@/builds/worker/workspace/build/tests/xpcshell/head.js', 'tools/profiler/tests/xpcshell/test_feature_nativeallocations.js', 'builds/worker/workspace/build/tests/xpcshell/head.js', 'builds/worker/workspace/build/src/dom/media/CubebUtils.cpp', 'builds/worker/workspace/build/tests/xpcshell/tests/tools/profiler/tests/xpcshell/test_feature_nativeallocations.js', 'builds/worker/workspace/build/src/toolkit/components/resistfingerprinting/nsRFPService.cpp']</v>
      </c>
      <c r="K220" s="3" t="str">
        <f ca="1">IFERROR(__xludf.DUMMYFUNCTION("""COMPUTED_VALUE"""),"System Dumps")</f>
        <v>System Dumps</v>
      </c>
      <c r="L220" s="3" t="str">
        <f ca="1">IFERROR(__xludf.DUMMYFUNCTION("""COMPUTED_VALUE"""),"File names are part of bug title")</f>
        <v>File names are part of bug title</v>
      </c>
      <c r="M220" s="3" t="str">
        <f ca="1">IFERROR(__xludf.DUMMYFUNCTION("""COMPUTED_VALUE"""),"Bug Description")</f>
        <v>Bug Description</v>
      </c>
      <c r="N220" s="3"/>
      <c r="O220" s="3"/>
    </row>
    <row r="221" spans="1:15" ht="409.6">
      <c r="A221" s="3" t="s">
        <v>65</v>
      </c>
      <c r="B221" s="3"/>
      <c r="C221" s="3" t="str">
        <f ca="1">IFERROR(__xludf.DUMMYFUNCTION("""COMPUTED_VALUE"""),"Agree")</f>
        <v>Agree</v>
      </c>
      <c r="D221" s="3">
        <f ca="1">IFERROR(__xludf.DUMMYFUNCTION("""COMPUTED_VALUE"""),108)</f>
        <v>108</v>
      </c>
      <c r="E221" s="3" t="str">
        <f ca="1">IFERROR(__xludf.DUMMYFUNCTION("""COMPUTED_VALUE"""),"Yes")</f>
        <v>Yes</v>
      </c>
      <c r="F221" s="3" t="str">
        <f ca="1">IFERROR(__xludf.DUMMYFUNCTION("""COMPUTED_VALUE"""),"BothRef")</f>
        <v>BothRef</v>
      </c>
      <c r="G221" s="3">
        <f ca="1">IFERROR(__xludf.DUMMYFUNCTION("""COMPUTED_VALUE"""),1669096)</f>
        <v>1669096</v>
      </c>
      <c r="H221" s="3" t="str">
        <f ca="1">IFERROR(__xludf.DUMMYFUNCTION("""COMPUTED_VALUE"""),"{1655866}")</f>
        <v>{1655866}</v>
      </c>
      <c r="I221" s="4" t="str">
        <f ca="1">IFERROR(__xludf.DUMMYFUNCTION("""COMPUTED_VALUE"""),"https://bugzilla.mozilla.org/show_bug.cgi?id=1669096")</f>
        <v>https://bugzilla.mozilla.org/show_bug.cgi?id=1669096</v>
      </c>
      <c r="J221" s="3" t="str">
        <f ca="1">IFERROR(__xludf.DUMMYFUNCTION("""COMPUTED_VALUE"""),"['builds/worker/workspace/obj-build/dist/include/mozilla/net/ChannelEventQueue.h', 'builds/worker/checkouts/gecko/toolkit/components/browser/nsWebBrowser.cpp', 'builds/worker/checkouts/gecko/browser/app/nsBrowserApp.cpp', 'builds/worker/checkouts/gecko/do"&amp;"cshell/base/nsDocShell.cpp', 'builds/worker/checkouts/gecko/ipc/chromium/src/base/message_loop.cc', 'builds/worker/fetches/clang/bin/../lib/gcc/x86_64-unknown-linux-gnu/7.4.0/../../../../include/c++/7.4.0/bits/std_function.h', 'builds/worker/checkouts/gec"&amp;"ko/memory/mozalloc/mozalloc.cpp', 'builds/worker/checkouts/gecko/layout/base/nsDocumentViewer.cpp', 'builds/worker/checkouts/gecko/layout/build/nsContentDLF.cpp', 'builds/worker/workspace/obj-build/dist/include/nsCOMPtr.h', 'builds/worker/workspace/obj-bu"&amp;"ild/ipc/ipdl/PBrowserChild.cpp', 'builds/worker/checkouts/gecko/dom/ipc/ContentChild.cpp', 'builds/worker/checkouts/gecko/netwerk/protocol/http/HttpChannelChild.cpp', 'builds/worker/checkouts/gecko/xpcom/threads/nsThread.cpp', 'builds/worker/checkouts/gec"&amp;"ko/dom/ipc/BrowserChild.cpp', 'builds/worker/workspace/obj-build/ipc/ipdl/PContentChild.cpp', 'builds/worker/checkouts/gecko/xpcom/threads/TaskController.cpp', 'builds/worker/workspace/obj-build/dist/include/nsIContentViewer.h', 'builds/worker/checkouts/g"&amp;"ecko/ipc/glue/MessagePump.cpp', 'builds/worker/checkouts/gecko/toolkit/xre/nsEmbedFunctions.cpp', 'builds/worker/workspace/obj-build/dist/include/mozilla/cxxalloc.h', 'builds/worker/checkouts/gecko/uriloader/base/nsURILoader.cpp', 'builds/worker/checkouts"&amp;"/gecko/browser/app/../../ipc/contentproc/plugin-container.cpp', 'builds/worker/checkouts/gecko/ipc/glue/MessageChannel.cpp', 'builds/worker/checkouts/gecko/docshell/base/BrowsingContext.cpp', 'builds/worker/checkouts/gecko/widget/nsBaseAppShell.cpp', 'bui"&amp;"lds/worker/fetches/llvm-project/llvm/projects/compiler-rt/lib/asan/asan_malloc_linux.cpp', 'builds/worker/checkouts/gecko/docshell/base/nsDSURIContentListener.cpp', 'builds/worker/workspace/obj-build/dist/include/nsThreadUtils.h', 'builds/worker/checkouts"&amp;"/gecko/netwerk/ipc/ChannelEventQueue.cpp', 'builds/worker/checkouts/gecko/xpcom/threads/nsThreadUtils.cpp']")</f>
        <v>['builds/worker/workspace/obj-build/dist/include/mozilla/net/ChannelEventQueue.h', 'builds/worker/checkouts/gecko/toolkit/components/browser/nsWebBrowser.cpp', 'builds/worker/checkouts/gecko/browser/app/nsBrowserApp.cpp', 'builds/worker/checkouts/gecko/docshell/base/nsDocShell.cpp', 'builds/worker/checkouts/gecko/ipc/chromium/src/base/message_loop.cc', 'builds/worker/fetches/clang/bin/../lib/gcc/x86_64-unknown-linux-gnu/7.4.0/../../../../include/c++/7.4.0/bits/std_function.h', 'builds/worker/checkouts/gecko/memory/mozalloc/mozalloc.cpp', 'builds/worker/checkouts/gecko/layout/base/nsDocumentViewer.cpp', 'builds/worker/checkouts/gecko/layout/build/nsContentDLF.cpp', 'builds/worker/workspace/obj-build/dist/include/nsCOMPtr.h', 'builds/worker/workspace/obj-build/ipc/ipdl/PBrowserChild.cpp', 'builds/worker/checkouts/gecko/dom/ipc/ContentChild.cpp', 'builds/worker/checkouts/gecko/netwerk/protocol/http/HttpChannelChild.cpp', 'builds/worker/checkouts/gecko/xpcom/threads/nsThread.cpp', 'builds/worker/checkouts/gecko/dom/ipc/BrowserChild.cpp', 'builds/worker/workspace/obj-build/ipc/ipdl/PContentChild.cpp', 'builds/worker/checkouts/gecko/xpcom/threads/TaskController.cpp', 'builds/worker/workspace/obj-build/dist/include/nsIContentViewer.h', 'builds/worker/checkouts/gecko/ipc/glue/MessagePump.cpp', 'builds/worker/checkouts/gecko/toolkit/xre/nsEmbedFunctions.cpp', 'builds/worker/workspace/obj-build/dist/include/mozilla/cxxalloc.h', 'builds/worker/checkouts/gecko/uriloader/base/nsURILoader.cpp', 'builds/worker/checkouts/gecko/browser/app/../../ipc/contentproc/plugin-container.cpp', 'builds/worker/checkouts/gecko/ipc/glue/MessageChannel.cpp', 'builds/worker/checkouts/gecko/docshell/base/BrowsingContext.cpp', 'builds/worker/checkouts/gecko/widget/nsBaseAppShell.cpp', 'builds/worker/fetches/llvm-project/llvm/projects/compiler-rt/lib/asan/asan_malloc_linux.cpp', 'builds/worker/checkouts/gecko/docshell/base/nsDSURIContentListener.cpp', 'builds/worker/workspace/obj-build/dist/include/nsThreadUtils.h', 'builds/worker/checkouts/gecko/netwerk/ipc/ChannelEventQueue.cpp', 'builds/worker/checkouts/gecko/xpcom/threads/nsThreadUtils.cpp']</v>
      </c>
      <c r="K221" s="3" t="str">
        <f ca="1">IFERROR(__xludf.DUMMYFUNCTION("""COMPUTED_VALUE"""),"System Dumps")</f>
        <v>System Dumps</v>
      </c>
      <c r="L221" s="3"/>
      <c r="M221" s="3"/>
      <c r="N221" s="3"/>
      <c r="O221" s="3" t="str">
        <f ca="1">IFERROR(__xludf.DUMMYFUNCTION("""COMPUTED_VALUE"""),"security bug pattern analysis, static analysis")</f>
        <v>security bug pattern analysis, static analysis</v>
      </c>
    </row>
    <row r="222" spans="1:15" ht="293">
      <c r="A222" s="3" t="s">
        <v>65</v>
      </c>
      <c r="B222" s="3"/>
      <c r="C222" s="3" t="str">
        <f ca="1">IFERROR(__xludf.DUMMYFUNCTION("""COMPUTED_VALUE"""),"Agree")</f>
        <v>Agree</v>
      </c>
      <c r="D222" s="3">
        <f ca="1">IFERROR(__xludf.DUMMYFUNCTION("""COMPUTED_VALUE"""),109)</f>
        <v>109</v>
      </c>
      <c r="E222" s="3" t="str">
        <f ca="1">IFERROR(__xludf.DUMMYFUNCTION("""COMPUTED_VALUE"""),"Yes")</f>
        <v>Yes</v>
      </c>
      <c r="F222" s="3" t="str">
        <f ca="1">IFERROR(__xludf.DUMMYFUNCTION("""COMPUTED_VALUE"""),"BothRef")</f>
        <v>BothRef</v>
      </c>
      <c r="G222" s="3">
        <f ca="1">IFERROR(__xludf.DUMMYFUNCTION("""COMPUTED_VALUE"""),1637837)</f>
        <v>1637837</v>
      </c>
      <c r="H222" s="3" t="str">
        <f ca="1">IFERROR(__xludf.DUMMYFUNCTION("""COMPUTED_VALUE"""),"{1574965}")</f>
        <v>{1574965}</v>
      </c>
      <c r="I222" s="4" t="str">
        <f ca="1">IFERROR(__xludf.DUMMYFUNCTION("""COMPUTED_VALUE"""),"https://bugzilla.mozilla.org/show_bug.cgi?id=1637837")</f>
        <v>https://bugzilla.mozilla.org/show_bug.cgi?id=1637837</v>
      </c>
      <c r="J222" s="3" t="str">
        <f ca="1">IFERROR(__xludf.DUMMYFUNCTION("""COMPUTED_VALUE"""),"['builds/worker/workspace/obj-build/dist/include/mozilla/cxxalloc.h', 'builds/worker/checkouts/gecko/dom/media/MediaTrackGraph.cpp', 'builds/worker/workspace/obj-build/dom/bindings/AudioContextBinding.cpp', 'builds/worker/checkouts/gecko/xpcom/threads/nsT"&amp;"hread.cpp', 'searchfox.org/mozilla-central/rev/9f074fab9bf905fad62e7cc32faf121195f4ba46/mfbt/Assertions.h', 'builds/worker/checkouts/gecko/nsprpub/pr/src/pthreads/ptthread.c', 'treeherder.mozilla.org/logviewer.html', 'builds/worker/checkouts/gecko/js/src/"&amp;"jit/VMFunctions.cpp', 'builds/worker/checkouts/gecko/dom/media/GraphRunner.cpp', 'builds/worker/checkouts/gecko/memory/mozalloc/mozalloc.cpp', 'builds/worker/checkouts/gecko/ipc/chromium/src/base/message_loop.cc', 'builds/worker/checkouts/gecko/dom/media/"&amp;"webaudio/AudioDestinationNode.cpp', 'builds/worker/checkouts/gecko/ipc/glue/MessagePump.cpp', 'builds/worker/fetches/llvm-project/llvm/projects/compiler-rt/lib/tsan/rtl/tsan_interceptors.cc', 'builds/worker/checkouts/gecko/dom/media/webaudio/AudioContext."&amp;"cpp', 'builds/worker/checkouts/gecko/xpcom/threads/nsThreadUtils.cpp', 'builds/worker/checkouts/gecko/js/src/vm/Interpreter.cpp']")</f>
        <v>['builds/worker/workspace/obj-build/dist/include/mozilla/cxxalloc.h', 'builds/worker/checkouts/gecko/dom/media/MediaTrackGraph.cpp', 'builds/worker/workspace/obj-build/dom/bindings/AudioContextBinding.cpp', 'builds/worker/checkouts/gecko/xpcom/threads/nsThread.cpp', 'searchfox.org/mozilla-central/rev/9f074fab9bf905fad62e7cc32faf121195f4ba46/mfbt/Assertions.h', 'builds/worker/checkouts/gecko/nsprpub/pr/src/pthreads/ptthread.c', 'treeherder.mozilla.org/logviewer.html', 'builds/worker/checkouts/gecko/js/src/jit/VMFunctions.cpp', 'builds/worker/checkouts/gecko/dom/media/GraphRunner.cpp', 'builds/worker/checkouts/gecko/memory/mozalloc/mozalloc.cpp', 'builds/worker/checkouts/gecko/ipc/chromium/src/base/message_loop.cc', 'builds/worker/checkouts/gecko/dom/media/webaudio/AudioDestinationNode.cpp', 'builds/worker/checkouts/gecko/ipc/glue/MessagePump.cpp', 'builds/worker/fetches/llvm-project/llvm/projects/compiler-rt/lib/tsan/rtl/tsan_interceptors.cc', 'builds/worker/checkouts/gecko/dom/media/webaudio/AudioContext.cpp', 'builds/worker/checkouts/gecko/xpcom/threads/nsThreadUtils.cpp', 'builds/worker/checkouts/gecko/js/src/vm/Interpreter.cpp']</v>
      </c>
      <c r="K222" s="3" t="str">
        <f ca="1">IFERROR(__xludf.DUMMYFUNCTION("""COMPUTED_VALUE"""),"System Dumps")</f>
        <v>System Dumps</v>
      </c>
      <c r="L222" s="3"/>
      <c r="M222" s="3"/>
      <c r="N222" s="3"/>
      <c r="O222" s="3"/>
    </row>
    <row r="223" spans="1:15" ht="28">
      <c r="A223" s="3" t="s">
        <v>65</v>
      </c>
      <c r="B223" s="3"/>
      <c r="C223" s="3" t="str">
        <f ca="1">IFERROR(__xludf.DUMMYFUNCTION("""COMPUTED_VALUE"""),"Agree")</f>
        <v>Agree</v>
      </c>
      <c r="D223" s="3">
        <f ca="1">IFERROR(__xludf.DUMMYFUNCTION("""COMPUTED_VALUE"""),110)</f>
        <v>110</v>
      </c>
      <c r="E223" s="3" t="str">
        <f ca="1">IFERROR(__xludf.DUMMYFUNCTION("""COMPUTED_VALUE"""),"Yes")</f>
        <v>Yes</v>
      </c>
      <c r="F223" s="3" t="str">
        <f ca="1">IFERROR(__xludf.DUMMYFUNCTION("""COMPUTED_VALUE"""),"BothRef")</f>
        <v>BothRef</v>
      </c>
      <c r="G223" s="3">
        <f ca="1">IFERROR(__xludf.DUMMYFUNCTION("""COMPUTED_VALUE"""),1708729)</f>
        <v>1708729</v>
      </c>
      <c r="H223" s="3" t="str">
        <f ca="1">IFERROR(__xludf.DUMMYFUNCTION("""COMPUTED_VALUE"""),"{1698503}")</f>
        <v>{1698503}</v>
      </c>
      <c r="I223" s="4" t="str">
        <f ca="1">IFERROR(__xludf.DUMMYFUNCTION("""COMPUTED_VALUE"""),"https://bugzilla.mozilla.org/show_bug.cgi?id=1708729")</f>
        <v>https://bugzilla.mozilla.org/show_bug.cgi?id=1708729</v>
      </c>
      <c r="J223" s="3" t="str">
        <f ca="1">IFERROR(__xludf.DUMMYFUNCTION("""COMPUTED_VALUE"""),"['searchfox.org/mozilla-central/source/netwerk/base/nsIOService.cpp', 'not_landed.py']")</f>
        <v>['searchfox.org/mozilla-central/source/netwerk/base/nsIOService.cpp', 'not_landed.py']</v>
      </c>
      <c r="K223" s="3" t="str">
        <f ca="1">IFERROR(__xludf.DUMMYFUNCTION("""COMPUTED_VALUE"""),"Bug Description")</f>
        <v>Bug Description</v>
      </c>
      <c r="L223" s="3"/>
      <c r="M223" s="3"/>
      <c r="N223" s="3"/>
      <c r="O223" s="3" t="str">
        <f ca="1">IFERROR(__xludf.DUMMYFUNCTION("""COMPUTED_VALUE"""),"not_landed.py file from BotBot")</f>
        <v>not_landed.py file from BotBot</v>
      </c>
    </row>
    <row r="224" spans="1:15" ht="28">
      <c r="A224" s="3" t="s">
        <v>65</v>
      </c>
      <c r="B224" s="3"/>
      <c r="C224" s="3" t="str">
        <f ca="1">IFERROR(__xludf.DUMMYFUNCTION("""COMPUTED_VALUE"""),"Agree")</f>
        <v>Agree</v>
      </c>
      <c r="D224" s="3">
        <f ca="1">IFERROR(__xludf.DUMMYFUNCTION("""COMPUTED_VALUE"""),111)</f>
        <v>111</v>
      </c>
      <c r="E224" s="3" t="str">
        <f ca="1">IFERROR(__xludf.DUMMYFUNCTION("""COMPUTED_VALUE"""),"Yes")</f>
        <v>Yes</v>
      </c>
      <c r="F224" s="3" t="str">
        <f ca="1">IFERROR(__xludf.DUMMYFUNCTION("""COMPUTED_VALUE"""),"BothRef")</f>
        <v>BothRef</v>
      </c>
      <c r="G224" s="3">
        <f ca="1">IFERROR(__xludf.DUMMYFUNCTION("""COMPUTED_VALUE"""),1585158)</f>
        <v>1585158</v>
      </c>
      <c r="H224" s="3" t="str">
        <f ca="1">IFERROR(__xludf.DUMMYFUNCTION("""COMPUTED_VALUE"""),"{1575370}")</f>
        <v>{1575370}</v>
      </c>
      <c r="I224" s="4" t="str">
        <f ca="1">IFERROR(__xludf.DUMMYFUNCTION("""COMPUTED_VALUE"""),"https://bugzilla.mozilla.org/show_bug.cgi?id=1585158")</f>
        <v>https://bugzilla.mozilla.org/show_bug.cgi?id=1585158</v>
      </c>
      <c r="J224" s="3" t="str">
        <f ca="1">IFERROR(__xludf.DUMMYFUNCTION("""COMPUTED_VALUE"""),"['js/src/vm/CompilationAndEvaluation.cpp', 'js/src/vm/Interpreter.cpp', 'js/src/gc/Verifier.cpp', 'js/src/shell/js.cpp', 'test.js']")</f>
        <v>['js/src/vm/CompilationAndEvaluation.cpp', 'js/src/vm/Interpreter.cpp', 'js/src/gc/Verifier.cpp', 'js/src/shell/js.cpp', 'test.js']</v>
      </c>
      <c r="K224" s="3" t="str">
        <f ca="1">IFERROR(__xludf.DUMMYFUNCTION("""COMPUTED_VALUE"""),"System Dumps")</f>
        <v>System Dumps</v>
      </c>
      <c r="L224" s="3" t="str">
        <f ca="1">IFERROR(__xludf.DUMMYFUNCTION("""COMPUTED_VALUE"""),"File names are part of bug title")</f>
        <v>File names are part of bug title</v>
      </c>
      <c r="M224" s="3"/>
      <c r="N224" s="3"/>
      <c r="O224" s="3"/>
    </row>
    <row r="225" spans="1:15" ht="238">
      <c r="A225" s="3" t="s">
        <v>65</v>
      </c>
      <c r="B225" s="3"/>
      <c r="C225" s="3" t="str">
        <f ca="1">IFERROR(__xludf.DUMMYFUNCTION("""COMPUTED_VALUE"""),"Partial")</f>
        <v>Partial</v>
      </c>
      <c r="D225" s="3">
        <f ca="1">IFERROR(__xludf.DUMMYFUNCTION("""COMPUTED_VALUE"""),112)</f>
        <v>112</v>
      </c>
      <c r="E225" s="3" t="str">
        <f ca="1">IFERROR(__xludf.DUMMYFUNCTION("""COMPUTED_VALUE"""),"Yes")</f>
        <v>Yes</v>
      </c>
      <c r="F225" s="3" t="str">
        <f ca="1">IFERROR(__xludf.DUMMYFUNCTION("""COMPUTED_VALUE"""),"BothRef")</f>
        <v>BothRef</v>
      </c>
      <c r="G225" s="3">
        <f ca="1">IFERROR(__xludf.DUMMYFUNCTION("""COMPUTED_VALUE"""),1723198)</f>
        <v>1723198</v>
      </c>
      <c r="H225" s="3" t="str">
        <f ca="1">IFERROR(__xludf.DUMMYFUNCTION("""COMPUTED_VALUE"""),"{1635227}")</f>
        <v>{1635227}</v>
      </c>
      <c r="I225" s="4" t="str">
        <f ca="1">IFERROR(__xludf.DUMMYFUNCTION("""COMPUTED_VALUE"""),"https://bugzilla.mozilla.org/show_bug.cgi?id=1723198")</f>
        <v>https://bugzilla.mozilla.org/show_bug.cgi?id=1723198</v>
      </c>
      <c r="J225" s="3" t="str">
        <f ca="1">IFERROR(__xludf.DUMMYFUNCTION("""COMPUTED_VALUE"""),"['searchfox.org/mozilla-central/rev/2aa97aea1085cf1363582725407c514833ad47e4/testing/profiles/xpcshell/user.js', 'test_ext_cookieBehaviors.js', 'searchfox.org/mozilla-central/rev/4b88e0b8cca115009e82fdd65e5bf5812ff99128/toolkit/components/extensions/test/"&amp;"xpcshell/test_ext_schema.js', 'searchfox.org/mozilla-central/rev/2aa97aea1085cf1363582725407c514833ad47e4/testing/xpcshell/remotexpcshelltests.py', 'remotexpcshelltests.py', 'searchfox.org/mozilla-central/rev/2aa97aea1085cf1363582725407c514833ad47e4/toolk"&amp;"it/components/extensions/test/xpcshell/xpcshell.ini', 'selftest.py', 'searchfox.org/mozilla-central/rev/4b88e0b8cca115009e82fdd65e5bf5812ff99128/testing/profiles/common/user.js', 'test_SocketScalars.js', 'searchfox.org/mozilla-central/rev/2aa97aea1085cf13"&amp;"63582725407c514833ad47e4/testing/xpcshell/runxpcshelltests.py', 'user.js']")</f>
        <v>['searchfox.org/mozilla-central/rev/2aa97aea1085cf1363582725407c514833ad47e4/testing/profiles/xpcshell/user.js', 'test_ext_cookieBehaviors.js', 'searchfox.org/mozilla-central/rev/4b88e0b8cca115009e82fdd65e5bf5812ff99128/toolkit/components/extensions/test/xpcshell/test_ext_schema.js', 'searchfox.org/mozilla-central/rev/2aa97aea1085cf1363582725407c514833ad47e4/testing/xpcshell/remotexpcshelltests.py', 'remotexpcshelltests.py', 'searchfox.org/mozilla-central/rev/2aa97aea1085cf1363582725407c514833ad47e4/toolkit/components/extensions/test/xpcshell/xpcshell.ini', 'selftest.py', 'searchfox.org/mozilla-central/rev/4b88e0b8cca115009e82fdd65e5bf5812ff99128/testing/profiles/common/user.js', 'test_SocketScalars.js', 'searchfox.org/mozilla-central/rev/2aa97aea1085cf1363582725407c514833ad47e4/testing/xpcshell/runxpcshelltests.py', 'user.js']</v>
      </c>
      <c r="K225" s="3" t="str">
        <f ca="1">IFERROR(__xludf.DUMMYFUNCTION("""COMPUTED_VALUE"""),"Bug Description")</f>
        <v>Bug Description</v>
      </c>
      <c r="L225" s="3" t="str">
        <f ca="1">IFERROR(__xludf.DUMMYFUNCTION("""COMPUTED_VALUE"""),"File names are part of bug title, attachment title or commit messages")</f>
        <v>File names are part of bug title, attachment title or commit messages</v>
      </c>
      <c r="M225" s="3" t="str">
        <f ca="1">IFERROR(__xludf.DUMMYFUNCTION("""COMPUTED_VALUE"""),"Solution Draft")</f>
        <v>Solution Draft</v>
      </c>
      <c r="N225" s="3"/>
      <c r="O225" s="3" t="str">
        <f ca="1">IFERROR(__xludf.DUMMYFUNCTION("""COMPUTED_VALUE"""),"Good Detangling")</f>
        <v>Good Detangling</v>
      </c>
    </row>
    <row r="226" spans="1:15" ht="42">
      <c r="A226" s="3" t="s">
        <v>65</v>
      </c>
      <c r="B226" s="3"/>
      <c r="C226" s="3" t="str">
        <f ca="1">IFERROR(__xludf.DUMMYFUNCTION("""COMPUTED_VALUE"""),"Agree")</f>
        <v>Agree</v>
      </c>
      <c r="D226" s="3">
        <f ca="1">IFERROR(__xludf.DUMMYFUNCTION("""COMPUTED_VALUE"""),113)</f>
        <v>113</v>
      </c>
      <c r="E226" s="3" t="str">
        <f ca="1">IFERROR(__xludf.DUMMYFUNCTION("""COMPUTED_VALUE"""),"Yes")</f>
        <v>Yes</v>
      </c>
      <c r="F226" s="3" t="str">
        <f ca="1">IFERROR(__xludf.DUMMYFUNCTION("""COMPUTED_VALUE"""),"BothRef")</f>
        <v>BothRef</v>
      </c>
      <c r="G226" s="3">
        <f ca="1">IFERROR(__xludf.DUMMYFUNCTION("""COMPUTED_VALUE"""),1701785)</f>
        <v>1701785</v>
      </c>
      <c r="H226" s="3" t="str">
        <f ca="1">IFERROR(__xludf.DUMMYFUNCTION("""COMPUTED_VALUE"""),"{1685268}")</f>
        <v>{1685268}</v>
      </c>
      <c r="I226" s="4" t="str">
        <f ca="1">IFERROR(__xludf.DUMMYFUNCTION("""COMPUTED_VALUE"""),"https://bugzilla.mozilla.org/show_bug.cgi?id=1701785")</f>
        <v>https://bugzilla.mozilla.org/show_bug.cgi?id=1701785</v>
      </c>
      <c r="J226" s="3" t="str">
        <f ca="1">IFERROR(__xludf.DUMMYFUNCTION("""COMPUTED_VALUE"""),"['searchfox.org/mozilla-central/rev/0e3d2eb698a51006943f3b4fb74c035da80aa2ff/devtools/client/fronts/style-rule.js']")</f>
        <v>['searchfox.org/mozilla-central/rev/0e3d2eb698a51006943f3b4fb74c035da80aa2ff/devtools/client/fronts/style-rule.js']</v>
      </c>
      <c r="K226" s="3" t="str">
        <f ca="1">IFERROR(__xludf.DUMMYFUNCTION("""COMPUTED_VALUE"""),"Bug Description")</f>
        <v>Bug Description</v>
      </c>
      <c r="L226" s="3"/>
      <c r="M226" s="3"/>
      <c r="N226" s="3"/>
      <c r="O226" s="3" t="str">
        <f ca="1">IFERROR(__xludf.DUMMYFUNCTION("""COMPUTED_VALUE"""),"Good Detangling")</f>
        <v>Good Detangling</v>
      </c>
    </row>
    <row r="227" spans="1:15" ht="28">
      <c r="A227" s="3" t="s">
        <v>65</v>
      </c>
      <c r="B227" s="3"/>
      <c r="C227" s="3" t="str">
        <f ca="1">IFERROR(__xludf.DUMMYFUNCTION("""COMPUTED_VALUE"""),"Agree")</f>
        <v>Agree</v>
      </c>
      <c r="D227" s="3">
        <f ca="1">IFERROR(__xludf.DUMMYFUNCTION("""COMPUTED_VALUE"""),114)</f>
        <v>114</v>
      </c>
      <c r="E227" s="3" t="str">
        <f ca="1">IFERROR(__xludf.DUMMYFUNCTION("""COMPUTED_VALUE"""),"Yes")</f>
        <v>Yes</v>
      </c>
      <c r="F227" s="3" t="str">
        <f ca="1">IFERROR(__xludf.DUMMYFUNCTION("""COMPUTED_VALUE"""),"BothRef")</f>
        <v>BothRef</v>
      </c>
      <c r="G227" s="3">
        <f ca="1">IFERROR(__xludf.DUMMYFUNCTION("""COMPUTED_VALUE"""),1674756)</f>
        <v>1674756</v>
      </c>
      <c r="H227" s="3" t="str">
        <f ca="1">IFERROR(__xludf.DUMMYFUNCTION("""COMPUTED_VALUE"""),"{1664053}")</f>
        <v>{1664053}</v>
      </c>
      <c r="I227" s="4" t="str">
        <f ca="1">IFERROR(__xludf.DUMMYFUNCTION("""COMPUTED_VALUE"""),"https://bugzilla.mozilla.org/show_bug.cgi?id=1674756")</f>
        <v>https://bugzilla.mozilla.org/show_bug.cgi?id=1674756</v>
      </c>
      <c r="J227" s="3" t="str">
        <f ca="1">IFERROR(__xludf.DUMMYFUNCTION("""COMPUTED_VALUE"""),"['places/tests/browser/browser_toolbar_other_bookmarks.js']")</f>
        <v>['places/tests/browser/browser_toolbar_other_bookmarks.js']</v>
      </c>
      <c r="K227" s="3" t="str">
        <f ca="1">IFERROR(__xludf.DUMMYFUNCTION("""COMPUTED_VALUE"""),"Bug Description")</f>
        <v>Bug Description</v>
      </c>
      <c r="L227" s="3"/>
      <c r="M227" s="3"/>
      <c r="N227" s="3"/>
      <c r="O227" s="3" t="str">
        <f ca="1">IFERROR(__xludf.DUMMYFUNCTION("""COMPUTED_VALUE"""),"Backout, Good Detangling")</f>
        <v>Backout, Good Detangling</v>
      </c>
    </row>
    <row r="228" spans="1:15" ht="42">
      <c r="A228" s="3" t="s">
        <v>65</v>
      </c>
      <c r="B228" s="3"/>
      <c r="C228" s="3" t="str">
        <f ca="1">IFERROR(__xludf.DUMMYFUNCTION("""COMPUTED_VALUE"""),"Agree")</f>
        <v>Agree</v>
      </c>
      <c r="D228" s="3">
        <f ca="1">IFERROR(__xludf.DUMMYFUNCTION("""COMPUTED_VALUE"""),115)</f>
        <v>115</v>
      </c>
      <c r="E228" s="3" t="str">
        <f ca="1">IFERROR(__xludf.DUMMYFUNCTION("""COMPUTED_VALUE"""),"Yes")</f>
        <v>Yes</v>
      </c>
      <c r="F228" s="3" t="str">
        <f ca="1">IFERROR(__xludf.DUMMYFUNCTION("""COMPUTED_VALUE"""),"FixRef")</f>
        <v>FixRef</v>
      </c>
      <c r="G228" s="3">
        <f ca="1">IFERROR(__xludf.DUMMYFUNCTION("""COMPUTED_VALUE"""),1607895)</f>
        <v>1607895</v>
      </c>
      <c r="H228" s="3" t="str">
        <f ca="1">IFERROR(__xludf.DUMMYFUNCTION("""COMPUTED_VALUE"""),"{1566466}")</f>
        <v>{1566466}</v>
      </c>
      <c r="I228" s="4" t="str">
        <f ca="1">IFERROR(__xludf.DUMMYFUNCTION("""COMPUTED_VALUE"""),"https://bugzilla.mozilla.org/show_bug.cgi?id=1607895")</f>
        <v>https://bugzilla.mozilla.org/show_bug.cgi?id=1607895</v>
      </c>
      <c r="J228" s="3" t="str">
        <f ca="1">IFERROR(__xludf.DUMMYFUNCTION("""COMPUTED_VALUE"""),"['BinAST.yaml']")</f>
        <v>['BinAST.yaml']</v>
      </c>
      <c r="K228" s="3" t="str">
        <f ca="1">IFERROR(__xludf.DUMMYFUNCTION("""COMPUTED_VALUE"""),"File names are part of attachment title or commit messages")</f>
        <v>File names are part of attachment title or commit messages</v>
      </c>
      <c r="L228" s="3"/>
      <c r="M228" s="3"/>
      <c r="N228" s="3"/>
      <c r="O228" s="3"/>
    </row>
    <row r="229" spans="1:15" ht="42">
      <c r="A229" s="3" t="s">
        <v>65</v>
      </c>
      <c r="B229" s="3"/>
      <c r="C229" s="3" t="str">
        <f ca="1">IFERROR(__xludf.DUMMYFUNCTION("""COMPUTED_VALUE"""),"Agree")</f>
        <v>Agree</v>
      </c>
      <c r="D229" s="3">
        <f ca="1">IFERROR(__xludf.DUMMYFUNCTION("""COMPUTED_VALUE"""),116)</f>
        <v>116</v>
      </c>
      <c r="E229" s="3" t="str">
        <f ca="1">IFERROR(__xludf.DUMMYFUNCTION("""COMPUTED_VALUE"""),"Yes")</f>
        <v>Yes</v>
      </c>
      <c r="F229" s="3" t="str">
        <f ca="1">IFERROR(__xludf.DUMMYFUNCTION("""COMPUTED_VALUE"""),"BothRef")</f>
        <v>BothRef</v>
      </c>
      <c r="G229" s="3">
        <f ca="1">IFERROR(__xludf.DUMMYFUNCTION("""COMPUTED_VALUE"""),1685744)</f>
        <v>1685744</v>
      </c>
      <c r="H229" s="3" t="str">
        <f ca="1">IFERROR(__xludf.DUMMYFUNCTION("""COMPUTED_VALUE"""),"{1641751}")</f>
        <v>{1641751}</v>
      </c>
      <c r="I229" s="4" t="str">
        <f ca="1">IFERROR(__xludf.DUMMYFUNCTION("""COMPUTED_VALUE"""),"https://bugzilla.mozilla.org/show_bug.cgi?id=1685744")</f>
        <v>https://bugzilla.mozilla.org/show_bug.cgi?id=1685744</v>
      </c>
      <c r="J229" s="3" t="str">
        <f ca="1">IFERROR(__xludf.DUMMYFUNCTION("""COMPUTED_VALUE"""),"['searchfox.org/mozilla-central/rev/c59d9181cbcd8356ce9271723e31be11641e7010/gfx/wr/webrender/src/texture_cache.rs']")</f>
        <v>['searchfox.org/mozilla-central/rev/c59d9181cbcd8356ce9271723e31be11641e7010/gfx/wr/webrender/src/texture_cache.rs']</v>
      </c>
      <c r="K229" s="3" t="str">
        <f ca="1">IFERROR(__xludf.DUMMYFUNCTION("""COMPUTED_VALUE"""),"Bug Description")</f>
        <v>Bug Description</v>
      </c>
      <c r="L229" s="3"/>
      <c r="M229" s="3"/>
      <c r="N229" s="3"/>
      <c r="O229" s="3" t="str">
        <f ca="1">IFERROR(__xludf.DUMMYFUNCTION("""COMPUTED_VALUE"""),"Solution Draft")</f>
        <v>Solution Draft</v>
      </c>
    </row>
    <row r="230" spans="1:15" ht="42">
      <c r="A230" s="3" t="s">
        <v>65</v>
      </c>
      <c r="B230" s="3"/>
      <c r="C230" s="3" t="str">
        <f ca="1">IFERROR(__xludf.DUMMYFUNCTION("""COMPUTED_VALUE"""),"Agree")</f>
        <v>Agree</v>
      </c>
      <c r="D230" s="3">
        <f ca="1">IFERROR(__xludf.DUMMYFUNCTION("""COMPUTED_VALUE"""),117)</f>
        <v>117</v>
      </c>
      <c r="E230" s="3" t="str">
        <f ca="1">IFERROR(__xludf.DUMMYFUNCTION("""COMPUTED_VALUE"""),"Yes")</f>
        <v>Yes</v>
      </c>
      <c r="F230" s="3" t="str">
        <f ca="1">IFERROR(__xludf.DUMMYFUNCTION("""COMPUTED_VALUE"""),"FixRef")</f>
        <v>FixRef</v>
      </c>
      <c r="G230" s="3">
        <f ca="1">IFERROR(__xludf.DUMMYFUNCTION("""COMPUTED_VALUE"""),1664065)</f>
        <v>1664065</v>
      </c>
      <c r="H230" s="3" t="str">
        <f ca="1">IFERROR(__xludf.DUMMYFUNCTION("""COMPUTED_VALUE"""),"{1656494}")</f>
        <v>{1656494}</v>
      </c>
      <c r="I230" s="4" t="str">
        <f ca="1">IFERROR(__xludf.DUMMYFUNCTION("""COMPUTED_VALUE"""),"https://bugzilla.mozilla.org/show_bug.cgi?id=1664065")</f>
        <v>https://bugzilla.mozilla.org/show_bug.cgi?id=1664065</v>
      </c>
      <c r="J230" s="3" t="str">
        <f ca="1">IFERROR(__xludf.DUMMYFUNCTION("""COMPUTED_VALUE"""),"['searchfox.org/mozilla-central/rev/eb9d5c97927aea75f0c8e38bbc5b5d288099e687/toolkit/components/normandy/skin/osx/Heartbeat.css']")</f>
        <v>['searchfox.org/mozilla-central/rev/eb9d5c97927aea75f0c8e38bbc5b5d288099e687/toolkit/components/normandy/skin/osx/Heartbeat.css']</v>
      </c>
      <c r="K230" s="3" t="str">
        <f ca="1">IFERROR(__xludf.DUMMYFUNCTION("""COMPUTED_VALUE"""),"Bug Description")</f>
        <v>Bug Description</v>
      </c>
      <c r="L230" s="3"/>
      <c r="M230" s="3"/>
      <c r="N230" s="3"/>
      <c r="O230" s="3" t="str">
        <f ca="1">IFERROR(__xludf.DUMMYFUNCTION("""COMPUTED_VALUE"""),"Extrinsic bug not linkable")</f>
        <v>Extrinsic bug not linkable</v>
      </c>
    </row>
    <row r="231" spans="1:15" ht="70">
      <c r="A231" s="3" t="s">
        <v>65</v>
      </c>
      <c r="B231" s="3"/>
      <c r="C231" s="3" t="str">
        <f ca="1">IFERROR(__xludf.DUMMYFUNCTION("""COMPUTED_VALUE"""),"Agree")</f>
        <v>Agree</v>
      </c>
      <c r="D231" s="3">
        <f ca="1">IFERROR(__xludf.DUMMYFUNCTION("""COMPUTED_VALUE"""),118)</f>
        <v>118</v>
      </c>
      <c r="E231" s="3" t="str">
        <f ca="1">IFERROR(__xludf.DUMMYFUNCTION("""COMPUTED_VALUE"""),"Yes")</f>
        <v>Yes</v>
      </c>
      <c r="F231" s="3" t="str">
        <f ca="1">IFERROR(__xludf.DUMMYFUNCTION("""COMPUTED_VALUE"""),"BothRef")</f>
        <v>BothRef</v>
      </c>
      <c r="G231" s="3">
        <f ca="1">IFERROR(__xludf.DUMMYFUNCTION("""COMPUTED_VALUE"""),1635481)</f>
        <v>1635481</v>
      </c>
      <c r="H231" s="3" t="str">
        <f ca="1">IFERROR(__xludf.DUMMYFUNCTION("""COMPUTED_VALUE"""),"{1627163}")</f>
        <v>{1627163}</v>
      </c>
      <c r="I231" s="4" t="str">
        <f ca="1">IFERROR(__xludf.DUMMYFUNCTION("""COMPUTED_VALUE"""),"https://bugzilla.mozilla.org/show_bug.cgi?id=1635481")</f>
        <v>https://bugzilla.mozilla.org/show_bug.cgi?id=1635481</v>
      </c>
      <c r="J231" s="3" t="str">
        <f ca="1">IFERROR(__xludf.DUMMYFUNCTION("""COMPUTED_VALUE"""),"['searchfox.org/mozilla-central/rev/dc4560dcaafd79375b9411fdbbaaebb0a59a93ac/python/mozbuild/mozbuild/virtualenv.py', 'docs.python.org/3.7/whatsnew/changelog.html', 'easy_install.py', '.vscode/settings.json', 'obj-firefox/.mozbuild/last_log.json']")</f>
        <v>['searchfox.org/mozilla-central/rev/dc4560dcaafd79375b9411fdbbaaebb0a59a93ac/python/mozbuild/mozbuild/virtualenv.py', 'docs.python.org/3.7/whatsnew/changelog.html', 'easy_install.py', '.vscode/settings.json', 'obj-firefox/.mozbuild/last_log.json']</v>
      </c>
      <c r="K231" s="3" t="str">
        <f ca="1">IFERROR(__xludf.DUMMYFUNCTION("""COMPUTED_VALUE"""),"System Dumps")</f>
        <v>System Dumps</v>
      </c>
      <c r="L231" s="3" t="str">
        <f ca="1">IFERROR(__xludf.DUMMYFUNCTION("""COMPUTED_VALUE"""),"Bug Description")</f>
        <v>Bug Description</v>
      </c>
      <c r="M231" s="3"/>
      <c r="N231" s="3"/>
      <c r="O231" s="3"/>
    </row>
    <row r="232" spans="1:15" ht="70">
      <c r="A232" s="3" t="s">
        <v>65</v>
      </c>
      <c r="B232" s="3"/>
      <c r="C232" s="3" t="str">
        <f ca="1">IFERROR(__xludf.DUMMYFUNCTION("""COMPUTED_VALUE"""),"Partial")</f>
        <v>Partial</v>
      </c>
      <c r="D232" s="3">
        <f ca="1">IFERROR(__xludf.DUMMYFUNCTION("""COMPUTED_VALUE"""),119)</f>
        <v>119</v>
      </c>
      <c r="E232" s="3" t="str">
        <f ca="1">IFERROR(__xludf.DUMMYFUNCTION("""COMPUTED_VALUE"""),"Yes")</f>
        <v>Yes</v>
      </c>
      <c r="F232" s="3" t="str">
        <f ca="1">IFERROR(__xludf.DUMMYFUNCTION("""COMPUTED_VALUE"""),"BothRef")</f>
        <v>BothRef</v>
      </c>
      <c r="G232" s="3">
        <f ca="1">IFERROR(__xludf.DUMMYFUNCTION("""COMPUTED_VALUE"""),1582963)</f>
        <v>1582963</v>
      </c>
      <c r="H232" s="3" t="str">
        <f ca="1">IFERROR(__xludf.DUMMYFUNCTION("""COMPUTED_VALUE"""),"{1582810}")</f>
        <v>{1582810}</v>
      </c>
      <c r="I232" s="4" t="str">
        <f ca="1">IFERROR(__xludf.DUMMYFUNCTION("""COMPUTED_VALUE"""),"https://bugzilla.mozilla.org/show_bug.cgi?id=1582963")</f>
        <v>https://bugzilla.mozilla.org/show_bug.cgi?id=1582963</v>
      </c>
      <c r="J232" s="3" t="str">
        <f ca="1">IFERROR(__xludf.DUMMYFUNCTION("""COMPUTED_VALUE"""),"['hg.mozilla.org/mozilla-central/raw-file/tip/layout/tools/reftest/reftest-analyzer.xhtml', 'treeherder.mozilla.org/logviewer.html', '8854/tests/layout/reftests/svg/as-image/img-widthAndHeight-slice-1.html', '8854/tests/layout/reftests/svg/as-image/img-wi"&amp;"dthAndHeight-slice-1-ref.html', 'treeherder.mozilla.org/intermittent-failures.html']")</f>
        <v>['hg.mozilla.org/mozilla-central/raw-file/tip/layout/tools/reftest/reftest-analyzer.xhtml', 'treeherder.mozilla.org/logviewer.html', '8854/tests/layout/reftests/svg/as-image/img-widthAndHeight-slice-1.html', '8854/tests/layout/reftests/svg/as-image/img-widthAndHeight-slice-1-ref.html', 'treeherder.mozilla.org/intermittent-failures.html']</v>
      </c>
      <c r="K232" s="3" t="str">
        <f ca="1">IFERROR(__xludf.DUMMYFUNCTION("""COMPUTED_VALUE"""),"System Dumps")</f>
        <v>System Dumps</v>
      </c>
      <c r="L232" s="3" t="str">
        <f ca="1">IFERROR(__xludf.DUMMYFUNCTION("""COMPUTED_VALUE"""),"File names are part of bug title")</f>
        <v>File names are part of bug title</v>
      </c>
      <c r="M232" s="3"/>
      <c r="N232" s="3"/>
      <c r="O232" s="3"/>
    </row>
    <row r="233" spans="1:15" ht="154">
      <c r="A233" s="3" t="s">
        <v>65</v>
      </c>
      <c r="B233" s="3"/>
      <c r="C233" s="3" t="str">
        <f ca="1">IFERROR(__xludf.DUMMYFUNCTION("""COMPUTED_VALUE"""),"Agree")</f>
        <v>Agree</v>
      </c>
      <c r="D233" s="3">
        <f ca="1">IFERROR(__xludf.DUMMYFUNCTION("""COMPUTED_VALUE"""),120)</f>
        <v>120</v>
      </c>
      <c r="E233" s="3" t="str">
        <f ca="1">IFERROR(__xludf.DUMMYFUNCTION("""COMPUTED_VALUE"""),"Yes")</f>
        <v>Yes</v>
      </c>
      <c r="F233" s="3" t="str">
        <f ca="1">IFERROR(__xludf.DUMMYFUNCTION("""COMPUTED_VALUE"""),"BothRef")</f>
        <v>BothRef</v>
      </c>
      <c r="G233" s="3">
        <f ca="1">IFERROR(__xludf.DUMMYFUNCTION("""COMPUTED_VALUE"""),1587794)</f>
        <v>1587794</v>
      </c>
      <c r="H233" s="3" t="str">
        <f ca="1">IFERROR(__xludf.DUMMYFUNCTION("""COMPUTED_VALUE"""),"{1456995}")</f>
        <v>{1456995}</v>
      </c>
      <c r="I233" s="4" t="str">
        <f ca="1">IFERROR(__xludf.DUMMYFUNCTION("""COMPUTED_VALUE"""),"https://bugzilla.mozilla.org/show_bug.cgi?id=1587794")</f>
        <v>https://bugzilla.mozilla.org/show_bug.cgi?id=1587794</v>
      </c>
      <c r="J233" s="3" t="str">
        <f ca="1">IFERROR(__xludf.DUMMYFUNCTION("""COMPUTED_VALUE"""),"['testing/web-platform/mozilla/tests/service-workers/update_completes_in_disconnected_global.https.html', 'ipc/ipdl/PServiceWorkerRegistrationChild.cpp', 'xpcom/threads/nsThread.cpp', 'ipc/glue/MessagePump.cpp', 'task_1570615541/build/src/dom/serviceworke"&amp;"rs/RemoteServiceWorkerRegistrationImpl.cpp', 'xpcom/threads/nsThreadUtils.cpp', 'searchfox.org/mozilla-central/source/dom/base/DOMMozPromiseRequestHolder.h', 'ipc/ipdl/PBackgroundChild.cpp', 'ipc/glue/MessageChannel.cpp', 'task_1570615541/build/src/dom/se"&amp;"rviceworkers/ServiceWorkerRegistration.cpp']")</f>
        <v>['testing/web-platform/mozilla/tests/service-workers/update_completes_in_disconnected_global.https.html', 'ipc/ipdl/PServiceWorkerRegistrationChild.cpp', 'xpcom/threads/nsThread.cpp', 'ipc/glue/MessagePump.cpp', 'task_1570615541/build/src/dom/serviceworkers/RemoteServiceWorkerRegistrationImpl.cpp', 'xpcom/threads/nsThreadUtils.cpp', 'searchfox.org/mozilla-central/source/dom/base/DOMMozPromiseRequestHolder.h', 'ipc/ipdl/PBackgroundChild.cpp', 'ipc/glue/MessageChannel.cpp', 'task_1570615541/build/src/dom/serviceworkers/ServiceWorkerRegistration.cpp']</v>
      </c>
      <c r="K233" s="3" t="str">
        <f ca="1">IFERROR(__xludf.DUMMYFUNCTION("""COMPUTED_VALUE"""),"System Dumps")</f>
        <v>System Dumps</v>
      </c>
      <c r="L233" s="3" t="str">
        <f ca="1">IFERROR(__xludf.DUMMYFUNCTION("""COMPUTED_VALUE"""),"Bug Description")</f>
        <v>Bug Description</v>
      </c>
      <c r="M233" s="3" t="str">
        <f ca="1">IFERROR(__xludf.DUMMYFUNCTION("""COMPUTED_VALUE"""),"Solution Draft")</f>
        <v>Solution Draft</v>
      </c>
      <c r="N233" s="3"/>
      <c r="O233" s="3"/>
    </row>
    <row r="234" spans="1:15" ht="409.6">
      <c r="A234" s="3" t="s">
        <v>65</v>
      </c>
      <c r="B234" s="3"/>
      <c r="C234" s="3" t="str">
        <f ca="1">IFERROR(__xludf.DUMMYFUNCTION("""COMPUTED_VALUE"""),"Partial")</f>
        <v>Partial</v>
      </c>
      <c r="D234" s="3">
        <f ca="1">IFERROR(__xludf.DUMMYFUNCTION("""COMPUTED_VALUE"""),121)</f>
        <v>121</v>
      </c>
      <c r="E234" s="3" t="str">
        <f ca="1">IFERROR(__xludf.DUMMYFUNCTION("""COMPUTED_VALUE"""),"Yes")</f>
        <v>Yes</v>
      </c>
      <c r="F234" s="3" t="str">
        <f ca="1">IFERROR(__xludf.DUMMYFUNCTION("""COMPUTED_VALUE"""),"BothRef")</f>
        <v>BothRef</v>
      </c>
      <c r="G234" s="3">
        <f ca="1">IFERROR(__xludf.DUMMYFUNCTION("""COMPUTED_VALUE"""),1710598)</f>
        <v>1710598</v>
      </c>
      <c r="H234" s="3" t="str">
        <f ca="1">IFERROR(__xludf.DUMMYFUNCTION("""COMPUTED_VALUE"""),"{1700169}")</f>
        <v>{1700169}</v>
      </c>
      <c r="I234" s="4" t="str">
        <f ca="1">IFERROR(__xludf.DUMMYFUNCTION("""COMPUTED_VALUE"""),"https://bugzilla.mozilla.org/show_bug.cgi?id=1710598")</f>
        <v>https://bugzilla.mozilla.org/show_bug.cgi?id=1710598</v>
      </c>
      <c r="J234" s="3" t="str">
        <f ca="1">IFERROR(__xludf.DUMMYFUNCTION("""COMPUTED_VALUE"""),"['builds/worker/checkouts/gecko/gfx/layers/ipc/CompositorThread.cpp', 'builds/worker/checkouts/gecko/nsprpub/pr/src/pthreads/ptthread.c', 'builds/worker/workspace/obj-build/ipc/ipdl/PContentParent.cpp', 'builds/worker/fetches/llvm-project/llvm/projects/co"&amp;"mpiler-rt/lib/tsan/rtl/tsan_interceptors_posix.cpp', 'builds/worker/checkouts/gecko/dom/ipc/BrowserParent.cpp', 'builds/worker/checkouts/gecko/browser/app/nsBrowserApp.cpp', 'builds/worker/checkouts/gecko/ipc/chromium/src/base/message_loop.cc', 'builds/wo"&amp;"rker/checkouts/gecko/gfx/thebes/gfxPlatform.cpp', 'builds/worker/checkouts/gecko/js/src/vm/Interpreter-inl.h', 'builds/worker/checkouts/gecko/toolkit/components/startup/nsAppStartup.cpp', 'builds/worker/checkouts/gecko/memory/mozalloc/mozalloc.cpp', 'buil"&amp;"ds/worker/workspace/obj-build/ipc/ipdl/PLayerTransactionParent.cpp', 'builds/worker/checkouts/gecko/widget/GfxInfoBase.cpp', 'gfx/layers/apz/test/mochitest/test_group_hittest-1.html', 'builds/worker/checkouts/gecko/xpcom/threads/RecursiveMutex.cpp', 'buil"&amp;"ds/worker/checkouts/gecko/gfx/layers/ipc/ContentCompositorBridgeParent.cpp', 'builds/worker/checkouts/gecko/gfx/layers/ipc/CompositorVsyncScheduler.cpp', 'builds/worker/checkouts/gecko/gfx/layers/apz/src/APZSampler.cpp', 'builds/worker/checkouts/gecko/gfx"&amp;"/layers/apz/src/AsyncPanZoomController.cpp', 'builds/worker/checkouts/gecko/gfx/layers/apz/src/APZUpdater.cpp', 'builds/worker/checkouts/gecko/gfx/layers/apz/src/Axis.cpp', 'builds/worker/checkouts/gecko/js/src/jsapi.cpp', 'builds/worker/checkouts/gecko/j"&amp;"s/src/vm/Interpreter.cpp', 'builds/worker/checkouts/gecko/gfx/layers/ipc/CompositorBridgeParent.cpp', 'builds/worker/checkouts/gecko/xpcom/threads/nsThread.cpp', 'builds/worker/checkouts/gecko/toolkit/xre/nsXREDirProvider.cpp', 'helper_hittest_basic.html'"&amp;", 'builds/worker/checkouts/gecko/widget/nsBaseWidget.cpp', 'builds/worker/checkouts/gecko/js/src/vm/NativeObject.cpp', 'builds/worker/checkouts/gecko/xpcom/threads/nsThreadUtils.h', 'builds/worker/checkouts/gecko/xpcom/threads/TaskController.cpp', 'builds"&amp;"/worker/workspace/obj-build/ipc/ipdl/PCompositorManagerParent.cpp', 'builds/worker/checkouts/gecko/gfx/layers/composite/AsyncCompositionManager.cpp', 'builds/worker/checkouts/gecko/ipc/glue/MessagePump.cpp', 'builds/worker/checkouts/gecko/gfx/layers/TreeT"&amp;"raversal.h', 'builds/worker/workspace/obj-build/dist/include/mozilla/cxxalloc.h', 'builds/worker/checkouts/gecko/xpcom/threads/nsThreadManager.cpp', 'builds/worker/checkouts/gecko/ipc/glue/MessageChannel.cpp', 'builds/worker/checkouts/gecko/js/xpconnect/s"&amp;"rc/xpcprivate.h', 'builds/worker/checkouts/gecko/xpcom/reflect/xptcall/md/unix/xptcstubs_x86_64_linux.cpp', 'builds/worker/checkouts/gecko/gfx/layers/apz/src/ScrollThumbUtils.cpp', 'builds/worker/checkouts/gecko/toolkit/xre/nsAppRunner.cpp', 'builds/worke"&amp;"r/checkouts/gecko/gfx/layers/apz/src/APZInputBridge.cpp', 'builds/worker/checkouts/gecko/js/xpconnect/src/XPCWrappedNativeJSOps.cpp', 'builds/worker/checkouts/gecko/js/xpconnect/src/XPCWrappedJSClass.cpp', 'builds/worker/workspace/obj-build/ipc/ipdl/PBrow"&amp;"serParent.cpp', 'builds/worker/checkouts/gecko/js/src/vm/ObjectOperations-inl.h', 'builds/worker/checkouts/gecko/widget/nsBaseAppShell.cpp', 'builds/worker/checkouts/gecko/gfx/layers/apz/src/APZCTreeManager.cpp', 'builds/worker/workspace/obj-build/dist/in"&amp;"clude/nsThreadUtils.h', 'builds/worker/checkouts/gecko/toolkit/xre/Bootstrap.cpp', 'builds/worker/checkouts/gecko/gfx/layers/ipc/LayerTransactionParent.cpp', 'gfx/layers/apz/test/mochitest/test_group_checkerboarding.html', 'builds/worker/checkouts/gecko/x"&amp;"pcom/threads/nsThreadUtils.cpp']")</f>
        <v>['builds/worker/checkouts/gecko/gfx/layers/ipc/CompositorThread.cpp', 'builds/worker/checkouts/gecko/nsprpub/pr/src/pthreads/ptthread.c', 'builds/worker/workspace/obj-build/ipc/ipdl/PContentParent.cpp', 'builds/worker/fetches/llvm-project/llvm/projects/compiler-rt/lib/tsan/rtl/tsan_interceptors_posix.cpp', 'builds/worker/checkouts/gecko/dom/ipc/BrowserParent.cpp', 'builds/worker/checkouts/gecko/browser/app/nsBrowserApp.cpp', 'builds/worker/checkouts/gecko/ipc/chromium/src/base/message_loop.cc', 'builds/worker/checkouts/gecko/gfx/thebes/gfxPlatform.cpp', 'builds/worker/checkouts/gecko/js/src/vm/Interpreter-inl.h', 'builds/worker/checkouts/gecko/toolkit/components/startup/nsAppStartup.cpp', 'builds/worker/checkouts/gecko/memory/mozalloc/mozalloc.cpp', 'builds/worker/workspace/obj-build/ipc/ipdl/PLayerTransactionParent.cpp', 'builds/worker/checkouts/gecko/widget/GfxInfoBase.cpp', 'gfx/layers/apz/test/mochitest/test_group_hittest-1.html', 'builds/worker/checkouts/gecko/xpcom/threads/RecursiveMutex.cpp', 'builds/worker/checkouts/gecko/gfx/layers/ipc/ContentCompositorBridgeParent.cpp', 'builds/worker/checkouts/gecko/gfx/layers/ipc/CompositorVsyncScheduler.cpp', 'builds/worker/checkouts/gecko/gfx/layers/apz/src/APZSampler.cpp', 'builds/worker/checkouts/gecko/gfx/layers/apz/src/AsyncPanZoomController.cpp', 'builds/worker/checkouts/gecko/gfx/layers/apz/src/APZUpdater.cpp', 'builds/worker/checkouts/gecko/gfx/layers/apz/src/Axis.cpp', 'builds/worker/checkouts/gecko/js/src/jsapi.cpp', 'builds/worker/checkouts/gecko/js/src/vm/Interpreter.cpp', 'builds/worker/checkouts/gecko/gfx/layers/ipc/CompositorBridgeParent.cpp', 'builds/worker/checkouts/gecko/xpcom/threads/nsThread.cpp', 'builds/worker/checkouts/gecko/toolkit/xre/nsXREDirProvider.cpp', 'helper_hittest_basic.html', 'builds/worker/checkouts/gecko/widget/nsBaseWidget.cpp', 'builds/worker/checkouts/gecko/js/src/vm/NativeObject.cpp', 'builds/worker/checkouts/gecko/xpcom/threads/nsThreadUtils.h', 'builds/worker/checkouts/gecko/xpcom/threads/TaskController.cpp', 'builds/worker/workspace/obj-build/ipc/ipdl/PCompositorManagerParent.cpp', 'builds/worker/checkouts/gecko/gfx/layers/composite/AsyncCompositionManager.cpp', 'builds/worker/checkouts/gecko/ipc/glue/MessagePump.cpp', 'builds/worker/checkouts/gecko/gfx/layers/TreeTraversal.h', 'builds/worker/workspace/obj-build/dist/include/mozilla/cxxalloc.h', 'builds/worker/checkouts/gecko/xpcom/threads/nsThreadManager.cpp', 'builds/worker/checkouts/gecko/ipc/glue/MessageChannel.cpp', 'builds/worker/checkouts/gecko/js/xpconnect/src/xpcprivate.h', 'builds/worker/checkouts/gecko/xpcom/reflect/xptcall/md/unix/xptcstubs_x86_64_linux.cpp', 'builds/worker/checkouts/gecko/gfx/layers/apz/src/ScrollThumbUtils.cpp', 'builds/worker/checkouts/gecko/toolkit/xre/nsAppRunner.cpp', 'builds/worker/checkouts/gecko/gfx/layers/apz/src/APZInputBridge.cpp', 'builds/worker/checkouts/gecko/js/xpconnect/src/XPCWrappedNativeJSOps.cpp', 'builds/worker/checkouts/gecko/js/xpconnect/src/XPCWrappedJSClass.cpp', 'builds/worker/workspace/obj-build/ipc/ipdl/PBrowserParent.cpp', 'builds/worker/checkouts/gecko/js/src/vm/ObjectOperations-inl.h', 'builds/worker/checkouts/gecko/widget/nsBaseAppShell.cpp', 'builds/worker/checkouts/gecko/gfx/layers/apz/src/APZCTreeManager.cpp', 'builds/worker/workspace/obj-build/dist/include/nsThreadUtils.h', 'builds/worker/checkouts/gecko/toolkit/xre/Bootstrap.cpp', 'builds/worker/checkouts/gecko/gfx/layers/ipc/LayerTransactionParent.cpp', 'gfx/layers/apz/test/mochitest/test_group_checkerboarding.html', 'builds/worker/checkouts/gecko/xpcom/threads/nsThreadUtils.cpp']</v>
      </c>
      <c r="K234" s="3" t="str">
        <f ca="1">IFERROR(__xludf.DUMMYFUNCTION("""COMPUTED_VALUE"""),"System Dumps")</f>
        <v>System Dumps</v>
      </c>
      <c r="L234" s="3" t="str">
        <f ca="1">IFERROR(__xludf.DUMMYFUNCTION("""COMPUTED_VALUE"""),"File names are part of bug title")</f>
        <v>File names are part of bug title</v>
      </c>
      <c r="M234" s="3"/>
      <c r="N234" s="3"/>
      <c r="O234" s="3"/>
    </row>
    <row r="235" spans="1:15" ht="42">
      <c r="A235" s="3" t="s">
        <v>65</v>
      </c>
      <c r="B235" s="3"/>
      <c r="C235" s="3" t="str">
        <f ca="1">IFERROR(__xludf.DUMMYFUNCTION("""COMPUTED_VALUE"""),"Agree")</f>
        <v>Agree</v>
      </c>
      <c r="D235" s="3">
        <f ca="1">IFERROR(__xludf.DUMMYFUNCTION("""COMPUTED_VALUE"""),122)</f>
        <v>122</v>
      </c>
      <c r="E235" s="3" t="str">
        <f ca="1">IFERROR(__xludf.DUMMYFUNCTION("""COMPUTED_VALUE"""),"Yes")</f>
        <v>Yes</v>
      </c>
      <c r="F235" s="3" t="str">
        <f ca="1">IFERROR(__xludf.DUMMYFUNCTION("""COMPUTED_VALUE"""),"BothRef")</f>
        <v>BothRef</v>
      </c>
      <c r="G235" s="3">
        <f ca="1">IFERROR(__xludf.DUMMYFUNCTION("""COMPUTED_VALUE"""),1800323)</f>
        <v>1800323</v>
      </c>
      <c r="H235" s="3" t="str">
        <f ca="1">IFERROR(__xludf.DUMMYFUNCTION("""COMPUTED_VALUE"""),"{1797329}")</f>
        <v>{1797329}</v>
      </c>
      <c r="I235" s="4" t="str">
        <f ca="1">IFERROR(__xludf.DUMMYFUNCTION("""COMPUTED_VALUE"""),"https://bugzilla.mozilla.org/show_bug.cgi?id=1800323")</f>
        <v>https://bugzilla.mozilla.org/show_bug.cgi?id=1800323</v>
      </c>
      <c r="J235" s="3" t="str">
        <f ca="1">IFERROR(__xludf.DUMMYFUNCTION("""COMPUTED_VALUE"""),"['largest-contentful-paint/web-font-styled-text-resize-swap-smaller.html', 'builds/worker/checkouts/gecko/dom/ipc/jsactor/JSWindowActorChild.cpp', 'builds/worker/checkouts/gecko/dom/events/IMEStateManager.cpp']")</f>
        <v>['largest-contentful-paint/web-font-styled-text-resize-swap-smaller.html', 'builds/worker/checkouts/gecko/dom/ipc/jsactor/JSWindowActorChild.cpp', 'builds/worker/checkouts/gecko/dom/events/IMEStateManager.cpp']</v>
      </c>
      <c r="K235" s="3" t="str">
        <f ca="1">IFERROR(__xludf.DUMMYFUNCTION("""COMPUTED_VALUE"""),"System Dumps")</f>
        <v>System Dumps</v>
      </c>
      <c r="L235" s="3" t="str">
        <f ca="1">IFERROR(__xludf.DUMMYFUNCTION("""COMPUTED_VALUE"""),"File names are part of bug title")</f>
        <v>File names are part of bug title</v>
      </c>
      <c r="M235" s="3"/>
      <c r="N235" s="3"/>
      <c r="O235" s="3"/>
    </row>
    <row r="236" spans="1:15" ht="56">
      <c r="A236" s="3" t="s">
        <v>65</v>
      </c>
      <c r="B236" s="3"/>
      <c r="C236" s="3" t="str">
        <f ca="1">IFERROR(__xludf.DUMMYFUNCTION("""COMPUTED_VALUE"""),"Agree")</f>
        <v>Agree</v>
      </c>
      <c r="D236" s="3">
        <f ca="1">IFERROR(__xludf.DUMMYFUNCTION("""COMPUTED_VALUE"""),123)</f>
        <v>123</v>
      </c>
      <c r="E236" s="3" t="str">
        <f ca="1">IFERROR(__xludf.DUMMYFUNCTION("""COMPUTED_VALUE"""),"Yes")</f>
        <v>Yes</v>
      </c>
      <c r="F236" s="3" t="str">
        <f ca="1">IFERROR(__xludf.DUMMYFUNCTION("""COMPUTED_VALUE"""),"BothRef")</f>
        <v>BothRef</v>
      </c>
      <c r="G236" s="3">
        <f ca="1">IFERROR(__xludf.DUMMYFUNCTION("""COMPUTED_VALUE"""),1581934)</f>
        <v>1581934</v>
      </c>
      <c r="H236" s="3" t="str">
        <f ca="1">IFERROR(__xludf.DUMMYFUNCTION("""COMPUTED_VALUE"""),"{1574493}")</f>
        <v>{1574493}</v>
      </c>
      <c r="I236" s="4" t="str">
        <f ca="1">IFERROR(__xludf.DUMMYFUNCTION("""COMPUTED_VALUE"""),"https://bugzilla.mozilla.org/show_bug.cgi?id=1581934")</f>
        <v>https://bugzilla.mozilla.org/show_bug.cgi?id=1581934</v>
      </c>
      <c r="J236" s="3" t="str">
        <f ca="1">IFERROR(__xludf.DUMMYFUNCTION("""COMPUTED_VALUE"""),"['treeherder.mozilla.org/logviewer.html', '1081185-1.html', 'searchfox.org/mozilla-central/diff/13d6122e891489808ab438c3510013e032e5df47/gfx/wr/webrender/src/prim_store/mod.rs']")</f>
        <v>['treeherder.mozilla.org/logviewer.html', '1081185-1.html', 'searchfox.org/mozilla-central/diff/13d6122e891489808ab438c3510013e032e5df47/gfx/wr/webrender/src/prim_store/mod.rs']</v>
      </c>
      <c r="K236" s="3" t="str">
        <f ca="1">IFERROR(__xludf.DUMMYFUNCTION("""COMPUTED_VALUE"""),"Bug Description")</f>
        <v>Bug Description</v>
      </c>
      <c r="L236" s="3"/>
      <c r="M236" s="3"/>
      <c r="N236" s="3"/>
      <c r="O236" s="3" t="str">
        <f ca="1">IFERROR(__xludf.DUMMYFUNCTION("""COMPUTED_VALUE"""),"Good Detangling, Bad extrinsic")</f>
        <v>Good Detangling, Bad extrinsic</v>
      </c>
    </row>
    <row r="237" spans="1:15" ht="84">
      <c r="A237" s="3" t="s">
        <v>65</v>
      </c>
      <c r="B237" s="3"/>
      <c r="C237" s="3" t="str">
        <f ca="1">IFERROR(__xludf.DUMMYFUNCTION("""COMPUTED_VALUE"""),"Partial")</f>
        <v>Partial</v>
      </c>
      <c r="D237" s="3">
        <f ca="1">IFERROR(__xludf.DUMMYFUNCTION("""COMPUTED_VALUE"""),124)</f>
        <v>124</v>
      </c>
      <c r="E237" s="3" t="str">
        <f ca="1">IFERROR(__xludf.DUMMYFUNCTION("""COMPUTED_VALUE"""),"Yes")</f>
        <v>Yes</v>
      </c>
      <c r="F237" s="3" t="str">
        <f ca="1">IFERROR(__xludf.DUMMYFUNCTION("""COMPUTED_VALUE"""),"BothRef")</f>
        <v>BothRef</v>
      </c>
      <c r="G237" s="3">
        <f ca="1">IFERROR(__xludf.DUMMYFUNCTION("""COMPUTED_VALUE"""),1637564)</f>
        <v>1637564</v>
      </c>
      <c r="H237" s="3" t="str">
        <f ca="1">IFERROR(__xludf.DUMMYFUNCTION("""COMPUTED_VALUE"""),"{1635534}")</f>
        <v>{1635534}</v>
      </c>
      <c r="I237" s="4" t="str">
        <f ca="1">IFERROR(__xludf.DUMMYFUNCTION("""COMPUTED_VALUE"""),"https://bugzilla.mozilla.org/show_bug.cgi?id=1637564")</f>
        <v>https://bugzilla.mozilla.org/show_bug.cgi?id=1637564</v>
      </c>
      <c r="J237" s="3" t="str">
        <f ca="1">IFERROR(__xludf.DUMMYFUNCTION("""COMPUTED_VALUE"""),"['builds/worker/checkouts/gecko/js/src/wasm/WasmStubs.h', 'builds/worker/checkouts/gecko/js/src/wasm/WasmOpIter.h', 'treeherder.mozilla.org/logviewer.html', 'builds/worker/checkouts/gecko/js/src/wasm/WasmValidate.h', 'builds/worker/checkouts/gecko/js/src/"&amp;"wasm/WasmValidate.cpp', 'Unified_cpp_js_src_wasm3.cpp']")</f>
        <v>['builds/worker/checkouts/gecko/js/src/wasm/WasmStubs.h', 'builds/worker/checkouts/gecko/js/src/wasm/WasmOpIter.h', 'treeherder.mozilla.org/logviewer.html', 'builds/worker/checkouts/gecko/js/src/wasm/WasmValidate.h', 'builds/worker/checkouts/gecko/js/src/wasm/WasmValidate.cpp', 'Unified_cpp_js_src_wasm3.cpp']</v>
      </c>
      <c r="K237" s="3" t="str">
        <f ca="1">IFERROR(__xludf.DUMMYFUNCTION("""COMPUTED_VALUE"""),"System Dumps")</f>
        <v>System Dumps</v>
      </c>
      <c r="L237" s="3" t="str">
        <f ca="1">IFERROR(__xludf.DUMMYFUNCTION("""COMPUTED_VALUE"""),"File names are part of bug title")</f>
        <v>File names are part of bug title</v>
      </c>
      <c r="M237" s="3"/>
      <c r="N237" s="3"/>
      <c r="O237" s="3"/>
    </row>
    <row r="238" spans="1:15" ht="98">
      <c r="A238" s="3" t="s">
        <v>65</v>
      </c>
      <c r="B238" s="3"/>
      <c r="C238" s="3" t="str">
        <f ca="1">IFERROR(__xludf.DUMMYFUNCTION("""COMPUTED_VALUE"""),"Partial")</f>
        <v>Partial</v>
      </c>
      <c r="D238" s="3">
        <f ca="1">IFERROR(__xludf.DUMMYFUNCTION("""COMPUTED_VALUE"""),125)</f>
        <v>125</v>
      </c>
      <c r="E238" s="3" t="str">
        <f ca="1">IFERROR(__xludf.DUMMYFUNCTION("""COMPUTED_VALUE"""),"Yes")</f>
        <v>Yes</v>
      </c>
      <c r="F238" s="3" t="str">
        <f ca="1">IFERROR(__xludf.DUMMYFUNCTION("""COMPUTED_VALUE"""),"BothRef")</f>
        <v>BothRef</v>
      </c>
      <c r="G238" s="3">
        <f ca="1">IFERROR(__xludf.DUMMYFUNCTION("""COMPUTED_VALUE"""),1600445)</f>
        <v>1600445</v>
      </c>
      <c r="H238" s="3" t="str">
        <f ca="1">IFERROR(__xludf.DUMMYFUNCTION("""COMPUTED_VALUE"""),"{1599119}")</f>
        <v>{1599119}</v>
      </c>
      <c r="I238" s="4" t="str">
        <f ca="1">IFERROR(__xludf.DUMMYFUNCTION("""COMPUTED_VALUE"""),"https://bugzilla.mozilla.org/show_bug.cgi?id=1600445")</f>
        <v>https://bugzilla.mozilla.org/show_bug.cgi?id=1600445</v>
      </c>
      <c r="J238" s="3" t="str">
        <f ca="1">IFERROR(__xludf.DUMMYFUNCTION("""COMPUTED_VALUE"""),"['encoding/streams/decode-utf8.any.serviceworker.html', 'hg.mozilla.org/mozilla-central/diff/47be1b3fdda63c7c1a5a256fa3f719f67b3f1a54/testing/web-platform/meta/encoding/streams/decode-utf8.any.js.ini', 'decode-utf8.any.serviceworker.html', 'treeherder.moz"&amp;"illa.org/logviewer.html', '8443/encoding/streams/decode-utf8.any.worker.js', 'encoding/streams/decode-utf8.any.sharedworker.html']")</f>
        <v>['encoding/streams/decode-utf8.any.serviceworker.html', 'hg.mozilla.org/mozilla-central/diff/47be1b3fdda63c7c1a5a256fa3f719f67b3f1a54/testing/web-platform/meta/encoding/streams/decode-utf8.any.js.ini', 'decode-utf8.any.serviceworker.html', 'treeherder.mozilla.org/logviewer.html', '8443/encoding/streams/decode-utf8.any.worker.js', 'encoding/streams/decode-utf8.any.sharedworker.html']</v>
      </c>
      <c r="K238" s="3" t="str">
        <f ca="1">IFERROR(__xludf.DUMMYFUNCTION("""COMPUTED_VALUE"""),"System Dumps")</f>
        <v>System Dumps</v>
      </c>
      <c r="L238" s="3" t="str">
        <f ca="1">IFERROR(__xludf.DUMMYFUNCTION("""COMPUTED_VALUE"""),"File names are part of attachment title or commit messages")</f>
        <v>File names are part of attachment title or commit messages</v>
      </c>
      <c r="M238" s="3"/>
      <c r="N238" s="3"/>
      <c r="O238" s="3"/>
    </row>
    <row r="239" spans="1:15" ht="28">
      <c r="A239" s="3" t="s">
        <v>65</v>
      </c>
      <c r="B239" s="3"/>
      <c r="C239" s="3" t="str">
        <f ca="1">IFERROR(__xludf.DUMMYFUNCTION("""COMPUTED_VALUE"""),"Agree")</f>
        <v>Agree</v>
      </c>
      <c r="D239" s="3">
        <f ca="1">IFERROR(__xludf.DUMMYFUNCTION("""COMPUTED_VALUE"""),126)</f>
        <v>126</v>
      </c>
      <c r="E239" s="3" t="str">
        <f ca="1">IFERROR(__xludf.DUMMYFUNCTION("""COMPUTED_VALUE"""),"Yes")</f>
        <v>Yes</v>
      </c>
      <c r="F239" s="3" t="str">
        <f ca="1">IFERROR(__xludf.DUMMYFUNCTION("""COMPUTED_VALUE"""),"BothRef")</f>
        <v>BothRef</v>
      </c>
      <c r="G239" s="3">
        <f ca="1">IFERROR(__xludf.DUMMYFUNCTION("""COMPUTED_VALUE"""),1541660)</f>
        <v>1541660</v>
      </c>
      <c r="H239" s="3" t="str">
        <f ca="1">IFERROR(__xludf.DUMMYFUNCTION("""COMPUTED_VALUE"""),"{1538770}")</f>
        <v>{1538770}</v>
      </c>
      <c r="I239" s="4" t="str">
        <f ca="1">IFERROR(__xludf.DUMMYFUNCTION("""COMPUTED_VALUE"""),"https://bugzilla.mozilla.org/show_bug.cgi?id=1541660")</f>
        <v>https://bugzilla.mozilla.org/show_bug.cgi?id=1541660</v>
      </c>
      <c r="J239" s="3" t="str">
        <f ca="1">IFERROR(__xludf.DUMMYFUNCTION("""COMPUTED_VALUE"""),"['home/emilio/src/moz/gecko/python/mozbuild/mozbuild/mach_commands.py']")</f>
        <v>['home/emilio/src/moz/gecko/python/mozbuild/mozbuild/mach_commands.py']</v>
      </c>
      <c r="K239" s="3" t="str">
        <f ca="1">IFERROR(__xludf.DUMMYFUNCTION("""COMPUTED_VALUE"""),"System Dumps")</f>
        <v>System Dumps</v>
      </c>
      <c r="L239" s="3"/>
      <c r="M239" s="3"/>
      <c r="N239" s="3"/>
      <c r="O239" s="3"/>
    </row>
    <row r="240" spans="1:15" ht="42">
      <c r="A240" s="3" t="s">
        <v>65</v>
      </c>
      <c r="B240" s="3"/>
      <c r="C240" s="3" t="str">
        <f ca="1">IFERROR(__xludf.DUMMYFUNCTION("""COMPUTED_VALUE"""),"Agree")</f>
        <v>Agree</v>
      </c>
      <c r="D240" s="3">
        <f ca="1">IFERROR(__xludf.DUMMYFUNCTION("""COMPUTED_VALUE"""),127)</f>
        <v>127</v>
      </c>
      <c r="E240" s="3" t="str">
        <f ca="1">IFERROR(__xludf.DUMMYFUNCTION("""COMPUTED_VALUE"""),"Yes")</f>
        <v>Yes</v>
      </c>
      <c r="F240" s="3" t="str">
        <f ca="1">IFERROR(__xludf.DUMMYFUNCTION("""COMPUTED_VALUE"""),"FixRef")</f>
        <v>FixRef</v>
      </c>
      <c r="G240" s="3">
        <f ca="1">IFERROR(__xludf.DUMMYFUNCTION("""COMPUTED_VALUE"""),1733957)</f>
        <v>1733957</v>
      </c>
      <c r="H240" s="3" t="str">
        <f ca="1">IFERROR(__xludf.DUMMYFUNCTION("""COMPUTED_VALUE"""),"{1731132}")</f>
        <v>{1731132}</v>
      </c>
      <c r="I240" s="4" t="str">
        <f ca="1">IFERROR(__xludf.DUMMYFUNCTION("""COMPUTED_VALUE"""),"https://bugzilla.mozilla.org/show_bug.cgi?id=1733957")</f>
        <v>https://bugzilla.mozilla.org/show_bug.cgi?id=1733957</v>
      </c>
      <c r="J240" s="3" t="str">
        <f ca="1">IFERROR(__xludf.DUMMYFUNCTION("""COMPUTED_VALUE"""),"['firefox-source-docs.mozilla.org/testing/perfdocs/talos.html', 'inline-style-cache-1.html']")</f>
        <v>['firefox-source-docs.mozilla.org/testing/perfdocs/talos.html', 'inline-style-cache-1.html']</v>
      </c>
      <c r="K240" s="3" t="str">
        <f ca="1">IFERROR(__xludf.DUMMYFUNCTION("""COMPUTED_VALUE"""),"Bug Description")</f>
        <v>Bug Description</v>
      </c>
      <c r="L240" s="3" t="str">
        <f ca="1">IFERROR(__xludf.DUMMYFUNCTION("""COMPUTED_VALUE"""),"File names are part of attachment title or commit messages")</f>
        <v>File names are part of attachment title or commit messages</v>
      </c>
      <c r="M240" s="3"/>
      <c r="N240" s="3"/>
      <c r="O240" s="3"/>
    </row>
    <row r="241" spans="1:15" ht="140">
      <c r="A241" s="3" t="s">
        <v>65</v>
      </c>
      <c r="B241" s="3"/>
      <c r="C241" s="3" t="str">
        <f ca="1">IFERROR(__xludf.DUMMYFUNCTION("""COMPUTED_VALUE"""),"Partial")</f>
        <v>Partial</v>
      </c>
      <c r="D241" s="3">
        <f ca="1">IFERROR(__xludf.DUMMYFUNCTION("""COMPUTED_VALUE"""),128)</f>
        <v>128</v>
      </c>
      <c r="E241" s="3" t="str">
        <f ca="1">IFERROR(__xludf.DUMMYFUNCTION("""COMPUTED_VALUE"""),"Yes")</f>
        <v>Yes</v>
      </c>
      <c r="F241" s="3" t="str">
        <f ca="1">IFERROR(__xludf.DUMMYFUNCTION("""COMPUTED_VALUE"""),"BothRef")</f>
        <v>BothRef</v>
      </c>
      <c r="G241" s="3">
        <f ca="1">IFERROR(__xludf.DUMMYFUNCTION("""COMPUTED_VALUE"""),1564241)</f>
        <v>1564241</v>
      </c>
      <c r="H241" s="3" t="str">
        <f ca="1">IFERROR(__xludf.DUMMYFUNCTION("""COMPUTED_VALUE"""),"{1484251}")</f>
        <v>{1484251}</v>
      </c>
      <c r="I241" s="4" t="str">
        <f ca="1">IFERROR(__xludf.DUMMYFUNCTION("""COMPUTED_VALUE"""),"https://bugzilla.mozilla.org/show_bug.cgi?id=1564241")</f>
        <v>https://bugzilla.mozilla.org/show_bug.cgi?id=1564241</v>
      </c>
      <c r="J241" s="3" t="str">
        <f ca="1">IFERROR(__xludf.DUMMYFUNCTION("""COMPUTED_VALUE"""),"['build/build/src/obj-firefox/dist/include\\mozilla/RangeBoundary.h', 'browser/base/content/test/trackingUI/browser_trackingUI_telemetry.js', 'build/build/src/obj-firefox/dist/include\\nsIURIMutator.h', 'treeherder.mozilla.org/logviewer.html', 'mochitests"&amp;"/content/browser/browser/base/content/test/trackingUI/browser_trackingUI_telemetry.js', 'build/build/src/js/xpconnect/src/XPCJSContext.cpp', 'mochikit/content/browser-test.js', 'mochikit/content/tests/SimpleTest/SimpleTest.js', 'treeherder.mozilla.org/int"&amp;"ermittent-failures.html']")</f>
        <v>['build/build/src/obj-firefox/dist/include\\mozilla/RangeBoundary.h', 'browser/base/content/test/trackingUI/browser_trackingUI_telemetry.js', 'build/build/src/obj-firefox/dist/include\\nsIURIMutator.h', 'treeherder.mozilla.org/logviewer.html', 'mochitests/content/browser/browser/base/content/test/trackingUI/browser_trackingUI_telemetry.js', 'build/build/src/js/xpconnect/src/XPCJSContext.cpp', 'mochikit/content/browser-test.js', 'mochikit/content/tests/SimpleTest/SimpleTest.js', 'treeherder.mozilla.org/intermittent-failures.html']</v>
      </c>
      <c r="K241" s="3" t="str">
        <f ca="1">IFERROR(__xludf.DUMMYFUNCTION("""COMPUTED_VALUE"""),"System Dumps")</f>
        <v>System Dumps</v>
      </c>
      <c r="L241" s="3" t="str">
        <f ca="1">IFERROR(__xludf.DUMMYFUNCTION("""COMPUTED_VALUE"""),"File names are part of bug title")</f>
        <v>File names are part of bug title</v>
      </c>
      <c r="M241" s="3"/>
      <c r="N241" s="3"/>
      <c r="O241" s="3"/>
    </row>
    <row r="242" spans="1:15" ht="98">
      <c r="A242" s="3" t="s">
        <v>65</v>
      </c>
      <c r="B242" s="3"/>
      <c r="C242" s="3" t="str">
        <f ca="1">IFERROR(__xludf.DUMMYFUNCTION("""COMPUTED_VALUE"""),"Agree")</f>
        <v>Agree</v>
      </c>
      <c r="D242" s="3">
        <f ca="1">IFERROR(__xludf.DUMMYFUNCTION("""COMPUTED_VALUE"""),129)</f>
        <v>129</v>
      </c>
      <c r="E242" s="3" t="str">
        <f ca="1">IFERROR(__xludf.DUMMYFUNCTION("""COMPUTED_VALUE"""),"Yes")</f>
        <v>Yes</v>
      </c>
      <c r="F242" s="3" t="str">
        <f ca="1">IFERROR(__xludf.DUMMYFUNCTION("""COMPUTED_VALUE"""),"BothRef")</f>
        <v>BothRef</v>
      </c>
      <c r="G242" s="3">
        <f ca="1">IFERROR(__xludf.DUMMYFUNCTION("""COMPUTED_VALUE"""),1682919)</f>
        <v>1682919</v>
      </c>
      <c r="H242" s="3" t="str">
        <f ca="1">IFERROR(__xludf.DUMMYFUNCTION("""COMPUTED_VALUE"""),"{1669861}")</f>
        <v>{1669861}</v>
      </c>
      <c r="I242" s="4" t="str">
        <f ca="1">IFERROR(__xludf.DUMMYFUNCTION("""COMPUTED_VALUE"""),"https://bugzilla.mozilla.org/show_bug.cgi?id=1682919")</f>
        <v>https://bugzilla.mozilla.org/show_bug.cgi?id=1682919</v>
      </c>
      <c r="J242" s="3" t="str">
        <f ca="1">IFERROR(__xludf.DUMMYFUNCTION("""COMPUTED_VALUE"""),"['searchfox.org/mozilla-central/rev/2a24205479519e70c0574929f45730d285141584/layout/generic/nsGfxScrollFrame.cpp', 'searchfox.org/mozilla-central/rev/2a24205479519e70c0574929f45730d285141584/layout/base/DisplayPortUtils.cpp', 'searchfox.org/mozilla-centra"&amp;"l/rev/31ddf859c57e812878a5f817e4097efb06de4d97/layout/generic/nsGfxScrollFrame.cpp', 'reduced.html']")</f>
        <v>['searchfox.org/mozilla-central/rev/2a24205479519e70c0574929f45730d285141584/layout/generic/nsGfxScrollFrame.cpp', 'searchfox.org/mozilla-central/rev/2a24205479519e70c0574929f45730d285141584/layout/base/DisplayPortUtils.cpp', 'searchfox.org/mozilla-central/rev/31ddf859c57e812878a5f817e4097efb06de4d97/layout/generic/nsGfxScrollFrame.cpp', 'reduced.html']</v>
      </c>
      <c r="K242" s="3" t="str">
        <f ca="1">IFERROR(__xludf.DUMMYFUNCTION("""COMPUTED_VALUE"""),"Bug Description")</f>
        <v>Bug Description</v>
      </c>
      <c r="L242" s="3"/>
      <c r="M242" s="3"/>
      <c r="N242" s="3"/>
      <c r="O242" s="3"/>
    </row>
    <row r="243" spans="1:15" ht="140">
      <c r="A243" s="3" t="s">
        <v>65</v>
      </c>
      <c r="B243" s="3"/>
      <c r="C243" s="3" t="str">
        <f ca="1">IFERROR(__xludf.DUMMYFUNCTION("""COMPUTED_VALUE"""),"Partial")</f>
        <v>Partial</v>
      </c>
      <c r="D243" s="3">
        <f ca="1">IFERROR(__xludf.DUMMYFUNCTION("""COMPUTED_VALUE"""),130)</f>
        <v>130</v>
      </c>
      <c r="E243" s="3" t="str">
        <f ca="1">IFERROR(__xludf.DUMMYFUNCTION("""COMPUTED_VALUE"""),"Yes")</f>
        <v>Yes</v>
      </c>
      <c r="F243" s="3" t="str">
        <f ca="1">IFERROR(__xludf.DUMMYFUNCTION("""COMPUTED_VALUE"""),"FixRef")</f>
        <v>FixRef</v>
      </c>
      <c r="G243" s="3">
        <f ca="1">IFERROR(__xludf.DUMMYFUNCTION("""COMPUTED_VALUE"""),1668706)</f>
        <v>1668706</v>
      </c>
      <c r="H243" s="3" t="str">
        <f ca="1">IFERROR(__xludf.DUMMYFUNCTION("""COMPUTED_VALUE"""),"{1658684}")</f>
        <v>{1658684}</v>
      </c>
      <c r="I243" s="4" t="str">
        <f ca="1">IFERROR(__xludf.DUMMYFUNCTION("""COMPUTED_VALUE"""),"https://bugzilla.mozilla.org/show_bug.cgi?id=1668706")</f>
        <v>https://bugzilla.mozilla.org/show_bug.cgi?id=1668706</v>
      </c>
      <c r="J243" s="3" t="str">
        <f ca="1">IFERROR(__xludf.DUMMYFUNCTION("""COMPUTED_VALUE"""),"['searchfox.org/mozilla-central/rev/222e4f64b769413ac1a1991d2397b13a0acb5d9d/mfbt/UniquePtrExtensions.h', '\\mozilla-source\\mozilla-central\\gfx\\webrender_bindings\\RenderThread.cpp', 'searchfox.org/mozilla-central/rev/222e4f64b769413ac1a1991d2397b13a0a"&amp;"cb5d9d/ipc/glue/FileDescriptor.cpp', '\\mozilla-source\\obj-mc-dbg\\dist\\include\\nsThreadUtils.h', 'mozilla-source/mozilla-central/ipc/glue/FileDescriptor.cpp', '\\mozilla-source\\mozilla-central\\ipc\\chromium\\src\\base\\message_loop.cc']")</f>
        <v>['searchfox.org/mozilla-central/rev/222e4f64b769413ac1a1991d2397b13a0acb5d9d/mfbt/UniquePtrExtensions.h', '\\mozilla-source\\mozilla-central\\gfx\\webrender_bindings\\RenderThread.cpp', 'searchfox.org/mozilla-central/rev/222e4f64b769413ac1a1991d2397b13a0acb5d9d/ipc/glue/FileDescriptor.cpp', '\\mozilla-source\\obj-mc-dbg\\dist\\include\\nsThreadUtils.h', 'mozilla-source/mozilla-central/ipc/glue/FileDescriptor.cpp', '\\mozilla-source\\mozilla-central\\ipc\\chromium\\src\\base\\message_loop.cc']</v>
      </c>
      <c r="K243" s="3" t="str">
        <f ca="1">IFERROR(__xludf.DUMMYFUNCTION("""COMPUTED_VALUE"""),"System Dumps")</f>
        <v>System Dumps</v>
      </c>
      <c r="L243" s="3" t="str">
        <f ca="1">IFERROR(__xludf.DUMMYFUNCTION("""COMPUTED_VALUE"""),"Bug Description")</f>
        <v>Bug Description</v>
      </c>
      <c r="M243" s="3"/>
      <c r="N243" s="3"/>
      <c r="O243" s="3"/>
    </row>
    <row r="244" spans="1:15" ht="42">
      <c r="A244" s="3" t="s">
        <v>65</v>
      </c>
      <c r="B244" s="3"/>
      <c r="C244" s="3" t="str">
        <f ca="1">IFERROR(__xludf.DUMMYFUNCTION("""COMPUTED_VALUE"""),"Agree")</f>
        <v>Agree</v>
      </c>
      <c r="D244" s="3">
        <f ca="1">IFERROR(__xludf.DUMMYFUNCTION("""COMPUTED_VALUE"""),131)</f>
        <v>131</v>
      </c>
      <c r="E244" s="3" t="str">
        <f ca="1">IFERROR(__xludf.DUMMYFUNCTION("""COMPUTED_VALUE"""),"Yes")</f>
        <v>Yes</v>
      </c>
      <c r="F244" s="3" t="str">
        <f ca="1">IFERROR(__xludf.DUMMYFUNCTION("""COMPUTED_VALUE"""),"BothRef")</f>
        <v>BothRef</v>
      </c>
      <c r="G244" s="3">
        <f ca="1">IFERROR(__xludf.DUMMYFUNCTION("""COMPUTED_VALUE"""),1586603)</f>
        <v>1586603</v>
      </c>
      <c r="H244" s="3" t="str">
        <f ca="1">IFERROR(__xludf.DUMMYFUNCTION("""COMPUTED_VALUE"""),"{1565380}")</f>
        <v>{1565380}</v>
      </c>
      <c r="I244" s="4" t="str">
        <f ca="1">IFERROR(__xludf.DUMMYFUNCTION("""COMPUTED_VALUE"""),"https://bugzilla.mozilla.org/show_bug.cgi?id=1586603")</f>
        <v>https://bugzilla.mozilla.org/show_bug.cgi?id=1586603</v>
      </c>
      <c r="J244" s="3" t="str">
        <f ca="1">IFERROR(__xludf.DUMMYFUNCTION("""COMPUTED_VALUE"""),"['treeherder.mozilla.org/testview.html', 'a/devtools/client/scratchpad/scratchpad.js', 'b/devtools/client/scratchpad/scratchpad.js']")</f>
        <v>['treeherder.mozilla.org/testview.html', 'a/devtools/client/scratchpad/scratchpad.js', 'b/devtools/client/scratchpad/scratchpad.js']</v>
      </c>
      <c r="K244" s="3" t="str">
        <f ca="1">IFERROR(__xludf.DUMMYFUNCTION("""COMPUTED_VALUE"""),"Bug Description")</f>
        <v>Bug Description</v>
      </c>
      <c r="L244" s="3" t="str">
        <f ca="1">IFERROR(__xludf.DUMMYFUNCTION("""COMPUTED_VALUE"""),"Part of Code")</f>
        <v>Part of Code</v>
      </c>
      <c r="M244" s="3"/>
      <c r="N244" s="3"/>
      <c r="O244" s="3" t="str">
        <f ca="1">IFERROR(__xludf.DUMMYFUNCTION("""COMPUTED_VALUE"""),"File name is part of code snippet")</f>
        <v>File name is part of code snippet</v>
      </c>
    </row>
    <row r="245" spans="1:15" ht="112">
      <c r="A245" s="3" t="s">
        <v>65</v>
      </c>
      <c r="B245" s="3"/>
      <c r="C245" s="3" t="str">
        <f ca="1">IFERROR(__xludf.DUMMYFUNCTION("""COMPUTED_VALUE"""),"Agree")</f>
        <v>Agree</v>
      </c>
      <c r="D245" s="3">
        <f ca="1">IFERROR(__xludf.DUMMYFUNCTION("""COMPUTED_VALUE"""),132)</f>
        <v>132</v>
      </c>
      <c r="E245" s="3" t="str">
        <f ca="1">IFERROR(__xludf.DUMMYFUNCTION("""COMPUTED_VALUE"""),"Yes")</f>
        <v>Yes</v>
      </c>
      <c r="F245" s="3" t="str">
        <f ca="1">IFERROR(__xludf.DUMMYFUNCTION("""COMPUTED_VALUE"""),"FixRef")</f>
        <v>FixRef</v>
      </c>
      <c r="G245" s="3">
        <f ca="1">IFERROR(__xludf.DUMMYFUNCTION("""COMPUTED_VALUE"""),1601905)</f>
        <v>1601905</v>
      </c>
      <c r="H245" s="3" t="str">
        <f ca="1">IFERROR(__xludf.DUMMYFUNCTION("""COMPUTED_VALUE"""),"{1588975}")</f>
        <v>{1588975}</v>
      </c>
      <c r="I245" s="4" t="str">
        <f ca="1">IFERROR(__xludf.DUMMYFUNCTION("""COMPUTED_VALUE"""),"https://bugzilla.mozilla.org/show_bug.cgi?id=1601905")</f>
        <v>https://bugzilla.mozilla.org/show_bug.cgi?id=1601905</v>
      </c>
      <c r="J245" s="3" t="str">
        <f ca="1">IFERROR(__xludf.DUMMYFUNCTION("""COMPUTED_VALUE"""),"['searchfox.org/comm-central/rev/e23955012159e85de5a57d21a27f61f170fc3804/mailnews/base/src/nsMessenger.cpp', 'searchfox.org/comm-central/rev/e23955012159e85de5a57d21a27f61f170fc3804/mail/base/content/msgHdrView.js', '123.txt', 'searchfox.org/mozilla-cent"&amp;"ral/rev/d24696b5abaf9fb75f7985952eab50d5f4ed52ac/xpcom/threads/nsProcessCommon.cpp', 'q=OpenAttachment&amp;case=false&amp;regexp=false&amp;path=Service.cpp']")</f>
        <v>['searchfox.org/comm-central/rev/e23955012159e85de5a57d21a27f61f170fc3804/mailnews/base/src/nsMessenger.cpp', 'searchfox.org/comm-central/rev/e23955012159e85de5a57d21a27f61f170fc3804/mail/base/content/msgHdrView.js', '123.txt', 'searchfox.org/mozilla-central/rev/d24696b5abaf9fb75f7985952eab50d5f4ed52ac/xpcom/threads/nsProcessCommon.cpp', 'q=OpenAttachment&amp;case=false&amp;regexp=false&amp;path=Service.cpp']</v>
      </c>
      <c r="K245" s="3" t="str">
        <f ca="1">IFERROR(__xludf.DUMMYFUNCTION("""COMPUTED_VALUE"""),"Bug Description")</f>
        <v>Bug Description</v>
      </c>
      <c r="L245" s="3"/>
      <c r="M245" s="3"/>
      <c r="N245" s="3"/>
      <c r="O245" s="3"/>
    </row>
    <row r="246" spans="1:15" ht="126">
      <c r="A246" s="3" t="s">
        <v>65</v>
      </c>
      <c r="B246" s="3"/>
      <c r="C246" s="3" t="str">
        <f ca="1">IFERROR(__xludf.DUMMYFUNCTION("""COMPUTED_VALUE"""),"Agree")</f>
        <v>Agree</v>
      </c>
      <c r="D246" s="3">
        <f ca="1">IFERROR(__xludf.DUMMYFUNCTION("""COMPUTED_VALUE"""),133)</f>
        <v>133</v>
      </c>
      <c r="E246" s="3" t="str">
        <f ca="1">IFERROR(__xludf.DUMMYFUNCTION("""COMPUTED_VALUE"""),"Yes")</f>
        <v>Yes</v>
      </c>
      <c r="F246" s="3" t="str">
        <f ca="1">IFERROR(__xludf.DUMMYFUNCTION("""COMPUTED_VALUE"""),"BothRef")</f>
        <v>BothRef</v>
      </c>
      <c r="G246" s="3">
        <f ca="1">IFERROR(__xludf.DUMMYFUNCTION("""COMPUTED_VALUE"""),1761691)</f>
        <v>1761691</v>
      </c>
      <c r="H246" s="3" t="str">
        <f ca="1">IFERROR(__xludf.DUMMYFUNCTION("""COMPUTED_VALUE"""),"{1761663, 1760774, 1760839}")</f>
        <v>{1761663, 1760774, 1760839}</v>
      </c>
      <c r="I246" s="4" t="str">
        <f ca="1">IFERROR(__xludf.DUMMYFUNCTION("""COMPUTED_VALUE"""),"https://bugzilla.mozilla.org/show_bug.cgi?id=1761691")</f>
        <v>https://bugzilla.mozilla.org/show_bug.cgi?id=1761691</v>
      </c>
      <c r="J246" s="3" t="str">
        <f ca="1">IFERROR(__xludf.DUMMYFUNCTION("""COMPUTED_VALUE"""),"['src/mach_sys.rs', 'README.md', 'src/firefox-100.0b8/third_party/rust/audio_thread_priority/Cargo.toml', 'generate_osx_bindings.sh', 'src/rt_linux.rs', 'audio_thread_priority.h', '.cargo-checksum.json', 'atp_test.cpp', 'src/firefox-100.0b8/third_party/ru"&amp;"st/audio_thread_priority/Cargoorg.toml', 'src/rt_win.rs', 'Cargo.toml', 'src/firefox-100.0b8/third_party/rust/audio_thread_priority/.cargo-checksumorg.json', 'src/rt_mach.rs', 'src/lib.rs', 'src/firefox-100.0b8/third_party/rust/audio_thread_priority/.carg"&amp;"o-checksum.json']")</f>
        <v>['src/mach_sys.rs', 'README.md', 'src/firefox-100.0b8/third_party/rust/audio_thread_priority/Cargo.toml', 'generate_osx_bindings.sh', 'src/rt_linux.rs', 'audio_thread_priority.h', '.cargo-checksum.json', 'atp_test.cpp', 'src/firefox-100.0b8/third_party/rust/audio_thread_priority/Cargoorg.toml', 'src/rt_win.rs', 'Cargo.toml', 'src/firefox-100.0b8/third_party/rust/audio_thread_priority/.cargo-checksumorg.json', 'src/rt_mach.rs', 'src/lib.rs', 'src/firefox-100.0b8/third_party/rust/audio_thread_priority/.cargo-checksum.json']</v>
      </c>
      <c r="K246" s="3" t="str">
        <f ca="1">IFERROR(__xludf.DUMMYFUNCTION("""COMPUTED_VALUE"""),"System Dumps")</f>
        <v>System Dumps</v>
      </c>
      <c r="L246" s="3" t="str">
        <f ca="1">IFERROR(__xludf.DUMMYFUNCTION("""COMPUTED_VALUE"""),"Part of Code")</f>
        <v>Part of Code</v>
      </c>
      <c r="M246" s="3"/>
      <c r="N246" s="3"/>
      <c r="O246" s="3" t="str">
        <f ca="1">IFERROR(__xludf.DUMMYFUNCTION("""COMPUTED_VALUE"""),"Git diff")</f>
        <v>Git diff</v>
      </c>
    </row>
    <row r="247" spans="1:15" ht="168">
      <c r="A247" s="3" t="s">
        <v>65</v>
      </c>
      <c r="B247" s="3"/>
      <c r="C247" s="3" t="str">
        <f ca="1">IFERROR(__xludf.DUMMYFUNCTION("""COMPUTED_VALUE"""),"Partial")</f>
        <v>Partial</v>
      </c>
      <c r="D247" s="3">
        <f ca="1">IFERROR(__xludf.DUMMYFUNCTION("""COMPUTED_VALUE"""),134)</f>
        <v>134</v>
      </c>
      <c r="E247" s="3" t="str">
        <f ca="1">IFERROR(__xludf.DUMMYFUNCTION("""COMPUTED_VALUE"""),"Yes")</f>
        <v>Yes</v>
      </c>
      <c r="F247" s="3" t="str">
        <f ca="1">IFERROR(__xludf.DUMMYFUNCTION("""COMPUTED_VALUE"""),"FixRef")</f>
        <v>FixRef</v>
      </c>
      <c r="G247" s="3">
        <f ca="1">IFERROR(__xludf.DUMMYFUNCTION("""COMPUTED_VALUE"""),1755006)</f>
        <v>1755006</v>
      </c>
      <c r="H247" s="3" t="str">
        <f ca="1">IFERROR(__xludf.DUMMYFUNCTION("""COMPUTED_VALUE"""),"{1300658}")</f>
        <v>{1300658}</v>
      </c>
      <c r="I247" s="4" t="str">
        <f ca="1">IFERROR(__xludf.DUMMYFUNCTION("""COMPUTED_VALUE"""),"https://bugzilla.mozilla.org/show_bug.cgi?id=1755006")</f>
        <v>https://bugzilla.mozilla.org/show_bug.cgi?id=1755006</v>
      </c>
      <c r="J247" s="3" t="str">
        <f ca="1">IFERROR(__xludf.DUMMYFUNCTION("""COMPUTED_VALUE"""),"['test_pointerlock-api.html', 'chrome.json', 'firefox-source-docs.mozilla.org/testing/perfdocs/raptor.html', 'browser_panel_list_accessibility.js', 'searchfox.org/mozilla-central/rev/e66593593f3b356901011ea0fcdf9979728e9ae8/xpcom/threads/EventQueue.h', 's"&amp;"earchfox.org/mozilla-central/rev/e66593593f3b356901011ea0fcdf9979728e9ae8/layout/base/nsRefreshDriver.cpp', 'firefox.json', 'searchfox.org/mozilla-central/source/xpcom/threads/ThrottledEventQueue.h', 'safari.json', 'jrmuizel.github.io/twitch/volume.html',"&amp;" 'browser_ext_pageAction_context.js', 'toolkit/mozapps/extensions/test/browser/browser_panel_list_accessibility.js', 'test.html']")</f>
        <v>['test_pointerlock-api.html', 'chrome.json', 'firefox-source-docs.mozilla.org/testing/perfdocs/raptor.html', 'browser_panel_list_accessibility.js', 'searchfox.org/mozilla-central/rev/e66593593f3b356901011ea0fcdf9979728e9ae8/xpcom/threads/EventQueue.h', 'searchfox.org/mozilla-central/rev/e66593593f3b356901011ea0fcdf9979728e9ae8/layout/base/nsRefreshDriver.cpp', 'firefox.json', 'searchfox.org/mozilla-central/source/xpcom/threads/ThrottledEventQueue.h', 'safari.json', 'jrmuizel.github.io/twitch/volume.html', 'browser_ext_pageAction_context.js', 'toolkit/mozapps/extensions/test/browser/browser_panel_list_accessibility.js', 'test.html']</v>
      </c>
      <c r="K247" s="3" t="str">
        <f ca="1">IFERROR(__xludf.DUMMYFUNCTION("""COMPUTED_VALUE"""),"Bug Description")</f>
        <v>Bug Description</v>
      </c>
      <c r="L247" s="3" t="str">
        <f ca="1">IFERROR(__xludf.DUMMYFUNCTION("""COMPUTED_VALUE"""),"System Dumps")</f>
        <v>System Dumps</v>
      </c>
      <c r="M247" s="3"/>
      <c r="N247" s="3"/>
      <c r="O247" s="3"/>
    </row>
    <row r="248" spans="1:15" ht="42">
      <c r="A248" s="3" t="s">
        <v>65</v>
      </c>
      <c r="B248" s="3"/>
      <c r="C248" s="3" t="str">
        <f ca="1">IFERROR(__xludf.DUMMYFUNCTION("""COMPUTED_VALUE"""),"Agree")</f>
        <v>Agree</v>
      </c>
      <c r="D248" s="3">
        <f ca="1">IFERROR(__xludf.DUMMYFUNCTION("""COMPUTED_VALUE"""),135)</f>
        <v>135</v>
      </c>
      <c r="E248" s="3" t="str">
        <f ca="1">IFERROR(__xludf.DUMMYFUNCTION("""COMPUTED_VALUE"""),"Yes")</f>
        <v>Yes</v>
      </c>
      <c r="F248" s="3" t="str">
        <f ca="1">IFERROR(__xludf.DUMMYFUNCTION("""COMPUTED_VALUE"""),"BothRef")</f>
        <v>BothRef</v>
      </c>
      <c r="G248" s="3">
        <f ca="1">IFERROR(__xludf.DUMMYFUNCTION("""COMPUTED_VALUE"""),1641510)</f>
        <v>1641510</v>
      </c>
      <c r="H248" s="3" t="str">
        <f ca="1">IFERROR(__xludf.DUMMYFUNCTION("""COMPUTED_VALUE"""),"{1638011}")</f>
        <v>{1638011}</v>
      </c>
      <c r="I248" s="4" t="str">
        <f ca="1">IFERROR(__xludf.DUMMYFUNCTION("""COMPUTED_VALUE"""),"https://bugzilla.mozilla.org/show_bug.cgi?id=1641510")</f>
        <v>https://bugzilla.mozilla.org/show_bug.cgi?id=1641510</v>
      </c>
      <c r="J248" s="3" t="str">
        <f ca="1">IFERROR(__xludf.DUMMYFUNCTION("""COMPUTED_VALUE"""),"['searchfox.org/mozilla-central/rev/bc3600def806859c31b2c7ac06e3d69271052a89/gfx/config/gfxConfigManager.cpp', 'about_support.js']")</f>
        <v>['searchfox.org/mozilla-central/rev/bc3600def806859c31b2c7ac06e3d69271052a89/gfx/config/gfxConfigManager.cpp', 'about_support.js']</v>
      </c>
      <c r="K248" s="3" t="str">
        <f ca="1">IFERROR(__xludf.DUMMYFUNCTION("""COMPUTED_VALUE"""),"Bug Description")</f>
        <v>Bug Description</v>
      </c>
      <c r="L248" s="3" t="str">
        <f ca="1">IFERROR(__xludf.DUMMYFUNCTION("""COMPUTED_VALUE"""),"Bug Reproducibility")</f>
        <v>Bug Reproducibility</v>
      </c>
      <c r="M248" s="3"/>
      <c r="N248" s="3"/>
      <c r="O248" s="3"/>
    </row>
    <row r="249" spans="1:15" ht="56">
      <c r="A249" s="3" t="s">
        <v>65</v>
      </c>
      <c r="B249" s="3"/>
      <c r="C249" s="3" t="str">
        <f ca="1">IFERROR(__xludf.DUMMYFUNCTION("""COMPUTED_VALUE"""),"Agree")</f>
        <v>Agree</v>
      </c>
      <c r="D249" s="3">
        <f ca="1">IFERROR(__xludf.DUMMYFUNCTION("""COMPUTED_VALUE"""),136)</f>
        <v>136</v>
      </c>
      <c r="E249" s="3" t="str">
        <f ca="1">IFERROR(__xludf.DUMMYFUNCTION("""COMPUTED_VALUE"""),"Yes")</f>
        <v>Yes</v>
      </c>
      <c r="F249" s="3" t="str">
        <f ca="1">IFERROR(__xludf.DUMMYFUNCTION("""COMPUTED_VALUE"""),"BothRef")</f>
        <v>BothRef</v>
      </c>
      <c r="G249" s="3">
        <f ca="1">IFERROR(__xludf.DUMMYFUNCTION("""COMPUTED_VALUE"""),1640906)</f>
        <v>1640906</v>
      </c>
      <c r="H249" s="3" t="str">
        <f ca="1">IFERROR(__xludf.DUMMYFUNCTION("""COMPUTED_VALUE"""),"{1625156}")</f>
        <v>{1625156}</v>
      </c>
      <c r="I249" s="4" t="str">
        <f ca="1">IFERROR(__xludf.DUMMYFUNCTION("""COMPUTED_VALUE"""),"https://bugzilla.mozilla.org/show_bug.cgi?id=1640906")</f>
        <v>https://bugzilla.mozilla.org/show_bug.cgi?id=1640906</v>
      </c>
      <c r="J249" s="3" t="str">
        <f ca="1">IFERROR(__xludf.DUMMYFUNCTION("""COMPUTED_VALUE"""),"['hg.mozilla.org/mozilla-central/raw-file/tip/layout/tools/reftest/reftest-analyzer.xhtml', 'treeherder.mozilla.org/intermittent-failures.html', 'toolkit/components/httpsonlyerror/tests/browser/browser_exception.js', 'treeherder.mozilla.org/logviewer.html"&amp;"']")</f>
        <v>['hg.mozilla.org/mozilla-central/raw-file/tip/layout/tools/reftest/reftest-analyzer.xhtml', 'treeherder.mozilla.org/intermittent-failures.html', 'toolkit/components/httpsonlyerror/tests/browser/browser_exception.js', 'treeherder.mozilla.org/logviewer.html']</v>
      </c>
      <c r="K249" s="3" t="str">
        <f ca="1">IFERROR(__xludf.DUMMYFUNCTION("""COMPUTED_VALUE"""),"Bug Description")</f>
        <v>Bug Description</v>
      </c>
      <c r="L249" s="3" t="str">
        <f ca="1">IFERROR(__xludf.DUMMYFUNCTION("""COMPUTED_VALUE"""),"File names are part of attachment title or commit messages")</f>
        <v>File names are part of attachment title or commit messages</v>
      </c>
      <c r="M249" s="3"/>
      <c r="N249" s="3"/>
      <c r="O249" s="3"/>
    </row>
    <row r="250" spans="1:15" ht="332">
      <c r="A250" s="3" t="s">
        <v>65</v>
      </c>
      <c r="B250" s="3"/>
      <c r="C250" s="3" t="str">
        <f ca="1">IFERROR(__xludf.DUMMYFUNCTION("""COMPUTED_VALUE"""),"Agree")</f>
        <v>Agree</v>
      </c>
      <c r="D250" s="3">
        <f ca="1">IFERROR(__xludf.DUMMYFUNCTION("""COMPUTED_VALUE"""),137)</f>
        <v>137</v>
      </c>
      <c r="E250" s="3" t="str">
        <f ca="1">IFERROR(__xludf.DUMMYFUNCTION("""COMPUTED_VALUE"""),"Yes")</f>
        <v>Yes</v>
      </c>
      <c r="F250" s="3" t="str">
        <f ca="1">IFERROR(__xludf.DUMMYFUNCTION("""COMPUTED_VALUE"""),"BothRef")</f>
        <v>BothRef</v>
      </c>
      <c r="G250" s="3">
        <f ca="1">IFERROR(__xludf.DUMMYFUNCTION("""COMPUTED_VALUE"""),1648577)</f>
        <v>1648577</v>
      </c>
      <c r="H250" s="3" t="str">
        <f ca="1">IFERROR(__xludf.DUMMYFUNCTION("""COMPUTED_VALUE"""),"{1637145}")</f>
        <v>{1637145}</v>
      </c>
      <c r="I250" s="4" t="str">
        <f ca="1">IFERROR(__xludf.DUMMYFUNCTION("""COMPUTED_VALUE"""),"https://bugzilla.mozilla.org/show_bug.cgi?id=1648577")</f>
        <v>https://bugzilla.mozilla.org/show_bug.cgi?id=1648577</v>
      </c>
      <c r="J250" s="3" t="str">
        <f ca="1">IFERROR(__xludf.DUMMYFUNCTION("""COMPUTED_VALUE"""),"['gecko/ipc/chromium/src/base/message_loop.cc', 'gecko/layout/base/PresShell.cpp', 'gecko/ipc/glue/MessagePump.cpp', 'nsFlexContainerFrame.cpp', 'gecko/xpcom/ds/nsTArray.cpp', 'builds/worker/workspace/obj-build/dist/include/nsTArray.h', 'builds/worker/wor"&amp;"kspace/obj-build/dist/include/mozilla/Assertions.h', 'gecko/layout/generic/nsColumnSetFrame.cpp', 'gecko/xpcom/threads/nsThread.cpp', 'gecko/layout/generic/nsBlockReflowContext.cpp', 'gecko/widget/nsBaseAppShell.cpp', 'gecko/layout/generic/nsGfxScrollFram"&amp;"e.cpp', 'gecko/layout/generic/nsContainerFrame.cpp', 'treeherder.mozilla.org/logviewer.html', 'gecko/layout/generic/nsBlockFrame.cpp', 'pernos.co/debug/XrNecyf_INsndREzsS1eww/index.html', 'gecko/layout/generic/nsFlexContainerFrame.cpp', 'gecko/xpcom/threa"&amp;"ds/nsThreadUtils.cpp', 'gecko/browser/app/nsBrowserApp.cpp', 'gecko/browser/app/../../ipc/contentproc/plugin-container.cpp', 'gecko/layout/base/nsRefreshDriver.cpp', 'gecko/layout/generic/nsCanvasFrame.cpp', 'testcase.html', 'gecko/layout/generic/BlockRef"&amp;"lowInput.cpp', 'gecko/toolkit/xre/nsEmbedFunctions.cpp', 'builds/worker/workspace/obj-build/dist/include/mozilla/ArrayIterator.h', 'gecko/layout/generic/ViewportFrame.cpp']")</f>
        <v>['gecko/ipc/chromium/src/base/message_loop.cc', 'gecko/layout/base/PresShell.cpp', 'gecko/ipc/glue/MessagePump.cpp', 'nsFlexContainerFrame.cpp', 'gecko/xpcom/ds/nsTArray.cpp', 'builds/worker/workspace/obj-build/dist/include/nsTArray.h', 'builds/worker/workspace/obj-build/dist/include/mozilla/Assertions.h', 'gecko/layout/generic/nsColumnSetFrame.cpp', 'gecko/xpcom/threads/nsThread.cpp', 'gecko/layout/generic/nsBlockReflowContext.cpp', 'gecko/widget/nsBaseAppShell.cpp', 'gecko/layout/generic/nsGfxScrollFrame.cpp', 'gecko/layout/generic/nsContainerFrame.cpp', 'treeherder.mozilla.org/logviewer.html', 'gecko/layout/generic/nsBlockFrame.cpp', 'pernos.co/debug/XrNecyf_INsndREzsS1eww/index.html', 'gecko/layout/generic/nsFlexContainerFrame.cpp', 'gecko/xpcom/threads/nsThreadUtils.cpp', 'gecko/browser/app/nsBrowserApp.cpp', 'gecko/browser/app/../../ipc/contentproc/plugin-container.cpp', 'gecko/layout/base/nsRefreshDriver.cpp', 'gecko/layout/generic/nsCanvasFrame.cpp', 'testcase.html', 'gecko/layout/generic/BlockReflowInput.cpp', 'gecko/toolkit/xre/nsEmbedFunctions.cpp', 'builds/worker/workspace/obj-build/dist/include/mozilla/ArrayIterator.h', 'gecko/layout/generic/ViewportFrame.cpp']</v>
      </c>
      <c r="K250" s="3" t="str">
        <f ca="1">IFERROR(__xludf.DUMMYFUNCTION("""COMPUTED_VALUE"""),"System Dumps")</f>
        <v>System Dumps</v>
      </c>
      <c r="L250" s="3" t="str">
        <f ca="1">IFERROR(__xludf.DUMMYFUNCTION("""COMPUTED_VALUE"""),"Backout")</f>
        <v>Backout</v>
      </c>
      <c r="M250" s="3"/>
      <c r="N250" s="3"/>
      <c r="O250" s="3"/>
    </row>
    <row r="251" spans="1:15" ht="70">
      <c r="A251" s="3" t="s">
        <v>65</v>
      </c>
      <c r="B251" s="3"/>
      <c r="C251" s="3" t="str">
        <f ca="1">IFERROR(__xludf.DUMMYFUNCTION("""COMPUTED_VALUE"""),"Agree")</f>
        <v>Agree</v>
      </c>
      <c r="D251" s="3">
        <f ca="1">IFERROR(__xludf.DUMMYFUNCTION("""COMPUTED_VALUE"""),138)</f>
        <v>138</v>
      </c>
      <c r="E251" s="3" t="str">
        <f ca="1">IFERROR(__xludf.DUMMYFUNCTION("""COMPUTED_VALUE"""),"Yes")</f>
        <v>Yes</v>
      </c>
      <c r="F251" s="3" t="str">
        <f ca="1">IFERROR(__xludf.DUMMYFUNCTION("""COMPUTED_VALUE"""),"BothRef")</f>
        <v>BothRef</v>
      </c>
      <c r="G251" s="3">
        <f ca="1">IFERROR(__xludf.DUMMYFUNCTION("""COMPUTED_VALUE"""),1652232)</f>
        <v>1652232</v>
      </c>
      <c r="H251" s="3" t="str">
        <f ca="1">IFERROR(__xludf.DUMMYFUNCTION("""COMPUTED_VALUE"""),"{1642121}")</f>
        <v>{1642121}</v>
      </c>
      <c r="I251" s="4" t="str">
        <f ca="1">IFERROR(__xludf.DUMMYFUNCTION("""COMPUTED_VALUE"""),"https://bugzilla.mozilla.org/show_bug.cgi?id=1652232")</f>
        <v>https://bugzilla.mozilla.org/show_bug.cgi?id=1652232</v>
      </c>
      <c r="J251" s="3" t="str">
        <f ca="1">IFERROR(__xludf.DUMMYFUNCTION("""COMPUTED_VALUE"""),"['js-gdb.py', 'home/andre/hg/mozilla-inbound/js/src/build-debug-obj/dist/bin/js-gdb.py']")</f>
        <v>['js-gdb.py', 'home/andre/hg/mozilla-inbound/js/src/build-debug-obj/dist/bin/js-gdb.py']</v>
      </c>
      <c r="K251" s="3" t="str">
        <f ca="1">IFERROR(__xludf.DUMMYFUNCTION("""COMPUTED_VALUE"""),"System Dumps")</f>
        <v>System Dumps</v>
      </c>
      <c r="L251" s="3" t="str">
        <f ca="1">IFERROR(__xludf.DUMMYFUNCTION("""COMPUTED_VALUE"""),"Bug Description")</f>
        <v>Bug Description</v>
      </c>
      <c r="M251" s="3" t="str">
        <f ca="1">IFERROR(__xludf.DUMMYFUNCTION("""COMPUTED_VALUE"""),"File names are part of attachment title or commit messages")</f>
        <v>File names are part of attachment title or commit messages</v>
      </c>
      <c r="N251" s="3"/>
      <c r="O251" s="3"/>
    </row>
    <row r="252" spans="1:15" ht="42">
      <c r="A252" s="3" t="s">
        <v>65</v>
      </c>
      <c r="B252" s="3"/>
      <c r="C252" s="3" t="str">
        <f ca="1">IFERROR(__xludf.DUMMYFUNCTION("""COMPUTED_VALUE"""),"Agree")</f>
        <v>Agree</v>
      </c>
      <c r="D252" s="3">
        <f ca="1">IFERROR(__xludf.DUMMYFUNCTION("""COMPUTED_VALUE"""),139)</f>
        <v>139</v>
      </c>
      <c r="E252" s="3" t="str">
        <f ca="1">IFERROR(__xludf.DUMMYFUNCTION("""COMPUTED_VALUE"""),"Yes")</f>
        <v>Yes</v>
      </c>
      <c r="F252" s="3" t="str">
        <f ca="1">IFERROR(__xludf.DUMMYFUNCTION("""COMPUTED_VALUE"""),"BothRef")</f>
        <v>BothRef</v>
      </c>
      <c r="G252" s="3">
        <f ca="1">IFERROR(__xludf.DUMMYFUNCTION("""COMPUTED_VALUE"""),1688999)</f>
        <v>1688999</v>
      </c>
      <c r="H252" s="3" t="str">
        <f ca="1">IFERROR(__xludf.DUMMYFUNCTION("""COMPUTED_VALUE"""),"{1688668}")</f>
        <v>{1688668}</v>
      </c>
      <c r="I252" s="4" t="str">
        <f ca="1">IFERROR(__xludf.DUMMYFUNCTION("""COMPUTED_VALUE"""),"https://bugzilla.mozilla.org/show_bug.cgi?id=1688999")</f>
        <v>https://bugzilla.mozilla.org/show_bug.cgi?id=1688999</v>
      </c>
      <c r="J252" s="3" t="str">
        <f ca="1">IFERROR(__xludf.DUMMYFUNCTION("""COMPUTED_VALUE"""),"['gfx/gl/GLContextProviderEGL.cpp', 'memory/mozalloc/mozalloc_abort.cpp', 'dom/canvas/WebGLContext.cpp', 'gfx/gl/GLContext.cpp']")</f>
        <v>['gfx/gl/GLContextProviderEGL.cpp', 'memory/mozalloc/mozalloc_abort.cpp', 'dom/canvas/WebGLContext.cpp', 'gfx/gl/GLContext.cpp']</v>
      </c>
      <c r="K252" s="3" t="str">
        <f ca="1">IFERROR(__xludf.DUMMYFUNCTION("""COMPUTED_VALUE"""),"System Dumps")</f>
        <v>System Dumps</v>
      </c>
      <c r="L252" s="3"/>
      <c r="M252" s="3"/>
      <c r="N252" s="3"/>
      <c r="O252" s="3"/>
    </row>
    <row r="253" spans="1:15" ht="126">
      <c r="A253" s="3" t="s">
        <v>65</v>
      </c>
      <c r="B253" s="3"/>
      <c r="C253" s="3" t="str">
        <f ca="1">IFERROR(__xludf.DUMMYFUNCTION("""COMPUTED_VALUE"""),"Partial")</f>
        <v>Partial</v>
      </c>
      <c r="D253" s="3">
        <f ca="1">IFERROR(__xludf.DUMMYFUNCTION("""COMPUTED_VALUE"""),140)</f>
        <v>140</v>
      </c>
      <c r="E253" s="3" t="str">
        <f ca="1">IFERROR(__xludf.DUMMYFUNCTION("""COMPUTED_VALUE"""),"Yes")</f>
        <v>Yes</v>
      </c>
      <c r="F253" s="3" t="str">
        <f ca="1">IFERROR(__xludf.DUMMYFUNCTION("""COMPUTED_VALUE"""),"FixRef")</f>
        <v>FixRef</v>
      </c>
      <c r="G253" s="3">
        <f ca="1">IFERROR(__xludf.DUMMYFUNCTION("""COMPUTED_VALUE"""),1565370)</f>
        <v>1565370</v>
      </c>
      <c r="H253" s="3" t="str">
        <f ca="1">IFERROR(__xludf.DUMMYFUNCTION("""COMPUTED_VALUE"""),"{1557061}")</f>
        <v>{1557061}</v>
      </c>
      <c r="I253" s="4" t="str">
        <f ca="1">IFERROR(__xludf.DUMMYFUNCTION("""COMPUTED_VALUE"""),"https://bugzilla.mozilla.org/show_bug.cgi?id=1565370")</f>
        <v>https://bugzilla.mozilla.org/show_bug.cgi?id=1565370</v>
      </c>
      <c r="J253" s="3" t="str">
        <f ca="1">IFERROR(__xludf.DUMMYFUNCTION("""COMPUTED_VALUE"""),"['browser/base/content/test/siteProtections/browser_protections_UI.js', 'browser_firstPartyIsolation_aboutPages.js', 'treeherder.mozilla.org/logviewer.html', 'testing-common/PromiseTestUtils.jsm', 'gre/modules/remotepagemanager/MessagePort.jsm', 'mochikit"&amp;"/content/browser-test.js', 'mochikit/content/tests/SimpleTest/SimpleTest.js', 'treeherder.mozilla.org/intermittent-failures.html', 'modules/aboutpages/AboutProtectionsHandler.jsm']")</f>
        <v>['browser/base/content/test/siteProtections/browser_protections_UI.js', 'browser_firstPartyIsolation_aboutPages.js', 'treeherder.mozilla.org/logviewer.html', 'testing-common/PromiseTestUtils.jsm', 'gre/modules/remotepagemanager/MessagePort.jsm', 'mochikit/content/browser-test.js', 'mochikit/content/tests/SimpleTest/SimpleTest.js', 'treeherder.mozilla.org/intermittent-failures.html', 'modules/aboutpages/AboutProtectionsHandler.jsm']</v>
      </c>
      <c r="K253" s="3" t="str">
        <f ca="1">IFERROR(__xludf.DUMMYFUNCTION("""COMPUTED_VALUE"""),"System Dumps")</f>
        <v>System Dumps</v>
      </c>
      <c r="L253" s="3" t="str">
        <f ca="1">IFERROR(__xludf.DUMMYFUNCTION("""COMPUTED_VALUE"""),"Bug Description")</f>
        <v>Bug Description</v>
      </c>
      <c r="M253" s="3" t="str">
        <f ca="1">IFERROR(__xludf.DUMMYFUNCTION("""COMPUTED_VALUE"""),"File names are part of bug title")</f>
        <v>File names are part of bug title</v>
      </c>
      <c r="N253" s="3"/>
      <c r="O253" s="3" t="str">
        <f ca="1">IFERROR(__xludf.DUMMYFUNCTION("""COMPUTED_VALUE"""),"Extrinsic")</f>
        <v>Extrinsic</v>
      </c>
    </row>
    <row r="254" spans="1:15" ht="98">
      <c r="A254" s="3" t="s">
        <v>65</v>
      </c>
      <c r="B254" s="3"/>
      <c r="C254" s="3" t="str">
        <f ca="1">IFERROR(__xludf.DUMMYFUNCTION("""COMPUTED_VALUE"""),"Agree")</f>
        <v>Agree</v>
      </c>
      <c r="D254" s="3">
        <f ca="1">IFERROR(__xludf.DUMMYFUNCTION("""COMPUTED_VALUE"""),141)</f>
        <v>141</v>
      </c>
      <c r="E254" s="3" t="str">
        <f ca="1">IFERROR(__xludf.DUMMYFUNCTION("""COMPUTED_VALUE"""),"Yes")</f>
        <v>Yes</v>
      </c>
      <c r="F254" s="3" t="str">
        <f ca="1">IFERROR(__xludf.DUMMYFUNCTION("""COMPUTED_VALUE"""),"BothRef")</f>
        <v>BothRef</v>
      </c>
      <c r="G254" s="3">
        <f ca="1">IFERROR(__xludf.DUMMYFUNCTION("""COMPUTED_VALUE"""),1595284)</f>
        <v>1595284</v>
      </c>
      <c r="H254" s="3" t="str">
        <f ca="1">IFERROR(__xludf.DUMMYFUNCTION("""COMPUTED_VALUE"""),"{1588412, 1593439}")</f>
        <v>{1588412, 1593439}</v>
      </c>
      <c r="I254" s="4" t="str">
        <f ca="1">IFERROR(__xludf.DUMMYFUNCTION("""COMPUTED_VALUE"""),"https://bugzilla.mozilla.org/show_bug.cgi?id=1595284")</f>
        <v>https://bugzilla.mozilla.org/show_bug.cgi?id=1595284</v>
      </c>
      <c r="J254" s="3" t="str">
        <f ca="1">IFERROR(__xludf.DUMMYFUNCTION("""COMPUTED_VALUE"""),"['builds/worker/workspace/build/tests/mochitest/browser/toolkit/components/remotebrowserutils/tests/browser/dummy_page.html', 'treeherder.mozilla.org/logviewer.html', 'mochikit/content/browser-test.js', 'mochitests/content/browser/toolkit/components/remot"&amp;"ebrowserutils/tests/browser/browser_httpResponseProcessSelection.js', 'toolkit/components/remotebrowserutils/tests/browser/browser_httpResponseProcessSelection.js']")</f>
        <v>['builds/worker/workspace/build/tests/mochitest/browser/toolkit/components/remotebrowserutils/tests/browser/dummy_page.html', 'treeherder.mozilla.org/logviewer.html', 'mochikit/content/browser-test.js', 'mochitests/content/browser/toolkit/components/remotebrowserutils/tests/browser/browser_httpResponseProcessSelection.js', 'toolkit/components/remotebrowserutils/tests/browser/browser_httpResponseProcessSelection.js']</v>
      </c>
      <c r="K254" s="3" t="str">
        <f ca="1">IFERROR(__xludf.DUMMYFUNCTION("""COMPUTED_VALUE"""),"System Dumps")</f>
        <v>System Dumps</v>
      </c>
      <c r="L254" s="3" t="str">
        <f ca="1">IFERROR(__xludf.DUMMYFUNCTION("""COMPUTED_VALUE"""),"File names are part of attachment title or commit messages")</f>
        <v>File names are part of attachment title or commit messages</v>
      </c>
      <c r="M254" s="3"/>
      <c r="N254" s="3"/>
      <c r="O254" s="3"/>
    </row>
    <row r="255" spans="1:15" ht="358">
      <c r="A255" s="3" t="s">
        <v>65</v>
      </c>
      <c r="B255" s="3"/>
      <c r="C255" s="3" t="str">
        <f ca="1">IFERROR(__xludf.DUMMYFUNCTION("""COMPUTED_VALUE"""),"Agree")</f>
        <v>Agree</v>
      </c>
      <c r="D255" s="3">
        <f ca="1">IFERROR(__xludf.DUMMYFUNCTION("""COMPUTED_VALUE"""),142)</f>
        <v>142</v>
      </c>
      <c r="E255" s="3" t="str">
        <f ca="1">IFERROR(__xludf.DUMMYFUNCTION("""COMPUTED_VALUE"""),"Yes")</f>
        <v>Yes</v>
      </c>
      <c r="F255" s="3" t="str">
        <f ca="1">IFERROR(__xludf.DUMMYFUNCTION("""COMPUTED_VALUE"""),"BothRef")</f>
        <v>BothRef</v>
      </c>
      <c r="G255" s="3">
        <f ca="1">IFERROR(__xludf.DUMMYFUNCTION("""COMPUTED_VALUE"""),1655544)</f>
        <v>1655544</v>
      </c>
      <c r="H255" s="3" t="str">
        <f ca="1">IFERROR(__xludf.DUMMYFUNCTION("""COMPUTED_VALUE"""),"{1598114}")</f>
        <v>{1598114}</v>
      </c>
      <c r="I255" s="4" t="str">
        <f ca="1">IFERROR(__xludf.DUMMYFUNCTION("""COMPUTED_VALUE"""),"https://bugzilla.mozilla.org/show_bug.cgi?id=1655544")</f>
        <v>https://bugzilla.mozilla.org/show_bug.cgi?id=1655544</v>
      </c>
      <c r="J255" s="3" t="str">
        <f ca="1">IFERROR(__xludf.DUMMYFUNCTION("""COMPUTED_VALUE"""),"['builds/worker/checkouts/gecko/xpcom/base/CycleCollectedJSContext.cpp', 'searchfox.org/mozilla-central/rev/a315a1a0f09550e23e4590a77e74f36543315da3/dom/bindings/BindingUtils.h', 'builds/worker/workspace/obj-build/dist/include/mozilla/dom/PromiseBinding.h"&amp;"', 'builds/worker/checkouts/gecko/browser/app/nsBrowserApp.cpp', 'builds/worker/checkouts/gecko/ipc/chromium/src/base/message_loop.cc', 'builds/worker/workspace/obj-build/dom/bindings/PromiseBinding.cpp', 'builds/worker/checkouts/gecko/js/src/builtin/Prom"&amp;"ise.cpp', 'builds/worker/workspace/obj-build/dist/include/mozilla/Assertions.h', 'builds/worker/checkouts/gecko/js/src/jsapi.cpp', 'builds/worker/checkouts/gecko/js/xpconnect/src/XPCJSContext.cpp', 'builds/worker/checkouts/gecko/js/src/vm/Interpreter.cpp'"&amp;", 'builds/worker/checkouts/gecko/dom/media/webaudio/AudioWorkletNode.cpp', 'builds/worker/checkouts/gecko/js/src/vm/AsyncFunction.cpp', 'builds/worker/checkouts/gecko/xpcom/threads/nsThread.cpp', 'build/glibc-2ORdQG/glibc-2.27/csu/../csu/libc-start.c', 'b"&amp;"uilds/worker/workspace/obj-build/dom/bindings/AudioWorkletNodeBinding.cpp', 'builds/worker/checkouts/gecko/ipc/glue/MessagePump.cpp', 'builds/worker/checkouts/gecko/toolkit/xre/nsEmbedFunctions.cpp', 'builds/worker/checkouts/gecko/browser/app/../../ipc/co"&amp;"ntentproc/plugin-container.cpp', 'builds/worker/checkouts/gecko/widget/nsBaseAppShell.cpp', 'builds/worker/checkouts/gecko/js/src/vm/SelfHosting.cpp', 'builds/worker/checkouts/gecko/xpcom/threads/nsThreadUtils.cpp']")</f>
        <v>['builds/worker/checkouts/gecko/xpcom/base/CycleCollectedJSContext.cpp', 'searchfox.org/mozilla-central/rev/a315a1a0f09550e23e4590a77e74f36543315da3/dom/bindings/BindingUtils.h', 'builds/worker/workspace/obj-build/dist/include/mozilla/dom/PromiseBinding.h', 'builds/worker/checkouts/gecko/browser/app/nsBrowserApp.cpp', 'builds/worker/checkouts/gecko/ipc/chromium/src/base/message_loop.cc', 'builds/worker/workspace/obj-build/dom/bindings/PromiseBinding.cpp', 'builds/worker/checkouts/gecko/js/src/builtin/Promise.cpp', 'builds/worker/workspace/obj-build/dist/include/mozilla/Assertions.h', 'builds/worker/checkouts/gecko/js/src/jsapi.cpp', 'builds/worker/checkouts/gecko/js/xpconnect/src/XPCJSContext.cpp', 'builds/worker/checkouts/gecko/js/src/vm/Interpreter.cpp', 'builds/worker/checkouts/gecko/dom/media/webaudio/AudioWorkletNode.cpp', 'builds/worker/checkouts/gecko/js/src/vm/AsyncFunction.cpp', 'builds/worker/checkouts/gecko/xpcom/threads/nsThread.cpp', 'build/glibc-2ORdQG/glibc-2.27/csu/../csu/libc-start.c', 'builds/worker/workspace/obj-build/dom/bindings/AudioWorkletNodeBinding.cpp', 'builds/worker/checkouts/gecko/ipc/glue/MessagePump.cpp', 'builds/worker/checkouts/gecko/toolkit/xre/nsEmbedFunctions.cpp', 'builds/worker/checkouts/gecko/browser/app/../../ipc/contentproc/plugin-container.cpp', 'builds/worker/checkouts/gecko/widget/nsBaseAppShell.cpp', 'builds/worker/checkouts/gecko/js/src/vm/SelfHosting.cpp', 'builds/worker/checkouts/gecko/xpcom/threads/nsThreadUtils.cpp']</v>
      </c>
      <c r="K255" s="3" t="str">
        <f ca="1">IFERROR(__xludf.DUMMYFUNCTION("""COMPUTED_VALUE"""),"System Dumps")</f>
        <v>System Dumps</v>
      </c>
      <c r="L255" s="3" t="str">
        <f ca="1">IFERROR(__xludf.DUMMYFUNCTION("""COMPUTED_VALUE"""),"File names are part of bug title")</f>
        <v>File names are part of bug title</v>
      </c>
      <c r="M255" s="3"/>
      <c r="N255" s="3"/>
      <c r="O255" s="3"/>
    </row>
    <row r="256" spans="1:15" ht="28">
      <c r="A256" s="3" t="s">
        <v>65</v>
      </c>
      <c r="B256" s="3"/>
      <c r="C256" s="3" t="str">
        <f ca="1">IFERROR(__xludf.DUMMYFUNCTION("""COMPUTED_VALUE"""),"Agree")</f>
        <v>Agree</v>
      </c>
      <c r="D256" s="3">
        <f ca="1">IFERROR(__xludf.DUMMYFUNCTION("""COMPUTED_VALUE"""),143)</f>
        <v>143</v>
      </c>
      <c r="E256" s="3" t="str">
        <f ca="1">IFERROR(__xludf.DUMMYFUNCTION("""COMPUTED_VALUE"""),"Yes")</f>
        <v>Yes</v>
      </c>
      <c r="F256" s="3" t="str">
        <f ca="1">IFERROR(__xludf.DUMMYFUNCTION("""COMPUTED_VALUE"""),"BothRef")</f>
        <v>BothRef</v>
      </c>
      <c r="G256" s="3">
        <f ca="1">IFERROR(__xludf.DUMMYFUNCTION("""COMPUTED_VALUE"""),1719391)</f>
        <v>1719391</v>
      </c>
      <c r="H256" s="3" t="str">
        <f ca="1">IFERROR(__xludf.DUMMYFUNCTION("""COMPUTED_VALUE"""),"{1289718}")</f>
        <v>{1289718}</v>
      </c>
      <c r="I256" s="4" t="str">
        <f ca="1">IFERROR(__xludf.DUMMYFUNCTION("""COMPUTED_VALUE"""),"https://bugzilla.mozilla.org/show_bug.cgi?id=1719391")</f>
        <v>https://bugzilla.mozilla.org/show_bug.cgi?id=1719391</v>
      </c>
      <c r="J256" s="3" t="str">
        <f ca="1">IFERROR(__xludf.DUMMYFUNCTION("""COMPUTED_VALUE"""),"['searchfox.org/mozilla-central/source/security/sandbox/linux/broker/SandboxBroker.cpp']")</f>
        <v>['searchfox.org/mozilla-central/source/security/sandbox/linux/broker/SandboxBroker.cpp']</v>
      </c>
      <c r="K256" s="3" t="str">
        <f ca="1">IFERROR(__xludf.DUMMYFUNCTION("""COMPUTED_VALUE"""),"Bug Description")</f>
        <v>Bug Description</v>
      </c>
      <c r="L256" s="3"/>
      <c r="M256" s="3"/>
      <c r="N256" s="3"/>
      <c r="O256" s="3"/>
    </row>
    <row r="257" spans="1:15" ht="154">
      <c r="A257" s="3" t="s">
        <v>65</v>
      </c>
      <c r="B257" s="3"/>
      <c r="C257" s="3" t="str">
        <f ca="1">IFERROR(__xludf.DUMMYFUNCTION("""COMPUTED_VALUE"""),"Agree")</f>
        <v>Agree</v>
      </c>
      <c r="D257" s="3">
        <f ca="1">IFERROR(__xludf.DUMMYFUNCTION("""COMPUTED_VALUE"""),144)</f>
        <v>144</v>
      </c>
      <c r="E257" s="3" t="str">
        <f ca="1">IFERROR(__xludf.DUMMYFUNCTION("""COMPUTED_VALUE"""),"Yes")</f>
        <v>Yes</v>
      </c>
      <c r="F257" s="3" t="str">
        <f ca="1">IFERROR(__xludf.DUMMYFUNCTION("""COMPUTED_VALUE"""),"FixRef")</f>
        <v>FixRef</v>
      </c>
      <c r="G257" s="3">
        <f ca="1">IFERROR(__xludf.DUMMYFUNCTION("""COMPUTED_VALUE"""),1749500)</f>
        <v>1749500</v>
      </c>
      <c r="H257" s="3" t="str">
        <f ca="1">IFERROR(__xludf.DUMMYFUNCTION("""COMPUTED_VALUE"""),"{1748969}")</f>
        <v>{1748969}</v>
      </c>
      <c r="I257" s="4" t="str">
        <f ca="1">IFERROR(__xludf.DUMMYFUNCTION("""COMPUTED_VALUE"""),"https://bugzilla.mozilla.org/show_bug.cgi?id=1749500")</f>
        <v>https://bugzilla.mozilla.org/show_bug.cgi?id=1749500</v>
      </c>
      <c r="J257" s="3" t="str">
        <f ca="1">IFERROR(__xludf.DUMMYFUNCTION("""COMPUTED_VALUE"""),"['builds/worker/checkouts/gecko/js/src/irregexp/imported/regexp-compiler.cc', 'Unified_cpp_js_src_debugger1.cpp', 'builds/worker/checkouts/gecko/gfx/angle/checkout/src/compiler/translator/tree_ops/gl/ClampFragDepth.cpp', 'Unified_cpp_js_src_frontend0.cpp'"&amp;", 'builds/worker/checkouts/gecko/config/gcc_hidden.h', 'Unified_cpp_image2.cpp', 'builds/worker/workspace/obj-build/js/src/js-confdefs.h', 'builds/worker/workspace/obj-build/mozilla-config.h', 'builds/worker/checkouts/gecko/gfx/skia/skia/src/core/SkFont.c"&amp;"pp', 'builds/worker/checkouts/gecko/js/src/frontend/BytecodeCompiler.cpp', 'builds/worker/checkouts/gecko/gfx/skia/skia/include/core/SkPostConfig.h', 'Unified_cpp_gfx_skia3.cpp']")</f>
        <v>['builds/worker/checkouts/gecko/js/src/irregexp/imported/regexp-compiler.cc', 'Unified_cpp_js_src_debugger1.cpp', 'builds/worker/checkouts/gecko/gfx/angle/checkout/src/compiler/translator/tree_ops/gl/ClampFragDepth.cpp', 'Unified_cpp_js_src_frontend0.cpp', 'builds/worker/checkouts/gecko/config/gcc_hidden.h', 'Unified_cpp_image2.cpp', 'builds/worker/workspace/obj-build/js/src/js-confdefs.h', 'builds/worker/workspace/obj-build/mozilla-config.h', 'builds/worker/checkouts/gecko/gfx/skia/skia/src/core/SkFont.cpp', 'builds/worker/checkouts/gecko/js/src/frontend/BytecodeCompiler.cpp', 'builds/worker/checkouts/gecko/gfx/skia/skia/include/core/SkPostConfig.h', 'Unified_cpp_gfx_skia3.cpp']</v>
      </c>
      <c r="K257" s="3" t="str">
        <f ca="1">IFERROR(__xludf.DUMMYFUNCTION("""COMPUTED_VALUE"""),"System Dumps")</f>
        <v>System Dumps</v>
      </c>
      <c r="L257" s="3" t="str">
        <f ca="1">IFERROR(__xludf.DUMMYFUNCTION("""COMPUTED_VALUE"""),"File names are part of attachment title or commit messages")</f>
        <v>File names are part of attachment title or commit messages</v>
      </c>
      <c r="M257" s="3"/>
      <c r="N257" s="3"/>
      <c r="O257" s="3"/>
    </row>
    <row r="258" spans="1:15" ht="42">
      <c r="A258" s="3" t="s">
        <v>65</v>
      </c>
      <c r="B258" s="3"/>
      <c r="C258" s="3" t="str">
        <f ca="1">IFERROR(__xludf.DUMMYFUNCTION("""COMPUTED_VALUE"""),"Agree")</f>
        <v>Agree</v>
      </c>
      <c r="D258" s="3">
        <f ca="1">IFERROR(__xludf.DUMMYFUNCTION("""COMPUTED_VALUE"""),145)</f>
        <v>145</v>
      </c>
      <c r="E258" s="3" t="str">
        <f ca="1">IFERROR(__xludf.DUMMYFUNCTION("""COMPUTED_VALUE"""),"Yes")</f>
        <v>Yes</v>
      </c>
      <c r="F258" s="3" t="str">
        <f ca="1">IFERROR(__xludf.DUMMYFUNCTION("""COMPUTED_VALUE"""),"BothRef")</f>
        <v>BothRef</v>
      </c>
      <c r="G258" s="3">
        <f ca="1">IFERROR(__xludf.DUMMYFUNCTION("""COMPUTED_VALUE"""),1719189)</f>
        <v>1719189</v>
      </c>
      <c r="H258" s="3" t="str">
        <f ca="1">IFERROR(__xludf.DUMMYFUNCTION("""COMPUTED_VALUE"""),"{1703578}")</f>
        <v>{1703578}</v>
      </c>
      <c r="I258" s="4" t="str">
        <f ca="1">IFERROR(__xludf.DUMMYFUNCTION("""COMPUTED_VALUE"""),"https://bugzilla.mozilla.org/show_bug.cgi?id=1719189")</f>
        <v>https://bugzilla.mozilla.org/show_bug.cgi?id=1719189</v>
      </c>
      <c r="J258" s="3" t="str">
        <f ca="1">IFERROR(__xludf.DUMMYFUNCTION("""COMPUTED_VALUE"""),"['searchfox.org/mozilla-central/rev/b7bc94b4689a7f002c61d016c6e162e5e5708bf3/browser/components/shell/ShellService.jsm']")</f>
        <v>['searchfox.org/mozilla-central/rev/b7bc94b4689a7f002c61d016c6e162e5e5708bf3/browser/components/shell/ShellService.jsm']</v>
      </c>
      <c r="K258" s="3" t="str">
        <f ca="1">IFERROR(__xludf.DUMMYFUNCTION("""COMPUTED_VALUE"""),"Bug Description")</f>
        <v>Bug Description</v>
      </c>
      <c r="L258" s="3" t="str">
        <f ca="1">IFERROR(__xludf.DUMMYFUNCTION("""COMPUTED_VALUE"""),"Solution Draft")</f>
        <v>Solution Draft</v>
      </c>
      <c r="M258" s="3"/>
      <c r="N258" s="3"/>
      <c r="O258" s="3"/>
    </row>
    <row r="259" spans="1:15" ht="70">
      <c r="A259" s="3" t="s">
        <v>65</v>
      </c>
      <c r="B259" s="3"/>
      <c r="C259" s="3" t="str">
        <f ca="1">IFERROR(__xludf.DUMMYFUNCTION("""COMPUTED_VALUE"""),"Agree")</f>
        <v>Agree</v>
      </c>
      <c r="D259" s="3">
        <f ca="1">IFERROR(__xludf.DUMMYFUNCTION("""COMPUTED_VALUE"""),146)</f>
        <v>146</v>
      </c>
      <c r="E259" s="3" t="str">
        <f ca="1">IFERROR(__xludf.DUMMYFUNCTION("""COMPUTED_VALUE"""),"Yes")</f>
        <v>Yes</v>
      </c>
      <c r="F259" s="3" t="str">
        <f ca="1">IFERROR(__xludf.DUMMYFUNCTION("""COMPUTED_VALUE"""),"BothRef")</f>
        <v>BothRef</v>
      </c>
      <c r="G259" s="3">
        <f ca="1">IFERROR(__xludf.DUMMYFUNCTION("""COMPUTED_VALUE"""),1658550)</f>
        <v>1658550</v>
      </c>
      <c r="H259" s="3" t="str">
        <f ca="1">IFERROR(__xludf.DUMMYFUNCTION("""COMPUTED_VALUE"""),"{1656016}")</f>
        <v>{1656016}</v>
      </c>
      <c r="I259" s="4" t="str">
        <f ca="1">IFERROR(__xludf.DUMMYFUNCTION("""COMPUTED_VALUE"""),"https://bugzilla.mozilla.org/show_bug.cgi?id=1658550")</f>
        <v>https://bugzilla.mozilla.org/show_bug.cgi?id=1658550</v>
      </c>
      <c r="J259" s="3" t="str">
        <f ca="1">IFERROR(__xludf.DUMMYFUNCTION("""COMPUTED_VALUE"""),"['toolkit/components/pictureinpicture/tests/browser_playerControls.js', 'searchfox.org/mozilla-central/rev/ab81b8552f4aa9696a2524f97fdfeb59d4dc31c1/browser/base/content/test/contextMenu/browser_contextmenu.js', 'treeherder.mozilla.org/logviewer.html']")</f>
        <v>['toolkit/components/pictureinpicture/tests/browser_playerControls.js', 'searchfox.org/mozilla-central/rev/ab81b8552f4aa9696a2524f97fdfeb59d4dc31c1/browser/base/content/test/contextMenu/browser_contextmenu.js', 'treeherder.mozilla.org/logviewer.html']</v>
      </c>
      <c r="K259" s="3" t="str">
        <f ca="1">IFERROR(__xludf.DUMMYFUNCTION("""COMPUTED_VALUE"""),"System Dumps")</f>
        <v>System Dumps</v>
      </c>
      <c r="L259" s="3" t="str">
        <f ca="1">IFERROR(__xludf.DUMMYFUNCTION("""COMPUTED_VALUE"""),"File names are part of attachment title or commit messages")</f>
        <v>File names are part of attachment title or commit messages</v>
      </c>
      <c r="M259" s="3" t="str">
        <f ca="1">IFERROR(__xludf.DUMMYFUNCTION("""COMPUTED_VALUE"""),"Solution Draft")</f>
        <v>Solution Draft</v>
      </c>
      <c r="N259" s="3"/>
      <c r="O259" s="3"/>
    </row>
    <row r="260" spans="1:15" ht="358">
      <c r="A260" s="3" t="s">
        <v>65</v>
      </c>
      <c r="B260" s="3"/>
      <c r="C260" s="3" t="str">
        <f ca="1">IFERROR(__xludf.DUMMYFUNCTION("""COMPUTED_VALUE"""),"Agree")</f>
        <v>Agree</v>
      </c>
      <c r="D260" s="3">
        <f ca="1">IFERROR(__xludf.DUMMYFUNCTION("""COMPUTED_VALUE"""),147)</f>
        <v>147</v>
      </c>
      <c r="E260" s="3" t="str">
        <f ca="1">IFERROR(__xludf.DUMMYFUNCTION("""COMPUTED_VALUE"""),"Yes")</f>
        <v>Yes</v>
      </c>
      <c r="F260" s="3" t="str">
        <f ca="1">IFERROR(__xludf.DUMMYFUNCTION("""COMPUTED_VALUE"""),"BothRef")</f>
        <v>BothRef</v>
      </c>
      <c r="G260" s="3">
        <f ca="1">IFERROR(__xludf.DUMMYFUNCTION("""COMPUTED_VALUE"""),1747941)</f>
        <v>1747941</v>
      </c>
      <c r="H260" s="3" t="str">
        <f ca="1">IFERROR(__xludf.DUMMYFUNCTION("""COMPUTED_VALUE"""),"{1746323}")</f>
        <v>{1746323}</v>
      </c>
      <c r="I260" s="4" t="str">
        <f ca="1">IFERROR(__xludf.DUMMYFUNCTION("""COMPUTED_VALUE"""),"https://bugzilla.mozilla.org/show_bug.cgi?id=1747941")</f>
        <v>https://bugzilla.mozilla.org/show_bug.cgi?id=1747941</v>
      </c>
      <c r="J260" s="3" t="str">
        <f ca="1">IFERROR(__xludf.DUMMYFUNCTION("""COMPUTED_VALUE"""),"['src/nsprpub/pr/src/pthreads/ptthread.c', 'src/dom/promise/Promise.cpp', 'src/ipc/glue/MessagePump.cpp', 'src/dom/events/EventDispatcher.cpp', 'src/dom/workers/WorkerRunnable.cpp', 'builds/worker/workspace/obj-build/dom/bindings/WorkerGlobalScopeBinding."&amp;"cpp', 'src/xpcom/threads/nsThreadUtils.cpp', 'src/dom/events/DOMEventTargetHelper.cpp', 'src/ipc/chromium/src/base/message_loop.cc', 'builds/worker/workspace/obj-build/dist/include/mozilla/RefPtr.h', 'src/dom/events/EventTarget.cpp', 'src/dom/workers/Work"&amp;"erScope.cpp', 'build/glibc-eX1tMB/glibc-2.31/nptl/pthread_create.c', 'src/dom/fetch/Fetch.cpp', 'builds/worker/checkouts/gecko/dom/promise/Promise.cpp', 'src/js/src/vm/Interpreter.cpp', 'src/dom/workers/MessageEventRunnable.cpp', 'builds/worker/workspace/"&amp;"obj-build/dist/include/mozilla/dom/EventHandlerBinding.h', 'src/xpcom/threads/nsThread.cpp', 'src/dom/events/JSEventHandler.cpp', 'pernos.co/debug/vbsCS0pSgxkaZ0i7sBoWMg/index.html', 'builds/worker/workspace/obj-build/dom/bindings/EventHandlerBinding.cpp'"&amp;", 'src/dom/events/EventListenerManager.h', 'src/dom/workers/RuntimeService.cpp', 'src/dom/bindings/BindingUtils.cpp', 'src/dom/events/EventListenerManager.cpp', 'src/js/src/vm/CallAndConstruct.cpp', 'src/dom/workers/WorkerRef.cpp', 'src/dom/workers/Worker"&amp;"Private.cpp']")</f>
        <v>['src/nsprpub/pr/src/pthreads/ptthread.c', 'src/dom/promise/Promise.cpp', 'src/ipc/glue/MessagePump.cpp', 'src/dom/events/EventDispatcher.cpp', 'src/dom/workers/WorkerRunnable.cpp', 'builds/worker/workspace/obj-build/dom/bindings/WorkerGlobalScopeBinding.cpp', 'src/xpcom/threads/nsThreadUtils.cpp', 'src/dom/events/DOMEventTargetHelper.cpp', 'src/ipc/chromium/src/base/message_loop.cc', 'builds/worker/workspace/obj-build/dist/include/mozilla/RefPtr.h', 'src/dom/events/EventTarget.cpp', 'src/dom/workers/WorkerScope.cpp', 'build/glibc-eX1tMB/glibc-2.31/nptl/pthread_create.c', 'src/dom/fetch/Fetch.cpp', 'builds/worker/checkouts/gecko/dom/promise/Promise.cpp', 'src/js/src/vm/Interpreter.cpp', 'src/dom/workers/MessageEventRunnable.cpp', 'builds/worker/workspace/obj-build/dist/include/mozilla/dom/EventHandlerBinding.h', 'src/xpcom/threads/nsThread.cpp', 'src/dom/events/JSEventHandler.cpp', 'pernos.co/debug/vbsCS0pSgxkaZ0i7sBoWMg/index.html', 'builds/worker/workspace/obj-build/dom/bindings/EventHandlerBinding.cpp', 'src/dom/events/EventListenerManager.h', 'src/dom/workers/RuntimeService.cpp', 'src/dom/bindings/BindingUtils.cpp', 'src/dom/events/EventListenerManager.cpp', 'src/js/src/vm/CallAndConstruct.cpp', 'src/dom/workers/WorkerRef.cpp', 'src/dom/workers/WorkerPrivate.cpp']</v>
      </c>
      <c r="K260" s="3" t="str">
        <f ca="1">IFERROR(__xludf.DUMMYFUNCTION("""COMPUTED_VALUE"""),"System Dumps")</f>
        <v>System Dumps</v>
      </c>
      <c r="L260" s="3" t="str">
        <f ca="1">IFERROR(__xludf.DUMMYFUNCTION("""COMPUTED_VALUE"""),"File names are part of bug title")</f>
        <v>File names are part of bug title</v>
      </c>
      <c r="M260" s="3"/>
      <c r="N260" s="3"/>
      <c r="O260" s="3"/>
    </row>
    <row r="261" spans="1:15" ht="42">
      <c r="A261" s="3" t="s">
        <v>65</v>
      </c>
      <c r="B261" s="3"/>
      <c r="C261" s="3" t="str">
        <f ca="1">IFERROR(__xludf.DUMMYFUNCTION("""COMPUTED_VALUE"""),"Agree")</f>
        <v>Agree</v>
      </c>
      <c r="D261" s="3">
        <f ca="1">IFERROR(__xludf.DUMMYFUNCTION("""COMPUTED_VALUE"""),156)</f>
        <v>156</v>
      </c>
      <c r="E261" s="3" t="str">
        <f ca="1">IFERROR(__xludf.DUMMYFUNCTION("""COMPUTED_VALUE"""),"Yes")</f>
        <v>Yes</v>
      </c>
      <c r="F261" s="3" t="str">
        <f ca="1">IFERROR(__xludf.DUMMYFUNCTION("""COMPUTED_VALUE"""),"FixRef")</f>
        <v>FixRef</v>
      </c>
      <c r="G261" s="3">
        <f ca="1">IFERROR(__xludf.DUMMYFUNCTION("""COMPUTED_VALUE"""),1721838)</f>
        <v>1721838</v>
      </c>
      <c r="H261" s="3" t="str">
        <f ca="1">IFERROR(__xludf.DUMMYFUNCTION("""COMPUTED_VALUE"""),"{1434542}")</f>
        <v>{1434542}</v>
      </c>
      <c r="I261" s="4" t="str">
        <f ca="1">IFERROR(__xludf.DUMMYFUNCTION("""COMPUTED_VALUE"""),"https://bugzilla.mozilla.org/show_bug.cgi?id=1721838")</f>
        <v>https://bugzilla.mozilla.org/show_bug.cgi?id=1721838</v>
      </c>
      <c r="J261" s="3" t="str">
        <f ca="1">IFERROR(__xludf.DUMMYFUNCTION("""COMPUTED_VALUE"""),"['\\task_1626950169\\src\\js\\src\\jit-test\\tests\\gc\\incremental-abort.js', 'gc\\incremental-abort.js', 'js\\src\\jit-test\\tests\\gc\\incremental-compacting.js', 'js\\src\\jit-test\\tests\\gc\\incremental-abort.js']")</f>
        <v>['\\task_1626950169\\src\\js\\src\\jit-test\\tests\\gc\\incremental-abort.js', 'gc\\incremental-abort.js', 'js\\src\\jit-test\\tests\\gc\\incremental-compacting.js', 'js\\src\\jit-test\\tests\\gc\\incremental-abort.js']</v>
      </c>
      <c r="K261" s="3" t="str">
        <f ca="1">IFERROR(__xludf.DUMMYFUNCTION("""COMPUTED_VALUE"""),"System Dumps")</f>
        <v>System Dumps</v>
      </c>
      <c r="L261" s="3" t="str">
        <f ca="1">IFERROR(__xludf.DUMMYFUNCTION("""COMPUTED_VALUE"""),"File names are part of bug title")</f>
        <v>File names are part of bug title</v>
      </c>
      <c r="M261" s="3"/>
      <c r="N261" s="3"/>
      <c r="O261" s="3"/>
    </row>
    <row r="262" spans="1:15" ht="28">
      <c r="A262" s="3" t="s">
        <v>65</v>
      </c>
      <c r="B262" s="3"/>
      <c r="C262" s="3" t="str">
        <f ca="1">IFERROR(__xludf.DUMMYFUNCTION("""COMPUTED_VALUE"""),"Agree")</f>
        <v>Agree</v>
      </c>
      <c r="D262" s="3">
        <f ca="1">IFERROR(__xludf.DUMMYFUNCTION("""COMPUTED_VALUE"""),171)</f>
        <v>171</v>
      </c>
      <c r="E262" s="3" t="str">
        <f ca="1">IFERROR(__xludf.DUMMYFUNCTION("""COMPUTED_VALUE"""),"Yes")</f>
        <v>Yes</v>
      </c>
      <c r="F262" s="3" t="str">
        <f ca="1">IFERROR(__xludf.DUMMYFUNCTION("""COMPUTED_VALUE"""),"FixRef")</f>
        <v>FixRef</v>
      </c>
      <c r="G262" s="3">
        <f ca="1">IFERROR(__xludf.DUMMYFUNCTION("""COMPUTED_VALUE"""),1639886)</f>
        <v>1639886</v>
      </c>
      <c r="H262" s="3" t="str">
        <f ca="1">IFERROR(__xludf.DUMMYFUNCTION("""COMPUTED_VALUE"""),"{1626962, 1615255}")</f>
        <v>{1626962, 1615255}</v>
      </c>
      <c r="I262" s="4" t="str">
        <f ca="1">IFERROR(__xludf.DUMMYFUNCTION("""COMPUTED_VALUE"""),"https://bugzilla.mozilla.org/show_bug.cgi?id=1639886")</f>
        <v>https://bugzilla.mozilla.org/show_bug.cgi?id=1639886</v>
      </c>
      <c r="J262" s="3" t="str">
        <f ca="1">IFERROR(__xludf.DUMMYFUNCTION("""COMPUTED_VALUE"""),"['searchfox.org/mozilla-central/source/taskcluster/taskgraph/optimize/backstop.py']")</f>
        <v>['searchfox.org/mozilla-central/source/taskcluster/taskgraph/optimize/backstop.py']</v>
      </c>
      <c r="K262" s="3" t="str">
        <f ca="1">IFERROR(__xludf.DUMMYFUNCTION("""COMPUTED_VALUE"""),"Bug Description")</f>
        <v>Bug Description</v>
      </c>
      <c r="L262" s="3" t="str">
        <f ca="1">IFERROR(__xludf.DUMMYFUNCTION("""COMPUTED_VALUE"""),"Solution Draft")</f>
        <v>Solution Draft</v>
      </c>
      <c r="M262" s="3"/>
      <c r="N262" s="3"/>
      <c r="O262" s="3"/>
    </row>
    <row r="263" spans="1:15" ht="42">
      <c r="A263" s="3" t="s">
        <v>65</v>
      </c>
      <c r="B263" s="3"/>
      <c r="C263" s="3" t="str">
        <f ca="1">IFERROR(__xludf.DUMMYFUNCTION("""COMPUTED_VALUE"""),"Agree")</f>
        <v>Agree</v>
      </c>
      <c r="D263" s="3">
        <f ca="1">IFERROR(__xludf.DUMMYFUNCTION("""COMPUTED_VALUE"""),172)</f>
        <v>172</v>
      </c>
      <c r="E263" s="3" t="str">
        <f ca="1">IFERROR(__xludf.DUMMYFUNCTION("""COMPUTED_VALUE"""),"Yes")</f>
        <v>Yes</v>
      </c>
      <c r="F263" s="3" t="str">
        <f ca="1">IFERROR(__xludf.DUMMYFUNCTION("""COMPUTED_VALUE"""),"FixRef")</f>
        <v>FixRef</v>
      </c>
      <c r="G263" s="3">
        <f ca="1">IFERROR(__xludf.DUMMYFUNCTION("""COMPUTED_VALUE"""),1611133)</f>
        <v>1611133</v>
      </c>
      <c r="H263" s="3" t="str">
        <f ca="1">IFERROR(__xludf.DUMMYFUNCTION("""COMPUTED_VALUE"""),"{1492582}")</f>
        <v>{1492582}</v>
      </c>
      <c r="I263" s="4" t="str">
        <f ca="1">IFERROR(__xludf.DUMMYFUNCTION("""COMPUTED_VALUE"""),"https://bugzilla.mozilla.org/show_bug.cgi?id=1611133")</f>
        <v>https://bugzilla.mozilla.org/show_bug.cgi?id=1611133</v>
      </c>
      <c r="J263" s="3" t="str">
        <f ca="1">IFERROR(__xludf.DUMMYFUNCTION("""COMPUTED_VALUE"""),"['searchfox.org/mozilla-central/rev/7e92a667e3829831c31e8d46aefe7ef67ad5be1c/toolkit/components/printing/content/printUtils.js']")</f>
        <v>['searchfox.org/mozilla-central/rev/7e92a667e3829831c31e8d46aefe7ef67ad5be1c/toolkit/components/printing/content/printUtils.js']</v>
      </c>
      <c r="K263" s="3" t="str">
        <f ca="1">IFERROR(__xludf.DUMMYFUNCTION("""COMPUTED_VALUE"""),"Solution Draft")</f>
        <v>Solution Draft</v>
      </c>
      <c r="L263" s="3"/>
      <c r="M263" s="3"/>
      <c r="N263" s="3"/>
      <c r="O263" s="3"/>
    </row>
    <row r="264" spans="1:15" ht="140">
      <c r="A264" s="3" t="s">
        <v>65</v>
      </c>
      <c r="B264" s="3"/>
      <c r="C264" s="3" t="str">
        <f ca="1">IFERROR(__xludf.DUMMYFUNCTION("""COMPUTED_VALUE"""),"Agree")</f>
        <v>Agree</v>
      </c>
      <c r="D264" s="3">
        <f ca="1">IFERROR(__xludf.DUMMYFUNCTION("""COMPUTED_VALUE"""),177)</f>
        <v>177</v>
      </c>
      <c r="E264" s="3" t="str">
        <f ca="1">IFERROR(__xludf.DUMMYFUNCTION("""COMPUTED_VALUE"""),"Yes")</f>
        <v>Yes</v>
      </c>
      <c r="F264" s="3" t="str">
        <f ca="1">IFERROR(__xludf.DUMMYFUNCTION("""COMPUTED_VALUE"""),"FixRef")</f>
        <v>FixRef</v>
      </c>
      <c r="G264" s="3">
        <f ca="1">IFERROR(__xludf.DUMMYFUNCTION("""COMPUTED_VALUE"""),1567161)</f>
        <v>1567161</v>
      </c>
      <c r="H264" s="3" t="str">
        <f ca="1">IFERROR(__xludf.DUMMYFUNCTION("""COMPUTED_VALUE"""),"{1560513}")</f>
        <v>{1560513}</v>
      </c>
      <c r="I264" s="4" t="str">
        <f ca="1">IFERROR(__xludf.DUMMYFUNCTION("""COMPUTED_VALUE"""),"https://bugzilla.mozilla.org/show_bug.cgi?id=1567161")</f>
        <v>https://bugzilla.mozilla.org/show_bug.cgi?id=1567161</v>
      </c>
      <c r="J264" s="3" t="str">
        <f ca="1">IFERROR(__xludf.DUMMYFUNCTION("""COMPUTED_VALUE"""),"['builds/worker/workspace/moz-toolchain/src/llvm/projects/compiler-rt/lib/asan/asan_malloc_linux.cc', 'builds/worker/workspace/build/src/obj-firefox/dist/include/js/Utility.h', 'gre/modules/AsyncShutdown.jsm', 'treeherder.mozilla.org/logviewer.html', 'tes"&amp;"ting-common/PromiseTestUtils.jsm', 'toolkit/components/certviewer/tests/browser/browser_openTabAndSendCertInfo.js', 'builds/worker/workspace/build/src/js/src/vm/MallocProvider.h', 'builds/worker/workspace/build/src/js/src/frontend/Parser.cpp', 'builds/wor"&amp;"ker/workspace/build/src/js/src/vm/JSScript.cpp', 'treeherder.mozilla.org/intermittent-failures.html']")</f>
        <v>['builds/worker/workspace/moz-toolchain/src/llvm/projects/compiler-rt/lib/asan/asan_malloc_linux.cc', 'builds/worker/workspace/build/src/obj-firefox/dist/include/js/Utility.h', 'gre/modules/AsyncShutdown.jsm', 'treeherder.mozilla.org/logviewer.html', 'testing-common/PromiseTestUtils.jsm', 'toolkit/components/certviewer/tests/browser/browser_openTabAndSendCertInfo.js', 'builds/worker/workspace/build/src/js/src/vm/MallocProvider.h', 'builds/worker/workspace/build/src/js/src/frontend/Parser.cpp', 'builds/worker/workspace/build/src/js/src/vm/JSScript.cpp', 'treeherder.mozilla.org/intermittent-failures.html']</v>
      </c>
      <c r="K264" s="3" t="str">
        <f ca="1">IFERROR(__xludf.DUMMYFUNCTION("""COMPUTED_VALUE"""),"System Dumps")</f>
        <v>System Dumps</v>
      </c>
      <c r="L264" s="3" t="str">
        <f ca="1">IFERROR(__xludf.DUMMYFUNCTION("""COMPUTED_VALUE"""),"File names are part of bug title")</f>
        <v>File names are part of bug title</v>
      </c>
      <c r="M264" s="3"/>
      <c r="N264" s="3"/>
      <c r="O264" s="3" t="str">
        <f ca="1">IFERROR(__xludf.DUMMYFUNCTION("""COMPUTED_VALUE"""),"Backout")</f>
        <v>Backout</v>
      </c>
    </row>
    <row r="265" spans="1:15" ht="42">
      <c r="A265" s="3" t="s">
        <v>64</v>
      </c>
      <c r="B265" s="5" t="str">
        <f ca="1">IFERROR(__xludf.DUMMYFUNCTION(" QUERY(IMPORTRANGE(""https://docs.google.com/spreadsheets/d/1AwFyv3ImSaXhqKvrvO9LA-KngqT7urt7uwLvj4jQktE/edit#gid=167277208"", ""Pooja!A2:N378""), ""select * where Col4 is not null"")"),"")</f>
        <v/>
      </c>
      <c r="C265" s="3" t="str">
        <f ca="1">IFERROR(__xludf.DUMMYFUNCTION("""COMPUTED_VALUE"""),"Agree")</f>
        <v>Agree</v>
      </c>
      <c r="D265" s="3">
        <f ca="1">IFERROR(__xludf.DUMMYFUNCTION("""COMPUTED_VALUE"""),0)</f>
        <v>0</v>
      </c>
      <c r="E265" s="3" t="str">
        <f ca="1">IFERROR(__xludf.DUMMYFUNCTION("""COMPUTED_VALUE"""),"Yes")</f>
        <v>Yes</v>
      </c>
      <c r="F265" s="3" t="str">
        <f ca="1">IFERROR(__xludf.DUMMYFUNCTION("""COMPUTED_VALUE"""),"BothRef")</f>
        <v>BothRef</v>
      </c>
      <c r="G265" s="3">
        <f ca="1">IFERROR(__xludf.DUMMYFUNCTION("""COMPUTED_VALUE"""),1642863)</f>
        <v>1642863</v>
      </c>
      <c r="H265" s="3" t="str">
        <f ca="1">IFERROR(__xludf.DUMMYFUNCTION("""COMPUTED_VALUE"""),"{1534336}")</f>
        <v>{1534336}</v>
      </c>
      <c r="I265" s="4" t="str">
        <f ca="1">IFERROR(__xludf.DUMMYFUNCTION("""COMPUTED_VALUE"""),"https://bugzilla.mozilla.org/show_bug.cgi?id=1642863")</f>
        <v>https://bugzilla.mozilla.org/show_bug.cgi?id=1642863</v>
      </c>
      <c r="J265" s="3" t="str">
        <f ca="1">IFERROR(__xludf.DUMMYFUNCTION("""COMPUTED_VALUE"""),"['searchfox.org/mozilla-central/rev/559b25eb41c1cbffcb90a34e008b8288312fcd25/toolkit/content/aboutSupport.js']")</f>
        <v>['searchfox.org/mozilla-central/rev/559b25eb41c1cbffcb90a34e008b8288312fcd25/toolkit/content/aboutSupport.js']</v>
      </c>
      <c r="K265" s="3" t="str">
        <f ca="1">IFERROR(__xludf.DUMMYFUNCTION("""COMPUTED_VALUE"""),"Bug Description")</f>
        <v>Bug Description</v>
      </c>
      <c r="L265" s="3"/>
      <c r="M265" s="3"/>
      <c r="N265" s="3"/>
      <c r="O265" s="3"/>
    </row>
    <row r="266" spans="1:15" ht="56">
      <c r="A266" s="3" t="s">
        <v>64</v>
      </c>
      <c r="B266" s="3" t="str">
        <f ca="1">IFERROR(__xludf.DUMMYFUNCTION("""COMPUTED_VALUE"""),"Agree")</f>
        <v>Agree</v>
      </c>
      <c r="C266" s="3" t="str">
        <f ca="1">IFERROR(__xludf.DUMMYFUNCTION("""COMPUTED_VALUE"""),"Partial")</f>
        <v>Partial</v>
      </c>
      <c r="D266" s="3">
        <f ca="1">IFERROR(__xludf.DUMMYFUNCTION("""COMPUTED_VALUE"""),1)</f>
        <v>1</v>
      </c>
      <c r="E266" s="3" t="str">
        <f ca="1">IFERROR(__xludf.DUMMYFUNCTION("""COMPUTED_VALUE"""),"Yes")</f>
        <v>Yes</v>
      </c>
      <c r="F266" s="3" t="str">
        <f ca="1">IFERROR(__xludf.DUMMYFUNCTION("""COMPUTED_VALUE"""),"BothRef")</f>
        <v>BothRef</v>
      </c>
      <c r="G266" s="3">
        <f ca="1">IFERROR(__xludf.DUMMYFUNCTION("""COMPUTED_VALUE"""),1593995)</f>
        <v>1593995</v>
      </c>
      <c r="H266" s="3" t="str">
        <f ca="1">IFERROR(__xludf.DUMMYFUNCTION("""COMPUTED_VALUE"""),"{1591717}")</f>
        <v>{1591717}</v>
      </c>
      <c r="I266" s="4" t="str">
        <f ca="1">IFERROR(__xludf.DUMMYFUNCTION("""COMPUTED_VALUE"""),"https://bugzilla.mozilla.org/show_bug.cgi?id=1593995")</f>
        <v>https://bugzilla.mozilla.org/show_bug.cgi?id=1593995</v>
      </c>
      <c r="J266" s="3" t="str">
        <f ca="1">IFERROR(__xludf.DUMMYFUNCTION("""COMPUTED_VALUE"""),"['treeherder.mozilla.org/perf.html', 'workflow.2Fno_priority.py', 'searchfox.org/mozilla-central/rev/cce8b90aece0f42e5025e45282de16066eeaa662/modules/libpref/init/StaticPrefList.yaml']")</f>
        <v>['treeherder.mozilla.org/perf.html', 'workflow.2Fno_priority.py', 'searchfox.org/mozilla-central/rev/cce8b90aece0f42e5025e45282de16066eeaa662/modules/libpref/init/StaticPrefList.yaml']</v>
      </c>
      <c r="K266" s="3" t="str">
        <f ca="1">IFERROR(__xludf.DUMMYFUNCTION("""COMPUTED_VALUE"""),"System Dumps")</f>
        <v>System Dumps</v>
      </c>
      <c r="L266" s="3" t="str">
        <f ca="1">IFERROR(__xludf.DUMMYFUNCTION("""COMPUTED_VALUE"""),"Solution Draft")</f>
        <v>Solution Draft</v>
      </c>
      <c r="M266" s="3" t="str">
        <f ca="1">IFERROR(__xludf.DUMMYFUNCTION("""COMPUTED_VALUE"""),"Bug Description")</f>
        <v>Bug Description</v>
      </c>
      <c r="N266" s="3"/>
      <c r="O266" s="3" t="str">
        <f ca="1">IFERROR(__xludf.DUMMYFUNCTION("""COMPUTED_VALUE"""),"File names are in the link")</f>
        <v>File names are in the link</v>
      </c>
    </row>
    <row r="267" spans="1:15" ht="140">
      <c r="A267" s="3" t="s">
        <v>64</v>
      </c>
      <c r="B267" s="3" t="str">
        <f ca="1">IFERROR(__xludf.DUMMYFUNCTION("""COMPUTED_VALUE"""),"Agree")</f>
        <v>Agree</v>
      </c>
      <c r="C267" s="3" t="str">
        <f ca="1">IFERROR(__xludf.DUMMYFUNCTION("""COMPUTED_VALUE"""),"Partial")</f>
        <v>Partial</v>
      </c>
      <c r="D267" s="3">
        <f ca="1">IFERROR(__xludf.DUMMYFUNCTION("""COMPUTED_VALUE"""),2)</f>
        <v>2</v>
      </c>
      <c r="E267" s="3" t="str">
        <f ca="1">IFERROR(__xludf.DUMMYFUNCTION("""COMPUTED_VALUE"""),"Yes")</f>
        <v>Yes</v>
      </c>
      <c r="F267" s="3" t="str">
        <f ca="1">IFERROR(__xludf.DUMMYFUNCTION("""COMPUTED_VALUE"""),"BothRef")</f>
        <v>BothRef</v>
      </c>
      <c r="G267" s="3">
        <f ca="1">IFERROR(__xludf.DUMMYFUNCTION("""COMPUTED_VALUE"""),1563295)</f>
        <v>1563295</v>
      </c>
      <c r="H267" s="3" t="str">
        <f ca="1">IFERROR(__xludf.DUMMYFUNCTION("""COMPUTED_VALUE"""),"{1500626}")</f>
        <v>{1500626}</v>
      </c>
      <c r="I267" s="3" t="str">
        <f ca="1">IFERROR(__xludf.DUMMYFUNCTION("""COMPUTED_VALUE"""),"On MacOS ""Emoji &amp; Symbols"" and ""Start Dictation..."" menu items are not available at start")</f>
        <v>On MacOS "Emoji &amp; Symbols" and "Start Dictation..." menu items are not available at start</v>
      </c>
      <c r="J267" s="3" t="str">
        <f ca="1">IFERROR(__xludf.DUMMYFUNCTION("""COMPUTED_VALUE"""),"['searchfox.org/mozilla-central/source/widget/cocoa/nsMenuX.mm', 'searchfox.org/mozilla-central/rev/efce4ceddfbe5fe4e2d74f1aed93894bada9b273/xpfe/appshell/nsWebShellWindow.cpp', 'menu.js', 'searchfox.org/mozilla-central/rev/325c1a707819602feff736f129cb360"&amp;"55ba6d94f/widget/cocoa/nsMenuGroupOwnerX.mm', 'searchfox.org/mozilla-central/rev/325c1a707819602feff736f129cb36055ba6d94f/toolkit/content/widgets/menu.js', 'searchfox.org/mozilla-central/rev/325c1a707819602feff736f129cb36055ba6d94f/widget/cocoa/nsMenuBarX"&amp;".mm']")</f>
        <v>['searchfox.org/mozilla-central/source/widget/cocoa/nsMenuX.mm', 'searchfox.org/mozilla-central/rev/efce4ceddfbe5fe4e2d74f1aed93894bada9b273/xpfe/appshell/nsWebShellWindow.cpp', 'menu.js', 'searchfox.org/mozilla-central/rev/325c1a707819602feff736f129cb36055ba6d94f/widget/cocoa/nsMenuGroupOwnerX.mm', 'searchfox.org/mozilla-central/rev/325c1a707819602feff736f129cb36055ba6d94f/toolkit/content/widgets/menu.js', 'searchfox.org/mozilla-central/rev/325c1a707819602feff736f129cb36055ba6d94f/widget/cocoa/nsMenuBarX.mm']</v>
      </c>
      <c r="K267" s="3" t="str">
        <f ca="1">IFERROR(__xludf.DUMMYFUNCTION("""COMPUTED_VALUE"""),"Solution Draft")</f>
        <v>Solution Draft</v>
      </c>
      <c r="L267" s="3" t="str">
        <f ca="1">IFERROR(__xludf.DUMMYFUNCTION("""COMPUTED_VALUE"""),"Bug Description")</f>
        <v>Bug Description</v>
      </c>
      <c r="M267" s="3"/>
      <c r="N267" s="3"/>
      <c r="O267" s="3" t="str">
        <f ca="1">IFERROR(__xludf.DUMMYFUNCTION("""COMPUTED_VALUE"""),"File names are in the link. caused by another nug")</f>
        <v>File names are in the link. caused by another nug</v>
      </c>
    </row>
    <row r="268" spans="1:15" ht="140">
      <c r="A268" s="3" t="s">
        <v>64</v>
      </c>
      <c r="B268" s="3" t="str">
        <f ca="1">IFERROR(__xludf.DUMMYFUNCTION("""COMPUTED_VALUE"""),"Agree")</f>
        <v>Agree</v>
      </c>
      <c r="C268" s="3" t="str">
        <f ca="1">IFERROR(__xludf.DUMMYFUNCTION("""COMPUTED_VALUE"""),"Partial")</f>
        <v>Partial</v>
      </c>
      <c r="D268" s="3">
        <f ca="1">IFERROR(__xludf.DUMMYFUNCTION("""COMPUTED_VALUE"""),3)</f>
        <v>3</v>
      </c>
      <c r="E268" s="3" t="str">
        <f ca="1">IFERROR(__xludf.DUMMYFUNCTION("""COMPUTED_VALUE"""),"Yes")</f>
        <v>Yes</v>
      </c>
      <c r="F268" s="3" t="str">
        <f ca="1">IFERROR(__xludf.DUMMYFUNCTION("""COMPUTED_VALUE"""),"BothRef")</f>
        <v>BothRef</v>
      </c>
      <c r="G268" s="3">
        <f ca="1">IFERROR(__xludf.DUMMYFUNCTION("""COMPUTED_VALUE"""),1560251)</f>
        <v>1560251</v>
      </c>
      <c r="H268" s="3" t="str">
        <f ca="1">IFERROR(__xludf.DUMMYFUNCTION("""COMPUTED_VALUE"""),"{1553215}")</f>
        <v>{1553215}</v>
      </c>
      <c r="I268" s="3" t="str">
        <f ca="1">IFERROR(__xludf.DUMMYFUNCTION("""COMPUTED_VALUE"""),"1560251 - Intermittent /webaudio/the-audio-api/the-mediastreamaudiosourcenode-interface/mediastreamaudiosourcenode-routing.html | MediaStreamAudioSourceNode captures the right track. - assert_true: Other track seem to be routed to the AudioContext?")</f>
        <v>1560251 - Intermittent /webaudio/the-audio-api/the-mediastreamaudiosourcenode-interface/mediastreamaudiosourcenode-routing.html | MediaStreamAudioSourceNode captures the right track. - assert_true: Other track seem to be routed to the AudioContext?</v>
      </c>
      <c r="J268" s="3" t="str">
        <f ca="1">IFERROR(__xludf.DUMMYFUNCTION("""COMPUTED_VALUE"""),"['hg.mozilla.org/mozilla-central/raw-file/tip/layout/tools/reftest/reftest-analyzer.xhtml', 'mediastreamaudiosourcenode-routing.html', '8000/webaudio/the-audio-api/the-mediastreamaudiosourcenode-interface/mediastreamaudiosourcenode-routing.html', 'treeher"&amp;"der.mozilla.org/logviewer.html', 'webaudio/the-audio-api/the-mediastreamaudiosourcenode-interface/mediastreamaudiosourcenode-routing.html', '8000/resources/testharness.js', 'treeherder.mozilla.org/intermittent-failures.html']")</f>
        <v>['hg.mozilla.org/mozilla-central/raw-file/tip/layout/tools/reftest/reftest-analyzer.xhtml', 'mediastreamaudiosourcenode-routing.html', '8000/webaudio/the-audio-api/the-mediastreamaudiosourcenode-interface/mediastreamaudiosourcenode-routing.html', 'treeherder.mozilla.org/logviewer.html', 'webaudio/the-audio-api/the-mediastreamaudiosourcenode-interface/mediastreamaudiosourcenode-routing.html', '8000/resources/testharness.js', 'treeherder.mozilla.org/intermittent-failures.html']</v>
      </c>
      <c r="K268" s="3" t="str">
        <f ca="1">IFERROR(__xludf.DUMMYFUNCTION("""COMPUTED_VALUE"""),"System Dumps")</f>
        <v>System Dumps</v>
      </c>
      <c r="L268" s="3" t="str">
        <f ca="1">IFERROR(__xludf.DUMMYFUNCTION("""COMPUTED_VALUE"""),"File names are part of bug title, attachment title or commit messages")</f>
        <v>File names are part of bug title, attachment title or commit messages</v>
      </c>
      <c r="M268" s="3"/>
      <c r="N268" s="3"/>
      <c r="O268" s="3" t="str">
        <f ca="1">IFERROR(__xludf.DUMMYFUNCTION("""COMPUTED_VALUE"""),"the files at the top of stack trace seems to fix the issue (in this case mediastreamaudiosourcenode-routing.html)")</f>
        <v>the files at the top of stack trace seems to fix the issue (in this case mediastreamaudiosourcenode-routing.html)</v>
      </c>
    </row>
    <row r="269" spans="1:15" ht="224">
      <c r="A269" s="3" t="s">
        <v>64</v>
      </c>
      <c r="B269" s="3"/>
      <c r="C269" s="3" t="str">
        <f ca="1">IFERROR(__xludf.DUMMYFUNCTION("""COMPUTED_VALUE"""),"Agree")</f>
        <v>Agree</v>
      </c>
      <c r="D269" s="3">
        <f ca="1">IFERROR(__xludf.DUMMYFUNCTION("""COMPUTED_VALUE"""),4)</f>
        <v>4</v>
      </c>
      <c r="E269" s="3" t="str">
        <f ca="1">IFERROR(__xludf.DUMMYFUNCTION("""COMPUTED_VALUE"""),"Yes")</f>
        <v>Yes</v>
      </c>
      <c r="F269" s="3" t="str">
        <f ca="1">IFERROR(__xludf.DUMMYFUNCTION("""COMPUTED_VALUE"""),"BothRef")</f>
        <v>BothRef</v>
      </c>
      <c r="G269" s="3">
        <f ca="1">IFERROR(__xludf.DUMMYFUNCTION("""COMPUTED_VALUE"""),1709130)</f>
        <v>1709130</v>
      </c>
      <c r="H269" s="3" t="str">
        <f ca="1">IFERROR(__xludf.DUMMYFUNCTION("""COMPUTED_VALUE"""),"{1695265}")</f>
        <v>{1695265}</v>
      </c>
      <c r="I269" s="4" t="str">
        <f ca="1">IFERROR(__xludf.DUMMYFUNCTION("""COMPUTED_VALUE"""),"https://bugzilla.mozilla.org/show_bug.cgi?id=1709130")</f>
        <v>https://bugzilla.mozilla.org/show_bug.cgi?id=1709130</v>
      </c>
      <c r="J269" s="3" t="str">
        <f ca="1">IFERROR(__xludf.DUMMYFUNCTION("""COMPUTED_VALUE"""),"['builds/worker/checkouts/gecko/xpcom/threads/nsThread.cpp', 'builds/worker/checkouts/gecko/dom/media/mediasink/AudioDecoderInputTrack.cpp', 'searchfox.org/mozilla-central/rev/54097530955a98c768f2aaf56925578ec886ec77/dom/media/MediaDecoderStateMachine.cpp"&amp;"', 'builds/worker/checkouts/gecko/nsprpub/pr/src/pthreads/ptthread.c', 'builds/worker/workspace/obj-build/dist/include/mozilla/StateWatching.h', 'builds/worker/workspace/obj-build/dist/include/mozilla/TaskDispatcher.h', 'builds/worker/checkouts/gecko/xpco"&amp;"m/threads/TaskQueue.cpp', 'builds/worker/checkouts/gecko/dom/media/mediasink/DecodedStream.cpp', 'builds/worker/workspace/obj-build/dist/include/nsThreadUtils.h', 'build/glibc-eX1tMB/glibc-2.31/nptl/pthread_create.c', 'builds/worker/checkouts/gecko/ipc/ch"&amp;"romium/src/base/message_loop.cc', 'builds/worker/checkouts/gecko/ipc/glue/MessagePump.cpp', 'builds/worker/checkouts/gecko/xpcom/threads/nsThreadPool.cpp', 'builds/worker/checkouts/gecko/xpcom/threads/nsThreadUtils.cpp']")</f>
        <v>['builds/worker/checkouts/gecko/xpcom/threads/nsThread.cpp', 'builds/worker/checkouts/gecko/dom/media/mediasink/AudioDecoderInputTrack.cpp', 'searchfox.org/mozilla-central/rev/54097530955a98c768f2aaf56925578ec886ec77/dom/media/MediaDecoderStateMachine.cpp', 'builds/worker/checkouts/gecko/nsprpub/pr/src/pthreads/ptthread.c', 'builds/worker/workspace/obj-build/dist/include/mozilla/StateWatching.h', 'builds/worker/workspace/obj-build/dist/include/mozilla/TaskDispatcher.h', 'builds/worker/checkouts/gecko/xpcom/threads/TaskQueue.cpp', 'builds/worker/checkouts/gecko/dom/media/mediasink/DecodedStream.cpp', 'builds/worker/workspace/obj-build/dist/include/nsThreadUtils.h', 'build/glibc-eX1tMB/glibc-2.31/nptl/pthread_create.c', 'builds/worker/checkouts/gecko/ipc/chromium/src/base/message_loop.cc', 'builds/worker/checkouts/gecko/ipc/glue/MessagePump.cpp', 'builds/worker/checkouts/gecko/xpcom/threads/nsThreadPool.cpp', 'builds/worker/checkouts/gecko/xpcom/threads/nsThreadUtils.cpp']</v>
      </c>
      <c r="K269" s="3" t="str">
        <f ca="1">IFERROR(__xludf.DUMMYFUNCTION("""COMPUTED_VALUE"""),"System Dumps")</f>
        <v>System Dumps</v>
      </c>
      <c r="L269" s="3" t="str">
        <f ca="1">IFERROR(__xludf.DUMMYFUNCTION("""COMPUTED_VALUE"""),"File names are part of bug title, attachment title or commit messages")</f>
        <v>File names are part of bug title, attachment title or commit messages</v>
      </c>
      <c r="M269" s="3" t="str">
        <f ca="1">IFERROR(__xludf.DUMMYFUNCTION("""COMPUTED_VALUE"""),"Bug Description")</f>
        <v>Bug Description</v>
      </c>
      <c r="N269" s="3"/>
      <c r="O269" s="3"/>
    </row>
    <row r="270" spans="1:15" ht="319">
      <c r="A270" s="3" t="s">
        <v>64</v>
      </c>
      <c r="B270" s="3" t="str">
        <f ca="1">IFERROR(__xludf.DUMMYFUNCTION("""COMPUTED_VALUE"""),"Agree")</f>
        <v>Agree</v>
      </c>
      <c r="C270" s="3" t="str">
        <f ca="1">IFERROR(__xludf.DUMMYFUNCTION("""COMPUTED_VALUE"""),"Partial")</f>
        <v>Partial</v>
      </c>
      <c r="D270" s="3">
        <f ca="1">IFERROR(__xludf.DUMMYFUNCTION("""COMPUTED_VALUE"""),5)</f>
        <v>5</v>
      </c>
      <c r="E270" s="3" t="str">
        <f ca="1">IFERROR(__xludf.DUMMYFUNCTION("""COMPUTED_VALUE"""),"Yes")</f>
        <v>Yes</v>
      </c>
      <c r="F270" s="3" t="str">
        <f ca="1">IFERROR(__xludf.DUMMYFUNCTION("""COMPUTED_VALUE"""),"BugRef")</f>
        <v>BugRef</v>
      </c>
      <c r="G270" s="3">
        <f ca="1">IFERROR(__xludf.DUMMYFUNCTION("""COMPUTED_VALUE"""),1673530)</f>
        <v>1673530</v>
      </c>
      <c r="H270" s="3" t="str">
        <f ca="1">IFERROR(__xludf.DUMMYFUNCTION("""COMPUTED_VALUE"""),"{1655239}")</f>
        <v>{1655239}</v>
      </c>
      <c r="I270" s="4" t="str">
        <f ca="1">IFERROR(__xludf.DUMMYFUNCTION("""COMPUTED_VALUE"""),"https://bugzilla.mozilla.org/show_bug.cgi?id=1673530")</f>
        <v>https://bugzilla.mozilla.org/show_bug.cgi?id=1673530</v>
      </c>
      <c r="J270" s="3" t="str">
        <f ca="1">IFERROR(__xludf.DUMMYFUNCTION("""COMPUTED_VALUE"""),"['builds/worker/checkouts/gecko/xpcom/base/nsCycleCollector.cpp', 'builds/worker/checkouts/gecko/tools/profiler/core/platform.cpp', 'file_pointercapture_xorigin_iframe_pointerlock.html', 'builds/worker/checkouts/gecko/modules/libpref/Preferences.cpp', 'fi"&amp;"le_pointercapture_xorigin_iframe.html', 'builds/worker/checkouts/gecko/dom/base/nsGlobalWindowOuter.cpp', 'builds/worker/checkouts/gecko/extensions/permissions/PermissionDelegateHandler.cpp', 'builds/worker/checkouts/gecko/gfx/layers/apz/src/APZUpdater.cp"&amp;"p', 'builds/worker/checkouts/gecko/dom/media/CubebUtils.cpp', 'treeherder.mozilla.org/intermittent-failures.html', 'builds/worker/checkouts/gecko/gfx/gl/GLContext.cpp', 'TestRunner._checkForHangs@SimpleTest/TestRunner.js', 'builds/worker/checkouts/gecko/d"&amp;"ocshell/shistory/SessionHistoryEntry.cpp', 'builds/worker/checkouts/gecko/toolkit/components/antitracking/AntiTrackingUtils.cpp', 'reportError@SimpleTest/TestRunner.js', 'treeherder.mozilla.org/logviewer.html', 'dom/events/test/pointerevents/test_pointerc"&amp;"apture_xorigin_iframe.html', 'builds/worker/checkouts/gecko/xpcom/base/nsTraceRefcnt.cpp', 'SimpleTest.ok@SimpleTest/SimpleTest.js', 'builds/worker/checkouts/gecko/dom/base/WindowDestroyedEvent.cpp', 'builds/worker/checkouts/gecko/gfx/gl/GLContextFeatures"&amp;".cpp']")</f>
        <v>['builds/worker/checkouts/gecko/xpcom/base/nsCycleCollector.cpp', 'builds/worker/checkouts/gecko/tools/profiler/core/platform.cpp', 'file_pointercapture_xorigin_iframe_pointerlock.html', 'builds/worker/checkouts/gecko/modules/libpref/Preferences.cpp', 'file_pointercapture_xorigin_iframe.html', 'builds/worker/checkouts/gecko/dom/base/nsGlobalWindowOuter.cpp', 'builds/worker/checkouts/gecko/extensions/permissions/PermissionDelegateHandler.cpp', 'builds/worker/checkouts/gecko/gfx/layers/apz/src/APZUpdater.cpp', 'builds/worker/checkouts/gecko/dom/media/CubebUtils.cpp', 'treeherder.mozilla.org/intermittent-failures.html', 'builds/worker/checkouts/gecko/gfx/gl/GLContext.cpp', 'TestRunner._checkForHangs@SimpleTest/TestRunner.js', 'builds/worker/checkouts/gecko/docshell/shistory/SessionHistoryEntry.cpp', 'builds/worker/checkouts/gecko/toolkit/components/antitracking/AntiTrackingUtils.cpp', 'reportError@SimpleTest/TestRunner.js', 'treeherder.mozilla.org/logviewer.html', 'dom/events/test/pointerevents/test_pointercapture_xorigin_iframe.html', 'builds/worker/checkouts/gecko/xpcom/base/nsTraceRefcnt.cpp', 'SimpleTest.ok@SimpleTest/SimpleTest.js', 'builds/worker/checkouts/gecko/dom/base/WindowDestroyedEvent.cpp', 'builds/worker/checkouts/gecko/gfx/gl/GLContextFeatures.cpp']</v>
      </c>
      <c r="K270" s="3" t="str">
        <f ca="1">IFERROR(__xludf.DUMMYFUNCTION("""COMPUTED_VALUE"""),"System Dumps")</f>
        <v>System Dumps</v>
      </c>
      <c r="L270" s="3" t="str">
        <f ca="1">IFERROR(__xludf.DUMMYFUNCTION("""COMPUTED_VALUE"""),"File names are part of bug title, attachment title or commit messages")</f>
        <v>File names are part of bug title, attachment title or commit messages</v>
      </c>
      <c r="M270" s="3" t="str">
        <f ca="1">IFERROR(__xludf.DUMMYFUNCTION("""COMPUTED_VALUE"""),"Bug Description")</f>
        <v>Bug Description</v>
      </c>
      <c r="N270" s="3"/>
      <c r="O270" s="3"/>
    </row>
    <row r="271" spans="1:15" ht="98">
      <c r="A271" s="3" t="s">
        <v>64</v>
      </c>
      <c r="B271" s="3"/>
      <c r="C271" s="3" t="str">
        <f ca="1">IFERROR(__xludf.DUMMYFUNCTION("""COMPUTED_VALUE"""),"Agree")</f>
        <v>Agree</v>
      </c>
      <c r="D271" s="3">
        <f ca="1">IFERROR(__xludf.DUMMYFUNCTION("""COMPUTED_VALUE"""),6)</f>
        <v>6</v>
      </c>
      <c r="E271" s="3" t="str">
        <f ca="1">IFERROR(__xludf.DUMMYFUNCTION("""COMPUTED_VALUE"""),"Yes")</f>
        <v>Yes</v>
      </c>
      <c r="F271" s="3" t="str">
        <f ca="1">IFERROR(__xludf.DUMMYFUNCTION("""COMPUTED_VALUE"""),"BothRef")</f>
        <v>BothRef</v>
      </c>
      <c r="G271" s="3">
        <f ca="1">IFERROR(__xludf.DUMMYFUNCTION("""COMPUTED_VALUE"""),1794265)</f>
        <v>1794265</v>
      </c>
      <c r="H271" s="3" t="str">
        <f ca="1">IFERROR(__xludf.DUMMYFUNCTION("""COMPUTED_VALUE"""),"{1792333}")</f>
        <v>{1792333}</v>
      </c>
      <c r="I271" s="3" t="str">
        <f ca="1">IFERROR(__xludf.DUMMYFUNCTION("""COMPUTED_VALUE"""),"1794265 - Using GMail compose with Firefox Nightly and screen readers freezes browser")</f>
        <v>1794265 - Using GMail compose with Firefox Nightly and screen readers freezes browser</v>
      </c>
      <c r="J271" s="3" t="str">
        <f ca="1">IFERROR(__xludf.DUMMYFUNCTION("""COMPUTED_VALUE"""),"['\\Users\\jamie\\src\\gecko2\\accessible\\windows\\ia2\\ia2AccessibleText.cpp', '\\Users\\jamie\\src\\gecko2\\layout\\generic\\nsIFrame.cpp', '\\Users\\jamie\\src\\gecko2\\layout\\base\\nsFrameTraversal.cpp', '\\Users\\jamie\\src\\gecko2\\accessible\\gen"&amp;"eric\\HyperTextAccessible.cpp', 'searchfox.org/mozilla-central/rev/ffa4d00965c5281def6d3ddcbcdf6259d38c9b9a/layout/generic/nsIFrame.cpp', 'accessible/tests/mochitest/text/test_lineboundary.html']")</f>
        <v>['\\Users\\jamie\\src\\gecko2\\accessible\\windows\\ia2\\ia2AccessibleText.cpp', '\\Users\\jamie\\src\\gecko2\\layout\\generic\\nsIFrame.cpp', '\\Users\\jamie\\src\\gecko2\\layout\\base\\nsFrameTraversal.cpp', '\\Users\\jamie\\src\\gecko2\\accessible\\generic\\HyperTextAccessible.cpp', 'searchfox.org/mozilla-central/rev/ffa4d00965c5281def6d3ddcbcdf6259d38c9b9a/layout/generic/nsIFrame.cpp', 'accessible/tests/mochitest/text/test_lineboundary.html']</v>
      </c>
      <c r="K271" s="3" t="str">
        <f ca="1">IFERROR(__xludf.DUMMYFUNCTION("""COMPUTED_VALUE"""),"System Dumps")</f>
        <v>System Dumps</v>
      </c>
      <c r="L271" s="3" t="str">
        <f ca="1">IFERROR(__xludf.DUMMYFUNCTION("""COMPUTED_VALUE"""),"Bug Description")</f>
        <v>Bug Description</v>
      </c>
      <c r="M271" s="3"/>
      <c r="N271" s="3"/>
      <c r="O271" s="3" t="str">
        <f ca="1">IFERROR(__xludf.DUMMYFUNCTION("""COMPUTED_VALUE"""),"the files at the top of stack trace seems to fix the issue (in this case nsIFrame.cpp)")</f>
        <v>the files at the top of stack trace seems to fix the issue (in this case nsIFrame.cpp)</v>
      </c>
    </row>
    <row r="272" spans="1:15" ht="168">
      <c r="A272" s="3" t="s">
        <v>64</v>
      </c>
      <c r="B272" s="3"/>
      <c r="C272" s="3" t="str">
        <f ca="1">IFERROR(__xludf.DUMMYFUNCTION("""COMPUTED_VALUE"""),"Agree")</f>
        <v>Agree</v>
      </c>
      <c r="D272" s="3">
        <f ca="1">IFERROR(__xludf.DUMMYFUNCTION("""COMPUTED_VALUE"""),7)</f>
        <v>7</v>
      </c>
      <c r="E272" s="3" t="str">
        <f ca="1">IFERROR(__xludf.DUMMYFUNCTION("""COMPUTED_VALUE"""),"Yes")</f>
        <v>Yes</v>
      </c>
      <c r="F272" s="3" t="str">
        <f ca="1">IFERROR(__xludf.DUMMYFUNCTION("""COMPUTED_VALUE"""),"BothRef")</f>
        <v>BothRef</v>
      </c>
      <c r="G272" s="3">
        <f ca="1">IFERROR(__xludf.DUMMYFUNCTION("""COMPUTED_VALUE"""),1595425)</f>
        <v>1595425</v>
      </c>
      <c r="H272" s="3" t="str">
        <f ca="1">IFERROR(__xludf.DUMMYFUNCTION("""COMPUTED_VALUE"""),"{1568996}")</f>
        <v>{1568996}</v>
      </c>
      <c r="I272" s="4" t="str">
        <f ca="1">IFERROR(__xludf.DUMMYFUNCTION("""COMPUTED_VALUE"""),"https://bugzilla.mozilla.org/show_bug.cgi?id=1595425")</f>
        <v>https://bugzilla.mozilla.org/show_bug.cgi?id=1595425</v>
      </c>
      <c r="J272" s="3" t="str">
        <f ca="1">IFERROR(__xludf.DUMMYFUNCTION("""COMPUTED_VALUE"""),"['modules/UrlbarValueFormatter.jsm', 'global/content/customElements.js', 'browser/content/tabbrowser-tab.js', 'treeherder.mozilla.org/perf.html', 'global/content/elements/tabbox.js', 'searchfox.org/mozilla-central/rev/cac340f10816707e91c46db6d285f80259420"&amp;"f07/editor/libeditor/TextEditor.cpp', 'searchfox.org/mozilla-central/rev/6566d92dd46417a2f57e75c515135ebe84c9cef5/browser/components/urlbar/UrlbarValueFormatter.jsm', 'modules/UrlbarInput.jsm', 'browser/content/browser.js', 'searchfox.org/mozilla-central/"&amp;"rev/e7c61f4a68b974d5fecd216dc7407b631a24eb8f/browser/base/content/browser.css', 'searchfox.org/mozilla-central/rev/e7c61f4a68b974d5fecd216dc7407b631a24eb8f/editor/libeditor/TextEditor.cpp', 'browser/content/tabbrowser.js']")</f>
        <v>['modules/UrlbarValueFormatter.jsm', 'global/content/customElements.js', 'browser/content/tabbrowser-tab.js', 'treeherder.mozilla.org/perf.html', 'global/content/elements/tabbox.js', 'searchfox.org/mozilla-central/rev/cac340f10816707e91c46db6d285f80259420f07/editor/libeditor/TextEditor.cpp', 'searchfox.org/mozilla-central/rev/6566d92dd46417a2f57e75c515135ebe84c9cef5/browser/components/urlbar/UrlbarValueFormatter.jsm', 'modules/UrlbarInput.jsm', 'browser/content/browser.js', 'searchfox.org/mozilla-central/rev/e7c61f4a68b974d5fecd216dc7407b631a24eb8f/browser/base/content/browser.css', 'searchfox.org/mozilla-central/rev/e7c61f4a68b974d5fecd216dc7407b631a24eb8f/editor/libeditor/TextEditor.cpp', 'browser/content/tabbrowser.js']</v>
      </c>
      <c r="K272" s="3" t="str">
        <f ca="1">IFERROR(__xludf.DUMMYFUNCTION("""COMPUTED_VALUE"""),"System Dumps")</f>
        <v>System Dumps</v>
      </c>
      <c r="L272" s="3" t="str">
        <f ca="1">IFERROR(__xludf.DUMMYFUNCTION("""COMPUTED_VALUE"""),"Solution Draft")</f>
        <v>Solution Draft</v>
      </c>
      <c r="M272" s="3" t="str">
        <f ca="1">IFERROR(__xludf.DUMMYFUNCTION("""COMPUTED_VALUE"""),"Bug Description")</f>
        <v>Bug Description</v>
      </c>
      <c r="N272" s="3" t="str">
        <f ca="1">IFERROR(__xludf.DUMMYFUNCTION("""COMPUTED_VALUE"""),"File names are part of bug title, attachment title or commit messages")</f>
        <v>File names are part of bug title, attachment title or commit messages</v>
      </c>
      <c r="O272" s="3" t="str">
        <f ca="1">IFERROR(__xludf.DUMMYFUNCTION("""COMPUTED_VALUE"""),"Bug Dependency")</f>
        <v>Bug Dependency</v>
      </c>
    </row>
    <row r="273" spans="1:15" ht="42">
      <c r="A273" s="3" t="s">
        <v>64</v>
      </c>
      <c r="B273" s="3"/>
      <c r="C273" s="3" t="str">
        <f ca="1">IFERROR(__xludf.DUMMYFUNCTION("""COMPUTED_VALUE"""),"Agree")</f>
        <v>Agree</v>
      </c>
      <c r="D273" s="3">
        <f ca="1">IFERROR(__xludf.DUMMYFUNCTION("""COMPUTED_VALUE"""),8)</f>
        <v>8</v>
      </c>
      <c r="E273" s="3" t="str">
        <f ca="1">IFERROR(__xludf.DUMMYFUNCTION("""COMPUTED_VALUE"""),"Yes")</f>
        <v>Yes</v>
      </c>
      <c r="F273" s="3" t="str">
        <f ca="1">IFERROR(__xludf.DUMMYFUNCTION("""COMPUTED_VALUE"""),"BothRef")</f>
        <v>BothRef</v>
      </c>
      <c r="G273" s="3">
        <f ca="1">IFERROR(__xludf.DUMMYFUNCTION("""COMPUTED_VALUE"""),1559688)</f>
        <v>1559688</v>
      </c>
      <c r="H273" s="3" t="str">
        <f ca="1">IFERROR(__xludf.DUMMYFUNCTION("""COMPUTED_VALUE"""),"{1509495}")</f>
        <v>{1509495}</v>
      </c>
      <c r="I273" s="3" t="str">
        <f ca="1">IFERROR(__xludf.DUMMYFUNCTION("""COMPUTED_VALUE"""),"1559688 - Corrupted image during progressive JPEG loading")</f>
        <v>1559688 - Corrupted image during progressive JPEG loading</v>
      </c>
      <c r="J273" s="3" t="str">
        <f ca="1">IFERROR(__xludf.DUMMYFUNCTION("""COMPUTED_VALUE"""),"['searchfox.org/mozilla-central/source/gfx/wr/webrender/src/resource_cache.rs']")</f>
        <v>['searchfox.org/mozilla-central/source/gfx/wr/webrender/src/resource_cache.rs']</v>
      </c>
      <c r="K273" s="3" t="str">
        <f ca="1">IFERROR(__xludf.DUMMYFUNCTION("""COMPUTED_VALUE"""),"Bug Description")</f>
        <v>Bug Description</v>
      </c>
      <c r="L273" s="3"/>
      <c r="M273" s="3"/>
      <c r="N273" s="3"/>
      <c r="O273" s="3"/>
    </row>
    <row r="274" spans="1:15" ht="196">
      <c r="A274" s="3" t="s">
        <v>64</v>
      </c>
      <c r="B274" s="3"/>
      <c r="C274" s="3" t="str">
        <f ca="1">IFERROR(__xludf.DUMMYFUNCTION("""COMPUTED_VALUE"""),"Agree")</f>
        <v>Agree</v>
      </c>
      <c r="D274" s="3">
        <f ca="1">IFERROR(__xludf.DUMMYFUNCTION("""COMPUTED_VALUE"""),9)</f>
        <v>9</v>
      </c>
      <c r="E274" s="3" t="str">
        <f ca="1">IFERROR(__xludf.DUMMYFUNCTION("""COMPUTED_VALUE"""),"Yes")</f>
        <v>Yes</v>
      </c>
      <c r="F274" s="3" t="str">
        <f ca="1">IFERROR(__xludf.DUMMYFUNCTION("""COMPUTED_VALUE"""),"BothRef")</f>
        <v>BothRef</v>
      </c>
      <c r="G274" s="3">
        <f ca="1">IFERROR(__xludf.DUMMYFUNCTION("""COMPUTED_VALUE"""),1588295)</f>
        <v>1588295</v>
      </c>
      <c r="H274" s="3" t="str">
        <f ca="1">IFERROR(__xludf.DUMMYFUNCTION("""COMPUTED_VALUE"""),"{1587117}")</f>
        <v>{1587117}</v>
      </c>
      <c r="I274" s="3" t="str">
        <f ca="1">IFERROR(__xludf.DUMMYFUNCTION("""COMPUTED_VALUE"""),"Permafailing devtools/client/performance-new/test/xpcshell/test_popup_initial_state.js | xpcshell return code: 0 on OS X when Gecko 71 merges to Beta on 2019-10-14")</f>
        <v>Permafailing devtools/client/performance-new/test/xpcshell/test_popup_initial_state.js | xpcshell return code: 0 on OS X when Gecko 71 merges to Beta on 2019-10-14</v>
      </c>
      <c r="J274" s="3" t="str">
        <f ca="1">IFERROR(__xludf.DUMMYFUNCTION("""COMPUTED_VALUE"""),"['_abort_failed_test@/Users/cltbld/tasks/task_1570870764/build/tests/xpcshell/head.js', 'do_report_result@/Users/cltbld/tasks/task_1570870764/build/tests/xpcshell/head.js', 'any/path/tosome/test.html', 'Users/cltbld/tasks/task_1570870764/build/tests/xpcsh"&amp;"ell/tests/devtools/client/performance-new/test/xpcshell/test_popup_initial_state.js', 'builds/worker/workspace/build/src/startupcache/StartupCache.cpp', 'treeherder.mozilla.org/logviewer.html', 'builds/worker/workspace/build/src/toolkit/crashreporter/nsEx"&amp;"ceptionHandler.cpp', 'Users/cltbld/tasks/task_1570870764/build/tests/xpcshell/head.js', 'treeherder.mozilla.org/intermittent-failures.html', 'xpcshell/head.js', 'devtools/client/performance-new/test/xpcshell/test_popup_initial_state.js', 'StartupCache.cpp"&amp;"']")</f>
        <v>['_abort_failed_test@/Users/cltbld/tasks/task_1570870764/build/tests/xpcshell/head.js', 'do_report_result@/Users/cltbld/tasks/task_1570870764/build/tests/xpcshell/head.js', 'any/path/tosome/test.html', 'Users/cltbld/tasks/task_1570870764/build/tests/xpcshell/tests/devtools/client/performance-new/test/xpcshell/test_popup_initial_state.js', 'builds/worker/workspace/build/src/startupcache/StartupCache.cpp', 'treeherder.mozilla.org/logviewer.html', 'builds/worker/workspace/build/src/toolkit/crashreporter/nsExceptionHandler.cpp', 'Users/cltbld/tasks/task_1570870764/build/tests/xpcshell/head.js', 'treeherder.mozilla.org/intermittent-failures.html', 'xpcshell/head.js', 'devtools/client/performance-new/test/xpcshell/test_popup_initial_state.js', 'StartupCache.cpp']</v>
      </c>
      <c r="K274" s="3" t="str">
        <f ca="1">IFERROR(__xludf.DUMMYFUNCTION("""COMPUTED_VALUE"""),"System Dumps")</f>
        <v>System Dumps</v>
      </c>
      <c r="L274" s="3" t="str">
        <f ca="1">IFERROR(__xludf.DUMMYFUNCTION("""COMPUTED_VALUE"""),"File names are part of bug title, attachment title or commit messages")</f>
        <v>File names are part of bug title, attachment title or commit messages</v>
      </c>
      <c r="M274" s="3"/>
      <c r="N274" s="3"/>
      <c r="O274" s="3" t="str">
        <f ca="1">IFERROR(__xludf.DUMMYFUNCTION("""COMPUTED_VALUE"""),"the files at the top of stack trace seems to fix the issue (in this case test_popup_initial_state.js)")</f>
        <v>the files at the top of stack trace seems to fix the issue (in this case test_popup_initial_state.js)</v>
      </c>
    </row>
    <row r="275" spans="1:15" ht="140">
      <c r="A275" s="3" t="s">
        <v>64</v>
      </c>
      <c r="B275" s="3"/>
      <c r="C275" s="3" t="str">
        <f ca="1">IFERROR(__xludf.DUMMYFUNCTION("""COMPUTED_VALUE"""),"Agree")</f>
        <v>Agree</v>
      </c>
      <c r="D275" s="3">
        <f ca="1">IFERROR(__xludf.DUMMYFUNCTION("""COMPUTED_VALUE"""),10)</f>
        <v>10</v>
      </c>
      <c r="E275" s="3" t="str">
        <f ca="1">IFERROR(__xludf.DUMMYFUNCTION("""COMPUTED_VALUE"""),"Yes")</f>
        <v>Yes</v>
      </c>
      <c r="F275" s="3" t="str">
        <f ca="1">IFERROR(__xludf.DUMMYFUNCTION("""COMPUTED_VALUE"""),"BugRef")</f>
        <v>BugRef</v>
      </c>
      <c r="G275" s="3">
        <f ca="1">IFERROR(__xludf.DUMMYFUNCTION("""COMPUTED_VALUE"""),1698640)</f>
        <v>1698640</v>
      </c>
      <c r="H275" s="3" t="str">
        <f ca="1">IFERROR(__xludf.DUMMYFUNCTION("""COMPUTED_VALUE"""),"{1691474}")</f>
        <v>{1691474}</v>
      </c>
      <c r="I275" s="4" t="str">
        <f ca="1">IFERROR(__xludf.DUMMYFUNCTION("""COMPUTED_VALUE"""),"https://bugzilla.mozilla.org/show_bug.cgi?id=1698640")</f>
        <v>https://bugzilla.mozilla.org/show_bug.cgi?id=1698640</v>
      </c>
      <c r="J275" s="3" t="str">
        <f ca="1">IFERROR(__xludf.DUMMYFUNCTION("""COMPUTED_VALUE"""),"['hg.mozilla.org/mozilla-central/raw-file/tip/layout/tools/reftest/reftest-analyzer.xhtml', 'browser/components/urlbar/tests/browser-proton/browser.ini', 'Users/cltbld/tasks/task_1615830064/build/tests/bin/components/httpd.js', 'browser/components/urlbar/"&amp;"tests/browser-proton/browser_shortcuts_add_search_engine.js', 'Users/cltbld/tasks/task_1615830064/build/tests/mochitest/runtests.py', 'Users/cltbld/tasks/task_1615830064/build/tests/mochitest/server.js', 'browser/components/urlbar/tests/browser-proton/bro"&amp;"wser_add_search_engine.js', 'runtests.py']")</f>
        <v>['hg.mozilla.org/mozilla-central/raw-file/tip/layout/tools/reftest/reftest-analyzer.xhtml', 'browser/components/urlbar/tests/browser-proton/browser.ini', 'Users/cltbld/tasks/task_1615830064/build/tests/bin/components/httpd.js', 'browser/components/urlbar/tests/browser-proton/browser_shortcuts_add_search_engine.js', 'Users/cltbld/tasks/task_1615830064/build/tests/mochitest/runtests.py', 'Users/cltbld/tasks/task_1615830064/build/tests/mochitest/server.js', 'browser/components/urlbar/tests/browser-proton/browser_add_search_engine.js', 'runtests.py']</v>
      </c>
      <c r="K275" s="3" t="str">
        <f ca="1">IFERROR(__xludf.DUMMYFUNCTION("""COMPUTED_VALUE"""),"System Dumps")</f>
        <v>System Dumps</v>
      </c>
      <c r="L275" s="3" t="str">
        <f ca="1">IFERROR(__xludf.DUMMYFUNCTION("""COMPUTED_VALUE"""),"File names are part of bug title, attachment title or commit messages")</f>
        <v>File names are part of bug title, attachment title or commit messages</v>
      </c>
      <c r="M275" s="3" t="str">
        <f ca="1">IFERROR(__xludf.DUMMYFUNCTION("""COMPUTED_VALUE"""),"Bug Dependency")</f>
        <v>Bug Dependency</v>
      </c>
      <c r="N275" s="3"/>
      <c r="O275" s="3"/>
    </row>
    <row r="276" spans="1:15" ht="182">
      <c r="A276" s="3" t="s">
        <v>64</v>
      </c>
      <c r="B276" s="3" t="str">
        <f ca="1">IFERROR(__xludf.DUMMYFUNCTION("""COMPUTED_VALUE"""),"Agree")</f>
        <v>Agree</v>
      </c>
      <c r="C276" s="3" t="str">
        <f ca="1">IFERROR(__xludf.DUMMYFUNCTION("""COMPUTED_VALUE"""),"Partial")</f>
        <v>Partial</v>
      </c>
      <c r="D276" s="3">
        <f ca="1">IFERROR(__xludf.DUMMYFUNCTION("""COMPUTED_VALUE"""),11)</f>
        <v>11</v>
      </c>
      <c r="E276" s="3" t="str">
        <f ca="1">IFERROR(__xludf.DUMMYFUNCTION("""COMPUTED_VALUE"""),"Yes")</f>
        <v>Yes</v>
      </c>
      <c r="F276" s="3" t="str">
        <f ca="1">IFERROR(__xludf.DUMMYFUNCTION("""COMPUTED_VALUE"""),"BothRef")</f>
        <v>BothRef</v>
      </c>
      <c r="G276" s="3">
        <f ca="1">IFERROR(__xludf.DUMMYFUNCTION("""COMPUTED_VALUE"""),1545256)</f>
        <v>1545256</v>
      </c>
      <c r="H276" s="3" t="str">
        <f ca="1">IFERROR(__xludf.DUMMYFUNCTION("""COMPUTED_VALUE"""),"{1541859}")</f>
        <v>{1541859}</v>
      </c>
      <c r="I276" s="4" t="str">
        <f ca="1">IFERROR(__xludf.DUMMYFUNCTION("""COMPUTED_VALUE"""),"https://bugzilla.mozilla.org/show_bug.cgi?id=1545256")</f>
        <v>https://bugzilla.mozilla.org/show_bug.cgi?id=1545256</v>
      </c>
      <c r="J276" s="3" t="str">
        <f ca="1">IFERROR(__xludf.DUMMYFUNCTION("""COMPUTED_VALUE"""),"['builds/worker/checkouts/gecko/taskcluster/mach_commands.py', 'builds/worker/checkouts/gecko/taskcluster/taskgraph/actions/registry.py', 'builds/worker/checkouts/gecko/taskcluster/taskgraph/actions/create_interactive.py', 'treeherder.mozilla.org/logviewe"&amp;"r.html', 'builds/worker/checkouts/gecko/taskcluster/taskgraph/create.py', 'builds/worker/checkouts/gecko/taskcluster/taskgraph/actions/util.py', 'builds/worker/checkouts/gecko/third_party/python/futures/concurrent/futures/thread.py', 'builds/worker/checko"&amp;"uts/gecko/third_party/python/requests/requests/models.py', 'treeherder.mozilla.org/intermittent-failures.html', 'schemas.taskcluster.net/queue/v1/create-task-request.json', 'builds/worker/checkouts/gecko/third_party/python/futures/concurrent/futures/_base"&amp;".py']")</f>
        <v>['builds/worker/checkouts/gecko/taskcluster/mach_commands.py', 'builds/worker/checkouts/gecko/taskcluster/taskgraph/actions/registry.py', 'builds/worker/checkouts/gecko/taskcluster/taskgraph/actions/create_interactive.py', 'treeherder.mozilla.org/logviewer.html', 'builds/worker/checkouts/gecko/taskcluster/taskgraph/create.py', 'builds/worker/checkouts/gecko/taskcluster/taskgraph/actions/util.py', 'builds/worker/checkouts/gecko/third_party/python/futures/concurrent/futures/thread.py', 'builds/worker/checkouts/gecko/third_party/python/requests/requests/models.py', 'treeherder.mozilla.org/intermittent-failures.html', 'schemas.taskcluster.net/queue/v1/create-task-request.json', 'builds/worker/checkouts/gecko/third_party/python/futures/concurrent/futures/_base.py']</v>
      </c>
      <c r="K276" s="3" t="str">
        <f ca="1">IFERROR(__xludf.DUMMYFUNCTION("""COMPUTED_VALUE"""),"System Dumps")</f>
        <v>System Dumps</v>
      </c>
      <c r="L276" s="3"/>
      <c r="M276" s="3" t="str">
        <f ca="1">IFERROR(__xludf.DUMMYFUNCTION("""COMPUTED_VALUE"""),"Code Review")</f>
        <v>Code Review</v>
      </c>
      <c r="N276" s="3"/>
      <c r="O276" s="3" t="str">
        <f ca="1">IFERROR(__xludf.DUMMYFUNCTION("""COMPUTED_VALUE"""),"The file in the stack seems to be part of the fix. Describe the code elements in the solution, code review of the soltuon")</f>
        <v>The file in the stack seems to be part of the fix. Describe the code elements in the solution, code review of the soltuon</v>
      </c>
    </row>
    <row r="277" spans="1:15" ht="70">
      <c r="A277" s="3" t="s">
        <v>64</v>
      </c>
      <c r="B277" s="3"/>
      <c r="C277" s="3" t="str">
        <f ca="1">IFERROR(__xludf.DUMMYFUNCTION("""COMPUTED_VALUE"""),"Agree")</f>
        <v>Agree</v>
      </c>
      <c r="D277" s="3">
        <f ca="1">IFERROR(__xludf.DUMMYFUNCTION("""COMPUTED_VALUE"""),12)</f>
        <v>12</v>
      </c>
      <c r="E277" s="3" t="str">
        <f ca="1">IFERROR(__xludf.DUMMYFUNCTION("""COMPUTED_VALUE"""),"Yes")</f>
        <v>Yes</v>
      </c>
      <c r="F277" s="3" t="str">
        <f ca="1">IFERROR(__xludf.DUMMYFUNCTION("""COMPUTED_VALUE"""),"BothRef")</f>
        <v>BothRef</v>
      </c>
      <c r="G277" s="3">
        <f ca="1">IFERROR(__xludf.DUMMYFUNCTION("""COMPUTED_VALUE"""),1597068)</f>
        <v>1597068</v>
      </c>
      <c r="H277" s="3" t="str">
        <f ca="1">IFERROR(__xludf.DUMMYFUNCTION("""COMPUTED_VALUE"""),"{1492582}")</f>
        <v>{1492582}</v>
      </c>
      <c r="I277" s="3" t="str">
        <f ca="1">IFERROR(__xludf.DUMMYFUNCTION("""COMPUTED_VALUE"""),"1597068 - macOS sheets are no longer anchored to the #navigator-toolbox")</f>
        <v>1597068 - macOS sheets are no longer anchored to the #navigator-toolbox</v>
      </c>
      <c r="J277" s="3" t="str">
        <f ca="1">IFERROR(__xludf.DUMMYFUNCTION("""COMPUTED_VALUE"""),"['searchfox.org/mozilla-central/rev/492214c05cde6e6db5feff9465ece4920400acc3/widget/cocoa/nsChildView.mm', 'searchfox.org/mozilla-central/rev/492214c05cde6e6db5feff9465ece4920400acc3/browser/themes/osx/browser.css']")</f>
        <v>['searchfox.org/mozilla-central/rev/492214c05cde6e6db5feff9465ece4920400acc3/widget/cocoa/nsChildView.mm', 'searchfox.org/mozilla-central/rev/492214c05cde6e6db5feff9465ece4920400acc3/browser/themes/osx/browser.css']</v>
      </c>
      <c r="K277" s="3" t="str">
        <f ca="1">IFERROR(__xludf.DUMMYFUNCTION("""COMPUTED_VALUE"""),"Bug Description")</f>
        <v>Bug Description</v>
      </c>
      <c r="L277" s="3"/>
      <c r="M277" s="3"/>
      <c r="N277" s="3"/>
      <c r="O277" s="3"/>
    </row>
    <row r="278" spans="1:15" ht="112">
      <c r="A278" s="3" t="s">
        <v>64</v>
      </c>
      <c r="B278" s="3" t="str">
        <f ca="1">IFERROR(__xludf.DUMMYFUNCTION("""COMPUTED_VALUE"""),"Agree")</f>
        <v>Agree</v>
      </c>
      <c r="C278" s="3" t="str">
        <f ca="1">IFERROR(__xludf.DUMMYFUNCTION("""COMPUTED_VALUE"""),"Partial")</f>
        <v>Partial</v>
      </c>
      <c r="D278" s="3">
        <f ca="1">IFERROR(__xludf.DUMMYFUNCTION("""COMPUTED_VALUE"""),13)</f>
        <v>13</v>
      </c>
      <c r="E278" s="3" t="str">
        <f ca="1">IFERROR(__xludf.DUMMYFUNCTION("""COMPUTED_VALUE"""),"Yes")</f>
        <v>Yes</v>
      </c>
      <c r="F278" s="3" t="str">
        <f ca="1">IFERROR(__xludf.DUMMYFUNCTION("""COMPUTED_VALUE"""),"BugRef")</f>
        <v>BugRef</v>
      </c>
      <c r="G278" s="3">
        <f ca="1">IFERROR(__xludf.DUMMYFUNCTION("""COMPUTED_VALUE"""),1589089)</f>
        <v>1589089</v>
      </c>
      <c r="H278" s="3" t="str">
        <f ca="1">IFERROR(__xludf.DUMMYFUNCTION("""COMPUTED_VALUE"""),"{1514926}")</f>
        <v>{1514926}</v>
      </c>
      <c r="I278" s="4" t="str">
        <f ca="1">IFERROR(__xludf.DUMMYFUNCTION("""COMPUTED_VALUE"""),"https://bugzilla.mozilla.org/show_bug.cgi?id=1589089")</f>
        <v>https://bugzilla.mozilla.org/show_bug.cgi?id=1589089</v>
      </c>
      <c r="J278" s="3" t="str">
        <f ca="1">IFERROR(__xludf.DUMMYFUNCTION("""COMPUTED_VALUE"""),"['searchfox.org/mozilla-central/source/toolkit/content/widgets/arrowscrollbox.js', 'searchfox.org/mozilla-central/source/toolkit/content/xul.css', 'searchfox.org/mozilla-central/source/toolkit/content/widgets/menupopup.js', 'xul.css', 'searchfox.org/mozil"&amp;"la-central/rev/55aa17110091deef24b913d033ccaf58f9c6d337/toolkit/content/widgets/panel.js']")</f>
        <v>['searchfox.org/mozilla-central/source/toolkit/content/widgets/arrowscrollbox.js', 'searchfox.org/mozilla-central/source/toolkit/content/xul.css', 'searchfox.org/mozilla-central/source/toolkit/content/widgets/menupopup.js', 'xul.css', 'searchfox.org/mozilla-central/rev/55aa17110091deef24b913d033ccaf58f9c6d337/toolkit/content/widgets/panel.js']</v>
      </c>
      <c r="K278" s="3" t="str">
        <f ca="1">IFERROR(__xludf.DUMMYFUNCTION("""COMPUTED_VALUE"""),"Bug Description")</f>
        <v>Bug Description</v>
      </c>
      <c r="L278" s="3"/>
      <c r="M278" s="3"/>
      <c r="N278" s="3"/>
      <c r="O278" s="3" t="str">
        <f ca="1">IFERROR(__xludf.DUMMYFUNCTION("""COMPUTED_VALUE"""),"File names are part of links. Refer to similar bug to fix the bug")</f>
        <v>File names are part of links. Refer to similar bug to fix the bug</v>
      </c>
    </row>
    <row r="279" spans="1:15" ht="182">
      <c r="A279" s="3" t="s">
        <v>64</v>
      </c>
      <c r="B279" s="3"/>
      <c r="C279" s="3" t="str">
        <f ca="1">IFERROR(__xludf.DUMMYFUNCTION("""COMPUTED_VALUE"""),"Agree")</f>
        <v>Agree</v>
      </c>
      <c r="D279" s="3">
        <f ca="1">IFERROR(__xludf.DUMMYFUNCTION("""COMPUTED_VALUE"""),14)</f>
        <v>14</v>
      </c>
      <c r="E279" s="3" t="str">
        <f ca="1">IFERROR(__xludf.DUMMYFUNCTION("""COMPUTED_VALUE"""),"Yes")</f>
        <v>Yes</v>
      </c>
      <c r="F279" s="3" t="str">
        <f ca="1">IFERROR(__xludf.DUMMYFUNCTION("""COMPUTED_VALUE"""),"BothRef")</f>
        <v>BothRef</v>
      </c>
      <c r="G279" s="3">
        <f ca="1">IFERROR(__xludf.DUMMYFUNCTION("""COMPUTED_VALUE"""),1591577)</f>
        <v>1591577</v>
      </c>
      <c r="H279" s="3" t="str">
        <f ca="1">IFERROR(__xludf.DUMMYFUNCTION("""COMPUTED_VALUE"""),"{1590722}")</f>
        <v>{1590722}</v>
      </c>
      <c r="I279" s="4" t="str">
        <f ca="1">IFERROR(__xludf.DUMMYFUNCTION("""COMPUTED_VALUE"""),"https://bugzilla.mozilla.org/show_bug.cgi?id=1591577")</f>
        <v>https://bugzilla.mozilla.org/show_bug.cgi?id=1591577</v>
      </c>
      <c r="J279" s="3" t="str">
        <f ca="1">IFERROR(__xludf.DUMMYFUNCTION("""COMPUTED_VALUE"""),"['hg.mozilla.org/mozilla-central/raw-file/tip/layout/tools/reftest/reftest-analyzer.xhtml', 'TestRunner._checkForHangs@SimpleTest/TestRunner.js', 'EventListener.handleEvent*@SimpleTest/iframe-between-tests.html', 'TestRunner.runNextTest@SimpleTest/TestRun"&amp;"ner.js', 'reportError@SimpleTest/TestRunner.js', 'handler*TestRunner._checkForHangs@SimpleTest/TestRunner.js', 'test_area_url_cursor.html', 'SimpleTest.ok@SimpleTest/SimpleTest.js', 'layout/style/test/test_area_url_cursor.html', '@SimpleTest/iframe-betwee"&amp;"n-tests.html', 'treeherder.mozilla.org/logviewer.html', 'TestRunner.resetTests@SimpleTest/TestRunner.js', 'TestRunner.testUnloaded@SimpleTest/TestRunner.js', 'treeherder.mozilla.org/intermittent-failures.html']")</f>
        <v>['hg.mozilla.org/mozilla-central/raw-file/tip/layout/tools/reftest/reftest-analyzer.xhtml', 'TestRunner._checkForHangs@SimpleTest/TestRunner.js', 'EventListener.handleEvent*@SimpleTest/iframe-between-tests.html', 'TestRunner.runNextTest@SimpleTest/TestRunner.js', 'reportError@SimpleTest/TestRunner.js', 'handler*TestRunner._checkForHangs@SimpleTest/TestRunner.js', 'test_area_url_cursor.html', 'SimpleTest.ok@SimpleTest/SimpleTest.js', 'layout/style/test/test_area_url_cursor.html', '@SimpleTest/iframe-between-tests.html', 'treeherder.mozilla.org/logviewer.html', 'TestRunner.resetTests@SimpleTest/TestRunner.js', 'TestRunner.testUnloaded@SimpleTest/TestRunner.js', 'treeherder.mozilla.org/intermittent-failures.html']</v>
      </c>
      <c r="K279" s="3" t="str">
        <f ca="1">IFERROR(__xludf.DUMMYFUNCTION("""COMPUTED_VALUE"""),"System Dumps")</f>
        <v>System Dumps</v>
      </c>
      <c r="L279" s="3" t="str">
        <f ca="1">IFERROR(__xludf.DUMMYFUNCTION("""COMPUTED_VALUE"""),"File names are part of bug title, attachment title or commit messages")</f>
        <v>File names are part of bug title, attachment title or commit messages</v>
      </c>
      <c r="M279" s="3"/>
      <c r="N279" s="3"/>
      <c r="O279" s="3" t="str">
        <f ca="1">IFERROR(__xludf.DUMMYFUNCTION("""COMPUTED_VALUE"""),"The file at the top of the stack seems to be part of the fix")</f>
        <v>The file at the top of the stack seems to be part of the fix</v>
      </c>
    </row>
    <row r="280" spans="1:15" ht="112">
      <c r="A280" s="3" t="s">
        <v>64</v>
      </c>
      <c r="B280" s="3"/>
      <c r="C280" s="3" t="str">
        <f ca="1">IFERROR(__xludf.DUMMYFUNCTION("""COMPUTED_VALUE"""),"Agree")</f>
        <v>Agree</v>
      </c>
      <c r="D280" s="3">
        <f ca="1">IFERROR(__xludf.DUMMYFUNCTION("""COMPUTED_VALUE"""),15)</f>
        <v>15</v>
      </c>
      <c r="E280" s="3" t="str">
        <f ca="1">IFERROR(__xludf.DUMMYFUNCTION("""COMPUTED_VALUE"""),"Yes")</f>
        <v>Yes</v>
      </c>
      <c r="F280" s="3" t="str">
        <f ca="1">IFERROR(__xludf.DUMMYFUNCTION("""COMPUTED_VALUE"""),"BugRef")</f>
        <v>BugRef</v>
      </c>
      <c r="G280" s="3">
        <f ca="1">IFERROR(__xludf.DUMMYFUNCTION("""COMPUTED_VALUE"""),1798519)</f>
        <v>1798519</v>
      </c>
      <c r="H280" s="3" t="str">
        <f ca="1">IFERROR(__xludf.DUMMYFUNCTION("""COMPUTED_VALUE"""),"{1361271}")</f>
        <v>{1361271}</v>
      </c>
      <c r="I280" s="4" t="str">
        <f ca="1">IFERROR(__xludf.DUMMYFUNCTION("""COMPUTED_VALUE"""),"https://bugzilla.mozilla.org/show_bug.cgi?id=1798519")</f>
        <v>https://bugzilla.mozilla.org/show_bug.cgi?id=1798519</v>
      </c>
      <c r="J280" s="3" t="str">
        <f ca="1">IFERROR(__xludf.DUMMYFUNCTION("""COMPUTED_VALUE"""),"['hg.mozilla.org/mozilla-central/raw-file/tip/layout/tools/reftest/reftest-analyzer.xhtml', 'main.js', 'browser_dbg-pretty-print-sourcemap.js', 'mochitests/content/browser/devtools/client/debugger/test/mochitest/shared-head.js', 'devtools/client/debugger/"&amp;"test/mochitest/browser_dbg-pretty-print-sourcemap.js', 'mochitests/content/browser/devtools/client/debugger/test/mochitest/browser_dbg-pretty-print-sourcemap.js', 'mochikit/content/browser-test.js', 'mochikit/content/tests/SimpleTest/SimpleTest.js']")</f>
        <v>['hg.mozilla.org/mozilla-central/raw-file/tip/layout/tools/reftest/reftest-analyzer.xhtml', 'main.js', 'browser_dbg-pretty-print-sourcemap.js', 'mochitests/content/browser/devtools/client/debugger/test/mochitest/shared-head.js', 'devtools/client/debugger/test/mochitest/browser_dbg-pretty-print-sourcemap.js', 'mochitests/content/browser/devtools/client/debugger/test/mochitest/browser_dbg-pretty-print-sourcemap.js', 'mochikit/content/browser-test.js', 'mochikit/content/tests/SimpleTest/SimpleTest.js']</v>
      </c>
      <c r="K280" s="3" t="str">
        <f ca="1">IFERROR(__xludf.DUMMYFUNCTION("""COMPUTED_VALUE"""),"System Dumps")</f>
        <v>System Dumps</v>
      </c>
      <c r="L280" s="3" t="str">
        <f ca="1">IFERROR(__xludf.DUMMYFUNCTION("""COMPUTED_VALUE"""),"Bug Dependency")</f>
        <v>Bug Dependency</v>
      </c>
      <c r="M280" s="3" t="str">
        <f ca="1">IFERROR(__xludf.DUMMYFUNCTION("""COMPUTED_VALUE"""),"File names are part of bug title, attachment title or commit messages")</f>
        <v>File names are part of bug title, attachment title or commit messages</v>
      </c>
      <c r="N280" s="3"/>
      <c r="O280" s="3"/>
    </row>
    <row r="281" spans="1:15" ht="56">
      <c r="A281" s="3" t="s">
        <v>64</v>
      </c>
      <c r="B281" s="3" t="str">
        <f ca="1">IFERROR(__xludf.DUMMYFUNCTION("""COMPUTED_VALUE"""),"Agree")</f>
        <v>Agree</v>
      </c>
      <c r="C281" s="3" t="str">
        <f ca="1">IFERROR(__xludf.DUMMYFUNCTION("""COMPUTED_VALUE"""),"Agree")</f>
        <v>Agree</v>
      </c>
      <c r="D281" s="3">
        <f ca="1">IFERROR(__xludf.DUMMYFUNCTION("""COMPUTED_VALUE"""),16)</f>
        <v>16</v>
      </c>
      <c r="E281" s="3" t="str">
        <f ca="1">IFERROR(__xludf.DUMMYFUNCTION("""COMPUTED_VALUE"""),"Yes")</f>
        <v>Yes</v>
      </c>
      <c r="F281" s="3" t="str">
        <f ca="1">IFERROR(__xludf.DUMMYFUNCTION("""COMPUTED_VALUE"""),"BothRef")</f>
        <v>BothRef</v>
      </c>
      <c r="G281" s="3">
        <f ca="1">IFERROR(__xludf.DUMMYFUNCTION("""COMPUTED_VALUE"""),1712084)</f>
        <v>1712084</v>
      </c>
      <c r="H281" s="3" t="str">
        <f ca="1">IFERROR(__xludf.DUMMYFUNCTION("""COMPUTED_VALUE"""),"{1586236}")</f>
        <v>{1586236}</v>
      </c>
      <c r="I281" s="4" t="str">
        <f ca="1">IFERROR(__xludf.DUMMYFUNCTION("""COMPUTED_VALUE"""),"https://bugzilla.mozilla.org/show_bug.cgi?id=1712084")</f>
        <v>https://bugzilla.mozilla.org/show_bug.cgi?id=1712084</v>
      </c>
      <c r="J281" s="3" t="str">
        <f ca="1">IFERROR(__xludf.DUMMYFUNCTION("""COMPUTED_VALUE"""),"['searchfox.org/mozilla-central/rev/2f1a015b004b79f1145c81cdf86b15481a5630e2/xpcom/base/AvailableMemoryTracker.cpp', 'xpcom/base/AvailableMemoryTracker.cpp']")</f>
        <v>['searchfox.org/mozilla-central/rev/2f1a015b004b79f1145c81cdf86b15481a5630e2/xpcom/base/AvailableMemoryTracker.cpp', 'xpcom/base/AvailableMemoryTracker.cpp']</v>
      </c>
      <c r="K281" s="3" t="str">
        <f ca="1">IFERROR(__xludf.DUMMYFUNCTION("""COMPUTED_VALUE"""),"System Dumps")</f>
        <v>System Dumps</v>
      </c>
      <c r="L281" s="3"/>
      <c r="M281" s="3"/>
      <c r="N281" s="3"/>
      <c r="O281" s="3" t="str">
        <f ca="1">IFERROR(__xludf.DUMMYFUNCTION("""COMPUTED_VALUE"""),"The file at the top of the stack seems to be part of the fix. Points to buggy code elements in the file and suggest bug fix sample solution. Bug dependency")</f>
        <v>The file at the top of the stack seems to be part of the fix. Points to buggy code elements in the file and suggest bug fix sample solution. Bug dependency</v>
      </c>
    </row>
    <row r="282" spans="1:15" ht="28">
      <c r="A282" s="3" t="s">
        <v>64</v>
      </c>
      <c r="B282" s="3"/>
      <c r="C282" s="3" t="str">
        <f ca="1">IFERROR(__xludf.DUMMYFUNCTION("""COMPUTED_VALUE"""),"Agree")</f>
        <v>Agree</v>
      </c>
      <c r="D282" s="3">
        <f ca="1">IFERROR(__xludf.DUMMYFUNCTION("""COMPUTED_VALUE"""),17)</f>
        <v>17</v>
      </c>
      <c r="E282" s="3" t="str">
        <f ca="1">IFERROR(__xludf.DUMMYFUNCTION("""COMPUTED_VALUE"""),"Yes")</f>
        <v>Yes</v>
      </c>
      <c r="F282" s="3" t="str">
        <f ca="1">IFERROR(__xludf.DUMMYFUNCTION("""COMPUTED_VALUE"""),"BothRef")</f>
        <v>BothRef</v>
      </c>
      <c r="G282" s="3">
        <f ca="1">IFERROR(__xludf.DUMMYFUNCTION("""COMPUTED_VALUE"""),1567210)</f>
        <v>1567210</v>
      </c>
      <c r="H282" s="3" t="str">
        <f ca="1">IFERROR(__xludf.DUMMYFUNCTION("""COMPUTED_VALUE"""),"{1494796}")</f>
        <v>{1494796}</v>
      </c>
      <c r="I282" s="4" t="str">
        <f ca="1">IFERROR(__xludf.DUMMYFUNCTION("""COMPUTED_VALUE"""),"https://bugzilla.mozilla.org/show_bug.cgi?id=1567210")</f>
        <v>https://bugzilla.mozilla.org/show_bug.cgi?id=1567210</v>
      </c>
      <c r="J282" s="3" t="str">
        <f ca="1">IFERROR(__xludf.DUMMYFUNCTION("""COMPUTED_VALUE"""),"['searchfox.org/mozilla-central/source/devtools/server/actors/thread.js', 'treeherder.mozilla.org/logviewer.html']")</f>
        <v>['searchfox.org/mozilla-central/source/devtools/server/actors/thread.js', 'treeherder.mozilla.org/logviewer.html']</v>
      </c>
      <c r="K282" s="3" t="str">
        <f ca="1">IFERROR(__xludf.DUMMYFUNCTION("""COMPUTED_VALUE"""),"Bug Description")</f>
        <v>Bug Description</v>
      </c>
      <c r="L282" s="3" t="str">
        <f ca="1">IFERROR(__xludf.DUMMYFUNCTION("""COMPUTED_VALUE"""),"System Dumps")</f>
        <v>System Dumps</v>
      </c>
      <c r="M282" s="3"/>
      <c r="N282" s="3"/>
      <c r="O282" s="3"/>
    </row>
    <row r="283" spans="1:15" ht="56">
      <c r="A283" s="3" t="s">
        <v>64</v>
      </c>
      <c r="B283" s="3"/>
      <c r="C283" s="3" t="str">
        <f ca="1">IFERROR(__xludf.DUMMYFUNCTION("""COMPUTED_VALUE"""),"Agree")</f>
        <v>Agree</v>
      </c>
      <c r="D283" s="3">
        <f ca="1">IFERROR(__xludf.DUMMYFUNCTION("""COMPUTED_VALUE"""),18)</f>
        <v>18</v>
      </c>
      <c r="E283" s="3" t="str">
        <f ca="1">IFERROR(__xludf.DUMMYFUNCTION("""COMPUTED_VALUE"""),"Yes")</f>
        <v>Yes</v>
      </c>
      <c r="F283" s="3" t="str">
        <f ca="1">IFERROR(__xludf.DUMMYFUNCTION("""COMPUTED_VALUE"""),"BugRef")</f>
        <v>BugRef</v>
      </c>
      <c r="G283" s="3">
        <f ca="1">IFERROR(__xludf.DUMMYFUNCTION("""COMPUTED_VALUE"""),1575253)</f>
        <v>1575253</v>
      </c>
      <c r="H283" s="3" t="str">
        <f ca="1">IFERROR(__xludf.DUMMYFUNCTION("""COMPUTED_VALUE"""),"{1547624}")</f>
        <v>{1547624}</v>
      </c>
      <c r="I283" s="4" t="str">
        <f ca="1">IFERROR(__xludf.DUMMYFUNCTION("""COMPUTED_VALUE"""),"https://bugzilla.mozilla.org/show_bug.cgi?id=1575253")</f>
        <v>https://bugzilla.mozilla.org/show_bug.cgi?id=1575253</v>
      </c>
      <c r="J283" s="3" t="str">
        <f ca="1">IFERROR(__xludf.DUMMYFUNCTION("""COMPUTED_VALUE"""),"['stalled.py', 'layout/base/nsRefreshDriver.cpp', 'view/nsViewManager.cpp', 'layout/painting/nsDisplayList.cpp', 'layout/base/PresShell.cpp', 'layout/base/nsLayoutUtils.cpp', 'layout/painting/FrameLayerBuilder.cpp']")</f>
        <v>['stalled.py', 'layout/base/nsRefreshDriver.cpp', 'view/nsViewManager.cpp', 'layout/painting/nsDisplayList.cpp', 'layout/base/PresShell.cpp', 'layout/base/nsLayoutUtils.cpp', 'layout/painting/FrameLayerBuilder.cpp']</v>
      </c>
      <c r="K283" s="3" t="str">
        <f ca="1">IFERROR(__xludf.DUMMYFUNCTION("""COMPUTED_VALUE"""),"System Dumps")</f>
        <v>System Dumps</v>
      </c>
      <c r="L283" s="3" t="str">
        <f ca="1">IFERROR(__xludf.DUMMYFUNCTION("""COMPUTED_VALUE"""),"Bug Dependency")</f>
        <v>Bug Dependency</v>
      </c>
      <c r="M283" s="3" t="str">
        <f ca="1">IFERROR(__xludf.DUMMYFUNCTION("""COMPUTED_VALUE"""),"No Fix")</f>
        <v>No Fix</v>
      </c>
      <c r="N283" s="3"/>
      <c r="O283" s="3"/>
    </row>
    <row r="284" spans="1:15" ht="70">
      <c r="A284" s="3" t="s">
        <v>64</v>
      </c>
      <c r="B284" s="3"/>
      <c r="C284" s="3" t="str">
        <f ca="1">IFERROR(__xludf.DUMMYFUNCTION("""COMPUTED_VALUE"""),"Agree")</f>
        <v>Agree</v>
      </c>
      <c r="D284" s="3">
        <f ca="1">IFERROR(__xludf.DUMMYFUNCTION("""COMPUTED_VALUE"""),19)</f>
        <v>19</v>
      </c>
      <c r="E284" s="3" t="str">
        <f ca="1">IFERROR(__xludf.DUMMYFUNCTION("""COMPUTED_VALUE"""),"Yes")</f>
        <v>Yes</v>
      </c>
      <c r="F284" s="3" t="str">
        <f ca="1">IFERROR(__xludf.DUMMYFUNCTION("""COMPUTED_VALUE"""),"BothRef")</f>
        <v>BothRef</v>
      </c>
      <c r="G284" s="3">
        <f ca="1">IFERROR(__xludf.DUMMYFUNCTION("""COMPUTED_VALUE"""),1806780)</f>
        <v>1806780</v>
      </c>
      <c r="H284" s="3" t="str">
        <f ca="1">IFERROR(__xludf.DUMMYFUNCTION("""COMPUTED_VALUE"""),"{1806166}")</f>
        <v>{1806166}</v>
      </c>
      <c r="I284" s="4" t="str">
        <f ca="1">IFERROR(__xludf.DUMMYFUNCTION("""COMPUTED_VALUE"""),"https://bugzilla.mozilla.org/show_bug.cgi?id=1806780")</f>
        <v>https://bugzilla.mozilla.org/show_bug.cgi?id=1806780</v>
      </c>
      <c r="J284" s="3" t="str">
        <f ca="1">IFERROR(__xludf.DUMMYFUNCTION("""COMPUTED_VALUE"""),"['searchfox.org/mozilla-central/rev/57527d50ef5d3df412caa5d99536f0709399be6f/gfx/wgpu_bindings/Cargo.toml', 'github.com/gfx-rs/wgpu/blob/261069d04fc1263d8e587c18936b9db90b077abb/wgpu-core/Cargo.toml']")</f>
        <v>['searchfox.org/mozilla-central/rev/57527d50ef5d3df412caa5d99536f0709399be6f/gfx/wgpu_bindings/Cargo.toml', 'github.com/gfx-rs/wgpu/blob/261069d04fc1263d8e587c18936b9db90b077abb/wgpu-core/Cargo.toml']</v>
      </c>
      <c r="K284" s="3" t="str">
        <f ca="1">IFERROR(__xludf.DUMMYFUNCTION("""COMPUTED_VALUE"""),"Bug Description")</f>
        <v>Bug Description</v>
      </c>
      <c r="L284" s="3"/>
      <c r="M284" s="3"/>
      <c r="N284" s="3"/>
      <c r="O284" s="3"/>
    </row>
    <row r="285" spans="1:15" ht="42">
      <c r="A285" s="3" t="s">
        <v>64</v>
      </c>
      <c r="B285" s="3"/>
      <c r="C285" s="3" t="str">
        <f ca="1">IFERROR(__xludf.DUMMYFUNCTION("""COMPUTED_VALUE"""),"Agree")</f>
        <v>Agree</v>
      </c>
      <c r="D285" s="3">
        <f ca="1">IFERROR(__xludf.DUMMYFUNCTION("""COMPUTED_VALUE"""),20)</f>
        <v>20</v>
      </c>
      <c r="E285" s="3" t="str">
        <f ca="1">IFERROR(__xludf.DUMMYFUNCTION("""COMPUTED_VALUE"""),"Yes")</f>
        <v>Yes</v>
      </c>
      <c r="F285" s="3" t="str">
        <f ca="1">IFERROR(__xludf.DUMMYFUNCTION("""COMPUTED_VALUE"""),"BugRef")</f>
        <v>BugRef</v>
      </c>
      <c r="G285" s="3">
        <f ca="1">IFERROR(__xludf.DUMMYFUNCTION("""COMPUTED_VALUE"""),1561327)</f>
        <v>1561327</v>
      </c>
      <c r="H285" s="3" t="str">
        <f ca="1">IFERROR(__xludf.DUMMYFUNCTION("""COMPUTED_VALUE"""),"{1484818}")</f>
        <v>{1484818}</v>
      </c>
      <c r="I285" s="4" t="str">
        <f ca="1">IFERROR(__xludf.DUMMYFUNCTION("""COMPUTED_VALUE"""),"https://bugzilla.mozilla.org/show_bug.cgi?id=1561327")</f>
        <v>https://bugzilla.mozilla.org/show_bug.cgi?id=1561327</v>
      </c>
      <c r="J285" s="3" t="str">
        <f ca="1">IFERROR(__xludf.DUMMYFUNCTION("""COMPUTED_VALUE"""),"['devtools/client/webreplay/mochitest/browser_dbg_rr_replay-02.js', 'treeherder.mozilla.org/intermittent-failures.html', 'global/content/browser-child.js', 'treeherder.mozilla.org/logviewer.html']")</f>
        <v>['devtools/client/webreplay/mochitest/browser_dbg_rr_replay-02.js', 'treeherder.mozilla.org/intermittent-failures.html', 'global/content/browser-child.js', 'treeherder.mozilla.org/logviewer.html']</v>
      </c>
      <c r="K285" s="3" t="str">
        <f ca="1">IFERROR(__xludf.DUMMYFUNCTION("""COMPUTED_VALUE"""),"System Dumps")</f>
        <v>System Dumps</v>
      </c>
      <c r="L285" s="3" t="str">
        <f ca="1">IFERROR(__xludf.DUMMYFUNCTION("""COMPUTED_VALUE"""),"System Dumps")</f>
        <v>System Dumps</v>
      </c>
      <c r="M285" s="3" t="str">
        <f ca="1">IFERROR(__xludf.DUMMYFUNCTION("""COMPUTED_VALUE"""),"Bug Dependency")</f>
        <v>Bug Dependency</v>
      </c>
      <c r="N285" s="3"/>
      <c r="O285" s="3"/>
    </row>
    <row r="286" spans="1:15" ht="42">
      <c r="A286" s="3" t="s">
        <v>64</v>
      </c>
      <c r="B286" s="3" t="str">
        <f ca="1">IFERROR(__xludf.DUMMYFUNCTION("""COMPUTED_VALUE"""),"Agree")</f>
        <v>Agree</v>
      </c>
      <c r="C286" s="3" t="str">
        <f ca="1">IFERROR(__xludf.DUMMYFUNCTION("""COMPUTED_VALUE"""),"Agree")</f>
        <v>Agree</v>
      </c>
      <c r="D286" s="3">
        <f ca="1">IFERROR(__xludf.DUMMYFUNCTION("""COMPUTED_VALUE"""),21)</f>
        <v>21</v>
      </c>
      <c r="E286" s="3" t="str">
        <f ca="1">IFERROR(__xludf.DUMMYFUNCTION("""COMPUTED_VALUE"""),"Yes")</f>
        <v>Yes</v>
      </c>
      <c r="F286" s="3" t="str">
        <f ca="1">IFERROR(__xludf.DUMMYFUNCTION("""COMPUTED_VALUE"""),"BothRef")</f>
        <v>BothRef</v>
      </c>
      <c r="G286" s="3">
        <f ca="1">IFERROR(__xludf.DUMMYFUNCTION("""COMPUTED_VALUE"""),1747196)</f>
        <v>1747196</v>
      </c>
      <c r="H286" s="3" t="str">
        <f ca="1">IFERROR(__xludf.DUMMYFUNCTION("""COMPUTED_VALUE"""),"{1728436}")</f>
        <v>{1728436}</v>
      </c>
      <c r="I286" s="4" t="str">
        <f ca="1">IFERROR(__xludf.DUMMYFUNCTION("""COMPUTED_VALUE"""),"https://bugzilla.mozilla.org/show_bug.cgi?id=1747196")</f>
        <v>https://bugzilla.mozilla.org/show_bug.cgi?id=1747196</v>
      </c>
      <c r="J286" s="3" t="str">
        <f ca="1">IFERROR(__xludf.DUMMYFUNCTION("""COMPUTED_VALUE"""),"['usr/obj/m-c/mozilla-config.h', 'moz.build', 'builds/psumbera/mozilla-central-build/third_party/rust/midir/src/common.rs', 'Unified_cpp_rnal_video_codecs_gn0.cpp']")</f>
        <v>['usr/obj/m-c/mozilla-config.h', 'moz.build', 'builds/psumbera/mozilla-central-build/third_party/rust/midir/src/common.rs', 'Unified_cpp_rnal_video_codecs_gn0.cpp']</v>
      </c>
      <c r="K286" s="3" t="str">
        <f ca="1">IFERROR(__xludf.DUMMYFUNCTION("""COMPUTED_VALUE"""),"System Dumps")</f>
        <v>System Dumps</v>
      </c>
      <c r="L286" s="3"/>
      <c r="M286" s="3"/>
      <c r="N286" s="3"/>
      <c r="O286" s="3" t="str">
        <f ca="1">IFERROR(__xludf.DUMMYFUNCTION("""COMPUTED_VALUE"""),"Points to buggy code elements in the file and suggest bug fix sample solution")</f>
        <v>Points to buggy code elements in the file and suggest bug fix sample solution</v>
      </c>
    </row>
    <row r="287" spans="1:15" ht="56">
      <c r="A287" s="3" t="s">
        <v>64</v>
      </c>
      <c r="B287" s="3"/>
      <c r="C287" s="3" t="str">
        <f ca="1">IFERROR(__xludf.DUMMYFUNCTION("""COMPUTED_VALUE"""),"Agree")</f>
        <v>Agree</v>
      </c>
      <c r="D287" s="3">
        <f ca="1">IFERROR(__xludf.DUMMYFUNCTION("""COMPUTED_VALUE"""),22)</f>
        <v>22</v>
      </c>
      <c r="E287" s="3" t="str">
        <f ca="1">IFERROR(__xludf.DUMMYFUNCTION("""COMPUTED_VALUE"""),"Yes")</f>
        <v>Yes</v>
      </c>
      <c r="F287" s="3" t="str">
        <f ca="1">IFERROR(__xludf.DUMMYFUNCTION("""COMPUTED_VALUE"""),"BugRef")</f>
        <v>BugRef</v>
      </c>
      <c r="G287" s="3">
        <f ca="1">IFERROR(__xludf.DUMMYFUNCTION("""COMPUTED_VALUE"""),1762302)</f>
        <v>1762302</v>
      </c>
      <c r="H287" s="3" t="str">
        <f ca="1">IFERROR(__xludf.DUMMYFUNCTION("""COMPUTED_VALUE"""),"{1758654}")</f>
        <v>{1758654}</v>
      </c>
      <c r="I287" s="4" t="str">
        <f ca="1">IFERROR(__xludf.DUMMYFUNCTION("""COMPUTED_VALUE"""),"https://bugzilla.mozilla.org/show_bug.cgi?id=1762302")</f>
        <v>https://bugzilla.mozilla.org/show_bug.cgi?id=1762302</v>
      </c>
      <c r="J287" s="3" t="str">
        <f ca="1">IFERROR(__xludf.DUMMYFUNCTION("""COMPUTED_VALUE"""),"['builds/worker/checkouts/gecko/toolkit/crashreporter/breakpad-client/windows/crash_generation/temporary_stack.cc', 'builds/worker/workspace/obj-build/mozilla-config.h', 'builds/worker/fetches/clang/bin/../i686-w64-mingw32/include/winbase.h']")</f>
        <v>['builds/worker/checkouts/gecko/toolkit/crashreporter/breakpad-client/windows/crash_generation/temporary_stack.cc', 'builds/worker/workspace/obj-build/mozilla-config.h', 'builds/worker/fetches/clang/bin/../i686-w64-mingw32/include/winbase.h']</v>
      </c>
      <c r="K287" s="3" t="str">
        <f ca="1">IFERROR(__xludf.DUMMYFUNCTION("""COMPUTED_VALUE"""),"System Dumps")</f>
        <v>System Dumps</v>
      </c>
      <c r="L287" s="3" t="str">
        <f ca="1">IFERROR(__xludf.DUMMYFUNCTION("""COMPUTED_VALUE"""),"File names are part of bug title, attachment title or commit messages")</f>
        <v>File names are part of bug title, attachment title or commit messages</v>
      </c>
      <c r="M287" s="3" t="str">
        <f ca="1">IFERROR(__xludf.DUMMYFUNCTION("""COMPUTED_VALUE"""),"Backout")</f>
        <v>Backout</v>
      </c>
      <c r="N287" s="3"/>
      <c r="O287" s="3"/>
    </row>
    <row r="288" spans="1:15" ht="112">
      <c r="A288" s="3" t="s">
        <v>64</v>
      </c>
      <c r="B288" s="3" t="str">
        <f ca="1">IFERROR(__xludf.DUMMYFUNCTION("""COMPUTED_VALUE"""),"Agree")</f>
        <v>Agree</v>
      </c>
      <c r="C288" s="3" t="str">
        <f ca="1">IFERROR(__xludf.DUMMYFUNCTION("""COMPUTED_VALUE"""),"Partial")</f>
        <v>Partial</v>
      </c>
      <c r="D288" s="3">
        <f ca="1">IFERROR(__xludf.DUMMYFUNCTION("""COMPUTED_VALUE"""),23)</f>
        <v>23</v>
      </c>
      <c r="E288" s="3" t="str">
        <f ca="1">IFERROR(__xludf.DUMMYFUNCTION("""COMPUTED_VALUE"""),"Yes")</f>
        <v>Yes</v>
      </c>
      <c r="F288" s="3" t="str">
        <f ca="1">IFERROR(__xludf.DUMMYFUNCTION("""COMPUTED_VALUE"""),"BugRef")</f>
        <v>BugRef</v>
      </c>
      <c r="G288" s="3">
        <f ca="1">IFERROR(__xludf.DUMMYFUNCTION("""COMPUTED_VALUE"""),1733279)</f>
        <v>1733279</v>
      </c>
      <c r="H288" s="3" t="str">
        <f ca="1">IFERROR(__xludf.DUMMYFUNCTION("""COMPUTED_VALUE"""),"{1732885}")</f>
        <v>{1732885}</v>
      </c>
      <c r="I288" s="4" t="str">
        <f ca="1">IFERROR(__xludf.DUMMYFUNCTION("""COMPUTED_VALUE"""),"https://bugzilla.mozilla.org/show_bug.cgi?id=1733279")</f>
        <v>https://bugzilla.mozilla.org/show_bug.cgi?id=1733279</v>
      </c>
      <c r="J288" s="3" t="str">
        <f ca="1">IFERROR(__xludf.DUMMYFUNCTION("""COMPUTED_VALUE"""),"['dom/security/test/mixedcontentblocker/browser_mixed_content_auto_upgrade_display_console.js', 'builds/worker/checkouts/gecko/netwerk/protocol/http/nsHttpTransaction.cpp', 'dom/security/test/mixedcontentblocker/browser_auto_upgrading_identity.js', '\\tas"&amp;"k_163295092962060\\build\\tests\\mochitest\\browser\\dom\\security\\test\\mixedcontentblocker\\head.js']")</f>
        <v>['dom/security/test/mixedcontentblocker/browser_mixed_content_auto_upgrade_display_console.js', 'builds/worker/checkouts/gecko/netwerk/protocol/http/nsHttpTransaction.cpp', 'dom/security/test/mixedcontentblocker/browser_auto_upgrading_identity.js', '\\task_163295092962060\\build\\tests\\mochitest\\browser\\dom\\security\\test\\mixedcontentblocker\\head.js']</v>
      </c>
      <c r="K288" s="3" t="str">
        <f ca="1">IFERROR(__xludf.DUMMYFUNCTION("""COMPUTED_VALUE"""),"System Dumps")</f>
        <v>System Dumps</v>
      </c>
      <c r="L288" s="3" t="str">
        <f ca="1">IFERROR(__xludf.DUMMYFUNCTION("""COMPUTED_VALUE"""),"File names are part of bug title, attachment title or commit messages")</f>
        <v>File names are part of bug title, attachment title or commit messages</v>
      </c>
      <c r="M288" s="3"/>
      <c r="N288" s="3"/>
      <c r="O288" s="3"/>
    </row>
    <row r="289" spans="1:15" ht="42">
      <c r="A289" s="3" t="s">
        <v>64</v>
      </c>
      <c r="B289" s="3"/>
      <c r="C289" s="3" t="str">
        <f ca="1">IFERROR(__xludf.DUMMYFUNCTION("""COMPUTED_VALUE"""),"Agree")</f>
        <v>Agree</v>
      </c>
      <c r="D289" s="3">
        <f ca="1">IFERROR(__xludf.DUMMYFUNCTION("""COMPUTED_VALUE"""),24)</f>
        <v>24</v>
      </c>
      <c r="E289" s="3" t="str">
        <f ca="1">IFERROR(__xludf.DUMMYFUNCTION("""COMPUTED_VALUE"""),"Yes")</f>
        <v>Yes</v>
      </c>
      <c r="F289" s="3" t="str">
        <f ca="1">IFERROR(__xludf.DUMMYFUNCTION("""COMPUTED_VALUE"""),"BothRef")</f>
        <v>BothRef</v>
      </c>
      <c r="G289" s="3">
        <f ca="1">IFERROR(__xludf.DUMMYFUNCTION("""COMPUTED_VALUE"""),1656027)</f>
        <v>1656027</v>
      </c>
      <c r="H289" s="3" t="str">
        <f ca="1">IFERROR(__xludf.DUMMYFUNCTION("""COMPUTED_VALUE"""),"{1570678}")</f>
        <v>{1570678}</v>
      </c>
      <c r="I289" s="4" t="str">
        <f ca="1">IFERROR(__xludf.DUMMYFUNCTION("""COMPUTED_VALUE"""),"https://bugzilla.mozilla.org/show_bug.cgi?id=1656027")</f>
        <v>https://bugzilla.mozilla.org/show_bug.cgi?id=1656027</v>
      </c>
      <c r="J289" s="3" t="str">
        <f ca="1">IFERROR(__xludf.DUMMYFUNCTION("""COMPUTED_VALUE"""),"['searchfox.org/mozilla-central/rev/cffd9b5302b6b6f51533d895a785b48ff418aec1/browser/base/content/browser.js']")</f>
        <v>['searchfox.org/mozilla-central/rev/cffd9b5302b6b6f51533d895a785b48ff418aec1/browser/base/content/browser.js']</v>
      </c>
      <c r="K289" s="3" t="str">
        <f ca="1">IFERROR(__xludf.DUMMYFUNCTION("""COMPUTED_VALUE"""),"Bug Description")</f>
        <v>Bug Description</v>
      </c>
      <c r="L289" s="3"/>
      <c r="M289" s="3"/>
      <c r="N289" s="3"/>
      <c r="O289" s="3"/>
    </row>
    <row r="290" spans="1:15" ht="56">
      <c r="A290" s="3" t="s">
        <v>64</v>
      </c>
      <c r="B290" s="3"/>
      <c r="C290" s="3" t="str">
        <f ca="1">IFERROR(__xludf.DUMMYFUNCTION("""COMPUTED_VALUE"""),"Agree")</f>
        <v>Agree</v>
      </c>
      <c r="D290" s="3">
        <f ca="1">IFERROR(__xludf.DUMMYFUNCTION("""COMPUTED_VALUE"""),25)</f>
        <v>25</v>
      </c>
      <c r="E290" s="3" t="str">
        <f ca="1">IFERROR(__xludf.DUMMYFUNCTION("""COMPUTED_VALUE"""),"Yes")</f>
        <v>Yes</v>
      </c>
      <c r="F290" s="3" t="str">
        <f ca="1">IFERROR(__xludf.DUMMYFUNCTION("""COMPUTED_VALUE"""),"BothRef")</f>
        <v>BothRef</v>
      </c>
      <c r="G290" s="3">
        <f ca="1">IFERROR(__xludf.DUMMYFUNCTION("""COMPUTED_VALUE"""),1655973)</f>
        <v>1655973</v>
      </c>
      <c r="H290" s="3" t="str">
        <f ca="1">IFERROR(__xludf.DUMMYFUNCTION("""COMPUTED_VALUE"""),"{1653567}")</f>
        <v>{1653567}</v>
      </c>
      <c r="I290" s="4" t="str">
        <f ca="1">IFERROR(__xludf.DUMMYFUNCTION("""COMPUTED_VALUE"""),"https://bugzilla.mozilla.org/show_bug.cgi?id=1655973")</f>
        <v>https://bugzilla.mozilla.org/show_bug.cgi?id=1655973</v>
      </c>
      <c r="J290" s="3" t="str">
        <f ca="1">IFERROR(__xludf.DUMMYFUNCTION("""COMPUTED_VALUE"""),"['BaselineIC.cpp']")</f>
        <v>['BaselineIC.cpp']</v>
      </c>
      <c r="K290" s="3" t="str">
        <f ca="1">IFERROR(__xludf.DUMMYFUNCTION("""COMPUTED_VALUE"""),"File names are part of bug title, attachment title or commit messages")</f>
        <v>File names are part of bug title, attachment title or commit messages</v>
      </c>
      <c r="L290" s="3"/>
      <c r="M290" s="3"/>
      <c r="N290" s="3"/>
      <c r="O290" s="3"/>
    </row>
    <row r="291" spans="1:15" ht="140">
      <c r="A291" s="3" t="s">
        <v>64</v>
      </c>
      <c r="B291" s="3"/>
      <c r="C291" s="3" t="str">
        <f ca="1">IFERROR(__xludf.DUMMYFUNCTION("""COMPUTED_VALUE"""),"Agree")</f>
        <v>Agree</v>
      </c>
      <c r="D291" s="3">
        <f ca="1">IFERROR(__xludf.DUMMYFUNCTION("""COMPUTED_VALUE"""),26)</f>
        <v>26</v>
      </c>
      <c r="E291" s="3" t="str">
        <f ca="1">IFERROR(__xludf.DUMMYFUNCTION("""COMPUTED_VALUE"""),"Yes")</f>
        <v>Yes</v>
      </c>
      <c r="F291" s="3" t="str">
        <f ca="1">IFERROR(__xludf.DUMMYFUNCTION("""COMPUTED_VALUE"""),"BothRef")</f>
        <v>BothRef</v>
      </c>
      <c r="G291" s="3">
        <f ca="1">IFERROR(__xludf.DUMMYFUNCTION("""COMPUTED_VALUE"""),1569131)</f>
        <v>1569131</v>
      </c>
      <c r="H291" s="3" t="str">
        <f ca="1">IFERROR(__xludf.DUMMYFUNCTION("""COMPUTED_VALUE"""),"{1547351}")</f>
        <v>{1547351}</v>
      </c>
      <c r="I291" s="4" t="str">
        <f ca="1">IFERROR(__xludf.DUMMYFUNCTION("""COMPUTED_VALUE"""),"https://bugzilla.mozilla.org/show_bug.cgi?id=1569131")</f>
        <v>https://bugzilla.mozilla.org/show_bug.cgi?id=1569131</v>
      </c>
      <c r="J291" s="3" t="str">
        <f ca="1">IFERROR(__xludf.DUMMYFUNCTION("""COMPUTED_VALUE"""),"['ipc/ipdl/PWebRenderBridgeParent.cpp', 'searchfox.org/mozilla-central/source/gfx/layers/apz/src/APZUpdater.cpp', 'searchfox.org/mozilla-central/source/gfx/layers/wr/WebRenderBridgeParent.cpp', 'ipc/chromium/src/base/message_loop.cc', 'ipc/ipdl/PComposito"&amp;"rManagerParent.cpp', 'missing_beta_status.py', 'ipc/chromium/src/base/message_pump_default.cc', 'searchfox.org/mozilla-central/source/gfx/layers/wr/WebRenderBridgeParent.h', 'ipc/glue/MessageChannel.cpp', 'gfx/layers/wr/WebRenderBridgeParent.cpp']")</f>
        <v>['ipc/ipdl/PWebRenderBridgeParent.cpp', 'searchfox.org/mozilla-central/source/gfx/layers/apz/src/APZUpdater.cpp', 'searchfox.org/mozilla-central/source/gfx/layers/wr/WebRenderBridgeParent.cpp', 'ipc/chromium/src/base/message_loop.cc', 'ipc/ipdl/PCompositorManagerParent.cpp', 'missing_beta_status.py', 'ipc/chromium/src/base/message_pump_default.cc', 'searchfox.org/mozilla-central/source/gfx/layers/wr/WebRenderBridgeParent.h', 'ipc/glue/MessageChannel.cpp', 'gfx/layers/wr/WebRenderBridgeParent.cpp']</v>
      </c>
      <c r="K291" s="3" t="str">
        <f ca="1">IFERROR(__xludf.DUMMYFUNCTION("""COMPUTED_VALUE"""),"System Dumps")</f>
        <v>System Dumps</v>
      </c>
      <c r="L291" s="3" t="str">
        <f ca="1">IFERROR(__xludf.DUMMYFUNCTION("""COMPUTED_VALUE"""),"Bug Description")</f>
        <v>Bug Description</v>
      </c>
      <c r="M291" s="3" t="str">
        <f ca="1">IFERROR(__xludf.DUMMYFUNCTION("""COMPUTED_VALUE"""),"Solution Draft")</f>
        <v>Solution Draft</v>
      </c>
      <c r="N291" s="3" t="str">
        <f ca="1">IFERROR(__xludf.DUMMYFUNCTION("""COMPUTED_VALUE"""),"Bug Dependency")</f>
        <v>Bug Dependency</v>
      </c>
      <c r="O291" s="3"/>
    </row>
    <row r="292" spans="1:15" ht="154">
      <c r="A292" s="3" t="s">
        <v>64</v>
      </c>
      <c r="B292" s="3"/>
      <c r="C292" s="3" t="str">
        <f ca="1">IFERROR(__xludf.DUMMYFUNCTION("""COMPUTED_VALUE"""),"Agree")</f>
        <v>Agree</v>
      </c>
      <c r="D292" s="3">
        <f ca="1">IFERROR(__xludf.DUMMYFUNCTION("""COMPUTED_VALUE"""),27)</f>
        <v>27</v>
      </c>
      <c r="E292" s="3" t="str">
        <f ca="1">IFERROR(__xludf.DUMMYFUNCTION("""COMPUTED_VALUE"""),"Yes")</f>
        <v>Yes</v>
      </c>
      <c r="F292" s="3" t="str">
        <f ca="1">IFERROR(__xludf.DUMMYFUNCTION("""COMPUTED_VALUE"""),"BothRef")</f>
        <v>BothRef</v>
      </c>
      <c r="G292" s="3">
        <f ca="1">IFERROR(__xludf.DUMMYFUNCTION("""COMPUTED_VALUE"""),1570594)</f>
        <v>1570594</v>
      </c>
      <c r="H292" s="3" t="str">
        <f ca="1">IFERROR(__xludf.DUMMYFUNCTION("""COMPUTED_VALUE"""),"{1493613}")</f>
        <v>{1493613}</v>
      </c>
      <c r="I292" s="4" t="str">
        <f ca="1">IFERROR(__xludf.DUMMYFUNCTION("""COMPUTED_VALUE"""),"https://bugzilla.mozilla.org/show_bug.cgi?id=1570594")</f>
        <v>https://bugzilla.mozilla.org/show_bug.cgi?id=1570594</v>
      </c>
      <c r="J292" s="3" t="str">
        <f ca="1">IFERROR(__xludf.DUMMYFUNCTION("""COMPUTED_VALUE"""),"['builds/worker/workspace/build/src/obj-firefox/dom/html/Unified_cpp_dom_html2.cpp', 'builds/worker/workspace/build/src/dom/html/HTMLMediaElement.cpp', 'builds/worker/workspace/build/src/obj-firefox/dom/media/Unified_cpp_dom_media1.cpp', 'treeherder.mozil"&amp;"la.org/logviewer.html', 'builds/worker/workspace/build/src/config/gcc_hidden.h', 'builds/worker/workspace/build/src/obj-firefox/dom/media/Unified_cpp_dom_media0.cpp', 'treeherder.mozilla.org/intermittent-failures.html', 'builds/worker/workspace/build/src/"&amp;"obj-firefox/mozilla-config.h']")</f>
        <v>['builds/worker/workspace/build/src/obj-firefox/dom/html/Unified_cpp_dom_html2.cpp', 'builds/worker/workspace/build/src/dom/html/HTMLMediaElement.cpp', 'builds/worker/workspace/build/src/obj-firefox/dom/media/Unified_cpp_dom_media1.cpp', 'treeherder.mozilla.org/logviewer.html', 'builds/worker/workspace/build/src/config/gcc_hidden.h', 'builds/worker/workspace/build/src/obj-firefox/dom/media/Unified_cpp_dom_media0.cpp', 'treeherder.mozilla.org/intermittent-failures.html', 'builds/worker/workspace/build/src/obj-firefox/mozilla-config.h']</v>
      </c>
      <c r="K292" s="3" t="str">
        <f ca="1">IFERROR(__xludf.DUMMYFUNCTION("""COMPUTED_VALUE"""),"System Dumps")</f>
        <v>System Dumps</v>
      </c>
      <c r="L292" s="3" t="str">
        <f ca="1">IFERROR(__xludf.DUMMYFUNCTION("""COMPUTED_VALUE"""),"File names are part of bug title, attachment title or commit messages")</f>
        <v>File names are part of bug title, attachment title or commit messages</v>
      </c>
      <c r="M292" s="3"/>
      <c r="N292" s="3"/>
      <c r="O292" s="3"/>
    </row>
    <row r="293" spans="1:15" ht="154">
      <c r="A293" s="3" t="s">
        <v>64</v>
      </c>
      <c r="B293" s="3"/>
      <c r="C293" s="3" t="str">
        <f ca="1">IFERROR(__xludf.DUMMYFUNCTION("""COMPUTED_VALUE"""),"Agree")</f>
        <v>Agree</v>
      </c>
      <c r="D293" s="3">
        <f ca="1">IFERROR(__xludf.DUMMYFUNCTION("""COMPUTED_VALUE"""),28)</f>
        <v>28</v>
      </c>
      <c r="E293" s="3" t="str">
        <f ca="1">IFERROR(__xludf.DUMMYFUNCTION("""COMPUTED_VALUE"""),"Yes")</f>
        <v>Yes</v>
      </c>
      <c r="F293" s="3" t="str">
        <f ca="1">IFERROR(__xludf.DUMMYFUNCTION("""COMPUTED_VALUE"""),"BugRef")</f>
        <v>BugRef</v>
      </c>
      <c r="G293" s="3">
        <f ca="1">IFERROR(__xludf.DUMMYFUNCTION("""COMPUTED_VALUE"""),1661628)</f>
        <v>1661628</v>
      </c>
      <c r="H293" s="3" t="str">
        <f ca="1">IFERROR(__xludf.DUMMYFUNCTION("""COMPUTED_VALUE"""),"{1653160}")</f>
        <v>{1653160}</v>
      </c>
      <c r="I293" s="4" t="str">
        <f ca="1">IFERROR(__xludf.DUMMYFUNCTION("""COMPUTED_VALUE"""),"https://bugzilla.mozilla.org/show_bug.cgi?id=1661628")</f>
        <v>https://bugzilla.mozilla.org/show_bug.cgi?id=1661628</v>
      </c>
      <c r="J293" s="3" t="str">
        <f ca="1">IFERROR(__xludf.DUMMYFUNCTION("""COMPUTED_VALUE"""),"['TestRunner._checkForHangs@SimpleTest/TestRunner.js', 'reportError@SimpleTest/TestRunner.js', 'SimpleTest.is@SimpleTest/SimpleTest.js', 'SimpleTest.ok@SimpleTest/SimpleTest.js', 'treeherder.mozilla.org/logviewer.html', 'dom/events/test/test_focus_blur_on"&amp;"_click_in_deep_cross_origin_iframe.html', 'dom/events/test/test_hover_mouseleave.html', 'dom/events/test/test_focus_blur_on_click_in_cross_origin_iframe.html', 'treeherder.mozilla.org/intermittent-failures.html', 'listener@dom/events/test/test_focus_blur_"&amp;"on_click_in_deep_cross_origin_iframe.html']")</f>
        <v>['TestRunner._checkForHangs@SimpleTest/TestRunner.js', 'reportError@SimpleTest/TestRunner.js', 'SimpleTest.is@SimpleTest/SimpleTest.js', 'SimpleTest.ok@SimpleTest/SimpleTest.js', 'treeherder.mozilla.org/logviewer.html', 'dom/events/test/test_focus_blur_on_click_in_deep_cross_origin_iframe.html', 'dom/events/test/test_hover_mouseleave.html', 'dom/events/test/test_focus_blur_on_click_in_cross_origin_iframe.html', 'treeherder.mozilla.org/intermittent-failures.html', 'listener@dom/events/test/test_focus_blur_on_click_in_deep_cross_origin_iframe.html']</v>
      </c>
      <c r="K293" s="3" t="str">
        <f ca="1">IFERROR(__xludf.DUMMYFUNCTION("""COMPUTED_VALUE"""),"System Dumps")</f>
        <v>System Dumps</v>
      </c>
      <c r="L293" s="3" t="str">
        <f ca="1">IFERROR(__xludf.DUMMYFUNCTION("""COMPUTED_VALUE"""),"File names are part of bug title, attachment title or commit messages")</f>
        <v>File names are part of bug title, attachment title or commit messages</v>
      </c>
      <c r="M293" s="3"/>
      <c r="N293" s="3"/>
      <c r="O293" s="3"/>
    </row>
    <row r="294" spans="1:15" ht="70">
      <c r="A294" s="3" t="s">
        <v>64</v>
      </c>
      <c r="B294" s="3"/>
      <c r="C294" s="3" t="str">
        <f ca="1">IFERROR(__xludf.DUMMYFUNCTION("""COMPUTED_VALUE"""),"Agree")</f>
        <v>Agree</v>
      </c>
      <c r="D294" s="3">
        <f ca="1">IFERROR(__xludf.DUMMYFUNCTION("""COMPUTED_VALUE"""),29)</f>
        <v>29</v>
      </c>
      <c r="E294" s="3" t="str">
        <f ca="1">IFERROR(__xludf.DUMMYFUNCTION("""COMPUTED_VALUE"""),"Yes")</f>
        <v>Yes</v>
      </c>
      <c r="F294" s="3" t="str">
        <f ca="1">IFERROR(__xludf.DUMMYFUNCTION("""COMPUTED_VALUE"""),"BugRef")</f>
        <v>BugRef</v>
      </c>
      <c r="G294" s="3">
        <f ca="1">IFERROR(__xludf.DUMMYFUNCTION("""COMPUTED_VALUE"""),1559537)</f>
        <v>1559537</v>
      </c>
      <c r="H294" s="3" t="str">
        <f ca="1">IFERROR(__xludf.DUMMYFUNCTION("""COMPUTED_VALUE"""),"{1555287}")</f>
        <v>{1555287}</v>
      </c>
      <c r="I294" s="3" t="str">
        <f ca="1">IFERROR(__xludf.DUMMYFUNCTION("""COMPUTED_VALUE"""),"1559537 - Crash in [@ mozilla::dom::ContentParent::RecvAttachBrowsingContext]")</f>
        <v>1559537 - Crash in [@ mozilla::dom::ContentParent::RecvAttachBrowsingContext]</v>
      </c>
      <c r="J294" s="3" t="str">
        <f ca="1">IFERROR(__xludf.DUMMYFUNCTION("""COMPUTED_VALUE"""),"['ipc/ipdl/PContentParent.cpp', 'xpcom/threads/nsThread.cpp', 'ipc/glue/MessagePump.cpp', 'widget/nsBaseAppShell.cpp', 'ipc/chromium/src/base/message_loop.cc', 'xpcom/threads/nsThreadUtils.cpp', 'dom/ipc/ContentParent.cpp', 'ipc/glue/MessageChannel.cpp']")</f>
        <v>['ipc/ipdl/PContentParent.cpp', 'xpcom/threads/nsThread.cpp', 'ipc/glue/MessagePump.cpp', 'widget/nsBaseAppShell.cpp', 'ipc/chromium/src/base/message_loop.cc', 'xpcom/threads/nsThreadUtils.cpp', 'dom/ipc/ContentParent.cpp', 'ipc/glue/MessageChannel.cpp']</v>
      </c>
      <c r="K294" s="3" t="str">
        <f ca="1">IFERROR(__xludf.DUMMYFUNCTION("""COMPUTED_VALUE"""),"System Dumps")</f>
        <v>System Dumps</v>
      </c>
      <c r="L294" s="3" t="str">
        <f ca="1">IFERROR(__xludf.DUMMYFUNCTION("""COMPUTED_VALUE"""),"Backout")</f>
        <v>Backout</v>
      </c>
      <c r="M294" s="3"/>
      <c r="N294" s="3"/>
      <c r="O294" s="3" t="str">
        <f ca="1">IFERROR(__xludf.DUMMYFUNCTION("""COMPUTED_VALUE"""),"The file in the stack seems to be part of the fix")</f>
        <v>The file in the stack seems to be part of the fix</v>
      </c>
    </row>
    <row r="295" spans="1:15" ht="56">
      <c r="A295" s="3" t="s">
        <v>64</v>
      </c>
      <c r="B295" s="3"/>
      <c r="C295" s="3" t="str">
        <f ca="1">IFERROR(__xludf.DUMMYFUNCTION("""COMPUTED_VALUE"""),"Agree")</f>
        <v>Agree</v>
      </c>
      <c r="D295" s="3">
        <f ca="1">IFERROR(__xludf.DUMMYFUNCTION("""COMPUTED_VALUE"""),30)</f>
        <v>30</v>
      </c>
      <c r="E295" s="3" t="str">
        <f ca="1">IFERROR(__xludf.DUMMYFUNCTION("""COMPUTED_VALUE"""),"Yes")</f>
        <v>Yes</v>
      </c>
      <c r="F295" s="3" t="str">
        <f ca="1">IFERROR(__xludf.DUMMYFUNCTION("""COMPUTED_VALUE"""),"BothRef")</f>
        <v>BothRef</v>
      </c>
      <c r="G295" s="3">
        <f ca="1">IFERROR(__xludf.DUMMYFUNCTION("""COMPUTED_VALUE"""),1661920)</f>
        <v>1661920</v>
      </c>
      <c r="H295" s="3" t="str">
        <f ca="1">IFERROR(__xludf.DUMMYFUNCTION("""COMPUTED_VALUE"""),"{1660625}")</f>
        <v>{1660625}</v>
      </c>
      <c r="I295" s="4" t="str">
        <f ca="1">IFERROR(__xludf.DUMMYFUNCTION("""COMPUTED_VALUE"""),"https://bugzilla.mozilla.org/show_bug.cgi?id=1661920")</f>
        <v>https://bugzilla.mozilla.org/show_bug.cgi?id=1661920</v>
      </c>
      <c r="J295" s="3" t="str">
        <f ca="1">IFERROR(__xludf.DUMMYFUNCTION("""COMPUTED_VALUE"""),"['html/canvas/element/path-objects/2d.path.isPointInPath.basic.html', 'html/canvas/element/path-objects/2d.path.isPointInStroke.scaleddashes.html', 'treeherder.mozilla.org/logviewer.html']")</f>
        <v>['html/canvas/element/path-objects/2d.path.isPointInPath.basic.html', 'html/canvas/element/path-objects/2d.path.isPointInStroke.scaleddashes.html', 'treeherder.mozilla.org/logviewer.html']</v>
      </c>
      <c r="K295" s="3" t="str">
        <f ca="1">IFERROR(__xludf.DUMMYFUNCTION("""COMPUTED_VALUE"""),"System Dumps")</f>
        <v>System Dumps</v>
      </c>
      <c r="L295" s="3" t="str">
        <f ca="1">IFERROR(__xludf.DUMMYFUNCTION("""COMPUTED_VALUE"""),"File names are part of bug title, attachment title or commit messages")</f>
        <v>File names are part of bug title, attachment title or commit messages</v>
      </c>
      <c r="M295" s="3" t="str">
        <f ca="1">IFERROR(__xludf.DUMMYFUNCTION("""COMPUTED_VALUE"""),"System Dumps")</f>
        <v>System Dumps</v>
      </c>
      <c r="N295" s="3"/>
      <c r="O295" s="3" t="str">
        <f ca="1">IFERROR(__xludf.DUMMYFUNCTION("""COMPUTED_VALUE"""),"The files in the stack seems to be part of the fix")</f>
        <v>The files in the stack seems to be part of the fix</v>
      </c>
    </row>
    <row r="296" spans="1:15" ht="126">
      <c r="A296" s="3" t="s">
        <v>64</v>
      </c>
      <c r="B296" s="3"/>
      <c r="C296" s="3" t="str">
        <f ca="1">IFERROR(__xludf.DUMMYFUNCTION("""COMPUTED_VALUE"""),"Agree")</f>
        <v>Agree</v>
      </c>
      <c r="D296" s="3">
        <f ca="1">IFERROR(__xludf.DUMMYFUNCTION("""COMPUTED_VALUE"""),31)</f>
        <v>31</v>
      </c>
      <c r="E296" s="3" t="str">
        <f ca="1">IFERROR(__xludf.DUMMYFUNCTION("""COMPUTED_VALUE"""),"Yes")</f>
        <v>Yes</v>
      </c>
      <c r="F296" s="3" t="str">
        <f ca="1">IFERROR(__xludf.DUMMYFUNCTION("""COMPUTED_VALUE"""),"BothRef")</f>
        <v>BothRef</v>
      </c>
      <c r="G296" s="3">
        <f ca="1">IFERROR(__xludf.DUMMYFUNCTION("""COMPUTED_VALUE"""),1661173)</f>
        <v>1661173</v>
      </c>
      <c r="H296" s="3" t="str">
        <f ca="1">IFERROR(__xludf.DUMMYFUNCTION("""COMPUTED_VALUE"""),"{1659753, 1659630}")</f>
        <v>{1659753, 1659630}</v>
      </c>
      <c r="I296" s="4" t="str">
        <f ca="1">IFERROR(__xludf.DUMMYFUNCTION("""COMPUTED_VALUE"""),"https://bugzilla.mozilla.org/show_bug.cgi?id=1661173")</f>
        <v>https://bugzilla.mozilla.org/show_bug.cgi?id=1661173</v>
      </c>
      <c r="J296" s="3" t="str">
        <f ca="1">IFERROR(__xludf.DUMMYFUNCTION("""COMPUTED_VALUE"""),"['searchfox.org/mozilla-central/rev/ce21a13035623c1d349980057d09000e70669802/dom/tests/browser/browser_windowProxy_transplant.js', 'pdf.js', 'treeherder.mozilla.org/logviewer.html', 'searchfox.org/mozilla-central/rev/27932d4e6ebd2f4b8519865dad864c72176e4e"&amp;"3b/testing/mochitest/BrowserTestUtils/BrowserTestUtils.jsm', 'toolkit/components/pdfjs/test/browser_pdfjs_saveas.js', 'treeherder.mozilla.org/intermittent-failures.html', 'browser_windowProxy_transplant.js']")</f>
        <v>['searchfox.org/mozilla-central/rev/ce21a13035623c1d349980057d09000e70669802/dom/tests/browser/browser_windowProxy_transplant.js', 'pdf.js', 'treeherder.mozilla.org/logviewer.html', 'searchfox.org/mozilla-central/rev/27932d4e6ebd2f4b8519865dad864c72176e4e3b/testing/mochitest/BrowserTestUtils/BrowserTestUtils.jsm', 'toolkit/components/pdfjs/test/browser_pdfjs_saveas.js', 'treeherder.mozilla.org/intermittent-failures.html', 'browser_windowProxy_transplant.js']</v>
      </c>
      <c r="K296" s="3" t="str">
        <f ca="1">IFERROR(__xludf.DUMMYFUNCTION("""COMPUTED_VALUE"""),"System Dumps")</f>
        <v>System Dumps</v>
      </c>
      <c r="L296" s="3" t="str">
        <f ca="1">IFERROR(__xludf.DUMMYFUNCTION("""COMPUTED_VALUE"""),"Bug Description")</f>
        <v>Bug Description</v>
      </c>
      <c r="M296" s="3" t="str">
        <f ca="1">IFERROR(__xludf.DUMMYFUNCTION("""COMPUTED_VALUE"""),"File names are part of bug title, attachment title or commit messages")</f>
        <v>File names are part of bug title, attachment title or commit messages</v>
      </c>
      <c r="N296" s="3" t="str">
        <f ca="1">IFERROR(__xludf.DUMMYFUNCTION("""COMPUTED_VALUE"""),"Solution Draft")</f>
        <v>Solution Draft</v>
      </c>
      <c r="O296" s="3"/>
    </row>
    <row r="297" spans="1:15" ht="84">
      <c r="A297" s="3" t="s">
        <v>64</v>
      </c>
      <c r="B297" s="3"/>
      <c r="C297" s="3" t="str">
        <f ca="1">IFERROR(__xludf.DUMMYFUNCTION("""COMPUTED_VALUE"""),"Agree")</f>
        <v>Agree</v>
      </c>
      <c r="D297" s="3">
        <f ca="1">IFERROR(__xludf.DUMMYFUNCTION("""COMPUTED_VALUE"""),32)</f>
        <v>32</v>
      </c>
      <c r="E297" s="3" t="str">
        <f ca="1">IFERROR(__xludf.DUMMYFUNCTION("""COMPUTED_VALUE"""),"Yes")</f>
        <v>Yes</v>
      </c>
      <c r="F297" s="3" t="str">
        <f ca="1">IFERROR(__xludf.DUMMYFUNCTION("""COMPUTED_VALUE"""),"BothRef")</f>
        <v>BothRef</v>
      </c>
      <c r="G297" s="3">
        <f ca="1">IFERROR(__xludf.DUMMYFUNCTION("""COMPUTED_VALUE"""),1609466)</f>
        <v>1609466</v>
      </c>
      <c r="H297" s="3" t="str">
        <f ca="1">IFERROR(__xludf.DUMMYFUNCTION("""COMPUTED_VALUE"""),"{1597985}")</f>
        <v>{1597985}</v>
      </c>
      <c r="I297" s="4" t="str">
        <f ca="1">IFERROR(__xludf.DUMMYFUNCTION("""COMPUTED_VALUE"""),"https://bugzilla.mozilla.org/show_bug.cgi?id=1609466")</f>
        <v>https://bugzilla.mozilla.org/show_bug.cgi?id=1609466</v>
      </c>
      <c r="J297" s="3" t="str">
        <f ca="1">IFERROR(__xludf.DUMMYFUNCTION("""COMPUTED_VALUE"""),"['searchfox.org/mozilla-central/rev/c7b673f443407a359cc0766fb5a4ac323a1d2628/uriloader/exthandler/win/nsOSHelperAppService.cpp', 'www.iana.org/assignments/media-types/media-types.xhtml', 'www.fosshub.com/SMPlayer.html', 'mozilla.github.io/mozregression/qu"&amp;"ickstart.html']")</f>
        <v>['searchfox.org/mozilla-central/rev/c7b673f443407a359cc0766fb5a4ac323a1d2628/uriloader/exthandler/win/nsOSHelperAppService.cpp', 'www.iana.org/assignments/media-types/media-types.xhtml', 'www.fosshub.com/SMPlayer.html', 'mozilla.github.io/mozregression/quickstart.html']</v>
      </c>
      <c r="K297" s="3" t="str">
        <f ca="1">IFERROR(__xludf.DUMMYFUNCTION("""COMPUTED_VALUE"""),"Bug Description")</f>
        <v>Bug Description</v>
      </c>
      <c r="L297" s="3" t="str">
        <f ca="1">IFERROR(__xludf.DUMMYFUNCTION("""COMPUTED_VALUE"""),"Bug Dependency")</f>
        <v>Bug Dependency</v>
      </c>
      <c r="M297" s="3" t="str">
        <f ca="1">IFERROR(__xludf.DUMMYFUNCTION("""COMPUTED_VALUE"""),"File to Reproduce the Bug")</f>
        <v>File to Reproduce the Bug</v>
      </c>
      <c r="N297" s="3"/>
      <c r="O297" s="3"/>
    </row>
    <row r="298" spans="1:15" ht="84">
      <c r="A298" s="3" t="s">
        <v>64</v>
      </c>
      <c r="B298" s="3" t="str">
        <f ca="1">IFERROR(__xludf.DUMMYFUNCTION("""COMPUTED_VALUE"""),"Agree")</f>
        <v>Agree</v>
      </c>
      <c r="C298" s="3" t="str">
        <f ca="1">IFERROR(__xludf.DUMMYFUNCTION("""COMPUTED_VALUE"""),"Partial")</f>
        <v>Partial</v>
      </c>
      <c r="D298" s="3">
        <f ca="1">IFERROR(__xludf.DUMMYFUNCTION("""COMPUTED_VALUE"""),33)</f>
        <v>33</v>
      </c>
      <c r="E298" s="3" t="str">
        <f ca="1">IFERROR(__xludf.DUMMYFUNCTION("""COMPUTED_VALUE"""),"Yes")</f>
        <v>Yes</v>
      </c>
      <c r="F298" s="3" t="str">
        <f ca="1">IFERROR(__xludf.DUMMYFUNCTION("""COMPUTED_VALUE"""),"BothRef")</f>
        <v>BothRef</v>
      </c>
      <c r="G298" s="3">
        <f ca="1">IFERROR(__xludf.DUMMYFUNCTION("""COMPUTED_VALUE"""),1784462)</f>
        <v>1784462</v>
      </c>
      <c r="H298" s="3" t="str">
        <f ca="1">IFERROR(__xludf.DUMMYFUNCTION("""COMPUTED_VALUE"""),"{1778989}")</f>
        <v>{1778989}</v>
      </c>
      <c r="I298" s="4" t="str">
        <f ca="1">IFERROR(__xludf.DUMMYFUNCTION("""COMPUTED_VALUE"""),"https://bugzilla.mozilla.org/show_bug.cgi?id=1784462")</f>
        <v>https://bugzilla.mozilla.org/show_bug.cgi?id=1784462</v>
      </c>
      <c r="J298" s="3" t="str">
        <f ca="1">IFERROR(__xludf.DUMMYFUNCTION("""COMPUTED_VALUE"""),"['hg.mozilla.org/mozilla-central/raw-file/tip/layout/tools/reftest/reftest-analyzer.xhtml', 'css/css-contain/container-queries/svg-g-no-size-container.html', 'css/css-contain/container-queries/table-inside-container-changing-display.html', 'css/css-contai"&amp;"n/container-queries/svg-foreignobject-no-size-container.html']")</f>
        <v>['hg.mozilla.org/mozilla-central/raw-file/tip/layout/tools/reftest/reftest-analyzer.xhtml', 'css/css-contain/container-queries/svg-g-no-size-container.html', 'css/css-contain/container-queries/table-inside-container-changing-display.html', 'css/css-contain/container-queries/svg-foreignobject-no-size-container.html']</v>
      </c>
      <c r="K298" s="3" t="str">
        <f ca="1">IFERROR(__xludf.DUMMYFUNCTION("""COMPUTED_VALUE"""),"System Dumps")</f>
        <v>System Dumps</v>
      </c>
      <c r="L298" s="3" t="str">
        <f ca="1">IFERROR(__xludf.DUMMYFUNCTION("""COMPUTED_VALUE"""),"Bug Description")</f>
        <v>Bug Description</v>
      </c>
      <c r="M298" s="3" t="str">
        <f ca="1">IFERROR(__xludf.DUMMYFUNCTION("""COMPUTED_VALUE"""),"File names are part of bug title, attachment title or commit messages")</f>
        <v>File names are part of bug title, attachment title or commit messages</v>
      </c>
      <c r="N298" s="3"/>
      <c r="O298" s="3"/>
    </row>
    <row r="299" spans="1:15" ht="70">
      <c r="A299" s="3" t="s">
        <v>64</v>
      </c>
      <c r="B299" s="3"/>
      <c r="C299" s="3" t="str">
        <f ca="1">IFERROR(__xludf.DUMMYFUNCTION("""COMPUTED_VALUE"""),"Agree")</f>
        <v>Agree</v>
      </c>
      <c r="D299" s="3">
        <f ca="1">IFERROR(__xludf.DUMMYFUNCTION("""COMPUTED_VALUE"""),34)</f>
        <v>34</v>
      </c>
      <c r="E299" s="3" t="str">
        <f ca="1">IFERROR(__xludf.DUMMYFUNCTION("""COMPUTED_VALUE"""),"Yes")</f>
        <v>Yes</v>
      </c>
      <c r="F299" s="3" t="str">
        <f ca="1">IFERROR(__xludf.DUMMYFUNCTION("""COMPUTED_VALUE"""),"BothRef")</f>
        <v>BothRef</v>
      </c>
      <c r="G299" s="3">
        <f ca="1">IFERROR(__xludf.DUMMYFUNCTION("""COMPUTED_VALUE"""),1608584)</f>
        <v>1608584</v>
      </c>
      <c r="H299" s="3" t="str">
        <f ca="1">IFERROR(__xludf.DUMMYFUNCTION("""COMPUTED_VALUE"""),"{1601301}")</f>
        <v>{1601301}</v>
      </c>
      <c r="I299" s="4" t="str">
        <f ca="1">IFERROR(__xludf.DUMMYFUNCTION("""COMPUTED_VALUE"""),"https://bugzilla.mozilla.org/show_bug.cgi?id=1608584")</f>
        <v>https://bugzilla.mozilla.org/show_bug.cgi?id=1608584</v>
      </c>
      <c r="J299" s="3" t="str">
        <f ca="1">IFERROR(__xludf.DUMMYFUNCTION("""COMPUTED_VALUE"""),"['example.com/browser/browser/base/content/test/webrtc/get_user_media_in_oop_frame.html', 'browser/base/content/test/webrtc/browser_devices_get_user_media_in_frame.js', 'treeherder.mozilla.org/intermittent-failures.html', 'treeherder.mozilla.org/logviewer"&amp;".html']")</f>
        <v>['example.com/browser/browser/base/content/test/webrtc/get_user_media_in_oop_frame.html', 'browser/base/content/test/webrtc/browser_devices_get_user_media_in_frame.js', 'treeherder.mozilla.org/intermittent-failures.html', 'treeherder.mozilla.org/logviewer.html']</v>
      </c>
      <c r="K299" s="3" t="str">
        <f ca="1">IFERROR(__xludf.DUMMYFUNCTION("""COMPUTED_VALUE"""),"System Dumps")</f>
        <v>System Dumps</v>
      </c>
      <c r="L299" s="3" t="str">
        <f ca="1">IFERROR(__xludf.DUMMYFUNCTION("""COMPUTED_VALUE"""),"File names are part of bug title, attachment title or commit messages")</f>
        <v>File names are part of bug title, attachment title or commit messages</v>
      </c>
      <c r="M299" s="3"/>
      <c r="N299" s="3"/>
      <c r="O299" s="3"/>
    </row>
    <row r="300" spans="1:15" ht="266">
      <c r="A300" s="3" t="s">
        <v>64</v>
      </c>
      <c r="B300" s="3" t="str">
        <f ca="1">IFERROR(__xludf.DUMMYFUNCTION("""COMPUTED_VALUE"""),"Agree")</f>
        <v>Agree</v>
      </c>
      <c r="C300" s="3" t="str">
        <f ca="1">IFERROR(__xludf.DUMMYFUNCTION("""COMPUTED_VALUE"""),"Partial")</f>
        <v>Partial</v>
      </c>
      <c r="D300" s="3">
        <f ca="1">IFERROR(__xludf.DUMMYFUNCTION("""COMPUTED_VALUE"""),35)</f>
        <v>35</v>
      </c>
      <c r="E300" s="3" t="str">
        <f ca="1">IFERROR(__xludf.DUMMYFUNCTION("""COMPUTED_VALUE"""),"Yes")</f>
        <v>Yes</v>
      </c>
      <c r="F300" s="3" t="str">
        <f ca="1">IFERROR(__xludf.DUMMYFUNCTION("""COMPUTED_VALUE"""),"BothRef")</f>
        <v>BothRef</v>
      </c>
      <c r="G300" s="3">
        <f ca="1">IFERROR(__xludf.DUMMYFUNCTION("""COMPUTED_VALUE"""),1722422)</f>
        <v>1722422</v>
      </c>
      <c r="H300" s="3" t="str">
        <f ca="1">IFERROR(__xludf.DUMMYFUNCTION("""COMPUTED_VALUE"""),"{1719108}")</f>
        <v>{1719108}</v>
      </c>
      <c r="I300" s="4" t="str">
        <f ca="1">IFERROR(__xludf.DUMMYFUNCTION("""COMPUTED_VALUE"""),"https://bugzilla.mozilla.org/show_bug.cgi?id=1722422")</f>
        <v>https://bugzilla.mozilla.org/show_bug.cgi?id=1722422</v>
      </c>
      <c r="J300" s="3" t="str">
        <f ca="1">IFERROR(__xludf.DUMMYFUNCTION("""COMPUTED_VALUE"""),"['builds/worker/checkouts/gecko/xpcom/base/nsCycleCollector.cpp', 'src/nsprpub/pr/src/pthreads/ptthread.c', 'image/DecodedSurfaceProvider.cpp', 'builds/worker/checkouts/gecko/ipc/glue/ProtocolUtils.cpp', 'netwerk/test/browser/browser_post_auth.js', 'build"&amp;"s/worker/checkouts/gecko/toolkit/components/antitracking/URLQueryStringStripper.cpp', 'netwerk/test/browser/browser_opaque_response_blocking_telemetry.js', 'image/DecodePool.cpp', 'build/glibc-eX1tMB/glibc-2.31/nptl/pthread_create.c', 'src/xpcom/threads/T"&amp;"askController.cpp', 'example.com/browser/netwerk/test/browser/dummy.html', 'SurfaceCache.cpp', 'opt/worker/tasks/task_164530920033008/build/tests/mochitest/browser/netwerk/test/browser/head.js', 'src/image/DecodedSurfaceProvider.cpp', 'builds/worker/check"&amp;"outs/gecko/image/SurfaceCache.cpp', 'xpcom/threads/TaskController.cpp', 'builds/worker/workspace/obj-build/dist/include/mozilla/AlreadyAddRefed.h', 'src/image/DecodePool.cpp', 'testcase.html', 'nsprpub/pr/src/pthreads/ptthread.c']")</f>
        <v>['builds/worker/checkouts/gecko/xpcom/base/nsCycleCollector.cpp', 'src/nsprpub/pr/src/pthreads/ptthread.c', 'image/DecodedSurfaceProvider.cpp', 'builds/worker/checkouts/gecko/ipc/glue/ProtocolUtils.cpp', 'netwerk/test/browser/browser_post_auth.js', 'builds/worker/checkouts/gecko/toolkit/components/antitracking/URLQueryStringStripper.cpp', 'netwerk/test/browser/browser_opaque_response_blocking_telemetry.js', 'image/DecodePool.cpp', 'build/glibc-eX1tMB/glibc-2.31/nptl/pthread_create.c', 'src/xpcom/threads/TaskController.cpp', 'example.com/browser/netwerk/test/browser/dummy.html', 'SurfaceCache.cpp', 'opt/worker/tasks/task_164530920033008/build/tests/mochitest/browser/netwerk/test/browser/head.js', 'src/image/DecodedSurfaceProvider.cpp', 'builds/worker/checkouts/gecko/image/SurfaceCache.cpp', 'xpcom/threads/TaskController.cpp', 'builds/worker/workspace/obj-build/dist/include/mozilla/AlreadyAddRefed.h', 'src/image/DecodePool.cpp', 'testcase.html', 'nsprpub/pr/src/pthreads/ptthread.c']</v>
      </c>
      <c r="K300" s="3" t="str">
        <f ca="1">IFERROR(__xludf.DUMMYFUNCTION("""COMPUTED_VALUE"""),"System Dumps")</f>
        <v>System Dumps</v>
      </c>
      <c r="L300" s="3" t="str">
        <f ca="1">IFERROR(__xludf.DUMMYFUNCTION("""COMPUTED_VALUE"""),"File names are part of bug title, attachment title or commit messages")</f>
        <v>File names are part of bug title, attachment title or commit messages</v>
      </c>
      <c r="M300" s="3"/>
      <c r="N300" s="3"/>
      <c r="O300" s="3" t="str">
        <f ca="1">IFERROR(__xludf.DUMMYFUNCTION("""COMPUTED_VALUE"""),"The file discussed in the stack trace seems to be part of the fix. Points to buggy code elements in the file and suggest bug fix sample solution. The bug is Bug dependency")</f>
        <v>The file discussed in the stack trace seems to be part of the fix. Points to buggy code elements in the file and suggest bug fix sample solution. The bug is Bug dependency</v>
      </c>
    </row>
    <row r="301" spans="1:15" ht="70">
      <c r="A301" s="3" t="s">
        <v>64</v>
      </c>
      <c r="B301" s="3" t="str">
        <f ca="1">IFERROR(__xludf.DUMMYFUNCTION("""COMPUTED_VALUE"""),"Agree")</f>
        <v>Agree</v>
      </c>
      <c r="C301" s="3" t="str">
        <f ca="1">IFERROR(__xludf.DUMMYFUNCTION("""COMPUTED_VALUE"""),"Partial")</f>
        <v>Partial</v>
      </c>
      <c r="D301" s="3">
        <f ca="1">IFERROR(__xludf.DUMMYFUNCTION("""COMPUTED_VALUE"""),36)</f>
        <v>36</v>
      </c>
      <c r="E301" s="3" t="str">
        <f ca="1">IFERROR(__xludf.DUMMYFUNCTION("""COMPUTED_VALUE"""),"Yes")</f>
        <v>Yes</v>
      </c>
      <c r="F301" s="3" t="str">
        <f ca="1">IFERROR(__xludf.DUMMYFUNCTION("""COMPUTED_VALUE"""),"BothRef")</f>
        <v>BothRef</v>
      </c>
      <c r="G301" s="3">
        <f ca="1">IFERROR(__xludf.DUMMYFUNCTION("""COMPUTED_VALUE"""),1799540)</f>
        <v>1799540</v>
      </c>
      <c r="H301" s="3" t="str">
        <f ca="1">IFERROR(__xludf.DUMMYFUNCTION("""COMPUTED_VALUE"""),"{1754772}")</f>
        <v>{1754772}</v>
      </c>
      <c r="I301" s="4" t="str">
        <f ca="1">IFERROR(__xludf.DUMMYFUNCTION("""COMPUTED_VALUE"""),"https://bugzilla.mozilla.org/show_bug.cgi?id=1799540")</f>
        <v>https://bugzilla.mozilla.org/show_bug.cgi?id=1799540</v>
      </c>
      <c r="J301" s="3" t="str">
        <f ca="1">IFERROR(__xludf.DUMMYFUNCTION("""COMPUTED_VALUE"""),"['aboutSupport.js', 'searchfox.org/mozilla-central/rev/3c194fa1d6f339036d2ec9516bd310c6ad612859/toolkit/content/aboutSupport.xhtml', 'searchfox.org/mozilla-central/rev/3c194fa1d6f339036d2ec9516bd310c6ad612859/toolkit/content/aboutSupport.js', 'global/cont"&amp;"ent/aboutSupport.js']")</f>
        <v>['aboutSupport.js', 'searchfox.org/mozilla-central/rev/3c194fa1d6f339036d2ec9516bd310c6ad612859/toolkit/content/aboutSupport.xhtml', 'searchfox.org/mozilla-central/rev/3c194fa1d6f339036d2ec9516bd310c6ad612859/toolkit/content/aboutSupport.js', 'global/content/aboutSupport.js']</v>
      </c>
      <c r="K301" s="3" t="str">
        <f ca="1">IFERROR(__xludf.DUMMYFUNCTION("""COMPUTED_VALUE"""),"System Dumps")</f>
        <v>System Dumps</v>
      </c>
      <c r="L301" s="3" t="str">
        <f ca="1">IFERROR(__xludf.DUMMYFUNCTION("""COMPUTED_VALUE"""),"Solution Draft")</f>
        <v>Solution Draft</v>
      </c>
      <c r="M301" s="3"/>
      <c r="N301" s="3"/>
      <c r="O301" s="3" t="str">
        <f ca="1">IFERROR(__xludf.DUMMYFUNCTION("""COMPUTED_VALUE"""),"The files in the stack seems to be part of the fix")</f>
        <v>The files in the stack seems to be part of the fix</v>
      </c>
    </row>
    <row r="302" spans="1:15" ht="70">
      <c r="A302" s="3" t="s">
        <v>64</v>
      </c>
      <c r="B302" s="3"/>
      <c r="C302" s="3" t="str">
        <f ca="1">IFERROR(__xludf.DUMMYFUNCTION("""COMPUTED_VALUE"""),"Agree")</f>
        <v>Agree</v>
      </c>
      <c r="D302" s="3">
        <f ca="1">IFERROR(__xludf.DUMMYFUNCTION("""COMPUTED_VALUE"""),37)</f>
        <v>37</v>
      </c>
      <c r="E302" s="3" t="str">
        <f ca="1">IFERROR(__xludf.DUMMYFUNCTION("""COMPUTED_VALUE"""),"Yes")</f>
        <v>Yes</v>
      </c>
      <c r="F302" s="3" t="str">
        <f ca="1">IFERROR(__xludf.DUMMYFUNCTION("""COMPUTED_VALUE"""),"BothRef")</f>
        <v>BothRef</v>
      </c>
      <c r="G302" s="3">
        <f ca="1">IFERROR(__xludf.DUMMYFUNCTION("""COMPUTED_VALUE"""),1771650)</f>
        <v>1771650</v>
      </c>
      <c r="H302" s="3" t="str">
        <f ca="1">IFERROR(__xludf.DUMMYFUNCTION("""COMPUTED_VALUE"""),"{1654054}")</f>
        <v>{1654054}</v>
      </c>
      <c r="I302" s="4" t="str">
        <f ca="1">IFERROR(__xludf.DUMMYFUNCTION("""COMPUTED_VALUE"""),"https://bugzilla.mozilla.org/show_bug.cgi?id=1771650")</f>
        <v>https://bugzilla.mozilla.org/show_bug.cgi?id=1771650</v>
      </c>
      <c r="J302" s="3" t="str">
        <f ca="1">IFERROR(__xludf.DUMMYFUNCTION("""COMPUTED_VALUE"""),"['videocontrols.js', 'hg.mozilla.org/mozilla-central/file/e881fd99de24fa48159390544dac07f373931d1c/toolkit/content/widgets/videocontrols.js', 'searchfox.org/mozilla-central/rev/1739f1301d658c9bff544a0a095ab11fca2e549d/toolkit/content/widgets/videocontrols"&amp;".js']")</f>
        <v>['videocontrols.js', 'hg.mozilla.org/mozilla-central/file/e881fd99de24fa48159390544dac07f373931d1c/toolkit/content/widgets/videocontrols.js', 'searchfox.org/mozilla-central/rev/1739f1301d658c9bff544a0a095ab11fca2e549d/toolkit/content/widgets/videocontrols.js']</v>
      </c>
      <c r="K302" s="3" t="str">
        <f ca="1">IFERROR(__xludf.DUMMYFUNCTION("""COMPUTED_VALUE"""),"File names are part of bug title, attachment title or commit messages")</f>
        <v>File names are part of bug title, attachment title or commit messages</v>
      </c>
      <c r="L302" s="3" t="str">
        <f ca="1">IFERROR(__xludf.DUMMYFUNCTION("""COMPUTED_VALUE"""),"Bug Description")</f>
        <v>Bug Description</v>
      </c>
      <c r="M302" s="3" t="str">
        <f ca="1">IFERROR(__xludf.DUMMYFUNCTION("""COMPUTED_VALUE"""),"No Fix")</f>
        <v>No Fix</v>
      </c>
      <c r="N302" s="3"/>
      <c r="O302" s="3" t="str">
        <f ca="1">IFERROR(__xludf.DUMMYFUNCTION("""COMPUTED_VALUE"""),"Points to buggy code elements in the file")</f>
        <v>Points to buggy code elements in the file</v>
      </c>
    </row>
    <row r="303" spans="1:15" ht="56">
      <c r="A303" s="3" t="s">
        <v>64</v>
      </c>
      <c r="B303" s="3" t="str">
        <f ca="1">IFERROR(__xludf.DUMMYFUNCTION("""COMPUTED_VALUE"""),"Agree")</f>
        <v>Agree</v>
      </c>
      <c r="C303" s="3" t="str">
        <f ca="1">IFERROR(__xludf.DUMMYFUNCTION("""COMPUTED_VALUE"""),"Partial")</f>
        <v>Partial</v>
      </c>
      <c r="D303" s="3">
        <f ca="1">IFERROR(__xludf.DUMMYFUNCTION("""COMPUTED_VALUE"""),38)</f>
        <v>38</v>
      </c>
      <c r="E303" s="3" t="str">
        <f ca="1">IFERROR(__xludf.DUMMYFUNCTION("""COMPUTED_VALUE"""),"Yes")</f>
        <v>Yes</v>
      </c>
      <c r="F303" s="3" t="str">
        <f ca="1">IFERROR(__xludf.DUMMYFUNCTION("""COMPUTED_VALUE"""),"BugRef")</f>
        <v>BugRef</v>
      </c>
      <c r="G303" s="3">
        <f ca="1">IFERROR(__xludf.DUMMYFUNCTION("""COMPUTED_VALUE"""),1742603)</f>
        <v>1742603</v>
      </c>
      <c r="H303" s="3" t="str">
        <f ca="1">IFERROR(__xludf.DUMMYFUNCTION("""COMPUTED_VALUE"""),"{1718711}")</f>
        <v>{1718711}</v>
      </c>
      <c r="I303" s="4" t="str">
        <f ca="1">IFERROR(__xludf.DUMMYFUNCTION("""COMPUTED_VALUE"""),"https://bugzilla.mozilla.org/show_bug.cgi?id=1742603")</f>
        <v>https://bugzilla.mozilla.org/show_bug.cgi?id=1742603</v>
      </c>
      <c r="J303" s="3" t="str">
        <f ca="1">IFERROR(__xludf.DUMMYFUNCTION("""COMPUTED_VALUE"""),"['TestingFunctions.cpp']")</f>
        <v>['TestingFunctions.cpp']</v>
      </c>
      <c r="K303" s="3" t="str">
        <f ca="1">IFERROR(__xludf.DUMMYFUNCTION("""COMPUTED_VALUE"""),"Solution Draft")</f>
        <v>Solution Draft</v>
      </c>
      <c r="L303" s="3" t="str">
        <f ca="1">IFERROR(__xludf.DUMMYFUNCTION("""COMPUTED_VALUE"""),"File names are part of bug title, attachment title or commit messages")</f>
        <v>File names are part of bug title, attachment title or commit messages</v>
      </c>
      <c r="M303" s="3"/>
      <c r="N303" s="3"/>
      <c r="O303" s="3"/>
    </row>
    <row r="304" spans="1:15" ht="56">
      <c r="A304" s="3" t="s">
        <v>64</v>
      </c>
      <c r="B304" s="3"/>
      <c r="C304" s="3" t="str">
        <f ca="1">IFERROR(__xludf.DUMMYFUNCTION("""COMPUTED_VALUE"""),"Agree")</f>
        <v>Agree</v>
      </c>
      <c r="D304" s="3">
        <f ca="1">IFERROR(__xludf.DUMMYFUNCTION("""COMPUTED_VALUE"""),39)</f>
        <v>39</v>
      </c>
      <c r="E304" s="3" t="str">
        <f ca="1">IFERROR(__xludf.DUMMYFUNCTION("""COMPUTED_VALUE"""),"Yes")</f>
        <v>Yes</v>
      </c>
      <c r="F304" s="3" t="str">
        <f ca="1">IFERROR(__xludf.DUMMYFUNCTION("""COMPUTED_VALUE"""),"BothRef")</f>
        <v>BothRef</v>
      </c>
      <c r="G304" s="3">
        <f ca="1">IFERROR(__xludf.DUMMYFUNCTION("""COMPUTED_VALUE"""),1685823)</f>
        <v>1685823</v>
      </c>
      <c r="H304" s="3" t="str">
        <f ca="1">IFERROR(__xludf.DUMMYFUNCTION("""COMPUTED_VALUE"""),"{499640}")</f>
        <v>{499640}</v>
      </c>
      <c r="I304" s="3" t="str">
        <f ca="1">IFERROR(__xludf.DUMMYFUNCTION("""COMPUTED_VALUE"""),"1685823 - Preview updates twice when sheet count changes after changing printers")</f>
        <v>1685823 - Preview updates twice when sheet count changes after changing printers</v>
      </c>
      <c r="J304" s="3" t="str">
        <f ca="1">IFERROR(__xludf.DUMMYFUNCTION("""COMPUTED_VALUE"""),"['browser_print_page_range.js']")</f>
        <v>['browser_print_page_range.js']</v>
      </c>
      <c r="K304" s="3" t="str">
        <f ca="1">IFERROR(__xludf.DUMMYFUNCTION("""COMPUTED_VALUE"""),"Bug Description")</f>
        <v>Bug Description</v>
      </c>
      <c r="L304" s="3"/>
      <c r="M304" s="3"/>
      <c r="N304" s="3"/>
      <c r="O304" s="3"/>
    </row>
    <row r="305" spans="1:15" ht="196">
      <c r="A305" s="3" t="s">
        <v>64</v>
      </c>
      <c r="B305" s="3"/>
      <c r="C305" s="3" t="str">
        <f ca="1">IFERROR(__xludf.DUMMYFUNCTION("""COMPUTED_VALUE"""),"Agree")</f>
        <v>Agree</v>
      </c>
      <c r="D305" s="3">
        <f ca="1">IFERROR(__xludf.DUMMYFUNCTION("""COMPUTED_VALUE"""),40)</f>
        <v>40</v>
      </c>
      <c r="E305" s="3" t="str">
        <f ca="1">IFERROR(__xludf.DUMMYFUNCTION("""COMPUTED_VALUE"""),"Yes")</f>
        <v>Yes</v>
      </c>
      <c r="F305" s="3" t="str">
        <f ca="1">IFERROR(__xludf.DUMMYFUNCTION("""COMPUTED_VALUE"""),"BothRef")</f>
        <v>BothRef</v>
      </c>
      <c r="G305" s="3">
        <f ca="1">IFERROR(__xludf.DUMMYFUNCTION("""COMPUTED_VALUE"""),1695725)</f>
        <v>1695725</v>
      </c>
      <c r="H305" s="3" t="str">
        <f ca="1">IFERROR(__xludf.DUMMYFUNCTION("""COMPUTED_VALUE"""),"{1692894}")</f>
        <v>{1692894}</v>
      </c>
      <c r="I305" s="4" t="str">
        <f ca="1">IFERROR(__xludf.DUMMYFUNCTION("""COMPUTED_VALUE"""),"https://bugzilla.mozilla.org/show_bug.cgi?id=1695725")</f>
        <v>https://bugzilla.mozilla.org/show_bug.cgi?id=1695725</v>
      </c>
      <c r="J305" s="3" t="str">
        <f ca="1">IFERROR(__xludf.DUMMYFUNCTION("""COMPUTED_VALUE"""),"['js/src/vm/Interpreter.cpp', 'dom/bindings/CanvasRenderingContext2DBinding.cpp', 'searchfox.org/mozilla-central/rev/b6f52976b562008c9d9ceeda22907e1eda506c8e/gfx/thebes/gfxPlatform.cpp', 'searchfox.org/mozilla-central/rev/a8b75e4ba3f8ddf0e76b42681d0a7b7e7"&amp;"8e67730/toolkit/actors/BackgroundThumbnailsChild.jsm', 'dom/canvas/CanvasRenderingContext2D.cpp', 'js/src/jsapi.cpp', 'searchfox.org/mozilla-central/rev/5e70cd673a0ba0ad19b662c1cf656e0823781596/dom/canvas/CanvasRenderingContext2D.cpp', 'dom/bindings/Bindi"&amp;"ngUtils.cpp', 'hg.mozilla.org/mozilla-central/file/f875a4ffd653fb9a1ce1567323598057af32ebf0/dom/canvas/CanvasRenderingContext2D.cpp']")</f>
        <v>['js/src/vm/Interpreter.cpp', 'dom/bindings/CanvasRenderingContext2DBinding.cpp', 'searchfox.org/mozilla-central/rev/b6f52976b562008c9d9ceeda22907e1eda506c8e/gfx/thebes/gfxPlatform.cpp', 'searchfox.org/mozilla-central/rev/a8b75e4ba3f8ddf0e76b42681d0a7b7e78e67730/toolkit/actors/BackgroundThumbnailsChild.jsm', 'dom/canvas/CanvasRenderingContext2D.cpp', 'js/src/jsapi.cpp', 'searchfox.org/mozilla-central/rev/5e70cd673a0ba0ad19b662c1cf656e0823781596/dom/canvas/CanvasRenderingContext2D.cpp', 'dom/bindings/BindingUtils.cpp', 'hg.mozilla.org/mozilla-central/file/f875a4ffd653fb9a1ce1567323598057af32ebf0/dom/canvas/CanvasRenderingContext2D.cpp']</v>
      </c>
      <c r="K305" s="3" t="str">
        <f ca="1">IFERROR(__xludf.DUMMYFUNCTION("""COMPUTED_VALUE"""),"System Dumps")</f>
        <v>System Dumps</v>
      </c>
      <c r="L305" s="3" t="str">
        <f ca="1">IFERROR(__xludf.DUMMYFUNCTION("""COMPUTED_VALUE"""),"Bug Description")</f>
        <v>Bug Description</v>
      </c>
      <c r="M305" s="3"/>
      <c r="N305" s="3"/>
      <c r="O305" s="3" t="str">
        <f ca="1">IFERROR(__xludf.DUMMYFUNCTION("""COMPUTED_VALUE"""),"One file part of the stack trace is part of the fix, while another file that is part of the fix is not mentioned in the stack trace but is discussed for a bug fix solution")</f>
        <v>One file part of the stack trace is part of the fix, while another file that is part of the fix is not mentioned in the stack trace but is discussed for a bug fix solution</v>
      </c>
    </row>
    <row r="306" spans="1:15" ht="56">
      <c r="A306" s="3" t="s">
        <v>64</v>
      </c>
      <c r="B306" s="3"/>
      <c r="C306" s="3" t="str">
        <f ca="1">IFERROR(__xludf.DUMMYFUNCTION("""COMPUTED_VALUE"""),"Agree")</f>
        <v>Agree</v>
      </c>
      <c r="D306" s="3">
        <f ca="1">IFERROR(__xludf.DUMMYFUNCTION("""COMPUTED_VALUE"""),41)</f>
        <v>41</v>
      </c>
      <c r="E306" s="3" t="str">
        <f ca="1">IFERROR(__xludf.DUMMYFUNCTION("""COMPUTED_VALUE"""),"Yes")</f>
        <v>Yes</v>
      </c>
      <c r="F306" s="3" t="str">
        <f ca="1">IFERROR(__xludf.DUMMYFUNCTION("""COMPUTED_VALUE"""),"BugRef")</f>
        <v>BugRef</v>
      </c>
      <c r="G306" s="3">
        <f ca="1">IFERROR(__xludf.DUMMYFUNCTION("""COMPUTED_VALUE"""),1798587)</f>
        <v>1798587</v>
      </c>
      <c r="H306" s="3" t="str">
        <f ca="1">IFERROR(__xludf.DUMMYFUNCTION("""COMPUTED_VALUE"""),"{1766497}")</f>
        <v>{1766497}</v>
      </c>
      <c r="I306" s="4" t="str">
        <f ca="1">IFERROR(__xludf.DUMMYFUNCTION("""COMPUTED_VALUE"""),"https://bugzilla.mozilla.org/show_bug.cgi?id=1798587")</f>
        <v>https://bugzilla.mozilla.org/show_bug.cgi?id=1798587</v>
      </c>
      <c r="J306" s="3" t="str">
        <f ca="1">IFERROR(__xludf.DUMMYFUNCTION("""COMPUTED_VALUE"""),"['condprof/main.py', 'virtualenv/virtualenv.py']")</f>
        <v>['condprof/main.py', 'virtualenv/virtualenv.py']</v>
      </c>
      <c r="K306" s="3" t="str">
        <f ca="1">IFERROR(__xludf.DUMMYFUNCTION("""COMPUTED_VALUE"""),"System Dumps")</f>
        <v>System Dumps</v>
      </c>
      <c r="L306" s="3" t="str">
        <f ca="1">IFERROR(__xludf.DUMMYFUNCTION("""COMPUTED_VALUE"""),"File names are part of bug title, attachment title or commit messages")</f>
        <v>File names are part of bug title, attachment title or commit messages</v>
      </c>
      <c r="M306" s="3"/>
      <c r="N306" s="3"/>
      <c r="O306" s="3" t="str">
        <f ca="1">IFERROR(__xludf.DUMMYFUNCTION("""COMPUTED_VALUE"""),"The files involved in the fix are not part of the stack trace or bug discussion")</f>
        <v>The files involved in the fix are not part of the stack trace or bug discussion</v>
      </c>
    </row>
    <row r="307" spans="1:15" ht="28">
      <c r="A307" s="3" t="s">
        <v>64</v>
      </c>
      <c r="B307" s="3" t="str">
        <f ca="1">IFERROR(__xludf.DUMMYFUNCTION("""COMPUTED_VALUE"""),"Agree")</f>
        <v>Agree</v>
      </c>
      <c r="C307" s="3" t="str">
        <f ca="1">IFERROR(__xludf.DUMMYFUNCTION("""COMPUTED_VALUE"""),"Partial")</f>
        <v>Partial</v>
      </c>
      <c r="D307" s="3">
        <f ca="1">IFERROR(__xludf.DUMMYFUNCTION("""COMPUTED_VALUE"""),42)</f>
        <v>42</v>
      </c>
      <c r="E307" s="3" t="str">
        <f ca="1">IFERROR(__xludf.DUMMYFUNCTION("""COMPUTED_VALUE"""),"Yes")</f>
        <v>Yes</v>
      </c>
      <c r="F307" s="3" t="str">
        <f ca="1">IFERROR(__xludf.DUMMYFUNCTION("""COMPUTED_VALUE"""),"BothRef")</f>
        <v>BothRef</v>
      </c>
      <c r="G307" s="3">
        <f ca="1">IFERROR(__xludf.DUMMYFUNCTION("""COMPUTED_VALUE"""),1730341)</f>
        <v>1730341</v>
      </c>
      <c r="H307" s="3" t="str">
        <f ca="1">IFERROR(__xludf.DUMMYFUNCTION("""COMPUTED_VALUE"""),"{1730134}")</f>
        <v>{1730134}</v>
      </c>
      <c r="I307" s="4" t="str">
        <f ca="1">IFERROR(__xludf.DUMMYFUNCTION("""COMPUTED_VALUE"""),"https://bugzilla.mozilla.org/show_bug.cgi?id=1730341")</f>
        <v>https://bugzilla.mozilla.org/show_bug.cgi?id=1730341</v>
      </c>
      <c r="J307" s="3" t="str">
        <f ca="1">IFERROR(__xludf.DUMMYFUNCTION("""COMPUTED_VALUE"""),"['css/css-cascade/parsing/layer.html']")</f>
        <v>['css/css-cascade/parsing/layer.html']</v>
      </c>
      <c r="K307" s="3" t="str">
        <f ca="1">IFERROR(__xludf.DUMMYFUNCTION("""COMPUTED_VALUE"""),"System Dumps")</f>
        <v>System Dumps</v>
      </c>
      <c r="L307" s="3"/>
      <c r="M307" s="3"/>
      <c r="N307" s="3"/>
      <c r="O307" s="3" t="str">
        <f ca="1">IFERROR(__xludf.DUMMYFUNCTION("""COMPUTED_VALUE"""),"The files involved in the fix are not part of the stack trace or bug discussion")</f>
        <v>The files involved in the fix are not part of the stack trace or bug discussion</v>
      </c>
    </row>
    <row r="308" spans="1:15" ht="28">
      <c r="A308" s="3" t="s">
        <v>64</v>
      </c>
      <c r="B308" s="3"/>
      <c r="C308" s="3" t="str">
        <f ca="1">IFERROR(__xludf.DUMMYFUNCTION("""COMPUTED_VALUE"""),"Agree")</f>
        <v>Agree</v>
      </c>
      <c r="D308" s="3">
        <f ca="1">IFERROR(__xludf.DUMMYFUNCTION("""COMPUTED_VALUE"""),43)</f>
        <v>43</v>
      </c>
      <c r="E308" s="3" t="str">
        <f ca="1">IFERROR(__xludf.DUMMYFUNCTION("""COMPUTED_VALUE"""),"Yes")</f>
        <v>Yes</v>
      </c>
      <c r="F308" s="3" t="str">
        <f ca="1">IFERROR(__xludf.DUMMYFUNCTION("""COMPUTED_VALUE"""),"BugRef")</f>
        <v>BugRef</v>
      </c>
      <c r="G308" s="3">
        <f ca="1">IFERROR(__xludf.DUMMYFUNCTION("""COMPUTED_VALUE"""),1565839)</f>
        <v>1565839</v>
      </c>
      <c r="H308" s="3" t="str">
        <f ca="1">IFERROR(__xludf.DUMMYFUNCTION("""COMPUTED_VALUE"""),"{1556789}")</f>
        <v>{1556789}</v>
      </c>
      <c r="I308" s="4" t="str">
        <f ca="1">IFERROR(__xludf.DUMMYFUNCTION("""COMPUTED_VALUE"""),"https://bugzilla.mozilla.org/show_bug.cgi?id=1565839")</f>
        <v>https://bugzilla.mozilla.org/show_bug.cgi?id=1565839</v>
      </c>
      <c r="J308" s="3" t="str">
        <f ca="1">IFERROR(__xludf.DUMMYFUNCTION("""COMPUTED_VALUE"""),"['SearchService.jsm']")</f>
        <v>['SearchService.jsm']</v>
      </c>
      <c r="K308" s="3" t="str">
        <f ca="1">IFERROR(__xludf.DUMMYFUNCTION("""COMPUTED_VALUE"""),"System Dumps")</f>
        <v>System Dumps</v>
      </c>
      <c r="L308" s="3" t="str">
        <f ca="1">IFERROR(__xludf.DUMMYFUNCTION("""COMPUTED_VALUE"""),"File names are part of bug title")</f>
        <v>File names are part of bug title</v>
      </c>
      <c r="M308" s="3"/>
      <c r="N308" s="3"/>
      <c r="O308" s="3" t="str">
        <f ca="1">IFERROR(__xludf.DUMMYFUNCTION("""COMPUTED_VALUE"""),"Backout")</f>
        <v>Backout</v>
      </c>
    </row>
    <row r="309" spans="1:15" ht="42">
      <c r="A309" s="3" t="s">
        <v>64</v>
      </c>
      <c r="B309" s="3"/>
      <c r="C309" s="3" t="str">
        <f ca="1">IFERROR(__xludf.DUMMYFUNCTION("""COMPUTED_VALUE"""),"Agree")</f>
        <v>Agree</v>
      </c>
      <c r="D309" s="3">
        <f ca="1">IFERROR(__xludf.DUMMYFUNCTION("""COMPUTED_VALUE"""),44)</f>
        <v>44</v>
      </c>
      <c r="E309" s="3" t="str">
        <f ca="1">IFERROR(__xludf.DUMMYFUNCTION("""COMPUTED_VALUE"""),"Yes")</f>
        <v>Yes</v>
      </c>
      <c r="F309" s="3" t="str">
        <f ca="1">IFERROR(__xludf.DUMMYFUNCTION("""COMPUTED_VALUE"""),"BothRef")</f>
        <v>BothRef</v>
      </c>
      <c r="G309" s="3">
        <f ca="1">IFERROR(__xludf.DUMMYFUNCTION("""COMPUTED_VALUE"""),1726537)</f>
        <v>1726537</v>
      </c>
      <c r="H309" s="3" t="str">
        <f ca="1">IFERROR(__xludf.DUMMYFUNCTION("""COMPUTED_VALUE"""),"{1714107}")</f>
        <v>{1714107}</v>
      </c>
      <c r="I309" s="4" t="str">
        <f ca="1">IFERROR(__xludf.DUMMYFUNCTION("""COMPUTED_VALUE"""),"https://bugzilla.mozilla.org/show_bug.cgi?id=1726537")</f>
        <v>https://bugzilla.mozilla.org/show_bug.cgi?id=1726537</v>
      </c>
      <c r="J309" s="3" t="str">
        <f ca="1">IFERROR(__xludf.DUMMYFUNCTION("""COMPUTED_VALUE"""),"['searchfox.org/mozilla-central/rev/9dceacf3d761eb91237108ec438d64099a56f442/uriloader/exthandler/nsExternalHelperAppService.cpp']")</f>
        <v>['searchfox.org/mozilla-central/rev/9dceacf3d761eb91237108ec438d64099a56f442/uriloader/exthandler/nsExternalHelperAppService.cpp']</v>
      </c>
      <c r="K309" s="3" t="str">
        <f ca="1">IFERROR(__xludf.DUMMYFUNCTION("""COMPUTED_VALUE"""),"Bug Description")</f>
        <v>Bug Description</v>
      </c>
      <c r="L309" s="3"/>
      <c r="M309" s="3"/>
      <c r="N309" s="3"/>
      <c r="O309" s="3"/>
    </row>
    <row r="310" spans="1:15" ht="409.6">
      <c r="A310" s="3" t="s">
        <v>64</v>
      </c>
      <c r="B310" s="3"/>
      <c r="C310" s="3" t="str">
        <f ca="1">IFERROR(__xludf.DUMMYFUNCTION("""COMPUTED_VALUE"""),"Agree")</f>
        <v>Agree</v>
      </c>
      <c r="D310" s="3">
        <f ca="1">IFERROR(__xludf.DUMMYFUNCTION("""COMPUTED_VALUE"""),45)</f>
        <v>45</v>
      </c>
      <c r="E310" s="3" t="str">
        <f ca="1">IFERROR(__xludf.DUMMYFUNCTION("""COMPUTED_VALUE"""),"Yes")</f>
        <v>Yes</v>
      </c>
      <c r="F310" s="3" t="str">
        <f ca="1">IFERROR(__xludf.DUMMYFUNCTION("""COMPUTED_VALUE"""),"BothRef")</f>
        <v>BothRef</v>
      </c>
      <c r="G310" s="3">
        <f ca="1">IFERROR(__xludf.DUMMYFUNCTION("""COMPUTED_VALUE"""),1659717)</f>
        <v>1659717</v>
      </c>
      <c r="H310" s="3" t="str">
        <f ca="1">IFERROR(__xludf.DUMMYFUNCTION("""COMPUTED_VALUE"""),"{1657269}")</f>
        <v>{1657269}</v>
      </c>
      <c r="I310" s="4" t="str">
        <f ca="1">IFERROR(__xludf.DUMMYFUNCTION("""COMPUTED_VALUE"""),"https://bugzilla.mozilla.org/show_bug.cgi?id=1659717")</f>
        <v>https://bugzilla.mozilla.org/show_bug.cgi?id=1659717</v>
      </c>
      <c r="J310" s="3" t="str">
        <f ca="1">IFERROR(__xludf.DUMMYFUNCTION("""COMPUTED_VALUE"""),"['builds/worker/checkouts/gecko/dom/base/nsINode.cpp', 'builds/worker/workspace/obj-build/dom/bindings/EventListenerBinding.cpp', 'builds/worker/workspace/obj-build/dom/bindings/DocumentBinding.cpp', 'builds/worker/checkouts/gecko/dom/bindings/BindingUtil"&amp;"s.cpp', 'builds/worker/workspace/obj-build/dist/include/mozilla/dom/EventListenerBinding.h', 'builds/worker/checkouts/gecko/browser/app/nsBrowserApp.cpp', 'builds/worker/checkouts/gecko/ipc/chromium/src/base/message_loop.cc', 'builds/worker/checkouts/geck"&amp;"o/xpcom/threads/SchedulerGroup.cpp', 'builds/worker/checkouts/gecko/dom/base/nsContentUtils.cpp', 'builds/worker/checkouts/gecko/dom/events/EventListenerManager.cpp', 'builds/worker/checkouts/gecko/editor/libeditor/EditorUtils.cpp', 'builds/worker/workspa"&amp;"ce/obj-build/dist/include/mozilla/Assertions.h', 'builds/worker/checkouts/gecko/js/src/jsapi.cpp', 'builds/worker/checkouts/gecko/editor/libeditor/HTMLEditSubActionHandler.cpp', 'builds/worker/checkouts/gecko/js/src/vm/Interpreter.cpp', 'builds/worker/che"&amp;"ckouts/gecko/xpcom/threads/nsThread.cpp', 'build/glibc-2ORdQG/glibc-2.27/csu/../csu/libc-start.c', 'builds/worker/checkouts/gecko/xpcom/threads/TaskController.cpp', 'builds/worker/checkouts/gecko/ipc/glue/MessagePump.cpp', 'builds/worker/checkouts/gecko/e"&amp;"ditor/libeditor/EditorBase.cpp', 'builds/worker/checkouts/gecko/toolkit/xre/nsEmbedFunctions.cpp', 'builds/worker/checkouts/gecko/browser/app/../../ipc/contentproc/plugin-container.cpp', 'builds/worker/workspace/obj-build/dist/include/mozilla/EventListene"&amp;"rManager.h', 'builds/worker/checkouts/gecko/dom/base/Document.cpp', 'builds/worker/checkouts/gecko/editor/libeditor/EditorCommands.cpp', 'builds/worker/checkouts/gecko/widget/nsBaseAppShell.cpp', 'testcase.html', 'builds/worker/workspace/obj-build/dist/in"&amp;"clude/nsThreadUtils.h', 'builds/worker/checkouts/gecko/dom/events/EventDispatcher.cpp', 'builds/worker/checkouts/gecko/xpcom/threads/nsThreadUtils.cpp']")</f>
        <v>['builds/worker/checkouts/gecko/dom/base/nsINode.cpp', 'builds/worker/workspace/obj-build/dom/bindings/EventListenerBinding.cpp', 'builds/worker/workspace/obj-build/dom/bindings/DocumentBinding.cpp', 'builds/worker/checkouts/gecko/dom/bindings/BindingUtils.cpp', 'builds/worker/workspace/obj-build/dist/include/mozilla/dom/EventListenerBinding.h', 'builds/worker/checkouts/gecko/browser/app/nsBrowserApp.cpp', 'builds/worker/checkouts/gecko/ipc/chromium/src/base/message_loop.cc', 'builds/worker/checkouts/gecko/xpcom/threads/SchedulerGroup.cpp', 'builds/worker/checkouts/gecko/dom/base/nsContentUtils.cpp', 'builds/worker/checkouts/gecko/dom/events/EventListenerManager.cpp', 'builds/worker/checkouts/gecko/editor/libeditor/EditorUtils.cpp', 'builds/worker/workspace/obj-build/dist/include/mozilla/Assertions.h', 'builds/worker/checkouts/gecko/js/src/jsapi.cpp', 'builds/worker/checkouts/gecko/editor/libeditor/HTMLEditSubActionHandler.cpp', 'builds/worker/checkouts/gecko/js/src/vm/Interpreter.cpp', 'builds/worker/checkouts/gecko/xpcom/threads/nsThread.cpp', 'build/glibc-2ORdQG/glibc-2.27/csu/../csu/libc-start.c', 'builds/worker/checkouts/gecko/xpcom/threads/TaskController.cpp', 'builds/worker/checkouts/gecko/ipc/glue/MessagePump.cpp', 'builds/worker/checkouts/gecko/editor/libeditor/EditorBase.cpp', 'builds/worker/checkouts/gecko/toolkit/xre/nsEmbedFunctions.cpp', 'builds/worker/checkouts/gecko/browser/app/../../ipc/contentproc/plugin-container.cpp', 'builds/worker/workspace/obj-build/dist/include/mozilla/EventListenerManager.h', 'builds/worker/checkouts/gecko/dom/base/Document.cpp', 'builds/worker/checkouts/gecko/editor/libeditor/EditorCommands.cpp', 'builds/worker/checkouts/gecko/widget/nsBaseAppShell.cpp', 'testcase.html', 'builds/worker/workspace/obj-build/dist/include/nsThreadUtils.h', 'builds/worker/checkouts/gecko/dom/events/EventDispatcher.cpp', 'builds/worker/checkouts/gecko/xpcom/threads/nsThreadUtils.cpp']</v>
      </c>
      <c r="K310" s="3" t="str">
        <f ca="1">IFERROR(__xludf.DUMMYFUNCTION("""COMPUTED_VALUE"""),"System Dumps")</f>
        <v>System Dumps</v>
      </c>
      <c r="L310" s="3"/>
      <c r="M310" s="3"/>
      <c r="N310" s="3"/>
      <c r="O310" s="3"/>
    </row>
    <row r="311" spans="1:15" ht="42">
      <c r="A311" s="3" t="s">
        <v>64</v>
      </c>
      <c r="B311" s="3"/>
      <c r="C311" s="3" t="str">
        <f ca="1">IFERROR(__xludf.DUMMYFUNCTION("""COMPUTED_VALUE"""),"Agree")</f>
        <v>Agree</v>
      </c>
      <c r="D311" s="3">
        <f ca="1">IFERROR(__xludf.DUMMYFUNCTION("""COMPUTED_VALUE"""),46)</f>
        <v>46</v>
      </c>
      <c r="E311" s="3" t="str">
        <f ca="1">IFERROR(__xludf.DUMMYFUNCTION("""COMPUTED_VALUE"""),"Yes")</f>
        <v>Yes</v>
      </c>
      <c r="F311" s="3" t="str">
        <f ca="1">IFERROR(__xludf.DUMMYFUNCTION("""COMPUTED_VALUE"""),"BothRef")</f>
        <v>BothRef</v>
      </c>
      <c r="G311" s="3">
        <f ca="1">IFERROR(__xludf.DUMMYFUNCTION("""COMPUTED_VALUE"""),1768475)</f>
        <v>1768475</v>
      </c>
      <c r="H311" s="3" t="str">
        <f ca="1">IFERROR(__xludf.DUMMYFUNCTION("""COMPUTED_VALUE"""),"{1765760}")</f>
        <v>{1765760}</v>
      </c>
      <c r="I311" s="4" t="str">
        <f ca="1">IFERROR(__xludf.DUMMYFUNCTION("""COMPUTED_VALUE"""),"https://bugzilla.mozilla.org/show_bug.cgi?id=1768475")</f>
        <v>https://bugzilla.mozilla.org/show_bug.cgi?id=1768475</v>
      </c>
      <c r="J311" s="3" t="str">
        <f ca="1">IFERROR(__xludf.DUMMYFUNCTION("""COMPUTED_VALUE"""),"['searchfox.org/mozilla-central/rev/da6a85e615827d353e5ca0e05770d8d346b761a9/devtools/server/actors/inspector/walker.js']")</f>
        <v>['searchfox.org/mozilla-central/rev/da6a85e615827d353e5ca0e05770d8d346b761a9/devtools/server/actors/inspector/walker.js']</v>
      </c>
      <c r="K311" s="3" t="str">
        <f ca="1">IFERROR(__xludf.DUMMYFUNCTION("""COMPUTED_VALUE"""),"Bug Description")</f>
        <v>Bug Description</v>
      </c>
      <c r="L311" s="3" t="str">
        <f ca="1">IFERROR(__xludf.DUMMYFUNCTION("""COMPUTED_VALUE"""),"Solution Draft")</f>
        <v>Solution Draft</v>
      </c>
      <c r="M311" s="3"/>
      <c r="N311" s="3"/>
      <c r="O311" s="3"/>
    </row>
    <row r="312" spans="1:15" ht="42">
      <c r="A312" s="3" t="s">
        <v>64</v>
      </c>
      <c r="B312" s="3"/>
      <c r="C312" s="3" t="str">
        <f ca="1">IFERROR(__xludf.DUMMYFUNCTION("""COMPUTED_VALUE"""),"Agree")</f>
        <v>Agree</v>
      </c>
      <c r="D312" s="3">
        <f ca="1">IFERROR(__xludf.DUMMYFUNCTION("""COMPUTED_VALUE"""),47)</f>
        <v>47</v>
      </c>
      <c r="E312" s="3" t="str">
        <f ca="1">IFERROR(__xludf.DUMMYFUNCTION("""COMPUTED_VALUE"""),"Yes")</f>
        <v>Yes</v>
      </c>
      <c r="F312" s="3" t="str">
        <f ca="1">IFERROR(__xludf.DUMMYFUNCTION("""COMPUTED_VALUE"""),"BugRef")</f>
        <v>BugRef</v>
      </c>
      <c r="G312" s="3">
        <f ca="1">IFERROR(__xludf.DUMMYFUNCTION("""COMPUTED_VALUE"""),1613482)</f>
        <v>1613482</v>
      </c>
      <c r="H312" s="3" t="str">
        <f ca="1">IFERROR(__xludf.DUMMYFUNCTION("""COMPUTED_VALUE"""),"{1404091}")</f>
        <v>{1404091}</v>
      </c>
      <c r="I312" s="4" t="str">
        <f ca="1">IFERROR(__xludf.DUMMYFUNCTION("""COMPUTED_VALUE"""),"https://bugzilla.mozilla.org/show_bug.cgi?id=1613482")</f>
        <v>https://bugzilla.mozilla.org/show_bug.cgi?id=1613482</v>
      </c>
      <c r="J312" s="3" t="str">
        <f ca="1">IFERROR(__xludf.DUMMYFUNCTION("""COMPUTED_VALUE"""),"['searchfox.org/mozilla-central/rev/3a0a8e2762821c6afc1d235b3eb3dde63ad3b01a/layout/painting/nsDisplayList.cpp']")</f>
        <v>['searchfox.org/mozilla-central/rev/3a0a8e2762821c6afc1d235b3eb3dde63ad3b01a/layout/painting/nsDisplayList.cpp']</v>
      </c>
      <c r="K312" s="3" t="str">
        <f ca="1">IFERROR(__xludf.DUMMYFUNCTION("""COMPUTED_VALUE"""),"Bug Description")</f>
        <v>Bug Description</v>
      </c>
      <c r="L312" s="3"/>
      <c r="M312" s="3"/>
      <c r="N312" s="3"/>
      <c r="O312" s="3"/>
    </row>
    <row r="313" spans="1:15" ht="397">
      <c r="A313" s="3" t="s">
        <v>64</v>
      </c>
      <c r="B313" s="3"/>
      <c r="C313" s="3" t="str">
        <f ca="1">IFERROR(__xludf.DUMMYFUNCTION("""COMPUTED_VALUE"""),"Agree")</f>
        <v>Agree</v>
      </c>
      <c r="D313" s="3">
        <f ca="1">IFERROR(__xludf.DUMMYFUNCTION("""COMPUTED_VALUE"""),49)</f>
        <v>49</v>
      </c>
      <c r="E313" s="3" t="str">
        <f ca="1">IFERROR(__xludf.DUMMYFUNCTION("""COMPUTED_VALUE"""),"Yes")</f>
        <v>Yes</v>
      </c>
      <c r="F313" s="3" t="str">
        <f ca="1">IFERROR(__xludf.DUMMYFUNCTION("""COMPUTED_VALUE"""),"BothRef")</f>
        <v>BothRef</v>
      </c>
      <c r="G313" s="3">
        <f ca="1">IFERROR(__xludf.DUMMYFUNCTION("""COMPUTED_VALUE"""),1704660)</f>
        <v>1704660</v>
      </c>
      <c r="H313" s="3" t="str">
        <f ca="1">IFERROR(__xludf.DUMMYFUNCTION("""COMPUTED_VALUE"""),"{1459859}")</f>
        <v>{1459859}</v>
      </c>
      <c r="I313" s="4" t="str">
        <f ca="1">IFERROR(__xludf.DUMMYFUNCTION("""COMPUTED_VALUE"""),"https://bugzilla.mozilla.org/show_bug.cgi?id=1704660")</f>
        <v>https://bugzilla.mozilla.org/show_bug.cgi?id=1704660</v>
      </c>
      <c r="J313" s="3" t="str">
        <f ca="1">IFERROR(__xludf.DUMMYFUNCTION("""COMPUTED_VALUE"""),"['gecko/dom/events/JSEventHandler.cpp', 'prefs.js', 'gecko/xpcom/threads/nsThreadUtils.h', 'gecko/ipc/chromium/src/base/message_loop.cc', 'build/glibc-eX1tMB/glibc-2.31/csu/../csu/libc-start.c', 'gecko/ipc/glue/MessagePump.cpp', 'gecko/dom/html/HTMLInputE"&amp;"lement.cpp', 'searchfox.org/mozilla-central/rev/3de2db87f3c9001ae478318d47a2ca3427574382/dom/html/HTMLInputElement.cpp', 'gecko/dom/file/Blob.cpp', 'gecko/xpcom/threads/TaskController.cpp', 'gecko/dom/html/HTMLFormElement.cpp', 'builds/worker/workspace/ob"&amp;"j-build/dist/include/mozilla/RefPtr.h', 'builds/worker/workspace/obj-build/dom/bindings/HTMLFormElementBinding.cpp', 'gecko/xpcom/threads/nsThread.cpp', 'gecko/xpcom/threads/SchedulerGroup.cpp', 'gecko/widget/nsBaseAppShell.cpp', 'pernos.co/debug/uI03ZnG3"&amp;"54AEVSv6Y2-0OQ/index.html', 'gecko/xpcom/threads/nsThreadUtils.cpp', 'gecko/js/src/jsapi.cpp', 'builds/worker/workspace/obj-build/dist/include/mozilla/dom/EventHandlerBinding.h', 'gecko/js/src/vm/Interpreter.cpp', 'gecko/browser/app/nsBrowserApp.cpp', 'ge"&amp;"cko/browser/app/../../ipc/contentproc/plugin-container.cpp', 'gecko/dom/events/EventDispatcher.cpp', 'gecko/dom/bindings/BindingUtils.cpp', 'gecko/parser/html/nsHtml5SVGLoadDispatcher.cpp', 'builds/worker/workspace/obj-build/dom/bindings/EventHandlerBindi"&amp;"ng.cpp', 'searchfox.org/mozilla-central/rev/3de2db87f3c9001ae478318d47a2ca3427574382/dom/file/Blob.cpp', 'testcase.html', 'gecko/toolkit/xre/nsEmbedFunctions.cpp', 'gecko/dom/events/EventListenerManager.cpp']")</f>
        <v>['gecko/dom/events/JSEventHandler.cpp', 'prefs.js', 'gecko/xpcom/threads/nsThreadUtils.h', 'gecko/ipc/chromium/src/base/message_loop.cc', 'build/glibc-eX1tMB/glibc-2.31/csu/../csu/libc-start.c', 'gecko/ipc/glue/MessagePump.cpp', 'gecko/dom/html/HTMLInputElement.cpp', 'searchfox.org/mozilla-central/rev/3de2db87f3c9001ae478318d47a2ca3427574382/dom/html/HTMLInputElement.cpp', 'gecko/dom/file/Blob.cpp', 'gecko/xpcom/threads/TaskController.cpp', 'gecko/dom/html/HTMLFormElement.cpp', 'builds/worker/workspace/obj-build/dist/include/mozilla/RefPtr.h', 'builds/worker/workspace/obj-build/dom/bindings/HTMLFormElementBinding.cpp', 'gecko/xpcom/threads/nsThread.cpp', 'gecko/xpcom/threads/SchedulerGroup.cpp', 'gecko/widget/nsBaseAppShell.cpp', 'pernos.co/debug/uI03ZnG354AEVSv6Y2-0OQ/index.html', 'gecko/xpcom/threads/nsThreadUtils.cpp', 'gecko/js/src/jsapi.cpp', 'builds/worker/workspace/obj-build/dist/include/mozilla/dom/EventHandlerBinding.h', 'gecko/js/src/vm/Interpreter.cpp', 'gecko/browser/app/nsBrowserApp.cpp', 'gecko/browser/app/../../ipc/contentproc/plugin-container.cpp', 'gecko/dom/events/EventDispatcher.cpp', 'gecko/dom/bindings/BindingUtils.cpp', 'gecko/parser/html/nsHtml5SVGLoadDispatcher.cpp', 'builds/worker/workspace/obj-build/dom/bindings/EventHandlerBinding.cpp', 'searchfox.org/mozilla-central/rev/3de2db87f3c9001ae478318d47a2ca3427574382/dom/file/Blob.cpp', 'testcase.html', 'gecko/toolkit/xre/nsEmbedFunctions.cpp', 'gecko/dom/events/EventListenerManager.cpp']</v>
      </c>
      <c r="K313" s="3" t="str">
        <f ca="1">IFERROR(__xludf.DUMMYFUNCTION("""COMPUTED_VALUE"""),"System Dumps")</f>
        <v>System Dumps</v>
      </c>
      <c r="L313" s="3" t="str">
        <f ca="1">IFERROR(__xludf.DUMMYFUNCTION("""COMPUTED_VALUE"""),"Bug Description")</f>
        <v>Bug Description</v>
      </c>
      <c r="M313" s="3"/>
      <c r="N313" s="3"/>
      <c r="O313" s="3"/>
    </row>
    <row r="314" spans="1:15" ht="56">
      <c r="A314" s="3" t="s">
        <v>64</v>
      </c>
      <c r="B314" s="3"/>
      <c r="C314" s="3" t="str">
        <f ca="1">IFERROR(__xludf.DUMMYFUNCTION("""COMPUTED_VALUE"""),"Agree")</f>
        <v>Agree</v>
      </c>
      <c r="D314" s="3">
        <f ca="1">IFERROR(__xludf.DUMMYFUNCTION("""COMPUTED_VALUE"""),50)</f>
        <v>50</v>
      </c>
      <c r="E314" s="3" t="str">
        <f ca="1">IFERROR(__xludf.DUMMYFUNCTION("""COMPUTED_VALUE"""),"Yes")</f>
        <v>Yes</v>
      </c>
      <c r="F314" s="3" t="str">
        <f ca="1">IFERROR(__xludf.DUMMYFUNCTION("""COMPUTED_VALUE"""),"BothRef")</f>
        <v>BothRef</v>
      </c>
      <c r="G314" s="3">
        <f ca="1">IFERROR(__xludf.DUMMYFUNCTION("""COMPUTED_VALUE"""),1799704)</f>
        <v>1799704</v>
      </c>
      <c r="H314" s="3" t="str">
        <f ca="1">IFERROR(__xludf.DUMMYFUNCTION("""COMPUTED_VALUE"""),"{1797050}")</f>
        <v>{1797050}</v>
      </c>
      <c r="I314" s="4" t="str">
        <f ca="1">IFERROR(__xludf.DUMMYFUNCTION("""COMPUTED_VALUE"""),"https://bugzilla.mozilla.org/show_bug.cgi?id=1799704")</f>
        <v>https://bugzilla.mozilla.org/show_bug.cgi?id=1799704</v>
      </c>
      <c r="J314" s="3" t="str">
        <f ca="1">IFERROR(__xludf.DUMMYFUNCTION("""COMPUTED_VALUE"""),"['builds/worker/checkouts/gecko/toolkit/crashreporter/nsExceptionHandler.cpp', 'xpcshell.ini', 'toolkit/components/extensions/test/xpcshell/test_ext_manifest.js', 'xpcshell/head.js']")</f>
        <v>['builds/worker/checkouts/gecko/toolkit/crashreporter/nsExceptionHandler.cpp', 'xpcshell.ini', 'toolkit/components/extensions/test/xpcshell/test_ext_manifest.js', 'xpcshell/head.js']</v>
      </c>
      <c r="K314" s="3" t="str">
        <f ca="1">IFERROR(__xludf.DUMMYFUNCTION("""COMPUTED_VALUE"""),"System Dumps")</f>
        <v>System Dumps</v>
      </c>
      <c r="L314" s="3" t="str">
        <f ca="1">IFERROR(__xludf.DUMMYFUNCTION("""COMPUTED_VALUE"""),"File names are part of bug title, attachment title or commit messages")</f>
        <v>File names are part of bug title, attachment title or commit messages</v>
      </c>
      <c r="M314" s="3"/>
      <c r="N314" s="3"/>
      <c r="O314" s="3"/>
    </row>
    <row r="315" spans="1:15" ht="168">
      <c r="A315" s="3" t="s">
        <v>64</v>
      </c>
      <c r="B315" s="3"/>
      <c r="C315" s="3" t="str">
        <f ca="1">IFERROR(__xludf.DUMMYFUNCTION("""COMPUTED_VALUE"""),"Agree")</f>
        <v>Agree</v>
      </c>
      <c r="D315" s="3">
        <f ca="1">IFERROR(__xludf.DUMMYFUNCTION("""COMPUTED_VALUE"""),51)</f>
        <v>51</v>
      </c>
      <c r="E315" s="3" t="str">
        <f ca="1">IFERROR(__xludf.DUMMYFUNCTION("""COMPUTED_VALUE"""),"Yes")</f>
        <v>Yes</v>
      </c>
      <c r="F315" s="3" t="str">
        <f ca="1">IFERROR(__xludf.DUMMYFUNCTION("""COMPUTED_VALUE"""),"BugRef")</f>
        <v>BugRef</v>
      </c>
      <c r="G315" s="3">
        <f ca="1">IFERROR(__xludf.DUMMYFUNCTION("""COMPUTED_VALUE"""),1669554)</f>
        <v>1669554</v>
      </c>
      <c r="H315" s="3" t="str">
        <f ca="1">IFERROR(__xludf.DUMMYFUNCTION("""COMPUTED_VALUE"""),"{1557645}")</f>
        <v>{1557645}</v>
      </c>
      <c r="I315" s="4" t="str">
        <f ca="1">IFERROR(__xludf.DUMMYFUNCTION("""COMPUTED_VALUE"""),"https://bugzilla.mozilla.org/show_bug.cgi?id=1669554")</f>
        <v>https://bugzilla.mozilla.org/show_bug.cgi?id=1669554</v>
      </c>
      <c r="J315" s="3" t="str">
        <f ca="1">IFERROR(__xludf.DUMMYFUNCTION("""COMPUTED_VALUE"""),"['searchfox.org/mozilla-central/rev/1a973762afcbc5066f73f1508b0c846872fe3952/widget/nsPrintSettingsService.cpp', 'modules/ContentCrashHandlers.jsm', 'searchfox.org/mozilla-central/rev/1a973762afcbc5066f73f1508b0c846872fe3952/dom/ipc/ContentParent.cpp', 'w"&amp;"idget/nsPrintSettingsService.cpp', 'searchfox.org/mozilla-central/rev/1a973762afcbc5066f73f1508b0c846872fe3952/ipc/glue/ProtocolUtils.cpp', 'ipc/glue/ProtocolUtils.cpp', 'dom/ipc/ContentParent.cpp', 'searchfox.org/mozilla-central/rev/1a973762afcbc5066f73f"&amp;"1508b0c846872fe3952/browser/modules/ContentCrashHandlers.jsm']")</f>
        <v>['searchfox.org/mozilla-central/rev/1a973762afcbc5066f73f1508b0c846872fe3952/widget/nsPrintSettingsService.cpp', 'modules/ContentCrashHandlers.jsm', 'searchfox.org/mozilla-central/rev/1a973762afcbc5066f73f1508b0c846872fe3952/dom/ipc/ContentParent.cpp', 'widget/nsPrintSettingsService.cpp', 'searchfox.org/mozilla-central/rev/1a973762afcbc5066f73f1508b0c846872fe3952/ipc/glue/ProtocolUtils.cpp', 'ipc/glue/ProtocolUtils.cpp', 'dom/ipc/ContentParent.cpp', 'searchfox.org/mozilla-central/rev/1a973762afcbc5066f73f1508b0c846872fe3952/browser/modules/ContentCrashHandlers.jsm']</v>
      </c>
      <c r="K315" s="3" t="str">
        <f ca="1">IFERROR(__xludf.DUMMYFUNCTION("""COMPUTED_VALUE"""),"System Dumps")</f>
        <v>System Dumps</v>
      </c>
      <c r="L315" s="3"/>
      <c r="M315" s="3"/>
      <c r="N315" s="3"/>
      <c r="O315" s="3"/>
    </row>
    <row r="316" spans="1:15" ht="70">
      <c r="A316" s="3" t="s">
        <v>64</v>
      </c>
      <c r="B316" s="3"/>
      <c r="C316" s="3" t="str">
        <f ca="1">IFERROR(__xludf.DUMMYFUNCTION("""COMPUTED_VALUE"""),"Agree")</f>
        <v>Agree</v>
      </c>
      <c r="D316" s="3">
        <f ca="1">IFERROR(__xludf.DUMMYFUNCTION("""COMPUTED_VALUE"""),52)</f>
        <v>52</v>
      </c>
      <c r="E316" s="3" t="str">
        <f ca="1">IFERROR(__xludf.DUMMYFUNCTION("""COMPUTED_VALUE"""),"Yes")</f>
        <v>Yes</v>
      </c>
      <c r="F316" s="3" t="str">
        <f ca="1">IFERROR(__xludf.DUMMYFUNCTION("""COMPUTED_VALUE"""),"BothRef")</f>
        <v>BothRef</v>
      </c>
      <c r="G316" s="3">
        <f ca="1">IFERROR(__xludf.DUMMYFUNCTION("""COMPUTED_VALUE"""),1667942)</f>
        <v>1667942</v>
      </c>
      <c r="H316" s="3" t="str">
        <f ca="1">IFERROR(__xludf.DUMMYFUNCTION("""COMPUTED_VALUE"""),"{1642051}")</f>
        <v>{1642051}</v>
      </c>
      <c r="I316" s="4" t="str">
        <f ca="1">IFERROR(__xludf.DUMMYFUNCTION("""COMPUTED_VALUE"""),"https://bugzilla.mozilla.org/show_bug.cgi?id=1667942")</f>
        <v>https://bugzilla.mozilla.org/show_bug.cgi?id=1667942</v>
      </c>
      <c r="J316" s="3" t="str">
        <f ca="1">IFERROR(__xludf.DUMMYFUNCTION("""COMPUTED_VALUE"""),"['NEW-SSD/NREF-COMM-CENTRAL/mozilla/toolkit/components/antitracking/AntiTrackingUtils.cpp', 'Users/Kagami/Documents/GitHub/gecko-dev/image/ProgressTracker.h', 'Users/Kagami/Documents/GitHub/gecko-dev/toolkit/components/antitracking/AntiTrackingUtils.cpp']")</f>
        <v>['NEW-SSD/NREF-COMM-CENTRAL/mozilla/toolkit/components/antitracking/AntiTrackingUtils.cpp', 'Users/Kagami/Documents/GitHub/gecko-dev/image/ProgressTracker.h', 'Users/Kagami/Documents/GitHub/gecko-dev/toolkit/components/antitracking/AntiTrackingUtils.cpp']</v>
      </c>
      <c r="K316" s="3" t="str">
        <f ca="1">IFERROR(__xludf.DUMMYFUNCTION("""COMPUTED_VALUE"""),"System Dumps")</f>
        <v>System Dumps</v>
      </c>
      <c r="L316" s="3" t="str">
        <f ca="1">IFERROR(__xludf.DUMMYFUNCTION("""COMPUTED_VALUE"""),"File names are part of bug title")</f>
        <v>File names are part of bug title</v>
      </c>
      <c r="M316" s="3"/>
      <c r="N316" s="3"/>
      <c r="O316" s="3"/>
    </row>
    <row r="317" spans="1:15" ht="56">
      <c r="A317" s="3" t="s">
        <v>64</v>
      </c>
      <c r="B317" s="3"/>
      <c r="C317" s="3" t="str">
        <f ca="1">IFERROR(__xludf.DUMMYFUNCTION("""COMPUTED_VALUE"""),"Agree")</f>
        <v>Agree</v>
      </c>
      <c r="D317" s="3">
        <f ca="1">IFERROR(__xludf.DUMMYFUNCTION("""COMPUTED_VALUE"""),53)</f>
        <v>53</v>
      </c>
      <c r="E317" s="3" t="str">
        <f ca="1">IFERROR(__xludf.DUMMYFUNCTION("""COMPUTED_VALUE"""),"Yes")</f>
        <v>Yes</v>
      </c>
      <c r="F317" s="3" t="str">
        <f ca="1">IFERROR(__xludf.DUMMYFUNCTION("""COMPUTED_VALUE"""),"BugRef")</f>
        <v>BugRef</v>
      </c>
      <c r="G317" s="3">
        <f ca="1">IFERROR(__xludf.DUMMYFUNCTION("""COMPUTED_VALUE"""),1747839)</f>
        <v>1747839</v>
      </c>
      <c r="H317" s="3" t="str">
        <f ca="1">IFERROR(__xludf.DUMMYFUNCTION("""COMPUTED_VALUE"""),"{1747476}")</f>
        <v>{1747476}</v>
      </c>
      <c r="I317" s="4" t="str">
        <f ca="1">IFERROR(__xludf.DUMMYFUNCTION("""COMPUTED_VALUE"""),"https://bugzilla.mozilla.org/show_bug.cgi?id=1747839")</f>
        <v>https://bugzilla.mozilla.org/show_bug.cgi?id=1747839</v>
      </c>
      <c r="J317" s="3" t="str">
        <f ca="1">IFERROR(__xludf.DUMMYFUNCTION("""COMPUTED_VALUE"""),"['8000/resources/testharness.js', '8000/html/canvas/offscreen/manual/the-offscreen-canvas/offscreencanvas.resize.html', 'html/canvas/offscreen/manual/the-offscreen-canvas/offscreencanvas.resize.html']")</f>
        <v>['8000/resources/testharness.js', '8000/html/canvas/offscreen/manual/the-offscreen-canvas/offscreencanvas.resize.html', 'html/canvas/offscreen/manual/the-offscreen-canvas/offscreencanvas.resize.html']</v>
      </c>
      <c r="K317" s="3" t="str">
        <f ca="1">IFERROR(__xludf.DUMMYFUNCTION("""COMPUTED_VALUE"""),"System Dumps")</f>
        <v>System Dumps</v>
      </c>
      <c r="L317" s="3" t="str">
        <f ca="1">IFERROR(__xludf.DUMMYFUNCTION("""COMPUTED_VALUE"""),"File names are part of bug title")</f>
        <v>File names are part of bug title</v>
      </c>
      <c r="M317" s="3"/>
      <c r="N317" s="3"/>
      <c r="O317" s="3"/>
    </row>
    <row r="318" spans="1:15" ht="168">
      <c r="A318" s="3" t="s">
        <v>64</v>
      </c>
      <c r="B318" s="3"/>
      <c r="C318" s="3" t="str">
        <f ca="1">IFERROR(__xludf.DUMMYFUNCTION("""COMPUTED_VALUE"""),"Agree")</f>
        <v>Agree</v>
      </c>
      <c r="D318" s="3">
        <f ca="1">IFERROR(__xludf.DUMMYFUNCTION("""COMPUTED_VALUE"""),54)</f>
        <v>54</v>
      </c>
      <c r="E318" s="3" t="str">
        <f ca="1">IFERROR(__xludf.DUMMYFUNCTION("""COMPUTED_VALUE"""),"Yes")</f>
        <v>Yes</v>
      </c>
      <c r="F318" s="3" t="str">
        <f ca="1">IFERROR(__xludf.DUMMYFUNCTION("""COMPUTED_VALUE"""),"BothRef")</f>
        <v>BothRef</v>
      </c>
      <c r="G318" s="3">
        <f ca="1">IFERROR(__xludf.DUMMYFUNCTION("""COMPUTED_VALUE"""),1593979)</f>
        <v>1593979</v>
      </c>
      <c r="H318" s="3" t="str">
        <f ca="1">IFERROR(__xludf.DUMMYFUNCTION("""COMPUTED_VALUE"""),"{1589844, 1591006}")</f>
        <v>{1589844, 1591006}</v>
      </c>
      <c r="I318" s="4" t="str">
        <f ca="1">IFERROR(__xludf.DUMMYFUNCTION("""COMPUTED_VALUE"""),"https://bugzilla.mozilla.org/show_bug.cgi?id=1593979")</f>
        <v>https://bugzilla.mozilla.org/show_bug.cgi?id=1593979</v>
      </c>
      <c r="J318" s="3" t="str">
        <f ca="1">IFERROR(__xludf.DUMMYFUNCTION("""COMPUTED_VALUE"""),"['searchfox.org/mozilla-central/rev/3300072e993ae05d50d5c63d815260367eaf9179/browser/tools/mozscreenshots/controlCenter/browser.ini', 'firefox-source-docs.mozilla.org/build/buildsystem/test_manifests.html', 'head.js', 'remote/test/browser/chrome-remote-in"&amp;"terface.js', 'testing/mochitest/browser/remote/test/browser/target/head.js', 'remote/test/browser/head.js', 'chrome-remote-interface.js', 'Volumes/code/gecko/obj/debug/_tests/testing/mochitest/browser/remote/test/browser/head.js', 'mochitests/content/brow"&amp;"ser/remote/test/browser/head.js', 'browser.ini', 'searchfox.org/mozilla-central/source/remote/test/browser/input/head.js', '../head.js']")</f>
        <v>['searchfox.org/mozilla-central/rev/3300072e993ae05d50d5c63d815260367eaf9179/browser/tools/mozscreenshots/controlCenter/browser.ini', 'firefox-source-docs.mozilla.org/build/buildsystem/test_manifests.html', 'head.js', 'remote/test/browser/chrome-remote-interface.js', 'testing/mochitest/browser/remote/test/browser/target/head.js', 'remote/test/browser/head.js', 'chrome-remote-interface.js', 'Volumes/code/gecko/obj/debug/_tests/testing/mochitest/browser/remote/test/browser/head.js', 'mochitests/content/browser/remote/test/browser/head.js', 'browser.ini', 'searchfox.org/mozilla-central/source/remote/test/browser/input/head.js', '../head.js']</v>
      </c>
      <c r="K318" s="3" t="str">
        <f ca="1">IFERROR(__xludf.DUMMYFUNCTION("""COMPUTED_VALUE"""),"Bug Description")</f>
        <v>Bug Description</v>
      </c>
      <c r="L318" s="3" t="str">
        <f ca="1">IFERROR(__xludf.DUMMYFUNCTION("""COMPUTED_VALUE"""),"File names are part of bug title, attachment title or commit messages")</f>
        <v>File names are part of bug title, attachment title or commit messages</v>
      </c>
      <c r="M318" s="3" t="str">
        <f ca="1">IFERROR(__xludf.DUMMYFUNCTION("""COMPUTED_VALUE"""),"Solution Draft")</f>
        <v>Solution Draft</v>
      </c>
      <c r="N318" s="3" t="str">
        <f ca="1">IFERROR(__xludf.DUMMYFUNCTION("""COMPUTED_VALUE"""),"Bug Reproducibility")</f>
        <v>Bug Reproducibility</v>
      </c>
      <c r="O318" s="3"/>
    </row>
    <row r="319" spans="1:15" ht="409.6">
      <c r="A319" s="3" t="s">
        <v>64</v>
      </c>
      <c r="B319" s="3"/>
      <c r="C319" s="3" t="str">
        <f ca="1">IFERROR(__xludf.DUMMYFUNCTION("""COMPUTED_VALUE"""),"Agree")</f>
        <v>Agree</v>
      </c>
      <c r="D319" s="3">
        <f ca="1">IFERROR(__xludf.DUMMYFUNCTION("""COMPUTED_VALUE"""),55)</f>
        <v>55</v>
      </c>
      <c r="E319" s="3" t="str">
        <f ca="1">IFERROR(__xludf.DUMMYFUNCTION("""COMPUTED_VALUE"""),"Yes")</f>
        <v>Yes</v>
      </c>
      <c r="F319" s="3" t="str">
        <f ca="1">IFERROR(__xludf.DUMMYFUNCTION("""COMPUTED_VALUE"""),"BothRef")</f>
        <v>BothRef</v>
      </c>
      <c r="G319" s="3">
        <f ca="1">IFERROR(__xludf.DUMMYFUNCTION("""COMPUTED_VALUE"""),1703592)</f>
        <v>1703592</v>
      </c>
      <c r="H319" s="3" t="str">
        <f ca="1">IFERROR(__xludf.DUMMYFUNCTION("""COMPUTED_VALUE"""),"{1646224}")</f>
        <v>{1646224}</v>
      </c>
      <c r="I319" s="4" t="str">
        <f ca="1">IFERROR(__xludf.DUMMYFUNCTION("""COMPUTED_VALUE"""),"https://bugzilla.mozilla.org/show_bug.cgi?id=1703592")</f>
        <v>https://bugzilla.mozilla.org/show_bug.cgi?id=1703592</v>
      </c>
      <c r="J319" s="3" t="str">
        <f ca="1">IFERROR(__xludf.DUMMYFUNCTION("""COMPUTED_VALUE"""),"['builds/worker/workspace/obj-build/dist/include/mozilla/dom/Selection.h', 'builds/worker/workspace/obj-build/dom/bindings/EventListenerBinding.cpp', 'builds/worker/checkouts/gecko/dom/bindings/BindingUtils.cpp', 'builds/worker/workspace/obj-build/dist/in"&amp;"clude/mozilla/dom/EventListenerBinding.h', 'builds/worker/checkouts/gecko/layout/generic/nsFrameSelection.cpp', 'builds/worker/checkouts/gecko/browser/app/nsBrowserApp.cpp', 'builds/worker/checkouts/gecko/docshell/base/nsDocShell.cpp', 'builds/worker/chec"&amp;"kouts/gecko/ipc/chromium/src/base/message_loop.cc', 'build/glibc-eX1tMB/glibc-2.31/csu/../csu/libc-start.c', 'builds/worker/checkouts/gecko/xpcom/threads/SchedulerGroup.cpp', 'builds/worker/checkouts/gecko/dom/events/EventListenerManager.cpp', 'builds/wor"&amp;"ker/workspace/obj-build/dom/bindings/SelectionBinding.cpp', 'builds/worker/checkouts/gecko/dom/base/Selection.cpp', 'builds/worker/checkouts/gecko/layout/base/nsLayoutUtils.cpp', 'builds/worker/checkouts/gecko/layout/base/nsDocumentViewer.cpp', 'builds/wo"&amp;"rker/checkouts/gecko/js/src/jsapi.cpp', 'builds/worker/checkouts/gecko/js/src/vm/Interpreter.cpp', 'builds/worker/checkouts/gecko/layout/svg/SVGUtils.cpp', 'builds/worker/checkouts/gecko/netwerk/base/nsLoadGroup.cpp', 'builds/worker/checkouts/gecko/dom/sv"&amp;"g/SVGContentUtils.cpp', 'builds/worker/checkouts/gecko/xpcom/threads/nsThread.cpp', 'builds/worker/checkouts/gecko/layout/base/AccessibleCaretEventHub.cpp', 'builds/worker/checkouts/gecko/xpcom/threads/TaskController.cpp', 'builds/worker/checkouts/gecko/d"&amp;"om/svg/SVGViewportElement.cpp', 'builds/worker/checkouts/gecko/uriloader/base/nsDocLoader.cpp', 'builds/worker/checkouts/gecko/ipc/glue/MessagePump.cpp', 'builds/worker/checkouts/gecko/layout/base/PresShell.cpp', 'builds/worker/checkouts/gecko/toolkit/xre"&amp;"/nsEmbedFunctions.cpp', 'builds/worker/checkouts/gecko/browser/app/../../ipc/contentproc/plugin-container.cpp', 'builds/worker/workspace/obj-build/dist/include/mozilla/EventListenerManager.h', 'builds/worker/checkouts/gecko/dom/base/Document.cpp', 'builds"&amp;"/worker/workspace/obj-build/dist/include/mozilla/PresShell.h', 'pernos.co/debug/KfvKetJzdiInMlkB2hFIOQ/index.html', 'builds/worker/checkouts/gecko/widget/nsBaseAppShell.cpp', 'builds/worker/checkouts/gecko/layout/svg/SVGContainerFrame.cpp', 'testcase.html"&amp;"', 'builds/worker/workspace/obj-build/dist/include/nsThreadUtils.h', 'builds/worker/checkouts/gecko/dom/events/EventDispatcher.cpp', 'builds/worker/checkouts/gecko/dom/base/nsRange.cpp', 'builds/worker/checkouts/gecko/xpcom/threads/nsThreadUtils.cpp', 'bu"&amp;"ilds/worker/checkouts/gecko/layout/base/AccessibleCaretManager.cpp']")</f>
        <v>['builds/worker/workspace/obj-build/dist/include/mozilla/dom/Selection.h', 'builds/worker/workspace/obj-build/dom/bindings/EventListenerBinding.cpp', 'builds/worker/checkouts/gecko/dom/bindings/BindingUtils.cpp', 'builds/worker/workspace/obj-build/dist/include/mozilla/dom/EventListenerBinding.h', 'builds/worker/checkouts/gecko/layout/generic/nsFrameSelection.cpp', 'builds/worker/checkouts/gecko/browser/app/nsBrowserApp.cpp', 'builds/worker/checkouts/gecko/docshell/base/nsDocShell.cpp', 'builds/worker/checkouts/gecko/ipc/chromium/src/base/message_loop.cc', 'build/glibc-eX1tMB/glibc-2.31/csu/../csu/libc-start.c', 'builds/worker/checkouts/gecko/xpcom/threads/SchedulerGroup.cpp', 'builds/worker/checkouts/gecko/dom/events/EventListenerManager.cpp', 'builds/worker/workspace/obj-build/dom/bindings/SelectionBinding.cpp', 'builds/worker/checkouts/gecko/dom/base/Selection.cpp', 'builds/worker/checkouts/gecko/layout/base/nsLayoutUtils.cpp', 'builds/worker/checkouts/gecko/layout/base/nsDocumentViewer.cpp', 'builds/worker/checkouts/gecko/js/src/jsapi.cpp', 'builds/worker/checkouts/gecko/js/src/vm/Interpreter.cpp', 'builds/worker/checkouts/gecko/layout/svg/SVGUtils.cpp', 'builds/worker/checkouts/gecko/netwerk/base/nsLoadGroup.cpp', 'builds/worker/checkouts/gecko/dom/svg/SVGContentUtils.cpp', 'builds/worker/checkouts/gecko/xpcom/threads/nsThread.cpp', 'builds/worker/checkouts/gecko/layout/base/AccessibleCaretEventHub.cpp', 'builds/worker/checkouts/gecko/xpcom/threads/TaskController.cpp', 'builds/worker/checkouts/gecko/dom/svg/SVGViewportElement.cpp', 'builds/worker/checkouts/gecko/uriloader/base/nsDocLoader.cpp', 'builds/worker/checkouts/gecko/ipc/glue/MessagePump.cpp', 'builds/worker/checkouts/gecko/layout/base/PresShell.cpp', 'builds/worker/checkouts/gecko/toolkit/xre/nsEmbedFunctions.cpp', 'builds/worker/checkouts/gecko/browser/app/../../ipc/contentproc/plugin-container.cpp', 'builds/worker/workspace/obj-build/dist/include/mozilla/EventListenerManager.h', 'builds/worker/checkouts/gecko/dom/base/Document.cpp', 'builds/worker/workspace/obj-build/dist/include/mozilla/PresShell.h', 'pernos.co/debug/KfvKetJzdiInMlkB2hFIOQ/index.html', 'builds/worker/checkouts/gecko/widget/nsBaseAppShell.cpp', 'builds/worker/checkouts/gecko/layout/svg/SVGContainerFrame.cpp', 'testcase.html', 'builds/worker/workspace/obj-build/dist/include/nsThreadUtils.h', 'builds/worker/checkouts/gecko/dom/events/EventDispatcher.cpp', 'builds/worker/checkouts/gecko/dom/base/nsRange.cpp', 'builds/worker/checkouts/gecko/xpcom/threads/nsThreadUtils.cpp', 'builds/worker/checkouts/gecko/layout/base/AccessibleCaretManager.cpp']</v>
      </c>
      <c r="K319" s="3" t="str">
        <f ca="1">IFERROR(__xludf.DUMMYFUNCTION("""COMPUTED_VALUE"""),"System Dumps")</f>
        <v>System Dumps</v>
      </c>
      <c r="L319" s="3" t="str">
        <f ca="1">IFERROR(__xludf.DUMMYFUNCTION("""COMPUTED_VALUE"""),"File names are part of bug title")</f>
        <v>File names are part of bug title</v>
      </c>
      <c r="M319" s="3"/>
      <c r="N319" s="3"/>
      <c r="O319" s="3"/>
    </row>
    <row r="320" spans="1:15" ht="252">
      <c r="A320" s="3" t="s">
        <v>64</v>
      </c>
      <c r="B320" s="3"/>
      <c r="C320" s="3" t="str">
        <f ca="1">IFERROR(__xludf.DUMMYFUNCTION("""COMPUTED_VALUE"""),"Agree")</f>
        <v>Agree</v>
      </c>
      <c r="D320" s="3">
        <f ca="1">IFERROR(__xludf.DUMMYFUNCTION("""COMPUTED_VALUE"""),56)</f>
        <v>56</v>
      </c>
      <c r="E320" s="3" t="str">
        <f ca="1">IFERROR(__xludf.DUMMYFUNCTION("""COMPUTED_VALUE"""),"Yes")</f>
        <v>Yes</v>
      </c>
      <c r="F320" s="3" t="str">
        <f ca="1">IFERROR(__xludf.DUMMYFUNCTION("""COMPUTED_VALUE"""),"BothRef")</f>
        <v>BothRef</v>
      </c>
      <c r="G320" s="3">
        <f ca="1">IFERROR(__xludf.DUMMYFUNCTION("""COMPUTED_VALUE"""),1618555)</f>
        <v>1618555</v>
      </c>
      <c r="H320" s="3" t="str">
        <f ca="1">IFERROR(__xludf.DUMMYFUNCTION("""COMPUTED_VALUE"""),"{1614987}")</f>
        <v>{1614987}</v>
      </c>
      <c r="I320" s="4" t="str">
        <f ca="1">IFERROR(__xludf.DUMMYFUNCTION("""COMPUTED_VALUE"""),"https://bugzilla.mozilla.org/show_bug.cgi?id=1618555")</f>
        <v>https://bugzilla.mozilla.org/show_bug.cgi?id=1618555</v>
      </c>
      <c r="J320" s="3" t="str">
        <f ca="1">IFERROR(__xludf.DUMMYFUNCTION("""COMPUTED_VALUE"""),"['hg.mozilla.org/mozilla-central/raw-file/tip/layout/tools/reftest/reftest-analyzer.xhtml', 'activity-stream/lib/ASRouterPreferences.jsm', 'activity-stream/lib/ASRouter.jsm', 'gre/modules/Timer.jsm', 'browser/components/newtab/test/browser/browser_asroute"&amp;"r_momentspagehub.js', 'services-common/kinto-http-client.js', 'mochitests/content/browser/browser/components/newtab/test/browser/browser_asrouter_momentspagehub.js', 'services-settings/RemoteSettingsClient.jsm', 'treeherder.mozilla.org/logviewer.html', 's"&amp;"pecialpowers/SpecialPowersParent.jsm', 'builds/worker/workspace/build/src/dom/ipc/ContentChild.cpp', 'testing-common/TestUtils.jsm', 'browser/components/newtab/browser_asrouter_momentspagehub.js', 'builds/worker/workspace/build/src/xpcom/components/nsComp"&amp;"onentManager.cpp', 'mochikit/content/browser-test.js', 'specialpowers/SpecialPowersChild.jsm', 'mochikit/content/tests/SimpleTest/SimpleTest.js', 'treeherder.mozilla.org/intermittent-failures.html']")</f>
        <v>['hg.mozilla.org/mozilla-central/raw-file/tip/layout/tools/reftest/reftest-analyzer.xhtml', 'activity-stream/lib/ASRouterPreferences.jsm', 'activity-stream/lib/ASRouter.jsm', 'gre/modules/Timer.jsm', 'browser/components/newtab/test/browser/browser_asrouter_momentspagehub.js', 'services-common/kinto-http-client.js', 'mochitests/content/browser/browser/components/newtab/test/browser/browser_asrouter_momentspagehub.js', 'services-settings/RemoteSettingsClient.jsm', 'treeherder.mozilla.org/logviewer.html', 'specialpowers/SpecialPowersParent.jsm', 'builds/worker/workspace/build/src/dom/ipc/ContentChild.cpp', 'testing-common/TestUtils.jsm', 'browser/components/newtab/browser_asrouter_momentspagehub.js', 'builds/worker/workspace/build/src/xpcom/components/nsComponentManager.cpp', 'mochikit/content/browser-test.js', 'specialpowers/SpecialPowersChild.jsm', 'mochikit/content/tests/SimpleTest/SimpleTest.js', 'treeherder.mozilla.org/intermittent-failures.html']</v>
      </c>
      <c r="K320" s="3" t="str">
        <f ca="1">IFERROR(__xludf.DUMMYFUNCTION("""COMPUTED_VALUE"""),"System Dumps")</f>
        <v>System Dumps</v>
      </c>
      <c r="L320" s="3" t="str">
        <f ca="1">IFERROR(__xludf.DUMMYFUNCTION("""COMPUTED_VALUE"""),"File names are part of bug title, attachment title or commit messages")</f>
        <v>File names are part of bug title, attachment title or commit messages</v>
      </c>
      <c r="M320" s="3"/>
      <c r="N320" s="3"/>
      <c r="O320" s="3"/>
    </row>
    <row r="321" spans="1:15" ht="98">
      <c r="A321" s="3" t="s">
        <v>64</v>
      </c>
      <c r="B321" s="3"/>
      <c r="C321" s="3" t="str">
        <f ca="1">IFERROR(__xludf.DUMMYFUNCTION("""COMPUTED_VALUE"""),"Agree")</f>
        <v>Agree</v>
      </c>
      <c r="D321" s="3">
        <f ca="1">IFERROR(__xludf.DUMMYFUNCTION("""COMPUTED_VALUE"""),57)</f>
        <v>57</v>
      </c>
      <c r="E321" s="3" t="str">
        <f ca="1">IFERROR(__xludf.DUMMYFUNCTION("""COMPUTED_VALUE"""),"Yes")</f>
        <v>Yes</v>
      </c>
      <c r="F321" s="3" t="str">
        <f ca="1">IFERROR(__xludf.DUMMYFUNCTION("""COMPUTED_VALUE"""),"BugRef")</f>
        <v>BugRef</v>
      </c>
      <c r="G321" s="3">
        <f ca="1">IFERROR(__xludf.DUMMYFUNCTION("""COMPUTED_VALUE"""),1568806)</f>
        <v>1568806</v>
      </c>
      <c r="H321" s="3" t="str">
        <f ca="1">IFERROR(__xludf.DUMMYFUNCTION("""COMPUTED_VALUE"""),"{1566516}")</f>
        <v>{1566516}</v>
      </c>
      <c r="I321" s="4" t="str">
        <f ca="1">IFERROR(__xludf.DUMMYFUNCTION("""COMPUTED_VALUE"""),"https://bugzilla.mozilla.org/show_bug.cgi?id=1568806")</f>
        <v>https://bugzilla.mozilla.org/show_bug.cgi?id=1568806</v>
      </c>
      <c r="J321" s="3" t="str">
        <f ca="1">IFERROR(__xludf.DUMMYFUNCTION("""COMPUTED_VALUE"""),"['treeherder.mozilla.org/intermittent-failures.html', 'js/src/jit-test/tests/wasm/spec/binary.wast.js', 'js/src/jit-test/tests/wasm/spec/address.wast.js', 'treeherder.mozilla.org/logviewer.html', 'wasm/spec/address.wast.js', 'js/src/jit-test/tests/wasm/re"&amp;"gress/too-large-frame.js', 'builds/worker/workspace/build/src/js/src/jit-test/tests/wasm/spec/address.wast.js']")</f>
        <v>['treeherder.mozilla.org/intermittent-failures.html', 'js/src/jit-test/tests/wasm/spec/binary.wast.js', 'js/src/jit-test/tests/wasm/spec/address.wast.js', 'treeherder.mozilla.org/logviewer.html', 'wasm/spec/address.wast.js', 'js/src/jit-test/tests/wasm/regress/too-large-frame.js', 'builds/worker/workspace/build/src/js/src/jit-test/tests/wasm/spec/address.wast.js']</v>
      </c>
      <c r="K321" s="3" t="str">
        <f ca="1">IFERROR(__xludf.DUMMYFUNCTION("""COMPUTED_VALUE"""),"System Dumps")</f>
        <v>System Dumps</v>
      </c>
      <c r="L321" s="3" t="str">
        <f ca="1">IFERROR(__xludf.DUMMYFUNCTION("""COMPUTED_VALUE"""),"File names are part of bug title")</f>
        <v>File names are part of bug title</v>
      </c>
      <c r="M321" s="3"/>
      <c r="N321" s="3"/>
      <c r="O321" s="3"/>
    </row>
    <row r="322" spans="1:15" ht="154">
      <c r="A322" s="3" t="s">
        <v>64</v>
      </c>
      <c r="B322" s="3"/>
      <c r="C322" s="3" t="str">
        <f ca="1">IFERROR(__xludf.DUMMYFUNCTION("""COMPUTED_VALUE"""),"Agree")</f>
        <v>Agree</v>
      </c>
      <c r="D322" s="3">
        <f ca="1">IFERROR(__xludf.DUMMYFUNCTION("""COMPUTED_VALUE"""),58)</f>
        <v>58</v>
      </c>
      <c r="E322" s="3" t="str">
        <f ca="1">IFERROR(__xludf.DUMMYFUNCTION("""COMPUTED_VALUE"""),"Yes")</f>
        <v>Yes</v>
      </c>
      <c r="F322" s="3" t="str">
        <f ca="1">IFERROR(__xludf.DUMMYFUNCTION("""COMPUTED_VALUE"""),"BothRef")</f>
        <v>BothRef</v>
      </c>
      <c r="G322" s="3">
        <f ca="1">IFERROR(__xludf.DUMMYFUNCTION("""COMPUTED_VALUE"""),1754126)</f>
        <v>1754126</v>
      </c>
      <c r="H322" s="3" t="str">
        <f ca="1">IFERROR(__xludf.DUMMYFUNCTION("""COMPUTED_VALUE"""),"{1738323}")</f>
        <v>{1738323}</v>
      </c>
      <c r="I322" s="4" t="str">
        <f ca="1">IFERROR(__xludf.DUMMYFUNCTION("""COMPUTED_VALUE"""),"https://bugzilla.mozilla.org/show_bug.cgi?id=1754126")</f>
        <v>https://bugzilla.mozilla.org/show_bug.cgi?id=1754126</v>
      </c>
      <c r="J322" s="3" t="str">
        <f ca="1">IFERROR(__xludf.DUMMYFUNCTION("""COMPUTED_VALUE"""),"['browser_browserGlue_upgradeDialog.js', 'browser/content/tabbrowser-tabs.js', 'searchfox.org/mozilla-central/rev/2a0b0ababd4541ecffb74cbe0820a9d0a25da636/browser/themes/BuiltInThemeConfig.jsm', 'browser/components/tests/browser/browser_browserGlue_upgrad"&amp;"eDialog.js', 'browser/components/tests/browser/browser.ini', 'browser/content/upgradeDialog.js', 'testing-common/PromiseTestUtils.jsm', 'mochikit/content/browser-test.js', 'searchfox.org/mozilla-central/rev/2a0b0ababd4541ecffb74cbe0820a9d0a25da636/browser"&amp;"/components/tests/browser/browser_browserGlue_upgradeDialog.js']")</f>
        <v>['browser_browserGlue_upgradeDialog.js', 'browser/content/tabbrowser-tabs.js', 'searchfox.org/mozilla-central/rev/2a0b0ababd4541ecffb74cbe0820a9d0a25da636/browser/themes/BuiltInThemeConfig.jsm', 'browser/components/tests/browser/browser_browserGlue_upgradeDialog.js', 'browser/components/tests/browser/browser.ini', 'browser/content/upgradeDialog.js', 'testing-common/PromiseTestUtils.jsm', 'mochikit/content/browser-test.js', 'searchfox.org/mozilla-central/rev/2a0b0ababd4541ecffb74cbe0820a9d0a25da636/browser/components/tests/browser/browser_browserGlue_upgradeDialog.js']</v>
      </c>
      <c r="K322" s="3" t="str">
        <f ca="1">IFERROR(__xludf.DUMMYFUNCTION("""COMPUTED_VALUE"""),"System Dumps")</f>
        <v>System Dumps</v>
      </c>
      <c r="L322" s="3" t="str">
        <f ca="1">IFERROR(__xludf.DUMMYFUNCTION("""COMPUTED_VALUE"""),"File names are part of bug title")</f>
        <v>File names are part of bug title</v>
      </c>
      <c r="M322" s="3" t="str">
        <f ca="1">IFERROR(__xludf.DUMMYFUNCTION("""COMPUTED_VALUE"""),"File to Reproduce the Bug")</f>
        <v>File to Reproduce the Bug</v>
      </c>
      <c r="N322" s="3"/>
      <c r="O322" s="3"/>
    </row>
    <row r="323" spans="1:15" ht="56">
      <c r="A323" s="3" t="s">
        <v>64</v>
      </c>
      <c r="B323" s="3"/>
      <c r="C323" s="3" t="str">
        <f ca="1">IFERROR(__xludf.DUMMYFUNCTION("""COMPUTED_VALUE"""),"Agree")</f>
        <v>Agree</v>
      </c>
      <c r="D323" s="3">
        <f ca="1">IFERROR(__xludf.DUMMYFUNCTION("""COMPUTED_VALUE"""),59)</f>
        <v>59</v>
      </c>
      <c r="E323" s="3" t="str">
        <f ca="1">IFERROR(__xludf.DUMMYFUNCTION("""COMPUTED_VALUE"""),"Yes")</f>
        <v>Yes</v>
      </c>
      <c r="F323" s="3" t="str">
        <f ca="1">IFERROR(__xludf.DUMMYFUNCTION("""COMPUTED_VALUE"""),"BothRef")</f>
        <v>BothRef</v>
      </c>
      <c r="G323" s="3">
        <f ca="1">IFERROR(__xludf.DUMMYFUNCTION("""COMPUTED_VALUE"""),1552964)</f>
        <v>1552964</v>
      </c>
      <c r="H323" s="3" t="str">
        <f ca="1">IFERROR(__xludf.DUMMYFUNCTION("""COMPUTED_VALUE"""),"{1546100}")</f>
        <v>{1546100}</v>
      </c>
      <c r="I323" s="4" t="str">
        <f ca="1">IFERROR(__xludf.DUMMYFUNCTION("""COMPUTED_VALUE"""),"https://bugzilla.mozilla.org/show_bug.cgi?id=1552964")</f>
        <v>https://bugzilla.mozilla.org/show_bug.cgi?id=1552964</v>
      </c>
      <c r="J323" s="3" t="str">
        <f ca="1">IFERROR(__xludf.DUMMYFUNCTION("""COMPUTED_VALUE"""),"['home/tlin/Projects/gecko/testing/mochitest/mach_commands.py', 'searchfox.org/mozilla-central/rev/a887c90ea9c19a0b5529a1f5fa351929944887ba/testing/mochitest/mach_commands.py']")</f>
        <v>['home/tlin/Projects/gecko/testing/mochitest/mach_commands.py', 'searchfox.org/mozilla-central/rev/a887c90ea9c19a0b5529a1f5fa351929944887ba/testing/mochitest/mach_commands.py']</v>
      </c>
      <c r="K323" s="3" t="str">
        <f ca="1">IFERROR(__xludf.DUMMYFUNCTION("""COMPUTED_VALUE"""),"System Dumps")</f>
        <v>System Dumps</v>
      </c>
      <c r="L323" s="3" t="str">
        <f ca="1">IFERROR(__xludf.DUMMYFUNCTION("""COMPUTED_VALUE"""),"Solution Draft")</f>
        <v>Solution Draft</v>
      </c>
      <c r="M323" s="3"/>
      <c r="N323" s="3"/>
      <c r="O323" s="3"/>
    </row>
    <row r="324" spans="1:15" ht="70">
      <c r="A324" s="3" t="s">
        <v>64</v>
      </c>
      <c r="B324" s="3"/>
      <c r="C324" s="3" t="str">
        <f ca="1">IFERROR(__xludf.DUMMYFUNCTION("""COMPUTED_VALUE"""),"Partial")</f>
        <v>Partial</v>
      </c>
      <c r="D324" s="3">
        <f ca="1">IFERROR(__xludf.DUMMYFUNCTION("""COMPUTED_VALUE"""),60)</f>
        <v>60</v>
      </c>
      <c r="E324" s="3" t="str">
        <f ca="1">IFERROR(__xludf.DUMMYFUNCTION("""COMPUTED_VALUE"""),"Yes")</f>
        <v>Yes</v>
      </c>
      <c r="F324" s="3" t="str">
        <f ca="1">IFERROR(__xludf.DUMMYFUNCTION("""COMPUTED_VALUE"""),"BothRef")</f>
        <v>BothRef</v>
      </c>
      <c r="G324" s="3">
        <f ca="1">IFERROR(__xludf.DUMMYFUNCTION("""COMPUTED_VALUE"""),1546022)</f>
        <v>1546022</v>
      </c>
      <c r="H324" s="3" t="str">
        <f ca="1">IFERROR(__xludf.DUMMYFUNCTION("""COMPUTED_VALUE"""),"{1542415}")</f>
        <v>{1542415}</v>
      </c>
      <c r="I324" s="4" t="str">
        <f ca="1">IFERROR(__xludf.DUMMYFUNCTION("""COMPUTED_VALUE"""),"https://bugzilla.mozilla.org/show_bug.cgi?id=1546022")</f>
        <v>https://bugzilla.mozilla.org/show_bug.cgi?id=1546022</v>
      </c>
      <c r="J324" s="3" t="str">
        <f ca="1">IFERROR(__xludf.DUMMYFUNCTION("""COMPUTED_VALUE"""),"['searchfox.org/mozilla-central/rev/7e158713cf5a8514fa8161dd4a239737b05da64d/dom/ipc/BrowserParent.cpp', 'nsFrameLoaderOwner.cpp', 'searchfox.org/mozilla-central/rev/34cb8d0a2a324043bcfc2c56f37b31abe7fb23a8/dom/ipc/BrowserParent.cpp', 'treeherder.mozilla."&amp;"org/logviewer.html']")</f>
        <v>['searchfox.org/mozilla-central/rev/7e158713cf5a8514fa8161dd4a239737b05da64d/dom/ipc/BrowserParent.cpp', 'nsFrameLoaderOwner.cpp', 'searchfox.org/mozilla-central/rev/34cb8d0a2a324043bcfc2c56f37b31abe7fb23a8/dom/ipc/BrowserParent.cpp', 'treeherder.mozilla.org/logviewer.html']</v>
      </c>
      <c r="K324" s="3" t="str">
        <f ca="1">IFERROR(__xludf.DUMMYFUNCTION("""COMPUTED_VALUE"""),"Bug Description")</f>
        <v>Bug Description</v>
      </c>
      <c r="L324" s="3" t="str">
        <f ca="1">IFERROR(__xludf.DUMMYFUNCTION("""COMPUTED_VALUE"""),"Solution Draft")</f>
        <v>Solution Draft</v>
      </c>
      <c r="M324" s="3"/>
      <c r="N324" s="3"/>
      <c r="O324" s="3"/>
    </row>
    <row r="325" spans="1:15" ht="42">
      <c r="A325" s="3" t="s">
        <v>64</v>
      </c>
      <c r="B325" s="3"/>
      <c r="C325" s="3" t="str">
        <f ca="1">IFERROR(__xludf.DUMMYFUNCTION("""COMPUTED_VALUE"""),"Agree")</f>
        <v>Agree</v>
      </c>
      <c r="D325" s="3">
        <f ca="1">IFERROR(__xludf.DUMMYFUNCTION("""COMPUTED_VALUE"""),61)</f>
        <v>61</v>
      </c>
      <c r="E325" s="3" t="str">
        <f ca="1">IFERROR(__xludf.DUMMYFUNCTION("""COMPUTED_VALUE"""),"Yes")</f>
        <v>Yes</v>
      </c>
      <c r="F325" s="3" t="str">
        <f ca="1">IFERROR(__xludf.DUMMYFUNCTION("""COMPUTED_VALUE"""),"BothRef")</f>
        <v>BothRef</v>
      </c>
      <c r="G325" s="3">
        <f ca="1">IFERROR(__xludf.DUMMYFUNCTION("""COMPUTED_VALUE"""),1638297)</f>
        <v>1638297</v>
      </c>
      <c r="H325" s="3" t="str">
        <f ca="1">IFERROR(__xludf.DUMMYFUNCTION("""COMPUTED_VALUE"""),"{1576490}")</f>
        <v>{1576490}</v>
      </c>
      <c r="I325" s="4" t="str">
        <f ca="1">IFERROR(__xludf.DUMMYFUNCTION("""COMPUTED_VALUE"""),"https://bugzilla.mozilla.org/show_bug.cgi?id=1638297")</f>
        <v>https://bugzilla.mozilla.org/show_bug.cgi?id=1638297</v>
      </c>
      <c r="J325" s="3" t="str">
        <f ca="1">IFERROR(__xludf.DUMMYFUNCTION("""COMPUTED_VALUE"""),"['LogText.txt', 'searchfox.org/mozilla-central/rev/df4c90d4b8c92c99f76334acfe4813c573c12661/toolkit/components/passwordmgr/LoginManagerChild.jsm']")</f>
        <v>['LogText.txt', 'searchfox.org/mozilla-central/rev/df4c90d4b8c92c99f76334acfe4813c573c12661/toolkit/components/passwordmgr/LoginManagerChild.jsm']</v>
      </c>
      <c r="K325" s="3" t="str">
        <f ca="1">IFERROR(__xludf.DUMMYFUNCTION("""COMPUTED_VALUE"""),"Bug Description")</f>
        <v>Bug Description</v>
      </c>
      <c r="L325" s="3"/>
      <c r="M325" s="3"/>
      <c r="N325" s="3"/>
      <c r="O325" s="3"/>
    </row>
    <row r="326" spans="1:15" ht="84">
      <c r="A326" s="3" t="s">
        <v>64</v>
      </c>
      <c r="B326" s="3"/>
      <c r="C326" s="3" t="str">
        <f ca="1">IFERROR(__xludf.DUMMYFUNCTION("""COMPUTED_VALUE"""),"Agree")</f>
        <v>Agree</v>
      </c>
      <c r="D326" s="3">
        <f ca="1">IFERROR(__xludf.DUMMYFUNCTION("""COMPUTED_VALUE"""),62)</f>
        <v>62</v>
      </c>
      <c r="E326" s="3" t="str">
        <f ca="1">IFERROR(__xludf.DUMMYFUNCTION("""COMPUTED_VALUE"""),"Yes")</f>
        <v>Yes</v>
      </c>
      <c r="F326" s="3" t="str">
        <f ca="1">IFERROR(__xludf.DUMMYFUNCTION("""COMPUTED_VALUE"""),"BugRef")</f>
        <v>BugRef</v>
      </c>
      <c r="G326" s="3">
        <f ca="1">IFERROR(__xludf.DUMMYFUNCTION("""COMPUTED_VALUE"""),1641577)</f>
        <v>1641577</v>
      </c>
      <c r="H326" s="3" t="str">
        <f ca="1">IFERROR(__xludf.DUMMYFUNCTION("""COMPUTED_VALUE"""),"{1604058}")</f>
        <v>{1604058}</v>
      </c>
      <c r="I326" s="4" t="str">
        <f ca="1">IFERROR(__xludf.DUMMYFUNCTION("""COMPUTED_VALUE"""),"https://bugzilla.mozilla.org/show_bug.cgi?id=1641577")</f>
        <v>https://bugzilla.mozilla.org/show_bug.cgi?id=1641577</v>
      </c>
      <c r="J326" s="3" t="str">
        <f ca="1">IFERROR(__xludf.DUMMYFUNCTION("""COMPUTED_VALUE"""),"['content/options.html', 'viewSourceUtils.js', 'searchfox.org/mozilla-central/rev/2c1092dc68/toolkit/components/extensions/ConduitsParent.jsm', 'ConduitsParent.jsm', 'searchfox.org/mozilla-central/rev/2c1092dc68c63f7bad6da6a03c5883a5ab5ff2ca/toolkit/compo"&amp;"nents/extensions/ConduitsParent.jsm', 'background.js', 'ExtensionCommon.jsm']")</f>
        <v>['content/options.html', 'viewSourceUtils.js', 'searchfox.org/mozilla-central/rev/2c1092dc68/toolkit/components/extensions/ConduitsParent.jsm', 'ConduitsParent.jsm', 'searchfox.org/mozilla-central/rev/2c1092dc68c63f7bad6da6a03c5883a5ab5ff2ca/toolkit/components/extensions/ConduitsParent.jsm', 'background.js', 'ExtensionCommon.jsm']</v>
      </c>
      <c r="K326" s="3" t="str">
        <f ca="1">IFERROR(__xludf.DUMMYFUNCTION("""COMPUTED_VALUE"""),"System Dumps")</f>
        <v>System Dumps</v>
      </c>
      <c r="L326" s="3" t="str">
        <f ca="1">IFERROR(__xludf.DUMMYFUNCTION("""COMPUTED_VALUE"""),"Bug Description")</f>
        <v>Bug Description</v>
      </c>
      <c r="M326" s="3" t="str">
        <f ca="1">IFERROR(__xludf.DUMMYFUNCTION("""COMPUTED_VALUE"""),"Solution Draft")</f>
        <v>Solution Draft</v>
      </c>
      <c r="N326" s="3"/>
      <c r="O326" s="3"/>
    </row>
    <row r="327" spans="1:15" ht="42">
      <c r="A327" s="3" t="s">
        <v>64</v>
      </c>
      <c r="B327" s="3"/>
      <c r="C327" s="3" t="str">
        <f ca="1">IFERROR(__xludf.DUMMYFUNCTION("""COMPUTED_VALUE"""),"Agree")</f>
        <v>Agree</v>
      </c>
      <c r="D327" s="3">
        <f ca="1">IFERROR(__xludf.DUMMYFUNCTION("""COMPUTED_VALUE"""),63)</f>
        <v>63</v>
      </c>
      <c r="E327" s="3" t="str">
        <f ca="1">IFERROR(__xludf.DUMMYFUNCTION("""COMPUTED_VALUE"""),"Yes")</f>
        <v>Yes</v>
      </c>
      <c r="F327" s="3" t="str">
        <f ca="1">IFERROR(__xludf.DUMMYFUNCTION("""COMPUTED_VALUE"""),"BugRef")</f>
        <v>BugRef</v>
      </c>
      <c r="G327" s="3">
        <f ca="1">IFERROR(__xludf.DUMMYFUNCTION("""COMPUTED_VALUE"""),1552193)</f>
        <v>1552193</v>
      </c>
      <c r="H327" s="3" t="str">
        <f ca="1">IFERROR(__xludf.DUMMYFUNCTION("""COMPUTED_VALUE"""),"{1496075}")</f>
        <v>{1496075}</v>
      </c>
      <c r="I327" s="4" t="str">
        <f ca="1">IFERROR(__xludf.DUMMYFUNCTION("""COMPUTED_VALUE"""),"https://bugzilla.mozilla.org/show_bug.cgi?id=1552193")</f>
        <v>https://bugzilla.mozilla.org/show_bug.cgi?id=1552193</v>
      </c>
      <c r="J327" s="3" t="str">
        <f ca="1">IFERROR(__xludf.DUMMYFUNCTION("""COMPUTED_VALUE"""),"['list.json', 'browser\\components\\search\\test\\marionette\\test_engines_on_restart.py', 'treeherder.mozilla.org/logviewer.html']")</f>
        <v>['list.json', 'browser\\components\\search\\test\\marionette\\test_engines_on_restart.py', 'treeherder.mozilla.org/logviewer.html']</v>
      </c>
      <c r="K327" s="3" t="str">
        <f ca="1">IFERROR(__xludf.DUMMYFUNCTION("""COMPUTED_VALUE"""),"Backout")</f>
        <v>Backout</v>
      </c>
      <c r="L327" s="3" t="str">
        <f ca="1">IFERROR(__xludf.DUMMYFUNCTION("""COMPUTED_VALUE"""),"Incorrect filepath format")</f>
        <v>Incorrect filepath format</v>
      </c>
      <c r="M327" s="3"/>
      <c r="N327" s="3"/>
      <c r="O327" s="3"/>
    </row>
    <row r="328" spans="1:15" ht="28">
      <c r="A328" s="3" t="s">
        <v>64</v>
      </c>
      <c r="B328" s="3"/>
      <c r="C328" s="3" t="str">
        <f ca="1">IFERROR(__xludf.DUMMYFUNCTION("""COMPUTED_VALUE"""),"Agree")</f>
        <v>Agree</v>
      </c>
      <c r="D328" s="3">
        <f ca="1">IFERROR(__xludf.DUMMYFUNCTION("""COMPUTED_VALUE"""),64)</f>
        <v>64</v>
      </c>
      <c r="E328" s="3" t="str">
        <f ca="1">IFERROR(__xludf.DUMMYFUNCTION("""COMPUTED_VALUE"""),"Yes")</f>
        <v>Yes</v>
      </c>
      <c r="F328" s="3" t="str">
        <f ca="1">IFERROR(__xludf.DUMMYFUNCTION("""COMPUTED_VALUE"""),"BugRef")</f>
        <v>BugRef</v>
      </c>
      <c r="G328" s="3">
        <f ca="1">IFERROR(__xludf.DUMMYFUNCTION("""COMPUTED_VALUE"""),1692083)</f>
        <v>1692083</v>
      </c>
      <c r="H328" s="3" t="str">
        <f ca="1">IFERROR(__xludf.DUMMYFUNCTION("""COMPUTED_VALUE"""),"{1683419}")</f>
        <v>{1683419}</v>
      </c>
      <c r="I328" s="4" t="str">
        <f ca="1">IFERROR(__xludf.DUMMYFUNCTION("""COMPUTED_VALUE"""),"https://bugzilla.mozilla.org/show_bug.cgi?id=1692083")</f>
        <v>https://bugzilla.mozilla.org/show_bug.cgi?id=1692083</v>
      </c>
      <c r="J328" s="3" t="str">
        <f ca="1">IFERROR(__xludf.DUMMYFUNCTION("""COMPUTED_VALUE"""),"['searchfox.org/mozilla-beta/source/browser/base/content/browser.js']")</f>
        <v>['searchfox.org/mozilla-beta/source/browser/base/content/browser.js']</v>
      </c>
      <c r="K328" s="3" t="str">
        <f ca="1">IFERROR(__xludf.DUMMYFUNCTION("""COMPUTED_VALUE"""),"Bug Description")</f>
        <v>Bug Description</v>
      </c>
      <c r="L328" s="3" t="str">
        <f ca="1">IFERROR(__xludf.DUMMYFUNCTION("""COMPUTED_VALUE"""),"Solution Draft")</f>
        <v>Solution Draft</v>
      </c>
      <c r="M328" s="3"/>
      <c r="N328" s="3"/>
      <c r="O328" s="3"/>
    </row>
    <row r="329" spans="1:15" ht="42">
      <c r="A329" s="3" t="s">
        <v>64</v>
      </c>
      <c r="B329" s="3"/>
      <c r="C329" s="3" t="str">
        <f ca="1">IFERROR(__xludf.DUMMYFUNCTION("""COMPUTED_VALUE"""),"Agree")</f>
        <v>Agree</v>
      </c>
      <c r="D329" s="3">
        <f ca="1">IFERROR(__xludf.DUMMYFUNCTION("""COMPUTED_VALUE"""),65)</f>
        <v>65</v>
      </c>
      <c r="E329" s="3" t="str">
        <f ca="1">IFERROR(__xludf.DUMMYFUNCTION("""COMPUTED_VALUE"""),"Yes")</f>
        <v>Yes</v>
      </c>
      <c r="F329" s="3" t="str">
        <f ca="1">IFERROR(__xludf.DUMMYFUNCTION("""COMPUTED_VALUE"""),"BothRef")</f>
        <v>BothRef</v>
      </c>
      <c r="G329" s="3">
        <f ca="1">IFERROR(__xludf.DUMMYFUNCTION("""COMPUTED_VALUE"""),1539414)</f>
        <v>1539414</v>
      </c>
      <c r="H329" s="3" t="str">
        <f ca="1">IFERROR(__xludf.DUMMYFUNCTION("""COMPUTED_VALUE"""),"{1455433}")</f>
        <v>{1455433}</v>
      </c>
      <c r="I329" s="4" t="str">
        <f ca="1">IFERROR(__xludf.DUMMYFUNCTION("""COMPUTED_VALUE"""),"https://bugzilla.mozilla.org/show_bug.cgi?id=1539414")</f>
        <v>https://bugzilla.mozilla.org/show_bug.cgi?id=1539414</v>
      </c>
      <c r="J329" s="3" t="str">
        <f ca="1">IFERROR(__xludf.DUMMYFUNCTION("""COMPUTED_VALUE"""),"['searchfox.org/mozilla-release/rev/5bc9a3f39fae58ad2f2bdc5abfca04c8e21756e2/toolkit/content/widgets/checkbox.xml', 'www.sjgames.com/revolution/demo.html']")</f>
        <v>['searchfox.org/mozilla-release/rev/5bc9a3f39fae58ad2f2bdc5abfca04c8e21756e2/toolkit/content/widgets/checkbox.xml', 'www.sjgames.com/revolution/demo.html']</v>
      </c>
      <c r="K329" s="3" t="str">
        <f ca="1">IFERROR(__xludf.DUMMYFUNCTION("""COMPUTED_VALUE"""),"Bug Description")</f>
        <v>Bug Description</v>
      </c>
      <c r="L329" s="3" t="str">
        <f ca="1">IFERROR(__xludf.DUMMYFUNCTION("""COMPUTED_VALUE"""),"File to Reproduce the Bug")</f>
        <v>File to Reproduce the Bug</v>
      </c>
      <c r="M329" s="3"/>
      <c r="N329" s="3"/>
      <c r="O329" s="3"/>
    </row>
    <row r="330" spans="1:15" ht="42">
      <c r="A330" s="3" t="s">
        <v>64</v>
      </c>
      <c r="B330" s="3"/>
      <c r="C330" s="3" t="str">
        <f ca="1">IFERROR(__xludf.DUMMYFUNCTION("""COMPUTED_VALUE"""),"Agree")</f>
        <v>Agree</v>
      </c>
      <c r="D330" s="3">
        <f ca="1">IFERROR(__xludf.DUMMYFUNCTION("""COMPUTED_VALUE"""),66)</f>
        <v>66</v>
      </c>
      <c r="E330" s="3" t="str">
        <f ca="1">IFERROR(__xludf.DUMMYFUNCTION("""COMPUTED_VALUE"""),"Yes")</f>
        <v>Yes</v>
      </c>
      <c r="F330" s="3" t="str">
        <f ca="1">IFERROR(__xludf.DUMMYFUNCTION("""COMPUTED_VALUE"""),"BothRef")</f>
        <v>BothRef</v>
      </c>
      <c r="G330" s="3">
        <f ca="1">IFERROR(__xludf.DUMMYFUNCTION("""COMPUTED_VALUE"""),1631838)</f>
        <v>1631838</v>
      </c>
      <c r="H330" s="3" t="str">
        <f ca="1">IFERROR(__xludf.DUMMYFUNCTION("""COMPUTED_VALUE"""),"{1576284}")</f>
        <v>{1576284}</v>
      </c>
      <c r="I330" s="4" t="str">
        <f ca="1">IFERROR(__xludf.DUMMYFUNCTION("""COMPUTED_VALUE"""),"https://bugzilla.mozilla.org/show_bug.cgi?id=1631838")</f>
        <v>https://bugzilla.mozilla.org/show_bug.cgi?id=1631838</v>
      </c>
      <c r="J330" s="3" t="str">
        <f ca="1">IFERROR(__xludf.DUMMYFUNCTION("""COMPUTED_VALUE"""),"['searchfox.org/mozilla-central/rev/d2cec90777d573585f8477d5170892e5dcdfb0ab/browser/components/newtab/lib/DownloadsManager.jsm']")</f>
        <v>['searchfox.org/mozilla-central/rev/d2cec90777d573585f8477d5170892e5dcdfb0ab/browser/components/newtab/lib/DownloadsManager.jsm']</v>
      </c>
      <c r="K330" s="3" t="str">
        <f ca="1">IFERROR(__xludf.DUMMYFUNCTION("""COMPUTED_VALUE"""),"Bug Description")</f>
        <v>Bug Description</v>
      </c>
      <c r="L330" s="3" t="str">
        <f ca="1">IFERROR(__xludf.DUMMYFUNCTION("""COMPUTED_VALUE"""),"File names are part of bug title")</f>
        <v>File names are part of bug title</v>
      </c>
      <c r="M330" s="3"/>
      <c r="N330" s="3"/>
      <c r="O330" s="3"/>
    </row>
    <row r="331" spans="1:15" ht="98">
      <c r="A331" s="3" t="s">
        <v>64</v>
      </c>
      <c r="B331" s="3"/>
      <c r="C331" s="3" t="str">
        <f ca="1">IFERROR(__xludf.DUMMYFUNCTION("""COMPUTED_VALUE"""),"Agree")</f>
        <v>Agree</v>
      </c>
      <c r="D331" s="3">
        <f ca="1">IFERROR(__xludf.DUMMYFUNCTION("""COMPUTED_VALUE"""),67)</f>
        <v>67</v>
      </c>
      <c r="E331" s="3" t="str">
        <f ca="1">IFERROR(__xludf.DUMMYFUNCTION("""COMPUTED_VALUE"""),"Yes")</f>
        <v>Yes</v>
      </c>
      <c r="F331" s="3" t="str">
        <f ca="1">IFERROR(__xludf.DUMMYFUNCTION("""COMPUTED_VALUE"""),"BothRef")</f>
        <v>BothRef</v>
      </c>
      <c r="G331" s="3">
        <f ca="1">IFERROR(__xludf.DUMMYFUNCTION("""COMPUTED_VALUE"""),1625749)</f>
        <v>1625749</v>
      </c>
      <c r="H331" s="3" t="str">
        <f ca="1">IFERROR(__xludf.DUMMYFUNCTION("""COMPUTED_VALUE"""),"{1434553, 1456995}")</f>
        <v>{1434553, 1456995}</v>
      </c>
      <c r="I331" s="4" t="str">
        <f ca="1">IFERROR(__xludf.DUMMYFUNCTION("""COMPUTED_VALUE"""),"https://bugzilla.mozilla.org/show_bug.cgi?id=1625749")</f>
        <v>https://bugzilla.mozilla.org/show_bug.cgi?id=1625749</v>
      </c>
      <c r="J331" s="3" t="str">
        <f ca="1">IFERROR(__xludf.DUMMYFUNCTION("""COMPUTED_VALUE"""),"['ipc/ipdl/PContentParent.cpp', 'xpcom/io/SlicedInputStream.cpp', 'xpcom/io/InputStreamLengthHelper.cpp', 'searchfox.org/mozilla-central/rev/72e3388f74458d369af4f6cdbaeaacb719523b8c/netwerk/base/PartiallySeekableInputStream.cpp', 'xpcom/threads/nsThread.c"&amp;"pp', 'ipc/ipdl/PNeckoParent.cpp', 'netwerk/protocol/http/HttpChannelParent.cpp', 'netwerk/ipc/NeckoParent.cpp', 'ipc/glue/MessageChannel.cpp']")</f>
        <v>['ipc/ipdl/PContentParent.cpp', 'xpcom/io/SlicedInputStream.cpp', 'xpcom/io/InputStreamLengthHelper.cpp', 'searchfox.org/mozilla-central/rev/72e3388f74458d369af4f6cdbaeaacb719523b8c/netwerk/base/PartiallySeekableInputStream.cpp', 'xpcom/threads/nsThread.cpp', 'ipc/ipdl/PNeckoParent.cpp', 'netwerk/protocol/http/HttpChannelParent.cpp', 'netwerk/ipc/NeckoParent.cpp', 'ipc/glue/MessageChannel.cpp']</v>
      </c>
      <c r="K331" s="3" t="str">
        <f ca="1">IFERROR(__xludf.DUMMYFUNCTION("""COMPUTED_VALUE"""),"System Dumps")</f>
        <v>System Dumps</v>
      </c>
      <c r="L331" s="3" t="str">
        <f ca="1">IFERROR(__xludf.DUMMYFUNCTION("""COMPUTED_VALUE"""),"Bug Description")</f>
        <v>Bug Description</v>
      </c>
      <c r="M331" s="3"/>
      <c r="N331" s="3"/>
      <c r="O331" s="3"/>
    </row>
    <row r="332" spans="1:15" ht="84">
      <c r="A332" s="3" t="s">
        <v>64</v>
      </c>
      <c r="B332" s="3"/>
      <c r="C332" s="3" t="str">
        <f ca="1">IFERROR(__xludf.DUMMYFUNCTION("""COMPUTED_VALUE"""),"Agree")</f>
        <v>Agree</v>
      </c>
      <c r="D332" s="3">
        <f ca="1">IFERROR(__xludf.DUMMYFUNCTION("""COMPUTED_VALUE"""),68)</f>
        <v>68</v>
      </c>
      <c r="E332" s="3" t="str">
        <f ca="1">IFERROR(__xludf.DUMMYFUNCTION("""COMPUTED_VALUE"""),"Yes")</f>
        <v>Yes</v>
      </c>
      <c r="F332" s="3" t="str">
        <f ca="1">IFERROR(__xludf.DUMMYFUNCTION("""COMPUTED_VALUE"""),"BothRef")</f>
        <v>BothRef</v>
      </c>
      <c r="G332" s="3">
        <f ca="1">IFERROR(__xludf.DUMMYFUNCTION("""COMPUTED_VALUE"""),1776184)</f>
        <v>1776184</v>
      </c>
      <c r="H332" s="3" t="str">
        <f ca="1">IFERROR(__xludf.DUMMYFUNCTION("""COMPUTED_VALUE"""),"{1774298}")</f>
        <v>{1774298}</v>
      </c>
      <c r="I332" s="4" t="str">
        <f ca="1">IFERROR(__xludf.DUMMYFUNCTION("""COMPUTED_VALUE"""),"https://bugzilla.mozilla.org/show_bug.cgi?id=1776184")</f>
        <v>https://bugzilla.mozilla.org/show_bug.cgi?id=1776184</v>
      </c>
      <c r="J332" s="3" t="str">
        <f ca="1">IFERROR(__xludf.DUMMYFUNCTION("""COMPUTED_VALUE"""),"['home/marco/Documenti/FD/mozilla-unified/python/mozboot/mozboot/mach_commands.py', 'home/marco/Documenti/FD/mozilla-unified/python/mozboot/mozboot/bootstrap.py', 'home/marco/Documenti/FD/mozilla-unified/python/mozboot/mozboot/debian.py']")</f>
        <v>['home/marco/Documenti/FD/mozilla-unified/python/mozboot/mozboot/mach_commands.py', 'home/marco/Documenti/FD/mozilla-unified/python/mozboot/mozboot/bootstrap.py', 'home/marco/Documenti/FD/mozilla-unified/python/mozboot/mozboot/debian.py']</v>
      </c>
      <c r="K332" s="3" t="str">
        <f ca="1">IFERROR(__xludf.DUMMYFUNCTION("""COMPUTED_VALUE"""),"System Dumps")</f>
        <v>System Dumps</v>
      </c>
      <c r="L332" s="3"/>
      <c r="M332" s="3"/>
      <c r="N332" s="3"/>
      <c r="O332" s="3"/>
    </row>
    <row r="333" spans="1:15" ht="42">
      <c r="A333" s="3" t="s">
        <v>64</v>
      </c>
      <c r="B333" s="3"/>
      <c r="C333" s="3" t="str">
        <f ca="1">IFERROR(__xludf.DUMMYFUNCTION("""COMPUTED_VALUE"""),"Agree")</f>
        <v>Agree</v>
      </c>
      <c r="D333" s="3">
        <f ca="1">IFERROR(__xludf.DUMMYFUNCTION("""COMPUTED_VALUE"""),69)</f>
        <v>69</v>
      </c>
      <c r="E333" s="3" t="str">
        <f ca="1">IFERROR(__xludf.DUMMYFUNCTION("""COMPUTED_VALUE"""),"Yes")</f>
        <v>Yes</v>
      </c>
      <c r="F333" s="3" t="str">
        <f ca="1">IFERROR(__xludf.DUMMYFUNCTION("""COMPUTED_VALUE"""),"BothRef")</f>
        <v>BothRef</v>
      </c>
      <c r="G333" s="3">
        <f ca="1">IFERROR(__xludf.DUMMYFUNCTION("""COMPUTED_VALUE"""),1722960)</f>
        <v>1722960</v>
      </c>
      <c r="H333" s="3" t="str">
        <f ca="1">IFERROR(__xludf.DUMMYFUNCTION("""COMPUTED_VALUE"""),"{1722492}")</f>
        <v>{1722492}</v>
      </c>
      <c r="I333" s="4" t="str">
        <f ca="1">IFERROR(__xludf.DUMMYFUNCTION("""COMPUTED_VALUE"""),"https://bugzilla.mozilla.org/show_bug.cgi?id=1722960")</f>
        <v>https://bugzilla.mozilla.org/show_bug.cgi?id=1722960</v>
      </c>
      <c r="J333" s="3" t="str">
        <f ca="1">IFERROR(__xludf.DUMMYFUNCTION("""COMPUTED_VALUE"""),"['searchfox.org/mozilla-central/rev/cfc40681e13089f92fb3f5f67d5d527fb04d9505/python/mozboot/mozboot/util.py']")</f>
        <v>['searchfox.org/mozilla-central/rev/cfc40681e13089f92fb3f5f67d5d527fb04d9505/python/mozboot/mozboot/util.py']</v>
      </c>
      <c r="K333" s="3" t="str">
        <f ca="1">IFERROR(__xludf.DUMMYFUNCTION("""COMPUTED_VALUE"""),"Solution Draft")</f>
        <v>Solution Draft</v>
      </c>
      <c r="L333" s="3"/>
      <c r="M333" s="3"/>
      <c r="N333" s="3"/>
      <c r="O333" s="3"/>
    </row>
    <row r="334" spans="1:15" ht="112">
      <c r="A334" s="3" t="s">
        <v>64</v>
      </c>
      <c r="B334" s="3"/>
      <c r="C334" s="3" t="str">
        <f ca="1">IFERROR(__xludf.DUMMYFUNCTION("""COMPUTED_VALUE"""),"Agree")</f>
        <v>Agree</v>
      </c>
      <c r="D334" s="3">
        <f ca="1">IFERROR(__xludf.DUMMYFUNCTION("""COMPUTED_VALUE"""),70)</f>
        <v>70</v>
      </c>
      <c r="E334" s="3" t="str">
        <f ca="1">IFERROR(__xludf.DUMMYFUNCTION("""COMPUTED_VALUE"""),"Yes")</f>
        <v>Yes</v>
      </c>
      <c r="F334" s="3" t="str">
        <f ca="1">IFERROR(__xludf.DUMMYFUNCTION("""COMPUTED_VALUE"""),"BothRef")</f>
        <v>BothRef</v>
      </c>
      <c r="G334" s="3">
        <f ca="1">IFERROR(__xludf.DUMMYFUNCTION("""COMPUTED_VALUE"""),1642506)</f>
        <v>1642506</v>
      </c>
      <c r="H334" s="3" t="str">
        <f ca="1">IFERROR(__xludf.DUMMYFUNCTION("""COMPUTED_VALUE"""),"{1656228, 1642094}")</f>
        <v>{1656228, 1642094}</v>
      </c>
      <c r="I334" s="4" t="str">
        <f ca="1">IFERROR(__xludf.DUMMYFUNCTION("""COMPUTED_VALUE"""),"https://bugzilla.mozilla.org/show_bug.cgi?id=1642506")</f>
        <v>https://bugzilla.mozilla.org/show_bug.cgi?id=1642506</v>
      </c>
      <c r="J334" s="3" t="str">
        <f ca="1">IFERROR(__xludf.DUMMYFUNCTION("""COMPUTED_VALUE"""),"['8000/html/semantics/scripting-1/the-script-element/moving-between-documents/resources/moving-between-documents-iframe.py', 'treeherder.mozilla.org/logviewer.html', '8000/html/semantics/scripting-1/the-script-element/moving-between-documents/resources/mo"&amp;"ving-between-documents-helper.js', 'missing_beta_status.py', 'html/semantics/scripting-1/the-script-element/moving-between-documents/after-prepare-createHTMLDocument-fetch-error-external-classic.html', 'treeherder.mozilla.org/intermittent-failures.html']")</f>
        <v>['8000/html/semantics/scripting-1/the-script-element/moving-between-documents/resources/moving-between-documents-iframe.py', 'treeherder.mozilla.org/logviewer.html', '8000/html/semantics/scripting-1/the-script-element/moving-between-documents/resources/moving-between-documents-helper.js', 'missing_beta_status.py', 'html/semantics/scripting-1/the-script-element/moving-between-documents/after-prepare-createHTMLDocument-fetch-error-external-classic.html', 'treeherder.mozilla.org/intermittent-failures.html']</v>
      </c>
      <c r="K334" s="3" t="str">
        <f ca="1">IFERROR(__xludf.DUMMYFUNCTION("""COMPUTED_VALUE"""),"System Dumps")</f>
        <v>System Dumps</v>
      </c>
      <c r="L334" s="3" t="str">
        <f ca="1">IFERROR(__xludf.DUMMYFUNCTION("""COMPUTED_VALUE"""),"Bug Dependency")</f>
        <v>Bug Dependency</v>
      </c>
      <c r="M334" s="3" t="str">
        <f ca="1">IFERROR(__xludf.DUMMYFUNCTION("""COMPUTED_VALUE"""),"File names are part of bug title, attachment title or commit messages")</f>
        <v>File names are part of bug title, attachment title or commit messages</v>
      </c>
      <c r="N334" s="3"/>
      <c r="O334" s="3"/>
    </row>
    <row r="335" spans="1:15" ht="140">
      <c r="A335" s="3" t="s">
        <v>64</v>
      </c>
      <c r="B335" s="3"/>
      <c r="C335" s="3" t="str">
        <f ca="1">IFERROR(__xludf.DUMMYFUNCTION("""COMPUTED_VALUE"""),"Agree")</f>
        <v>Agree</v>
      </c>
      <c r="D335" s="3">
        <f ca="1">IFERROR(__xludf.DUMMYFUNCTION("""COMPUTED_VALUE"""),71)</f>
        <v>71</v>
      </c>
      <c r="E335" s="3" t="str">
        <f ca="1">IFERROR(__xludf.DUMMYFUNCTION("""COMPUTED_VALUE"""),"Yes")</f>
        <v>Yes</v>
      </c>
      <c r="F335" s="3" t="str">
        <f ca="1">IFERROR(__xludf.DUMMYFUNCTION("""COMPUTED_VALUE"""),"BothRef")</f>
        <v>BothRef</v>
      </c>
      <c r="G335" s="3">
        <f ca="1">IFERROR(__xludf.DUMMYFUNCTION("""COMPUTED_VALUE"""),1622444)</f>
        <v>1622444</v>
      </c>
      <c r="H335" s="3" t="str">
        <f ca="1">IFERROR(__xludf.DUMMYFUNCTION("""COMPUTED_VALUE"""),"{1617427}")</f>
        <v>{1617427}</v>
      </c>
      <c r="I335" s="4" t="str">
        <f ca="1">IFERROR(__xludf.DUMMYFUNCTION("""COMPUTED_VALUE"""),"https://bugzilla.mozilla.org/show_bug.cgi?id=1622444")</f>
        <v>https://bugzilla.mozilla.org/show_bug.cgi?id=1622444</v>
      </c>
      <c r="J335" s="3" t="str">
        <f ca="1">IFERROR(__xludf.DUMMYFUNCTION("""COMPUTED_VALUE"""),"['hg.mozilla.org/mozilla-central/raw-file/tip/layout/tools/reftest/reftest-analyzer.xhtml', 'gfx/layers/apz/test/mochitest/test_group_checkerboarding.html', 'SimpleTest.ok@SimpleTest/SimpleTest.js', 'treeherder.mozilla.org/logviewer.html', 'driveTest@gfx/"&amp;"layers/apz/test/mochitest/apz_test_utils.js', 'test@gfx/layers/apz/test/mochitest/helper_checkerboard_apzforcedisabled.html', 'helper_checkerboard_apzforcedisabled.html', 'treeherder.mozilla.org/intermittent-failures.html', 'spawnTest/w.ok@gfx/layers/apz/"&amp;"test/mochitest/apz_test_utils.js']")</f>
        <v>['hg.mozilla.org/mozilla-central/raw-file/tip/layout/tools/reftest/reftest-analyzer.xhtml', 'gfx/layers/apz/test/mochitest/test_group_checkerboarding.html', 'SimpleTest.ok@SimpleTest/SimpleTest.js', 'treeherder.mozilla.org/logviewer.html', 'driveTest@gfx/layers/apz/test/mochitest/apz_test_utils.js', 'test@gfx/layers/apz/test/mochitest/helper_checkerboard_apzforcedisabled.html', 'helper_checkerboard_apzforcedisabled.html', 'treeherder.mozilla.org/intermittent-failures.html', 'spawnTest/w.ok@gfx/layers/apz/test/mochitest/apz_test_utils.js']</v>
      </c>
      <c r="K335" s="3" t="str">
        <f ca="1">IFERROR(__xludf.DUMMYFUNCTION("""COMPUTED_VALUE"""),"System Dumps")</f>
        <v>System Dumps</v>
      </c>
      <c r="L335" s="3" t="str">
        <f ca="1">IFERROR(__xludf.DUMMYFUNCTION("""COMPUTED_VALUE"""),"File names are part of bug title")</f>
        <v>File names are part of bug title</v>
      </c>
      <c r="M335" s="3" t="str">
        <f ca="1">IFERROR(__xludf.DUMMYFUNCTION("""COMPUTED_VALUE"""),"File to Reproduce the Bug")</f>
        <v>File to Reproduce the Bug</v>
      </c>
      <c r="N335" s="3"/>
      <c r="O335" s="3"/>
    </row>
    <row r="336" spans="1:15" ht="42">
      <c r="A336" s="3" t="s">
        <v>64</v>
      </c>
      <c r="B336" s="3"/>
      <c r="C336" s="3" t="str">
        <f ca="1">IFERROR(__xludf.DUMMYFUNCTION("""COMPUTED_VALUE"""),"Agree")</f>
        <v>Agree</v>
      </c>
      <c r="D336" s="3">
        <f ca="1">IFERROR(__xludf.DUMMYFUNCTION("""COMPUTED_VALUE"""),72)</f>
        <v>72</v>
      </c>
      <c r="E336" s="3" t="str">
        <f ca="1">IFERROR(__xludf.DUMMYFUNCTION("""COMPUTED_VALUE"""),"Yes")</f>
        <v>Yes</v>
      </c>
      <c r="F336" s="3" t="str">
        <f ca="1">IFERROR(__xludf.DUMMYFUNCTION("""COMPUTED_VALUE"""),"BothRef")</f>
        <v>BothRef</v>
      </c>
      <c r="G336" s="3">
        <f ca="1">IFERROR(__xludf.DUMMYFUNCTION("""COMPUTED_VALUE"""),1665447)</f>
        <v>1665447</v>
      </c>
      <c r="H336" s="3" t="str">
        <f ca="1">IFERROR(__xludf.DUMMYFUNCTION("""COMPUTED_VALUE"""),"{1581876}")</f>
        <v>{1581876}</v>
      </c>
      <c r="I336" s="4" t="str">
        <f ca="1">IFERROR(__xludf.DUMMYFUNCTION("""COMPUTED_VALUE"""),"https://bugzilla.mozilla.org/show_bug.cgi?id=1665447")</f>
        <v>https://bugzilla.mozilla.org/show_bug.cgi?id=1665447</v>
      </c>
      <c r="J336" s="3" t="str">
        <f ca="1">IFERROR(__xludf.DUMMYFUNCTION("""COMPUTED_VALUE"""),"['intersection-rect-ib-split.html', 'searchfox.org/mozilla-central/rev/dfd9c0f72f9765bd4a187444e0c1e19e8834a506/dom/base/DOMIntersectionObserver.cpp']")</f>
        <v>['intersection-rect-ib-split.html', 'searchfox.org/mozilla-central/rev/dfd9c0f72f9765bd4a187444e0c1e19e8834a506/dom/base/DOMIntersectionObserver.cpp']</v>
      </c>
      <c r="K336" s="3" t="str">
        <f ca="1">IFERROR(__xludf.DUMMYFUNCTION("""COMPUTED_VALUE"""),"Bug Description")</f>
        <v>Bug Description</v>
      </c>
      <c r="L336" s="3" t="str">
        <f ca="1">IFERROR(__xludf.DUMMYFUNCTION("""COMPUTED_VALUE"""),"Links")</f>
        <v>Links</v>
      </c>
      <c r="M336" s="3" t="str">
        <f ca="1">IFERROR(__xludf.DUMMYFUNCTION("""COMPUTED_VALUE"""),"File to Reproduce the Bug")</f>
        <v>File to Reproduce the Bug</v>
      </c>
      <c r="N336" s="3"/>
      <c r="O336" s="3"/>
    </row>
    <row r="337" spans="1:15" ht="126">
      <c r="A337" s="3" t="s">
        <v>64</v>
      </c>
      <c r="B337" s="3"/>
      <c r="C337" s="3" t="str">
        <f ca="1">IFERROR(__xludf.DUMMYFUNCTION("""COMPUTED_VALUE"""),"Agree")</f>
        <v>Agree</v>
      </c>
      <c r="D337" s="3">
        <f ca="1">IFERROR(__xludf.DUMMYFUNCTION("""COMPUTED_VALUE"""),73)</f>
        <v>73</v>
      </c>
      <c r="E337" s="3" t="str">
        <f ca="1">IFERROR(__xludf.DUMMYFUNCTION("""COMPUTED_VALUE"""),"Yes")</f>
        <v>Yes</v>
      </c>
      <c r="F337" s="3" t="str">
        <f ca="1">IFERROR(__xludf.DUMMYFUNCTION("""COMPUTED_VALUE"""),"BothRef")</f>
        <v>BothRef</v>
      </c>
      <c r="G337" s="3">
        <f ca="1">IFERROR(__xludf.DUMMYFUNCTION("""COMPUTED_VALUE"""),1579437)</f>
        <v>1579437</v>
      </c>
      <c r="H337" s="3" t="str">
        <f ca="1">IFERROR(__xludf.DUMMYFUNCTION("""COMPUTED_VALUE"""),"{1563604}")</f>
        <v>{1563604}</v>
      </c>
      <c r="I337" s="4" t="str">
        <f ca="1">IFERROR(__xludf.DUMMYFUNCTION("""COMPUTED_VALUE"""),"https://bugzilla.mozilla.org/show_bug.cgi?id=1579437")</f>
        <v>https://bugzilla.mozilla.org/show_bug.cgi?id=1579437</v>
      </c>
      <c r="J337" s="3" t="str">
        <f ca="1">IFERROR(__xludf.DUMMYFUNCTION("""COMPUTED_VALUE"""),"['docshell/base/BrowsingContext.cpp', 'ipc/ipdl/PContentParent.cpp', 'xpcom/threads/nsThread.cpp', 'ipc/glue/MessagePump.cpp', 'ipc/chromium/src/base/message_loop.cc', 'hg.mozilla.org/mozilla-central/annotate/29e9dde37bd231a94959394554154ede52670c65/dom/i"&amp;"pc/ContentParent.cpp', 'xpcom/threads/nsThreadUtils.cpp', 'ipc/ipdl/PContentChild.cpp', 'searchfox.org/mozilla-beta/rev/26cf0e844e011a172635a6a776ccceec28d4f650/dom/ipc/ContentParent.cpp', 'dom/ipc/ContentParent.cpp', 'ipc/glue/MessageChannel.cpp']")</f>
        <v>['docshell/base/BrowsingContext.cpp', 'ipc/ipdl/PContentParent.cpp', 'xpcom/threads/nsThread.cpp', 'ipc/glue/MessagePump.cpp', 'ipc/chromium/src/base/message_loop.cc', 'hg.mozilla.org/mozilla-central/annotate/29e9dde37bd231a94959394554154ede52670c65/dom/ipc/ContentParent.cpp', 'xpcom/threads/nsThreadUtils.cpp', 'ipc/ipdl/PContentChild.cpp', 'searchfox.org/mozilla-beta/rev/26cf0e844e011a172635a6a776ccceec28d4f650/dom/ipc/ContentParent.cpp', 'dom/ipc/ContentParent.cpp', 'ipc/glue/MessageChannel.cpp']</v>
      </c>
      <c r="K337" s="3" t="str">
        <f ca="1">IFERROR(__xludf.DUMMYFUNCTION("""COMPUTED_VALUE"""),"System Dumps")</f>
        <v>System Dumps</v>
      </c>
      <c r="L337" s="3"/>
      <c r="M337" s="3"/>
      <c r="N337" s="3"/>
      <c r="O337" s="3"/>
    </row>
    <row r="338" spans="1:15" ht="28">
      <c r="A338" s="3" t="s">
        <v>64</v>
      </c>
      <c r="B338" s="3"/>
      <c r="C338" s="3" t="str">
        <f ca="1">IFERROR(__xludf.DUMMYFUNCTION("""COMPUTED_VALUE"""),"Agree")</f>
        <v>Agree</v>
      </c>
      <c r="D338" s="3">
        <f ca="1">IFERROR(__xludf.DUMMYFUNCTION("""COMPUTED_VALUE"""),74)</f>
        <v>74</v>
      </c>
      <c r="E338" s="3" t="str">
        <f ca="1">IFERROR(__xludf.DUMMYFUNCTION("""COMPUTED_VALUE"""),"Yes")</f>
        <v>Yes</v>
      </c>
      <c r="F338" s="3" t="str">
        <f ca="1">IFERROR(__xludf.DUMMYFUNCTION("""COMPUTED_VALUE"""),"BugRef")</f>
        <v>BugRef</v>
      </c>
      <c r="G338" s="3">
        <f ca="1">IFERROR(__xludf.DUMMYFUNCTION("""COMPUTED_VALUE"""),1633430)</f>
        <v>1633430</v>
      </c>
      <c r="H338" s="3" t="str">
        <f ca="1">IFERROR(__xludf.DUMMYFUNCTION("""COMPUTED_VALUE"""),"{1397876}")</f>
        <v>{1397876}</v>
      </c>
      <c r="I338" s="4" t="str">
        <f ca="1">IFERROR(__xludf.DUMMYFUNCTION("""COMPUTED_VALUE"""),"https://bugzilla.mozilla.org/show_bug.cgi?id=1633430")</f>
        <v>https://bugzilla.mozilla.org/show_bug.cgi?id=1633430</v>
      </c>
      <c r="J338" s="3" t="str">
        <f ca="1">IFERROR(__xludf.DUMMYFUNCTION("""COMPUTED_VALUE"""),"['modules/CustomizableUI.jsm', 'panel.js']")</f>
        <v>['modules/CustomizableUI.jsm', 'panel.js']</v>
      </c>
      <c r="K338" s="3" t="str">
        <f ca="1">IFERROR(__xludf.DUMMYFUNCTION("""COMPUTED_VALUE"""),"System Dumps")</f>
        <v>System Dumps</v>
      </c>
      <c r="L338" s="3" t="str">
        <f ca="1">IFERROR(__xludf.DUMMYFUNCTION("""COMPUTED_VALUE"""),"Solution Draft")</f>
        <v>Solution Draft</v>
      </c>
      <c r="M338" s="3"/>
      <c r="N338" s="3"/>
      <c r="O338" s="3"/>
    </row>
    <row r="339" spans="1:15" ht="196">
      <c r="A339" s="3" t="s">
        <v>64</v>
      </c>
      <c r="B339" s="3"/>
      <c r="C339" s="3" t="str">
        <f ca="1">IFERROR(__xludf.DUMMYFUNCTION("""COMPUTED_VALUE"""),"Agree")</f>
        <v>Agree</v>
      </c>
      <c r="D339" s="3">
        <f ca="1">IFERROR(__xludf.DUMMYFUNCTION("""COMPUTED_VALUE"""),75)</f>
        <v>75</v>
      </c>
      <c r="E339" s="3" t="str">
        <f ca="1">IFERROR(__xludf.DUMMYFUNCTION("""COMPUTED_VALUE"""),"Yes")</f>
        <v>Yes</v>
      </c>
      <c r="F339" s="3" t="str">
        <f ca="1">IFERROR(__xludf.DUMMYFUNCTION("""COMPUTED_VALUE"""),"BothRef")</f>
        <v>BothRef</v>
      </c>
      <c r="G339" s="3">
        <f ca="1">IFERROR(__xludf.DUMMYFUNCTION("""COMPUTED_VALUE"""),1719567)</f>
        <v>1719567</v>
      </c>
      <c r="H339" s="3" t="str">
        <f ca="1">IFERROR(__xludf.DUMMYFUNCTION("""COMPUTED_VALUE"""),"{1713301}")</f>
        <v>{1713301}</v>
      </c>
      <c r="I339" s="4" t="str">
        <f ca="1">IFERROR(__xludf.DUMMYFUNCTION("""COMPUTED_VALUE"""),"https://bugzilla.mozilla.org/show_bug.cgi?id=1719567")</f>
        <v>https://bugzilla.mozilla.org/show_bug.cgi?id=1719567</v>
      </c>
      <c r="J339" s="3" t="str">
        <f ca="1">IFERROR(__xludf.DUMMYFUNCTION("""COMPUTED_VALUE"""),"['mochikit/content/tests/SimpleTest/EventUtils.js', 'global/content/elements/browser-custom-element.js', 'mochikit/content/tests/SimpleTest/AccessibilityUtils.js', 'searchfox.org/mozilla-central/rev/183b0cfc30f2d40f818a08cbea960f6119e2d196/devtools/client"&amp;"/netmonitor/test/head.js', 'mochitests/content/browser/devtools/client/netmonitor/test/browser_net_search-results.js', 'example.com/browser/devtools/client/netmonitor/test/html_custom-get-page.html', 'devtools/client/netmonitor/test/browser_net_search-res"&amp;"ults.js', 'devtools/client/netmonitor/src/components/request-list/RequestListHeader.js', 'mochikit/content/browser-test.js', 'mochikit/content/tests/SimpleTest/SimpleTest.js', 'src/mozilla.org/mozilla-central/devtools/client/netmonitor/test/browser_net_se"&amp;"arch-results.js']")</f>
        <v>['mochikit/content/tests/SimpleTest/EventUtils.js', 'global/content/elements/browser-custom-element.js', 'mochikit/content/tests/SimpleTest/AccessibilityUtils.js', 'searchfox.org/mozilla-central/rev/183b0cfc30f2d40f818a08cbea960f6119e2d196/devtools/client/netmonitor/test/head.js', 'mochitests/content/browser/devtools/client/netmonitor/test/browser_net_search-results.js', 'example.com/browser/devtools/client/netmonitor/test/html_custom-get-page.html', 'devtools/client/netmonitor/test/browser_net_search-results.js', 'devtools/client/netmonitor/src/components/request-list/RequestListHeader.js', 'mochikit/content/browser-test.js', 'mochikit/content/tests/SimpleTest/SimpleTest.js', 'src/mozilla.org/mozilla-central/devtools/client/netmonitor/test/browser_net_search-results.js']</v>
      </c>
      <c r="K339" s="3" t="str">
        <f ca="1">IFERROR(__xludf.DUMMYFUNCTION("""COMPUTED_VALUE"""),"System Dumps")</f>
        <v>System Dumps</v>
      </c>
      <c r="L339" s="3" t="str">
        <f ca="1">IFERROR(__xludf.DUMMYFUNCTION("""COMPUTED_VALUE"""),"File names are part of bug title, attachment title or commit messages")</f>
        <v>File names are part of bug title, attachment title or commit messages</v>
      </c>
      <c r="M339" s="3"/>
      <c r="N339" s="3"/>
      <c r="O339" s="3"/>
    </row>
    <row r="340" spans="1:15" ht="140">
      <c r="A340" s="3" t="s">
        <v>64</v>
      </c>
      <c r="B340" s="3"/>
      <c r="C340" s="3" t="str">
        <f ca="1">IFERROR(__xludf.DUMMYFUNCTION("""COMPUTED_VALUE"""),"Agree")</f>
        <v>Agree</v>
      </c>
      <c r="D340" s="3">
        <f ca="1">IFERROR(__xludf.DUMMYFUNCTION("""COMPUTED_VALUE"""),76)</f>
        <v>76</v>
      </c>
      <c r="E340" s="3" t="str">
        <f ca="1">IFERROR(__xludf.DUMMYFUNCTION("""COMPUTED_VALUE"""),"Yes")</f>
        <v>Yes</v>
      </c>
      <c r="F340" s="3" t="str">
        <f ca="1">IFERROR(__xludf.DUMMYFUNCTION("""COMPUTED_VALUE"""),"BugRef")</f>
        <v>BugRef</v>
      </c>
      <c r="G340" s="3">
        <f ca="1">IFERROR(__xludf.DUMMYFUNCTION("""COMPUTED_VALUE"""),1772359)</f>
        <v>1772359</v>
      </c>
      <c r="H340" s="3" t="str">
        <f ca="1">IFERROR(__xludf.DUMMYFUNCTION("""COMPUTED_VALUE"""),"{1764348}")</f>
        <v>{1764348}</v>
      </c>
      <c r="I340" s="4" t="str">
        <f ca="1">IFERROR(__xludf.DUMMYFUNCTION("""COMPUTED_VALUE"""),"https://bugzilla.mozilla.org/show_bug.cgi?id=1772359")</f>
        <v>https://bugzilla.mozilla.org/show_bug.cgi?id=1772359</v>
      </c>
      <c r="J340" s="3" t="str">
        <f ca="1">IFERROR(__xludf.DUMMYFUNCTION("""COMPUTED_VALUE"""),"['hg.mozilla.org/mozilla-central/raw-file/tip/layout/tools/reftest/reftest-analyzer.xhtml', 'mochitests/content/browser/devtools/client/webconsole/test/browser/browser_console_enable_network_monitoring.js', 'mochitests/content/browser/devtools/client/webc"&amp;"onsole/test/browser/head.js', 'mochitests/content/browser/devtools/client/shared/test/shared-head.js', 'devtools/client/webconsole/test/browser/browser_console_enable_network_monitoring.js', 'mochikit/content/browser-test.js', 'mochikit/content/tests/Simp"&amp;"leTest/SimpleTest.js']")</f>
        <v>['hg.mozilla.org/mozilla-central/raw-file/tip/layout/tools/reftest/reftest-analyzer.xhtml', 'mochitests/content/browser/devtools/client/webconsole/test/browser/browser_console_enable_network_monitoring.js', 'mochitests/content/browser/devtools/client/webconsole/test/browser/head.js', 'mochitests/content/browser/devtools/client/shared/test/shared-head.js', 'devtools/client/webconsole/test/browser/browser_console_enable_network_monitoring.js', 'mochikit/content/browser-test.js', 'mochikit/content/tests/SimpleTest/SimpleTest.js']</v>
      </c>
      <c r="K340" s="3" t="str">
        <f ca="1">IFERROR(__xludf.DUMMYFUNCTION("""COMPUTED_VALUE"""),"System Dumps")</f>
        <v>System Dumps</v>
      </c>
      <c r="L340" s="3" t="str">
        <f ca="1">IFERROR(__xludf.DUMMYFUNCTION("""COMPUTED_VALUE"""),"File names are part of bug title")</f>
        <v>File names are part of bug title</v>
      </c>
      <c r="M340" s="3"/>
      <c r="N340" s="3"/>
      <c r="O340" s="3"/>
    </row>
    <row r="341" spans="1:15" ht="196">
      <c r="A341" s="3" t="s">
        <v>64</v>
      </c>
      <c r="B341" s="3"/>
      <c r="C341" s="3" t="str">
        <f ca="1">IFERROR(__xludf.DUMMYFUNCTION("""COMPUTED_VALUE"""),"Agree")</f>
        <v>Agree</v>
      </c>
      <c r="D341" s="3">
        <f ca="1">IFERROR(__xludf.DUMMYFUNCTION("""COMPUTED_VALUE"""),77)</f>
        <v>77</v>
      </c>
      <c r="E341" s="3" t="str">
        <f ca="1">IFERROR(__xludf.DUMMYFUNCTION("""COMPUTED_VALUE"""),"Yes")</f>
        <v>Yes</v>
      </c>
      <c r="F341" s="3" t="str">
        <f ca="1">IFERROR(__xludf.DUMMYFUNCTION("""COMPUTED_VALUE"""),"BothRef")</f>
        <v>BothRef</v>
      </c>
      <c r="G341" s="3">
        <f ca="1">IFERROR(__xludf.DUMMYFUNCTION("""COMPUTED_VALUE"""),1556812)</f>
        <v>1556812</v>
      </c>
      <c r="H341" s="3" t="str">
        <f ca="1">IFERROR(__xludf.DUMMYFUNCTION("""COMPUTED_VALUE"""),"{1555564}")</f>
        <v>{1555564}</v>
      </c>
      <c r="I341" s="4" t="str">
        <f ca="1">IFERROR(__xludf.DUMMYFUNCTION("""COMPUTED_VALUE"""),"https://bugzilla.mozilla.org/show_bug.cgi?id=1556812")</f>
        <v>https://bugzilla.mozilla.org/show_bug.cgi?id=1556812</v>
      </c>
      <c r="J341" s="3" t="str">
        <f ca="1">IFERROR(__xludf.DUMMYFUNCTION("""COMPUTED_VALUE"""),"['searchfox.org/mozilla-central/rev/9eb2f739c165b4e294929f7b99fbb4d90f8a396b/dom/storage/LocalStorage.cpp', 'StorageIPC.cpp', 'searchfox.org/mozilla-central/rev/153172de0c5bfca31ef861bd8fc0995f44cada6a/toolkit/components/antitracking/test/browser/browser_"&amp;"partitionedLocalStorage_events.js', 'searchfox.org/mozilla-central/rev/9eb2f739c165b4e294929f7b99fbb4d90f8a396b/dom/storage/StorageIPC.cpp', 'searchfox.org/mozilla-central/rev/9eb2f739c165b4e294929f7b99fbb4d90f8a396b/dom/storage/LocalStorageCache.cpp', 't"&amp;"reeherder.mozilla.org/logviewer.html', 'toolkit/components/antitracking/test/browser/browser_partitionedLocalStorage_events.js', 'searchfox.org/mozilla-central/rev/9eb2f739c165b4e294929f7b99fbb4d90f8a396b/dom/storage/StorageNotifierService.cpp']")</f>
        <v>['searchfox.org/mozilla-central/rev/9eb2f739c165b4e294929f7b99fbb4d90f8a396b/dom/storage/LocalStorage.cpp', 'StorageIPC.cpp', 'searchfox.org/mozilla-central/rev/153172de0c5bfca31ef861bd8fc0995f44cada6a/toolkit/components/antitracking/test/browser/browser_partitionedLocalStorage_events.js', 'searchfox.org/mozilla-central/rev/9eb2f739c165b4e294929f7b99fbb4d90f8a396b/dom/storage/StorageIPC.cpp', 'searchfox.org/mozilla-central/rev/9eb2f739c165b4e294929f7b99fbb4d90f8a396b/dom/storage/LocalStorageCache.cpp', 'treeherder.mozilla.org/logviewer.html', 'toolkit/components/antitracking/test/browser/browser_partitionedLocalStorage_events.js', 'searchfox.org/mozilla-central/rev/9eb2f739c165b4e294929f7b99fbb4d90f8a396b/dom/storage/StorageNotifierService.cpp']</v>
      </c>
      <c r="K341" s="3" t="str">
        <f ca="1">IFERROR(__xludf.DUMMYFUNCTION("""COMPUTED_VALUE"""),"System Dumps")</f>
        <v>System Dumps</v>
      </c>
      <c r="L341" s="3" t="str">
        <f ca="1">IFERROR(__xludf.DUMMYFUNCTION("""COMPUTED_VALUE"""),"Bug Description")</f>
        <v>Bug Description</v>
      </c>
      <c r="M341" s="3"/>
      <c r="N341" s="3"/>
      <c r="O341" s="3"/>
    </row>
    <row r="342" spans="1:15" ht="42">
      <c r="A342" s="3" t="s">
        <v>64</v>
      </c>
      <c r="B342" s="3"/>
      <c r="C342" s="3" t="str">
        <f ca="1">IFERROR(__xludf.DUMMYFUNCTION("""COMPUTED_VALUE"""),"Agree")</f>
        <v>Agree</v>
      </c>
      <c r="D342" s="3">
        <f ca="1">IFERROR(__xludf.DUMMYFUNCTION("""COMPUTED_VALUE"""),78)</f>
        <v>78</v>
      </c>
      <c r="E342" s="3" t="str">
        <f ca="1">IFERROR(__xludf.DUMMYFUNCTION("""COMPUTED_VALUE"""),"Yes")</f>
        <v>Yes</v>
      </c>
      <c r="F342" s="3" t="str">
        <f ca="1">IFERROR(__xludf.DUMMYFUNCTION("""COMPUTED_VALUE"""),"BugRef")</f>
        <v>BugRef</v>
      </c>
      <c r="G342" s="3">
        <f ca="1">IFERROR(__xludf.DUMMYFUNCTION("""COMPUTED_VALUE"""),1745730)</f>
        <v>1745730</v>
      </c>
      <c r="H342" s="3" t="str">
        <f ca="1">IFERROR(__xludf.DUMMYFUNCTION("""COMPUTED_VALUE"""),"{1689601}")</f>
        <v>{1689601}</v>
      </c>
      <c r="I342" s="4" t="str">
        <f ca="1">IFERROR(__xludf.DUMMYFUNCTION("""COMPUTED_VALUE"""),"https://bugzilla.mozilla.org/show_bug.cgi?id=1745730")</f>
        <v>https://bugzilla.mozilla.org/show_bug.cgi?id=1745730</v>
      </c>
      <c r="J342" s="3" t="str">
        <f ca="1">IFERROR(__xludf.DUMMYFUNCTION("""COMPUTED_VALUE"""),"['searchfox.org/mozilla-central/rev/25d26b0a62cc5bb4aa3bb90a11f3b0b7c52859c4/docshell/base/nsDocShell.cpp']")</f>
        <v>['searchfox.org/mozilla-central/rev/25d26b0a62cc5bb4aa3bb90a11f3b0b7c52859c4/docshell/base/nsDocShell.cpp']</v>
      </c>
      <c r="K342" s="3" t="str">
        <f ca="1">IFERROR(__xludf.DUMMYFUNCTION("""COMPUTED_VALUE"""),"Bug Description")</f>
        <v>Bug Description</v>
      </c>
      <c r="L342" s="3"/>
      <c r="M342" s="3"/>
      <c r="N342" s="3"/>
      <c r="O342" s="3"/>
    </row>
    <row r="343" spans="1:15" ht="28">
      <c r="A343" s="3" t="s">
        <v>64</v>
      </c>
      <c r="B343" s="3"/>
      <c r="C343" s="3" t="str">
        <f ca="1">IFERROR(__xludf.DUMMYFUNCTION("""COMPUTED_VALUE"""),"Agree")</f>
        <v>Agree</v>
      </c>
      <c r="D343" s="3">
        <f ca="1">IFERROR(__xludf.DUMMYFUNCTION("""COMPUTED_VALUE"""),79)</f>
        <v>79</v>
      </c>
      <c r="E343" s="3" t="str">
        <f ca="1">IFERROR(__xludf.DUMMYFUNCTION("""COMPUTED_VALUE"""),"Yes")</f>
        <v>Yes</v>
      </c>
      <c r="F343" s="3" t="str">
        <f ca="1">IFERROR(__xludf.DUMMYFUNCTION("""COMPUTED_VALUE"""),"BothRef")</f>
        <v>BothRef</v>
      </c>
      <c r="G343" s="3">
        <f ca="1">IFERROR(__xludf.DUMMYFUNCTION("""COMPUTED_VALUE"""),1570926)</f>
        <v>1570926</v>
      </c>
      <c r="H343" s="3" t="str">
        <f ca="1">IFERROR(__xludf.DUMMYFUNCTION("""COMPUTED_VALUE"""),"{1567438}")</f>
        <v>{1567438}</v>
      </c>
      <c r="I343" s="4" t="str">
        <f ca="1">IFERROR(__xludf.DUMMYFUNCTION("""COMPUTED_VALUE"""),"https://bugzilla.mozilla.org/show_bug.cgi?id=1570926")</f>
        <v>https://bugzilla.mozilla.org/show_bug.cgi?id=1570926</v>
      </c>
      <c r="J343" s="3" t="str">
        <f ca="1">IFERROR(__xludf.DUMMYFUNCTION("""COMPUTED_VALUE"""),"['dist/include/js/Conversions.h', 'js/src/jit/BaselineIC.cpp', 'js/src/builtin/Boolean.cpp']")</f>
        <v>['dist/include/js/Conversions.h', 'js/src/jit/BaselineIC.cpp', 'js/src/builtin/Boolean.cpp']</v>
      </c>
      <c r="K343" s="3" t="str">
        <f ca="1">IFERROR(__xludf.DUMMYFUNCTION("""COMPUTED_VALUE"""),"System Dumps")</f>
        <v>System Dumps</v>
      </c>
      <c r="L343" s="3" t="str">
        <f ca="1">IFERROR(__xludf.DUMMYFUNCTION("""COMPUTED_VALUE"""),"File names are part of bug title")</f>
        <v>File names are part of bug title</v>
      </c>
      <c r="M343" s="3"/>
      <c r="N343" s="3"/>
      <c r="O343" s="3"/>
    </row>
    <row r="344" spans="1:15" ht="182">
      <c r="A344" s="3" t="s">
        <v>64</v>
      </c>
      <c r="B344" s="3"/>
      <c r="C344" s="3" t="str">
        <f ca="1">IFERROR(__xludf.DUMMYFUNCTION("""COMPUTED_VALUE"""),"Agree")</f>
        <v>Agree</v>
      </c>
      <c r="D344" s="3">
        <f ca="1">IFERROR(__xludf.DUMMYFUNCTION("""COMPUTED_VALUE"""),80)</f>
        <v>80</v>
      </c>
      <c r="E344" s="3" t="str">
        <f ca="1">IFERROR(__xludf.DUMMYFUNCTION("""COMPUTED_VALUE"""),"Yes")</f>
        <v>Yes</v>
      </c>
      <c r="F344" s="3" t="str">
        <f ca="1">IFERROR(__xludf.DUMMYFUNCTION("""COMPUTED_VALUE"""),"BothRef")</f>
        <v>BothRef</v>
      </c>
      <c r="G344" s="3">
        <f ca="1">IFERROR(__xludf.DUMMYFUNCTION("""COMPUTED_VALUE"""),1802298)</f>
        <v>1802298</v>
      </c>
      <c r="H344" s="3" t="str">
        <f ca="1">IFERROR(__xludf.DUMMYFUNCTION("""COMPUTED_VALUE"""),"{1800263}")</f>
        <v>{1800263}</v>
      </c>
      <c r="I344" s="4" t="str">
        <f ca="1">IFERROR(__xludf.DUMMYFUNCTION("""COMPUTED_VALUE"""),"https://bugzilla.mozilla.org/show_bug.cgi?id=1802298")</f>
        <v>https://bugzilla.mozilla.org/show_bug.cgi?id=1802298</v>
      </c>
      <c r="J344" s="3" t="str">
        <f ca="1">IFERROR(__xludf.DUMMYFUNCTION("""COMPUTED_VALUE"""),"['Unified_cpp_js_src_gc1.cpp', 'builds/worker/checkouts/gecko/security/nss/lib/freebl/ecl/ecp_secp384r1.c', 'builds/worker/checkouts/gecko/js/src/gc/Marking.cpp', 'builds/worker/workspace/obj-build/js/src/js-confdefs.h', 'builds/worker/workspace/obj-build"&amp;"/mfbt/tests/TestNonDereferenceable.list', 'builds/worker/workspace/obj-build/mozilla-config.h', 'libavutil_visibility.h', 'builds/worker/checkouts/gecko/security/nss/lib/freebl/jpake.c', 'builds/worker/checkouts/gecko/security/nss/lib/freebl/ldvector.c', "&amp;"'builds/worker/checkouts/gecko/media/webrtc/signaling/gtest/jsep_track_unittest.cpp', 'builds/worker/checkouts/gecko/security/nss/lib/freebl/md2.c', 'builds/worker/checkouts/gecko/media/ffvpx/libavcodec/vaapi_av1.c', 'builds/worker/checkouts/gecko/config/"&amp;"gcc_hidden.h']")</f>
        <v>['Unified_cpp_js_src_gc1.cpp', 'builds/worker/checkouts/gecko/security/nss/lib/freebl/ecl/ecp_secp384r1.c', 'builds/worker/checkouts/gecko/js/src/gc/Marking.cpp', 'builds/worker/workspace/obj-build/js/src/js-confdefs.h', 'builds/worker/workspace/obj-build/mfbt/tests/TestNonDereferenceable.list', 'builds/worker/workspace/obj-build/mozilla-config.h', 'libavutil_visibility.h', 'builds/worker/checkouts/gecko/security/nss/lib/freebl/jpake.c', 'builds/worker/checkouts/gecko/security/nss/lib/freebl/ldvector.c', 'builds/worker/checkouts/gecko/media/webrtc/signaling/gtest/jsep_track_unittest.cpp', 'builds/worker/checkouts/gecko/security/nss/lib/freebl/md2.c', 'builds/worker/checkouts/gecko/media/ffvpx/libavcodec/vaapi_av1.c', 'builds/worker/checkouts/gecko/config/gcc_hidden.h']</v>
      </c>
      <c r="K344" s="3" t="str">
        <f ca="1">IFERROR(__xludf.DUMMYFUNCTION("""COMPUTED_VALUE"""),"System Dumps")</f>
        <v>System Dumps</v>
      </c>
      <c r="L344" s="3" t="str">
        <f ca="1">IFERROR(__xludf.DUMMYFUNCTION("""COMPUTED_VALUE"""),"File names are part of bug title")</f>
        <v>File names are part of bug title</v>
      </c>
      <c r="M344" s="3"/>
      <c r="N344" s="3"/>
      <c r="O344" s="3"/>
    </row>
    <row r="345" spans="1:15" ht="345">
      <c r="A345" s="3" t="s">
        <v>64</v>
      </c>
      <c r="B345" s="3"/>
      <c r="C345" s="3" t="str">
        <f ca="1">IFERROR(__xludf.DUMMYFUNCTION("""COMPUTED_VALUE"""),"Agree")</f>
        <v>Agree</v>
      </c>
      <c r="D345" s="3">
        <f ca="1">IFERROR(__xludf.DUMMYFUNCTION("""COMPUTED_VALUE"""),81)</f>
        <v>81</v>
      </c>
      <c r="E345" s="3" t="str">
        <f ca="1">IFERROR(__xludf.DUMMYFUNCTION("""COMPUTED_VALUE"""),"Yes")</f>
        <v>Yes</v>
      </c>
      <c r="F345" s="3" t="str">
        <f ca="1">IFERROR(__xludf.DUMMYFUNCTION("""COMPUTED_VALUE"""),"BothRef")</f>
        <v>BothRef</v>
      </c>
      <c r="G345" s="3">
        <f ca="1">IFERROR(__xludf.DUMMYFUNCTION("""COMPUTED_VALUE"""),1709887)</f>
        <v>1709887</v>
      </c>
      <c r="H345" s="3" t="str">
        <f ca="1">IFERROR(__xludf.DUMMYFUNCTION("""COMPUTED_VALUE"""),"{1690326}")</f>
        <v>{1690326}</v>
      </c>
      <c r="I345" s="4" t="str">
        <f ca="1">IFERROR(__xludf.DUMMYFUNCTION("""COMPUTED_VALUE"""),"https://bugzilla.mozilla.org/show_bug.cgi?id=1709887")</f>
        <v>https://bugzilla.mozilla.org/show_bug.cgi?id=1709887</v>
      </c>
      <c r="J345" s="3" t="str">
        <f ca="1">IFERROR(__xludf.DUMMYFUNCTION("""COMPUTED_VALUE"""),"['Unified_cpp_uriloader_exthandler0.cpp', 'builds/worker/checkouts/gecko/uriloader/exthandler/win/nsMIMEInfoWin.cpp', 'builds/worker/checkouts/gecko/uriloader/exthandler/win/nsOSHelperAppService.h', 'builds/worker/checkouts/gecko/uriloader/exthandler/nsMI"&amp;"MEInfoImpl.h', 'builds/worker/checkouts/gecko/widget/windows/WindowsSMTCProvider.cpp', 'builds/worker/checkouts/gecko/xpcom/io/nsLocalFileWin.cpp', 'builds/worker/checkouts/gecko/widget/windows/nsAppShell.h', 'builds/worker/checkouts/gecko/uriloader/extha"&amp;"ndler/win/nsMIMEInfoWin.h', 'builds/worker/workspace/obj-build/dist/include/nsIExternalProtocolService.h', 'builds/worker/checkouts/gecko/widget/nsBaseAppShell.h', 'builds/worker/workspace/obj-build/mozilla-config.h', 'builds/worker/checkouts/gecko/widget"&amp;"/nsBaseWidget.cpp', 'Unified_cpp_xpcom_ds1.cpp', 'builds/worker/checkouts/gecko/widget/windows/nsWindow.h', 'builds/worker/checkouts/gecko/uriloader/exthandler/nsExternalHelperAppService.cpp', 'builds/worker/checkouts/gecko/toolkit/xre/nsEmbedFunctions.cp"&amp;"p', 'builds/worker/checkouts/gecko/xpcom/reflect/xptcall/xptcall.cpp', 'builds/worker/checkouts/gecko/widget/windows/WindowHook.h', 'builds/worker/checkouts/gecko/widget/windows/JumpListBuilder.cpp', 'builds/worker/checkouts/gecko/widget/windows/WinCompos"&amp;"itorWidget.cpp']")</f>
        <v>['Unified_cpp_uriloader_exthandler0.cpp', 'builds/worker/checkouts/gecko/uriloader/exthandler/win/nsMIMEInfoWin.cpp', 'builds/worker/checkouts/gecko/uriloader/exthandler/win/nsOSHelperAppService.h', 'builds/worker/checkouts/gecko/uriloader/exthandler/nsMIMEInfoImpl.h', 'builds/worker/checkouts/gecko/widget/windows/WindowsSMTCProvider.cpp', 'builds/worker/checkouts/gecko/xpcom/io/nsLocalFileWin.cpp', 'builds/worker/checkouts/gecko/widget/windows/nsAppShell.h', 'builds/worker/checkouts/gecko/uriloader/exthandler/win/nsMIMEInfoWin.h', 'builds/worker/workspace/obj-build/dist/include/nsIExternalProtocolService.h', 'builds/worker/checkouts/gecko/widget/nsBaseAppShell.h', 'builds/worker/workspace/obj-build/mozilla-config.h', 'builds/worker/checkouts/gecko/widget/nsBaseWidget.cpp', 'Unified_cpp_xpcom_ds1.cpp', 'builds/worker/checkouts/gecko/widget/windows/nsWindow.h', 'builds/worker/checkouts/gecko/uriloader/exthandler/nsExternalHelperAppService.cpp', 'builds/worker/checkouts/gecko/toolkit/xre/nsEmbedFunctions.cpp', 'builds/worker/checkouts/gecko/xpcom/reflect/xptcall/xptcall.cpp', 'builds/worker/checkouts/gecko/widget/windows/WindowHook.h', 'builds/worker/checkouts/gecko/widget/windows/JumpListBuilder.cpp', 'builds/worker/checkouts/gecko/widget/windows/WinCompositorWidget.cpp']</v>
      </c>
      <c r="K345" s="3" t="str">
        <f ca="1">IFERROR(__xludf.DUMMYFUNCTION("""COMPUTED_VALUE"""),"System Dumps")</f>
        <v>System Dumps</v>
      </c>
      <c r="L345" s="3" t="str">
        <f ca="1">IFERROR(__xludf.DUMMYFUNCTION("""COMPUTED_VALUE"""),"File names are part of bug title")</f>
        <v>File names are part of bug title</v>
      </c>
      <c r="M345" s="3"/>
      <c r="N345" s="3"/>
      <c r="O345" s="3"/>
    </row>
    <row r="346" spans="1:15" ht="154">
      <c r="A346" s="3" t="s">
        <v>64</v>
      </c>
      <c r="B346" s="3"/>
      <c r="C346" s="3" t="str">
        <f ca="1">IFERROR(__xludf.DUMMYFUNCTION("""COMPUTED_VALUE"""),"Agree")</f>
        <v>Agree</v>
      </c>
      <c r="D346" s="3">
        <f ca="1">IFERROR(__xludf.DUMMYFUNCTION("""COMPUTED_VALUE"""),90)</f>
        <v>90</v>
      </c>
      <c r="E346" s="3" t="str">
        <f ca="1">IFERROR(__xludf.DUMMYFUNCTION("""COMPUTED_VALUE"""),"Yes")</f>
        <v>Yes</v>
      </c>
      <c r="F346" s="3" t="str">
        <f ca="1">IFERROR(__xludf.DUMMYFUNCTION("""COMPUTED_VALUE"""),"BugRef")</f>
        <v>BugRef</v>
      </c>
      <c r="G346" s="3">
        <f ca="1">IFERROR(__xludf.DUMMYFUNCTION("""COMPUTED_VALUE"""),1738793)</f>
        <v>1738793</v>
      </c>
      <c r="H346" s="3" t="str">
        <f ca="1">IFERROR(__xludf.DUMMYFUNCTION("""COMPUTED_VALUE"""),"{1654112}")</f>
        <v>{1654112}</v>
      </c>
      <c r="I346" s="4" t="str">
        <f ca="1">IFERROR(__xludf.DUMMYFUNCTION("""COMPUTED_VALUE"""),"https://bugzilla.mozilla.org/show_bug.cgi?id=1738793")</f>
        <v>https://bugzilla.mozilla.org/show_bug.cgi?id=1738793</v>
      </c>
      <c r="J346" s="3" t="str">
        <f ca="1">IFERROR(__xludf.DUMMYFUNCTION("""COMPUTED_VALUE"""),"['searchfox.org/mozilla-central/rev/a12c2c2e59c92d8f969d8f3f290ab16919449c9d/third_party/libwebrtc/modules/desktop_capture/linux/shared_x_display.cc', 'usr/aarch64-unknown-linux-gnu/tmp/portage/www-client/firefox-96.0/work/firefox-96.0/third_party/libwebr"&amp;"tc/modules/desktop_capture/linux/shared_x_display.cc', 'Unified_cpp_p_capture_generic_gn1.cpp', 'X11/extensions/XTest.h', 'usr/aarch64-unknown-linux-gnu/tmp/portage/www-client/firefox-96.0/work/firefox_build/dist/system_wrappers/X11/extensions/XTest.h', '"&amp;"usr/include/X11/extensions/XTest.h']")</f>
        <v>['searchfox.org/mozilla-central/rev/a12c2c2e59c92d8f969d8f3f290ab16919449c9d/third_party/libwebrtc/modules/desktop_capture/linux/shared_x_display.cc', 'usr/aarch64-unknown-linux-gnu/tmp/portage/www-client/firefox-96.0/work/firefox-96.0/third_party/libwebrtc/modules/desktop_capture/linux/shared_x_display.cc', 'Unified_cpp_p_capture_generic_gn1.cpp', 'X11/extensions/XTest.h', 'usr/aarch64-unknown-linux-gnu/tmp/portage/www-client/firefox-96.0/work/firefox_build/dist/system_wrappers/X11/extensions/XTest.h', 'usr/include/X11/extensions/XTest.h']</v>
      </c>
      <c r="K346" s="3" t="str">
        <f ca="1">IFERROR(__xludf.DUMMYFUNCTION("""COMPUTED_VALUE"""),"System Dumps")</f>
        <v>System Dumps</v>
      </c>
      <c r="L346" s="3" t="str">
        <f ca="1">IFERROR(__xludf.DUMMYFUNCTION("""COMPUTED_VALUE"""),"File names are part of bug title")</f>
        <v>File names are part of bug title</v>
      </c>
      <c r="M346" s="3"/>
      <c r="N346" s="3"/>
      <c r="O346" s="3"/>
    </row>
    <row r="347" spans="1:15" ht="84">
      <c r="A347" s="3" t="s">
        <v>64</v>
      </c>
      <c r="B347" s="3"/>
      <c r="C347" s="3" t="str">
        <f ca="1">IFERROR(__xludf.DUMMYFUNCTION("""COMPUTED_VALUE"""),"Agree")</f>
        <v>Agree</v>
      </c>
      <c r="D347" s="3">
        <f ca="1">IFERROR(__xludf.DUMMYFUNCTION("""COMPUTED_VALUE"""),92)</f>
        <v>92</v>
      </c>
      <c r="E347" s="3" t="str">
        <f ca="1">IFERROR(__xludf.DUMMYFUNCTION("""COMPUTED_VALUE"""),"Yes")</f>
        <v>Yes</v>
      </c>
      <c r="F347" s="3" t="str">
        <f ca="1">IFERROR(__xludf.DUMMYFUNCTION("""COMPUTED_VALUE"""),"BugRef")</f>
        <v>BugRef</v>
      </c>
      <c r="G347" s="3">
        <f ca="1">IFERROR(__xludf.DUMMYFUNCTION("""COMPUTED_VALUE"""),1752954)</f>
        <v>1752954</v>
      </c>
      <c r="H347" s="3" t="str">
        <f ca="1">IFERROR(__xludf.DUMMYFUNCTION("""COMPUTED_VALUE"""),"{1564738}")</f>
        <v>{1564738}</v>
      </c>
      <c r="I347" s="4" t="str">
        <f ca="1">IFERROR(__xludf.DUMMYFUNCTION("""COMPUTED_VALUE"""),"https://bugzilla.mozilla.org/show_bug.cgi?id=1752954")</f>
        <v>https://bugzilla.mozilla.org/show_bug.cgi?id=1752954</v>
      </c>
      <c r="J347" s="3" t="str">
        <f ca="1">IFERROR(__xludf.DUMMYFUNCTION("""COMPUTED_VALUE"""),"['hg.mozilla.org/mozilla-central/raw-file/tip/layout/tools/reftest/reftest-analyzer.xhtml', 'modules/UrlbarValueFormatter.jsm', 'testing-common/PromiseTestUtils.jsm', 'builds/worker/checkouts/gecko/ipc/glue/ProtocolUtils.cpp', 'mochikit/content/browser-te"&amp;"st.js', 'browser/base/content/test/tabs/browser_tabbar_visibility.js']")</f>
        <v>['hg.mozilla.org/mozilla-central/raw-file/tip/layout/tools/reftest/reftest-analyzer.xhtml', 'modules/UrlbarValueFormatter.jsm', 'testing-common/PromiseTestUtils.jsm', 'builds/worker/checkouts/gecko/ipc/glue/ProtocolUtils.cpp', 'mochikit/content/browser-test.js', 'browser/base/content/test/tabs/browser_tabbar_visibility.js']</v>
      </c>
      <c r="K347" s="3" t="str">
        <f ca="1">IFERROR(__xludf.DUMMYFUNCTION("""COMPUTED_VALUE"""),"System Dumps")</f>
        <v>System Dumps</v>
      </c>
      <c r="L347" s="3" t="str">
        <f ca="1">IFERROR(__xludf.DUMMYFUNCTION("""COMPUTED_VALUE"""),"Backout")</f>
        <v>Backout</v>
      </c>
      <c r="M347" s="3" t="str">
        <f ca="1">IFERROR(__xludf.DUMMYFUNCTION("""COMPUTED_VALUE"""),"File names are part of bug title")</f>
        <v>File names are part of bug title</v>
      </c>
      <c r="N347" s="3"/>
      <c r="O347" s="3"/>
    </row>
    <row r="348" spans="1:15" ht="126">
      <c r="A348" s="3" t="s">
        <v>64</v>
      </c>
      <c r="B348" s="3"/>
      <c r="C348" s="3" t="str">
        <f ca="1">IFERROR(__xludf.DUMMYFUNCTION("""COMPUTED_VALUE"""),"Agree")</f>
        <v>Agree</v>
      </c>
      <c r="D348" s="3">
        <f ca="1">IFERROR(__xludf.DUMMYFUNCTION("""COMPUTED_VALUE"""),96)</f>
        <v>96</v>
      </c>
      <c r="E348" s="3" t="str">
        <f ca="1">IFERROR(__xludf.DUMMYFUNCTION("""COMPUTED_VALUE"""),"Yes")</f>
        <v>Yes</v>
      </c>
      <c r="F348" s="3" t="str">
        <f ca="1">IFERROR(__xludf.DUMMYFUNCTION("""COMPUTED_VALUE"""),"BugRef")</f>
        <v>BugRef</v>
      </c>
      <c r="G348" s="3">
        <f ca="1">IFERROR(__xludf.DUMMYFUNCTION("""COMPUTED_VALUE"""),1664632)</f>
        <v>1664632</v>
      </c>
      <c r="H348" s="3" t="str">
        <f ca="1">IFERROR(__xludf.DUMMYFUNCTION("""COMPUTED_VALUE"""),"{1663917}")</f>
        <v>{1663917}</v>
      </c>
      <c r="I348" s="4" t="str">
        <f ca="1">IFERROR(__xludf.DUMMYFUNCTION("""COMPUTED_VALUE"""),"https://bugzilla.mozilla.org/show_bug.cgi?id=1664632")</f>
        <v>https://bugzilla.mozilla.org/show_bug.cgi?id=1664632</v>
      </c>
      <c r="J348" s="3" t="str">
        <f ca="1">IFERROR(__xludf.DUMMYFUNCTION("""COMPUTED_VALUE"""),"['media/libcubeb/src/cubeb.c', 'third_party/rust/futures-0.1.29/src/future/map_err.rs', 'media/audioipc/server/src/server.rs', 'media/libcubeb/src/cubeb_wasapi.cpp', '../4fb7144ed159f94491249e86d5bbd033b5d60550/src/libcore/ops/function.rs', 'third_party/r"&amp;"ust/tokio-0.1.11/src/runtime/current_thread/runtime.rs', 'memory/build/mozjemalloc.cpp', '../4fb7144ed159f94491249e86d5bbd033b5d60550/src/libstd/sys_common/backtrace.rs']")</f>
        <v>['media/libcubeb/src/cubeb.c', 'third_party/rust/futures-0.1.29/src/future/map_err.rs', 'media/audioipc/server/src/server.rs', 'media/libcubeb/src/cubeb_wasapi.cpp', '../4fb7144ed159f94491249e86d5bbd033b5d60550/src/libcore/ops/function.rs', 'third_party/rust/tokio-0.1.11/src/runtime/current_thread/runtime.rs', 'memory/build/mozjemalloc.cpp', '../4fb7144ed159f94491249e86d5bbd033b5d60550/src/libstd/sys_common/backtrace.rs']</v>
      </c>
      <c r="K348" s="3" t="str">
        <f ca="1">IFERROR(__xludf.DUMMYFUNCTION("""COMPUTED_VALUE"""),"System Dumps")</f>
        <v>System Dumps</v>
      </c>
      <c r="L348" s="3" t="str">
        <f ca="1">IFERROR(__xludf.DUMMYFUNCTION("""COMPUTED_VALUE"""),"Backout")</f>
        <v>Backout</v>
      </c>
      <c r="M348" s="3"/>
      <c r="N348" s="3"/>
      <c r="O348" s="3"/>
    </row>
    <row r="349" spans="1:15" ht="70">
      <c r="A349" s="3" t="s">
        <v>64</v>
      </c>
      <c r="B349" s="3"/>
      <c r="C349" s="3" t="str">
        <f ca="1">IFERROR(__xludf.DUMMYFUNCTION("""COMPUTED_VALUE"""),"Agree")</f>
        <v>Agree</v>
      </c>
      <c r="D349" s="3">
        <f ca="1">IFERROR(__xludf.DUMMYFUNCTION("""COMPUTED_VALUE"""),109)</f>
        <v>109</v>
      </c>
      <c r="E349" s="3" t="str">
        <f ca="1">IFERROR(__xludf.DUMMYFUNCTION("""COMPUTED_VALUE"""),"Yes")</f>
        <v>Yes</v>
      </c>
      <c r="F349" s="3" t="str">
        <f ca="1">IFERROR(__xludf.DUMMYFUNCTION("""COMPUTED_VALUE"""),"BugRef")</f>
        <v>BugRef</v>
      </c>
      <c r="G349" s="3">
        <f ca="1">IFERROR(__xludf.DUMMYFUNCTION("""COMPUTED_VALUE"""),1638806)</f>
        <v>1638806</v>
      </c>
      <c r="H349" s="3" t="str">
        <f ca="1">IFERROR(__xludf.DUMMYFUNCTION("""COMPUTED_VALUE"""),"{1607375}")</f>
        <v>{1607375}</v>
      </c>
      <c r="I349" s="4" t="str">
        <f ca="1">IFERROR(__xludf.DUMMYFUNCTION("""COMPUTED_VALUE"""),"https://bugzilla.mozilla.org/show_bug.cgi?id=1638806")</f>
        <v>https://bugzilla.mozilla.org/show_bug.cgi?id=1638806</v>
      </c>
      <c r="J349" s="3" t="str">
        <f ca="1">IFERROR(__xludf.DUMMYFUNCTION("""COMPUTED_VALUE"""),"['searchfox.org/mozilla-central/rev/9193635dca8cfdcb68f114306194ffc860456044/dom/events/EventStateManager.cpp', 'searchfox.org/mozilla-central/rev/9193635dca8cfdcb68f114306194ffc860456044/dom/events/EventStateManager.h']")</f>
        <v>['searchfox.org/mozilla-central/rev/9193635dca8cfdcb68f114306194ffc860456044/dom/events/EventStateManager.cpp', 'searchfox.org/mozilla-central/rev/9193635dca8cfdcb68f114306194ffc860456044/dom/events/EventStateManager.h']</v>
      </c>
      <c r="K349" s="3" t="str">
        <f ca="1">IFERROR(__xludf.DUMMYFUNCTION("""COMPUTED_VALUE"""),"File to Reproduce the bug")</f>
        <v>File to Reproduce the bug</v>
      </c>
      <c r="L349" s="3"/>
      <c r="M349" s="3"/>
      <c r="N349" s="3"/>
      <c r="O349" s="3"/>
    </row>
    <row r="350" spans="1:15" ht="56">
      <c r="A350" s="3" t="s">
        <v>64</v>
      </c>
      <c r="B350" s="3"/>
      <c r="C350" s="3" t="str">
        <f ca="1">IFERROR(__xludf.DUMMYFUNCTION("""COMPUTED_VALUE"""),"Agree")</f>
        <v>Agree</v>
      </c>
      <c r="D350" s="3">
        <f ca="1">IFERROR(__xludf.DUMMYFUNCTION("""COMPUTED_VALUE"""),111)</f>
        <v>111</v>
      </c>
      <c r="E350" s="3" t="str">
        <f ca="1">IFERROR(__xludf.DUMMYFUNCTION("""COMPUTED_VALUE"""),"Yes")</f>
        <v>Yes</v>
      </c>
      <c r="F350" s="3" t="str">
        <f ca="1">IFERROR(__xludf.DUMMYFUNCTION("""COMPUTED_VALUE"""),"BugRef")</f>
        <v>BugRef</v>
      </c>
      <c r="G350" s="3">
        <f ca="1">IFERROR(__xludf.DUMMYFUNCTION("""COMPUTED_VALUE"""),1743162)</f>
        <v>1743162</v>
      </c>
      <c r="H350" s="3" t="str">
        <f ca="1">IFERROR(__xludf.DUMMYFUNCTION("""COMPUTED_VALUE"""),"{1741780}")</f>
        <v>{1741780}</v>
      </c>
      <c r="I350" s="4" t="str">
        <f ca="1">IFERROR(__xludf.DUMMYFUNCTION("""COMPUTED_VALUE"""),"https://bugzilla.mozilla.org/show_bug.cgi?id=1743162")</f>
        <v>https://bugzilla.mozilla.org/show_bug.cgi?id=1743162</v>
      </c>
      <c r="J350" s="3" t="str">
        <f ca="1">IFERROR(__xludf.DUMMYFUNCTION("""COMPUTED_VALUE"""),"['gfx/wr/webrender/src/clip.rs', 'library/core/src/panicking.rs', 'mozglue/static/rust/lib.rs', 'library/core/src/ops/function.rs', 'library/std/src/sys_common/backtrace.rs', 'library/std/src/panicking.rs', 'mozglue/static/rust/wrappers.cpp']")</f>
        <v>['gfx/wr/webrender/src/clip.rs', 'library/core/src/panicking.rs', 'mozglue/static/rust/lib.rs', 'library/core/src/ops/function.rs', 'library/std/src/sys_common/backtrace.rs', 'library/std/src/panicking.rs', 'mozglue/static/rust/wrappers.cpp']</v>
      </c>
      <c r="K350" s="3" t="str">
        <f ca="1">IFERROR(__xludf.DUMMYFUNCTION("""COMPUTED_VALUE"""),"System Dumps")</f>
        <v>System Dumps</v>
      </c>
      <c r="L350" s="3" t="str">
        <f ca="1">IFERROR(__xludf.DUMMYFUNCTION("""COMPUTED_VALUE"""),"Backout")</f>
        <v>Backout</v>
      </c>
      <c r="M350" s="3"/>
      <c r="N350" s="3"/>
      <c r="O350" s="3"/>
    </row>
    <row r="351" spans="1:15" ht="28">
      <c r="A351" s="3" t="s">
        <v>64</v>
      </c>
      <c r="B351" s="3"/>
      <c r="C351" s="3" t="str">
        <f ca="1">IFERROR(__xludf.DUMMYFUNCTION("""COMPUTED_VALUE"""),"Agree")</f>
        <v>Agree</v>
      </c>
      <c r="D351" s="3">
        <f ca="1">IFERROR(__xludf.DUMMYFUNCTION("""COMPUTED_VALUE"""),117)</f>
        <v>117</v>
      </c>
      <c r="E351" s="3" t="str">
        <f ca="1">IFERROR(__xludf.DUMMYFUNCTION("""COMPUTED_VALUE"""),"Yes")</f>
        <v>Yes</v>
      </c>
      <c r="F351" s="3" t="str">
        <f ca="1">IFERROR(__xludf.DUMMYFUNCTION("""COMPUTED_VALUE"""),"BugRef")</f>
        <v>BugRef</v>
      </c>
      <c r="G351" s="3">
        <f ca="1">IFERROR(__xludf.DUMMYFUNCTION("""COMPUTED_VALUE"""),1764535)</f>
        <v>1764535</v>
      </c>
      <c r="H351" s="3" t="str">
        <f ca="1">IFERROR(__xludf.DUMMYFUNCTION("""COMPUTED_VALUE"""),"{1755519}")</f>
        <v>{1755519}</v>
      </c>
      <c r="I351" s="4" t="str">
        <f ca="1">IFERROR(__xludf.DUMMYFUNCTION("""COMPUTED_VALUE"""),"https://bugzilla.mozilla.org/show_bug.cgi?id=1764535")</f>
        <v>https://bugzilla.mozilla.org/show_bug.cgi?id=1764535</v>
      </c>
      <c r="J351" s="3" t="str">
        <f ca="1">IFERROR(__xludf.DUMMYFUNCTION("""COMPUTED_VALUE"""),"['gre/modules/LangPackMatcher.jsm', 'LangPackMatcher.jsm']")</f>
        <v>['gre/modules/LangPackMatcher.jsm', 'LangPackMatcher.jsm']</v>
      </c>
      <c r="K351" s="3" t="str">
        <f ca="1">IFERROR(__xludf.DUMMYFUNCTION("""COMPUTED_VALUE"""),"System Dumps")</f>
        <v>System Dumps</v>
      </c>
      <c r="L351" s="3"/>
      <c r="M351" s="3"/>
      <c r="N351" s="3"/>
      <c r="O351" s="3"/>
    </row>
    <row r="352" spans="1:15" ht="42">
      <c r="A352" s="3" t="s">
        <v>64</v>
      </c>
      <c r="B352" s="3"/>
      <c r="C352" s="3" t="str">
        <f ca="1">IFERROR(__xludf.DUMMYFUNCTION("""COMPUTED_VALUE"""),"Agree")</f>
        <v>Agree</v>
      </c>
      <c r="D352" s="3">
        <f ca="1">IFERROR(__xludf.DUMMYFUNCTION("""COMPUTED_VALUE"""),120)</f>
        <v>120</v>
      </c>
      <c r="E352" s="3" t="str">
        <f ca="1">IFERROR(__xludf.DUMMYFUNCTION("""COMPUTED_VALUE"""),"Yes")</f>
        <v>Yes</v>
      </c>
      <c r="F352" s="3" t="str">
        <f ca="1">IFERROR(__xludf.DUMMYFUNCTION("""COMPUTED_VALUE"""),"BugRef")</f>
        <v>BugRef</v>
      </c>
      <c r="G352" s="3">
        <f ca="1">IFERROR(__xludf.DUMMYFUNCTION("""COMPUTED_VALUE"""),1529220)</f>
        <v>1529220</v>
      </c>
      <c r="H352" s="3" t="str">
        <f ca="1">IFERROR(__xludf.DUMMYFUNCTION("""COMPUTED_VALUE"""),"{1427350}")</f>
        <v>{1427350}</v>
      </c>
      <c r="I352" s="4" t="str">
        <f ca="1">IFERROR(__xludf.DUMMYFUNCTION("""COMPUTED_VALUE"""),"https://bugzilla.mozilla.org/show_bug.cgi?id=1529220")</f>
        <v>https://bugzilla.mozilla.org/show_bug.cgi?id=1529220</v>
      </c>
      <c r="J352" s="3" t="str">
        <f ca="1">IFERROR(__xludf.DUMMYFUNCTION("""COMPUTED_VALUE"""),"['searchfox.org/mozilla-central/rev/3aef835f6cb12e607154d56d68726767172571e4/toolkit/content/widgets/autocomplete-richlistitem.js']")</f>
        <v>['searchfox.org/mozilla-central/rev/3aef835f6cb12e607154d56d68726767172571e4/toolkit/content/widgets/autocomplete-richlistitem.js']</v>
      </c>
      <c r="K352" s="3" t="str">
        <f ca="1">IFERROR(__xludf.DUMMYFUNCTION("""COMPUTED_VALUE"""),"Bug Dependency")</f>
        <v>Bug Dependency</v>
      </c>
      <c r="L352" s="3"/>
      <c r="M352" s="3"/>
      <c r="N352" s="3"/>
      <c r="O352" s="3"/>
    </row>
    <row r="353" spans="1:15" ht="140">
      <c r="A353" s="3" t="s">
        <v>64</v>
      </c>
      <c r="B353" s="3"/>
      <c r="C353" s="3" t="str">
        <f ca="1">IFERROR(__xludf.DUMMYFUNCTION("""COMPUTED_VALUE"""),"Agree")</f>
        <v>Agree</v>
      </c>
      <c r="D353" s="3">
        <f ca="1">IFERROR(__xludf.DUMMYFUNCTION("""COMPUTED_VALUE"""),129)</f>
        <v>129</v>
      </c>
      <c r="E353" s="3" t="str">
        <f ca="1">IFERROR(__xludf.DUMMYFUNCTION("""COMPUTED_VALUE"""),"Yes")</f>
        <v>Yes</v>
      </c>
      <c r="F353" s="3" t="str">
        <f ca="1">IFERROR(__xludf.DUMMYFUNCTION("""COMPUTED_VALUE"""),"BugRef")</f>
        <v>BugRef</v>
      </c>
      <c r="G353" s="3">
        <f ca="1">IFERROR(__xludf.DUMMYFUNCTION("""COMPUTED_VALUE"""),1740116)</f>
        <v>1740116</v>
      </c>
      <c r="H353" s="3" t="str">
        <f ca="1">IFERROR(__xludf.DUMMYFUNCTION("""COMPUTED_VALUE"""),"{1439509}")</f>
        <v>{1439509}</v>
      </c>
      <c r="I353" s="4" t="str">
        <f ca="1">IFERROR(__xludf.DUMMYFUNCTION("""COMPUTED_VALUE"""),"https://bugzilla.mozilla.org/show_bug.cgi?id=1740116")</f>
        <v>https://bugzilla.mozilla.org/show_bug.cgi?id=1740116</v>
      </c>
      <c r="J353" s="3" t="str">
        <f ca="1">IFERROR(__xludf.DUMMYFUNCTION("""COMPUTED_VALUE"""),"['devtools/client/netmonitor/src/har/har-menu-utils.js', 'firefox-data-provider.js', 'devtools/client/netmonitor/src/connector/index.js', 'devtools/client/netmonitor/src/connector/firefox-data-provider.js', 'devtools/client/netmonitor/src/har/har-exporter"&amp;".js', 'devtools/client/netmonitor/src/components/Toolbar.js', 'devtools/client/netmonitor/panel.js', 'devtools/client/shared/components/menu/MenuButton.js', 'devtools/client/netmonitor/src/har/har-builder.js', 'devtools/client/framework/toolbox.js', 'devt"&amp;"ools/client/netmonitor/src/app.js', 'har-exporter.js']")</f>
        <v>['devtools/client/netmonitor/src/har/har-menu-utils.js', 'firefox-data-provider.js', 'devtools/client/netmonitor/src/connector/index.js', 'devtools/client/netmonitor/src/connector/firefox-data-provider.js', 'devtools/client/netmonitor/src/har/har-exporter.js', 'devtools/client/netmonitor/src/components/Toolbar.js', 'devtools/client/netmonitor/panel.js', 'devtools/client/shared/components/menu/MenuButton.js', 'devtools/client/netmonitor/src/har/har-builder.js', 'devtools/client/framework/toolbox.js', 'devtools/client/netmonitor/src/app.js', 'har-exporter.js']</v>
      </c>
      <c r="K353" s="3" t="str">
        <f ca="1">IFERROR(__xludf.DUMMYFUNCTION("""COMPUTED_VALUE"""),"System Dumps")</f>
        <v>System Dumps</v>
      </c>
      <c r="L353" s="3" t="str">
        <f ca="1">IFERROR(__xludf.DUMMYFUNCTION("""COMPUTED_VALUE"""),"Bug Description")</f>
        <v>Bug Description</v>
      </c>
      <c r="M353" s="3"/>
      <c r="N353" s="3"/>
      <c r="O353" s="3"/>
    </row>
    <row r="354" spans="1:15" ht="332">
      <c r="A354" s="3" t="s">
        <v>64</v>
      </c>
      <c r="B354" s="3"/>
      <c r="C354" s="3" t="str">
        <f ca="1">IFERROR(__xludf.DUMMYFUNCTION("""COMPUTED_VALUE"""),"Agree")</f>
        <v>Agree</v>
      </c>
      <c r="D354" s="3">
        <f ca="1">IFERROR(__xludf.DUMMYFUNCTION("""COMPUTED_VALUE"""),130)</f>
        <v>130</v>
      </c>
      <c r="E354" s="3" t="str">
        <f ca="1">IFERROR(__xludf.DUMMYFUNCTION("""COMPUTED_VALUE"""),"Yes")</f>
        <v>Yes</v>
      </c>
      <c r="F354" s="3" t="str">
        <f ca="1">IFERROR(__xludf.DUMMYFUNCTION("""COMPUTED_VALUE"""),"BugRef")</f>
        <v>BugRef</v>
      </c>
      <c r="G354" s="3">
        <f ca="1">IFERROR(__xludf.DUMMYFUNCTION("""COMPUTED_VALUE"""),1793686)</f>
        <v>1793686</v>
      </c>
      <c r="H354" s="3" t="str">
        <f ca="1">IFERROR(__xludf.DUMMYFUNCTION("""COMPUTED_VALUE"""),"{1769747}")</f>
        <v>{1769747}</v>
      </c>
      <c r="I354" s="4" t="str">
        <f ca="1">IFERROR(__xludf.DUMMYFUNCTION("""COMPUTED_VALUE"""),"https://bugzilla.mozilla.org/show_bug.cgi?id=1793686")</f>
        <v>https://bugzilla.mozilla.org/show_bug.cgi?id=1793686</v>
      </c>
      <c r="J354" s="3" t="str">
        <f ca="1">IFERROR(__xludf.DUMMYFUNCTION("""COMPUTED_VALUE"""),"['toolkit/xre/dllservices/mozglue/WindowsDllBlocklist.cpp', 'xpcom/threads/nsThread.cpp', 'nsprpub/pr/src/threads/combined/pruthr.c', 'dom/canvas/WebGLTextureUpload.cpp', 'builds/worker/checkouts/gecko/docshell/shistory/SessionHistoryEntry.cpp', 'ipc/chro"&amp;"mium/src/base/message_loop.cc', 'xpcom/threads/nsThreadUtils.cpp', 'builds/worker/checkouts/gecko/gfx/gl/GLContextProviderEGL.cpp', 'fb21635550cfa7f400b7ec48def57ba476249f1b93002e41943342ef29d8fd49b87f4488835903789ae29e9b34a3c888a46b86eb6c338691f92963935f"&amp;"d42a56/ipc/ipdl/PWebGLParent.cpp', 'builds/worker/workspace/obj-build/dist/include/mozilla/gfx/Logging.h', '88edb925c0752f121964049f1b2c2b090af476a418e4935ade351735ca019d736b4ab39c6ae4cac2b67ce5f50bb871006eab0a9191d2989a3f3d0f082a76cd1f/ipc/ipdl/PCanvasMa"&amp;"nagerParent.cpp', 'nsprpub/pr/src/md/windows/w95thred.c', 'builds/worker/checkouts/gecko/ipc/glue/MessageChannel.cpp', 'dom/canvas/WebGLParent.cpp', 'gfx/gl/GLContext.cpp', 'ipc/glue/MessagePump.cpp', 'builds/worker/checkouts/gecko/ipc/glue/NodeController"&amp;".cpp', 'dom/canvas/WebGLContextTextures.cpp', 'dom/canvas/test/webgl-conf/generated/test_2_conformance2__textures__video__tex-2d-srgb8-rgb-unsigned_byte.html', 'dom/canvas/TexUnpackBlob.cpp', 'gfx/2d/Logging.h', 'ipc/glue/MessageChannel.cpp']")</f>
        <v>['toolkit/xre/dllservices/mozglue/WindowsDllBlocklist.cpp', 'xpcom/threads/nsThread.cpp', 'nsprpub/pr/src/threads/combined/pruthr.c', 'dom/canvas/WebGLTextureUpload.cpp', 'builds/worker/checkouts/gecko/docshell/shistory/SessionHistoryEntry.cpp', 'ipc/chromium/src/base/message_loop.cc', 'xpcom/threads/nsThreadUtils.cpp', 'builds/worker/checkouts/gecko/gfx/gl/GLContextProviderEGL.cpp', 'fb21635550cfa7f400b7ec48def57ba476249f1b93002e41943342ef29d8fd49b87f4488835903789ae29e9b34a3c888a46b86eb6c338691f92963935fd42a56/ipc/ipdl/PWebGLParent.cpp', 'builds/worker/workspace/obj-build/dist/include/mozilla/gfx/Logging.h', '88edb925c0752f121964049f1b2c2b090af476a418e4935ade351735ca019d736b4ab39c6ae4cac2b67ce5f50bb871006eab0a9191d2989a3f3d0f082a76cd1f/ipc/ipdl/PCanvasManagerParent.cpp', 'nsprpub/pr/src/md/windows/w95thred.c', 'builds/worker/checkouts/gecko/ipc/glue/MessageChannel.cpp', 'dom/canvas/WebGLParent.cpp', 'gfx/gl/GLContext.cpp', 'ipc/glue/MessagePump.cpp', 'builds/worker/checkouts/gecko/ipc/glue/NodeController.cpp', 'dom/canvas/WebGLContextTextures.cpp', 'dom/canvas/test/webgl-conf/generated/test_2_conformance2__textures__video__tex-2d-srgb8-rgb-unsigned_byte.html', 'dom/canvas/TexUnpackBlob.cpp', 'gfx/2d/Logging.h', 'ipc/glue/MessageChannel.cpp']</v>
      </c>
      <c r="K354" s="3" t="str">
        <f ca="1">IFERROR(__xludf.DUMMYFUNCTION("""COMPUTED_VALUE"""),"System Dumps")</f>
        <v>System Dumps</v>
      </c>
      <c r="L354" s="3" t="str">
        <f ca="1">IFERROR(__xludf.DUMMYFUNCTION("""COMPUTED_VALUE"""),"Backout")</f>
        <v>Backout</v>
      </c>
      <c r="M354" s="3"/>
      <c r="N354" s="3"/>
      <c r="O354" s="3"/>
    </row>
    <row r="355" spans="1:15" ht="168">
      <c r="A355" s="3" t="s">
        <v>64</v>
      </c>
      <c r="B355" s="3"/>
      <c r="C355" s="3" t="str">
        <f ca="1">IFERROR(__xludf.DUMMYFUNCTION("""COMPUTED_VALUE"""),"Agree")</f>
        <v>Agree</v>
      </c>
      <c r="D355" s="3">
        <f ca="1">IFERROR(__xludf.DUMMYFUNCTION("""COMPUTED_VALUE"""),134)</f>
        <v>134</v>
      </c>
      <c r="E355" s="3" t="str">
        <f ca="1">IFERROR(__xludf.DUMMYFUNCTION("""COMPUTED_VALUE"""),"Yes")</f>
        <v>Yes</v>
      </c>
      <c r="F355" s="3" t="str">
        <f ca="1">IFERROR(__xludf.DUMMYFUNCTION("""COMPUTED_VALUE"""),"BugRef")</f>
        <v>BugRef</v>
      </c>
      <c r="G355" s="3">
        <f ca="1">IFERROR(__xludf.DUMMYFUNCTION("""COMPUTED_VALUE"""),1606935)</f>
        <v>1606935</v>
      </c>
      <c r="H355" s="3" t="str">
        <f ca="1">IFERROR(__xludf.DUMMYFUNCTION("""COMPUTED_VALUE"""),"{1603930}")</f>
        <v>{1603930}</v>
      </c>
      <c r="I355" s="4" t="str">
        <f ca="1">IFERROR(__xludf.DUMMYFUNCTION("""COMPUTED_VALUE"""),"https://bugzilla.mozilla.org/show_bug.cgi?id=1606935")</f>
        <v>https://bugzilla.mozilla.org/show_bug.cgi?id=1606935</v>
      </c>
      <c r="J355" s="3" t="str">
        <f ca="1">IFERROR(__xludf.DUMMYFUNCTION("""COMPUTED_VALUE"""),"['remote/test/browser/network/browser.ini', 'remote/test/browser/input/browser.ini', 'remote/test/browser/browser.ini', 'remote/test/browser/target/browser.ini', 'remote/test/browser/io/browser.ini', '\\\\tasks\\\\task_1578067056\\\\build\\\\tests\\\\moch"&amp;"itest\\\\runtests.py', 'treeherder.mozilla.org/logviewer.html', 'remote/test/browser/emulation/browser.ini', 'searchfox.org/mozilla-central/source/taskcluster/ci/test/mochitest.yml', 'remote/test/browser/security/browser.ini', 'treeherder.mozilla.org/inte"&amp;"rmittent-failures.html', 'remote/test/browser/page/browser.ini', 'remote/test/browser/runtime/browser.ini']")</f>
        <v>['remote/test/browser/network/browser.ini', 'remote/test/browser/input/browser.ini', 'remote/test/browser/browser.ini', 'remote/test/browser/target/browser.ini', 'remote/test/browser/io/browser.ini', '\\\\tasks\\\\task_1578067056\\\\build\\\\tests\\\\mochitest\\\\runtests.py', 'treeherder.mozilla.org/logviewer.html', 'remote/test/browser/emulation/browser.ini', 'searchfox.org/mozilla-central/source/taskcluster/ci/test/mochitest.yml', 'remote/test/browser/security/browser.ini', 'treeherder.mozilla.org/intermittent-failures.html', 'remote/test/browser/page/browser.ini', 'remote/test/browser/runtime/browser.ini']</v>
      </c>
      <c r="K355" s="3" t="str">
        <f ca="1">IFERROR(__xludf.DUMMYFUNCTION("""COMPUTED_VALUE"""),"System Dumps")</f>
        <v>System Dumps</v>
      </c>
      <c r="L355" s="3" t="str">
        <f ca="1">IFERROR(__xludf.DUMMYFUNCTION("""COMPUTED_VALUE"""),"Bug Description")</f>
        <v>Bug Description</v>
      </c>
      <c r="M355" s="3" t="str">
        <f ca="1">IFERROR(__xludf.DUMMYFUNCTION("""COMPUTED_VALUE"""),"Links")</f>
        <v>Links</v>
      </c>
      <c r="N355" s="3" t="str">
        <f ca="1">IFERROR(__xludf.DUMMYFUNCTION("""COMPUTED_VALUE"""),"Bug Dependency")</f>
        <v>Bug Dependency</v>
      </c>
      <c r="O355" s="3" t="str">
        <f ca="1">IFERROR(__xludf.DUMMYFUNCTION("""COMPUTED_VALUE"""),"Backout")</f>
        <v>Backout</v>
      </c>
    </row>
    <row r="356" spans="1:15" ht="409.6">
      <c r="A356" s="3" t="s">
        <v>64</v>
      </c>
      <c r="B356" s="3"/>
      <c r="C356" s="3" t="str">
        <f ca="1">IFERROR(__xludf.DUMMYFUNCTION("""COMPUTED_VALUE"""),"Agree")</f>
        <v>Agree</v>
      </c>
      <c r="D356" s="3">
        <f ca="1">IFERROR(__xludf.DUMMYFUNCTION("""COMPUTED_VALUE"""),146)</f>
        <v>146</v>
      </c>
      <c r="E356" s="3" t="str">
        <f ca="1">IFERROR(__xludf.DUMMYFUNCTION("""COMPUTED_VALUE"""),"Yes")</f>
        <v>Yes</v>
      </c>
      <c r="F356" s="3" t="str">
        <f ca="1">IFERROR(__xludf.DUMMYFUNCTION("""COMPUTED_VALUE"""),"BugRef")</f>
        <v>BugRef</v>
      </c>
      <c r="G356" s="3">
        <f ca="1">IFERROR(__xludf.DUMMYFUNCTION("""COMPUTED_VALUE"""),1659729)</f>
        <v>1659729</v>
      </c>
      <c r="H356" s="3" t="str">
        <f ca="1">IFERROR(__xludf.DUMMYFUNCTION("""COMPUTED_VALUE"""),"{1630819}")</f>
        <v>{1630819}</v>
      </c>
      <c r="I356" s="4" t="str">
        <f ca="1">IFERROR(__xludf.DUMMYFUNCTION("""COMPUTED_VALUE"""),"https://bugzilla.mozilla.org/show_bug.cgi?id=1659729")</f>
        <v>https://bugzilla.mozilla.org/show_bug.cgi?id=1659729</v>
      </c>
      <c r="J356" s="3" t="str">
        <f ca="1">IFERROR(__xludf.DUMMYFUNCTION("""COMPUTED_VALUE"""),"['builds/worker/checkouts/gecko/browser/app/nsBrowserApp.cpp', 'builds/worker/checkouts/gecko/ipc/chromium/src/base/message_loop.cc', 'builds/worker/checkouts/gecko/layout/forms/nsTextControlFrame.cpp', 'builds/worker/checkouts/gecko/dom/html/TextControlS"&amp;"tate.cpp', 'builds/worker/checkouts/gecko/layout/base/RestyleManager.cpp', 'builds/worker/workspace/obj-build/dist/include/mozilla/Assertions.h', 'builds/worker/checkouts/gecko/layout/generic/nsContainerFrame.cpp', 'builds/worker/checkouts/gecko/xpcom/thr"&amp;"eads/nsThread.cpp', 'build/glibc-2ORdQG/glibc-2.27/csu/../csu/libc-start.c', 'builds/worker/checkouts/gecko/dom/base/Element.cpp', 'builds/worker/checkouts/gecko/layout/generic/nsFrameList.cpp', 'builds/worker/checkouts/gecko/layout/base/nsCSSFrameConstru"&amp;"ctor.cpp', 'builds/worker/checkouts/gecko/xpcom/threads/TaskController.cpp', 'builds/worker/checkouts/gecko/layout/generic/nsCanvasFrame.cpp', 'builds/worker/checkouts/gecko/ipc/glue/MessagePump.cpp', 'builds/worker/checkouts/gecko/layout/generic/nsLineBo"&amp;"x.cpp', 'builds/worker/checkouts/gecko/layout/base/PresShell.cpp', 'builds/worker/checkouts/gecko/toolkit/xre/nsEmbedFunctions.cpp', 'builds/worker/checkouts/gecko/browser/app/../../ipc/contentproc/plugin-container.cpp', 'builds/worker/checkouts/gecko/dom"&amp;"/base/Document.cpp', 'builds/worker/workspace/obj-build/dist/include/mozilla/PresShell.h', 'builds/worker/checkouts/gecko/dom/html/TextControlState.h', 'builds/worker/checkouts/gecko/widget/nsBaseAppShell.cpp', 'builds/worker/checkouts/gecko/layout/generi"&amp;"c/nsBlockFrame.cpp', 'testcase.html', 'builds/worker/checkouts/gecko/layout/generic/nsIFrame.h', 'builds/worker/workspace/obj-build/dist/include/nsThreadUtils.h', 'builds/worker/checkouts/gecko/layout/base/nsRefreshDriver.cpp', 'builds/worker/checkouts/ge"&amp;"cko/xpcom/threads/nsThreadUtils.cpp']")</f>
        <v>['builds/worker/checkouts/gecko/browser/app/nsBrowserApp.cpp', 'builds/worker/checkouts/gecko/ipc/chromium/src/base/message_loop.cc', 'builds/worker/checkouts/gecko/layout/forms/nsTextControlFrame.cpp', 'builds/worker/checkouts/gecko/dom/html/TextControlState.cpp', 'builds/worker/checkouts/gecko/layout/base/RestyleManager.cpp', 'builds/worker/workspace/obj-build/dist/include/mozilla/Assertions.h', 'builds/worker/checkouts/gecko/layout/generic/nsContainerFrame.cpp', 'builds/worker/checkouts/gecko/xpcom/threads/nsThread.cpp', 'build/glibc-2ORdQG/glibc-2.27/csu/../csu/libc-start.c', 'builds/worker/checkouts/gecko/dom/base/Element.cpp', 'builds/worker/checkouts/gecko/layout/generic/nsFrameList.cpp', 'builds/worker/checkouts/gecko/layout/base/nsCSSFrameConstructor.cpp', 'builds/worker/checkouts/gecko/xpcom/threads/TaskController.cpp', 'builds/worker/checkouts/gecko/layout/generic/nsCanvasFrame.cpp', 'builds/worker/checkouts/gecko/ipc/glue/MessagePump.cpp', 'builds/worker/checkouts/gecko/layout/generic/nsLineBox.cpp', 'builds/worker/checkouts/gecko/layout/base/PresShell.cpp', 'builds/worker/checkouts/gecko/toolkit/xre/nsEmbedFunctions.cpp', 'builds/worker/checkouts/gecko/browser/app/../../ipc/contentproc/plugin-container.cpp', 'builds/worker/checkouts/gecko/dom/base/Document.cpp', 'builds/worker/workspace/obj-build/dist/include/mozilla/PresShell.h', 'builds/worker/checkouts/gecko/dom/html/TextControlState.h', 'builds/worker/checkouts/gecko/widget/nsBaseAppShell.cpp', 'builds/worker/checkouts/gecko/layout/generic/nsBlockFrame.cpp', 'testcase.html', 'builds/worker/checkouts/gecko/layout/generic/nsIFrame.h', 'builds/worker/workspace/obj-build/dist/include/nsThreadUtils.h', 'builds/worker/checkouts/gecko/layout/base/nsRefreshDriver.cpp', 'builds/worker/checkouts/gecko/xpcom/threads/nsThreadUtils.cpp']</v>
      </c>
      <c r="K356" s="3" t="str">
        <f ca="1">IFERROR(__xludf.DUMMYFUNCTION("""COMPUTED_VALUE"""),"System Dumps")</f>
        <v>System Dumps</v>
      </c>
      <c r="L356" s="3" t="str">
        <f ca="1">IFERROR(__xludf.DUMMYFUNCTION("""COMPUTED_VALUE"""),"File names are part of bug title")</f>
        <v>File names are part of bug title</v>
      </c>
      <c r="M356" s="3"/>
      <c r="N356" s="3"/>
      <c r="O356" s="3"/>
    </row>
    <row r="357" spans="1:15" ht="70">
      <c r="A357" s="3" t="s">
        <v>64</v>
      </c>
      <c r="B357" s="3"/>
      <c r="C357" s="3" t="str">
        <f ca="1">IFERROR(__xludf.DUMMYFUNCTION("""COMPUTED_VALUE"""),"Agree")</f>
        <v>Agree</v>
      </c>
      <c r="D357" s="3">
        <f ca="1">IFERROR(__xludf.DUMMYFUNCTION("""COMPUTED_VALUE"""),154)</f>
        <v>154</v>
      </c>
      <c r="E357" s="3" t="str">
        <f ca="1">IFERROR(__xludf.DUMMYFUNCTION("""COMPUTED_VALUE"""),"Yes")</f>
        <v>Yes</v>
      </c>
      <c r="F357" s="3" t="str">
        <f ca="1">IFERROR(__xludf.DUMMYFUNCTION("""COMPUTED_VALUE"""),"BugRef")</f>
        <v>BugRef</v>
      </c>
      <c r="G357" s="3">
        <f ca="1">IFERROR(__xludf.DUMMYFUNCTION("""COMPUTED_VALUE"""),1744027)</f>
        <v>1744027</v>
      </c>
      <c r="H357" s="3" t="str">
        <f ca="1">IFERROR(__xludf.DUMMYFUNCTION("""COMPUTED_VALUE"""),"{1743630}")</f>
        <v>{1743630}</v>
      </c>
      <c r="I357" s="4" t="str">
        <f ca="1">IFERROR(__xludf.DUMMYFUNCTION("""COMPUTED_VALUE"""),"https://bugzilla.mozilla.org/show_bug.cgi?id=1744027")</f>
        <v>https://bugzilla.mozilla.org/show_bug.cgi?id=1744027</v>
      </c>
      <c r="J357" s="3" t="str">
        <f ca="1">IFERROR(__xludf.DUMMYFUNCTION("""COMPUTED_VALUE"""),"['netwerk/test/browser/browser_103_telemetry.js', 'example.com/browser/netwerk/test/browser/no_103_preload.html', 'mochitests/content/browser/netwerk/test/browser/browser_103_telemetry.js', 'example.com/browser/netwerk/test/browser/103_preload.html', 'ser"&amp;"vices-settings/RemoteSettingsClient.jsm']")</f>
        <v>['netwerk/test/browser/browser_103_telemetry.js', 'example.com/browser/netwerk/test/browser/no_103_preload.html', 'mochitests/content/browser/netwerk/test/browser/browser_103_telemetry.js', 'example.com/browser/netwerk/test/browser/103_preload.html', 'services-settings/RemoteSettingsClient.jsm']</v>
      </c>
      <c r="K357" s="3" t="str">
        <f ca="1">IFERROR(__xludf.DUMMYFUNCTION("""COMPUTED_VALUE"""),"System Dumps")</f>
        <v>System Dumps</v>
      </c>
      <c r="L357" s="3" t="str">
        <f ca="1">IFERROR(__xludf.DUMMYFUNCTION("""COMPUTED_VALUE"""),"File names are part of bug title")</f>
        <v>File names are part of bug title</v>
      </c>
      <c r="M357" s="3"/>
      <c r="N357" s="3"/>
      <c r="O357" s="3" t="str">
        <f ca="1">IFERROR(__xludf.DUMMYFUNCTION("""COMPUTED_VALUE"""),"Backout")</f>
        <v>Backout</v>
      </c>
    </row>
    <row r="358" spans="1:15" ht="42">
      <c r="A358" s="3" t="s">
        <v>64</v>
      </c>
      <c r="B358" s="3"/>
      <c r="C358" s="3" t="str">
        <f ca="1">IFERROR(__xludf.DUMMYFUNCTION("""COMPUTED_VALUE"""),"Agree")</f>
        <v>Agree</v>
      </c>
      <c r="D358" s="3">
        <f ca="1">IFERROR(__xludf.DUMMYFUNCTION("""COMPUTED_VALUE"""),155)</f>
        <v>155</v>
      </c>
      <c r="E358" s="3" t="str">
        <f ca="1">IFERROR(__xludf.DUMMYFUNCTION("""COMPUTED_VALUE"""),"Yes")</f>
        <v>Yes</v>
      </c>
      <c r="F358" s="3" t="str">
        <f ca="1">IFERROR(__xludf.DUMMYFUNCTION("""COMPUTED_VALUE"""),"BugRef")</f>
        <v>BugRef</v>
      </c>
      <c r="G358" s="3">
        <f ca="1">IFERROR(__xludf.DUMMYFUNCTION("""COMPUTED_VALUE"""),1630095)</f>
        <v>1630095</v>
      </c>
      <c r="H358" s="3" t="str">
        <f ca="1">IFERROR(__xludf.DUMMYFUNCTION("""COMPUTED_VALUE"""),"{1552966}")</f>
        <v>{1552966}</v>
      </c>
      <c r="I358" s="4" t="str">
        <f ca="1">IFERROR(__xludf.DUMMYFUNCTION("""COMPUTED_VALUE"""),"https://bugzilla.mozilla.org/show_bug.cgi?id=1630095")</f>
        <v>https://bugzilla.mozilla.org/show_bug.cgi?id=1630095</v>
      </c>
      <c r="J358" s="3" t="str">
        <f ca="1">IFERROR(__xludf.DUMMYFUNCTION("""COMPUTED_VALUE"""),"['searchfox.org/mozilla-central/rev/b9a814e53b3b6f5cb665a78f4777868e7a16bfcd/toolkit/components/printingui/nsPrintProgress.cpp']")</f>
        <v>['searchfox.org/mozilla-central/rev/b9a814e53b3b6f5cb665a78f4777868e7a16bfcd/toolkit/components/printingui/nsPrintProgress.cpp']</v>
      </c>
      <c r="K358" s="3" t="str">
        <f ca="1">IFERROR(__xludf.DUMMYFUNCTION("""COMPUTED_VALUE"""),"Bug Description")</f>
        <v>Bug Description</v>
      </c>
      <c r="L358" s="3" t="str">
        <f ca="1">IFERROR(__xludf.DUMMYFUNCTION("""COMPUTED_VALUE"""),"Links")</f>
        <v>Links</v>
      </c>
      <c r="M358" s="3"/>
      <c r="N358" s="3"/>
      <c r="O358" s="3"/>
    </row>
    <row r="359" spans="1:15" ht="70">
      <c r="A359" s="3" t="s">
        <v>64</v>
      </c>
      <c r="B359" s="3"/>
      <c r="C359" s="3" t="str">
        <f ca="1">IFERROR(__xludf.DUMMYFUNCTION("""COMPUTED_VALUE"""),"Agree")</f>
        <v>Agree</v>
      </c>
      <c r="D359" s="3">
        <f ca="1">IFERROR(__xludf.DUMMYFUNCTION("""COMPUTED_VALUE"""),157)</f>
        <v>157</v>
      </c>
      <c r="E359" s="3" t="str">
        <f ca="1">IFERROR(__xludf.DUMMYFUNCTION("""COMPUTED_VALUE"""),"Yes")</f>
        <v>Yes</v>
      </c>
      <c r="F359" s="3" t="str">
        <f ca="1">IFERROR(__xludf.DUMMYFUNCTION("""COMPUTED_VALUE"""),"BugRef")</f>
        <v>BugRef</v>
      </c>
      <c r="G359" s="3">
        <f ca="1">IFERROR(__xludf.DUMMYFUNCTION("""COMPUTED_VALUE"""),1538246)</f>
        <v>1538246</v>
      </c>
      <c r="H359" s="3" t="str">
        <f ca="1">IFERROR(__xludf.DUMMYFUNCTION("""COMPUTED_VALUE"""),"{1477205}")</f>
        <v>{1477205}</v>
      </c>
      <c r="I359" s="4" t="str">
        <f ca="1">IFERROR(__xludf.DUMMYFUNCTION("""COMPUTED_VALUE"""),"https://bugzilla.mozilla.org/show_bug.cgi?id=1538246")</f>
        <v>https://bugzilla.mozilla.org/show_bug.cgi?id=1538246</v>
      </c>
      <c r="J359" s="3" t="str">
        <f ca="1">IFERROR(__xludf.DUMMYFUNCTION("""COMPUTED_VALUE"""),"['AudioNode.cpp', 'AudioContext.cpp', 'treeherder.mozilla.org/logviewer.html', 'BaseAudioContextBinding.cpp', 'remoteautomation.py', 'ScriptProcessorNode.cpp', 'treeherder.mozilla.org/intermittent-failures.html', 'dom/media/webaudio/test/test_nodeCreation"&amp;"DocumentGone.html']")</f>
        <v>['AudioNode.cpp', 'AudioContext.cpp', 'treeherder.mozilla.org/logviewer.html', 'BaseAudioContextBinding.cpp', 'remoteautomation.py', 'ScriptProcessorNode.cpp', 'treeherder.mozilla.org/intermittent-failures.html', 'dom/media/webaudio/test/test_nodeCreationDocumentGone.html']</v>
      </c>
      <c r="K359" s="3" t="str">
        <f ca="1">IFERROR(__xludf.DUMMYFUNCTION("""COMPUTED_VALUE"""),"System Dumps")</f>
        <v>System Dumps</v>
      </c>
      <c r="L359" s="3" t="str">
        <f ca="1">IFERROR(__xludf.DUMMYFUNCTION("""COMPUTED_VALUE"""),"File names are part of bug title")</f>
        <v>File names are part of bug title</v>
      </c>
      <c r="M359" s="3"/>
      <c r="N359" s="3"/>
      <c r="O359" s="3"/>
    </row>
    <row r="360" spans="1:15" ht="42">
      <c r="A360" s="3" t="s">
        <v>64</v>
      </c>
      <c r="B360" s="3"/>
      <c r="C360" s="3" t="str">
        <f ca="1">IFERROR(__xludf.DUMMYFUNCTION("""COMPUTED_VALUE"""),"Agree")</f>
        <v>Agree</v>
      </c>
      <c r="D360" s="3">
        <f ca="1">IFERROR(__xludf.DUMMYFUNCTION("""COMPUTED_VALUE"""),159)</f>
        <v>159</v>
      </c>
      <c r="E360" s="3" t="str">
        <f ca="1">IFERROR(__xludf.DUMMYFUNCTION("""COMPUTED_VALUE"""),"Yes")</f>
        <v>Yes</v>
      </c>
      <c r="F360" s="3" t="str">
        <f ca="1">IFERROR(__xludf.DUMMYFUNCTION("""COMPUTED_VALUE"""),"BugRef")</f>
        <v>BugRef</v>
      </c>
      <c r="G360" s="3">
        <f ca="1">IFERROR(__xludf.DUMMYFUNCTION("""COMPUTED_VALUE"""),1662483)</f>
        <v>1662483</v>
      </c>
      <c r="H360" s="3" t="str">
        <f ca="1">IFERROR(__xludf.DUMMYFUNCTION("""COMPUTED_VALUE"""),"{1658302}")</f>
        <v>{1658302}</v>
      </c>
      <c r="I360" s="4" t="str">
        <f ca="1">IFERROR(__xludf.DUMMYFUNCTION("""COMPUTED_VALUE"""),"https://bugzilla.mozilla.org/show_bug.cgi?id=1662483")</f>
        <v>https://bugzilla.mozilla.org/show_bug.cgi?id=1662483</v>
      </c>
      <c r="J360" s="3" t="str">
        <f ca="1">IFERROR(__xludf.DUMMYFUNCTION("""COMPUTED_VALUE"""),"['dom/base/Element.cpp', 'testcase.html', 'dom/bindings/ElementBinding.cpp', 'dom/html/HTMLInputElement.cpp', 'layout/forms/nsTextControlFrame.cpp', 'dom/bindings/BindingUtils.cpp']")</f>
        <v>['dom/base/Element.cpp', 'testcase.html', 'dom/bindings/ElementBinding.cpp', 'dom/html/HTMLInputElement.cpp', 'layout/forms/nsTextControlFrame.cpp', 'dom/bindings/BindingUtils.cpp']</v>
      </c>
      <c r="K360" s="3" t="str">
        <f ca="1">IFERROR(__xludf.DUMMYFUNCTION("""COMPUTED_VALUE"""),"System Dumps")</f>
        <v>System Dumps</v>
      </c>
      <c r="L360" s="3" t="str">
        <f ca="1">IFERROR(__xludf.DUMMYFUNCTION("""COMPUTED_VALUE"""),"File to Reproduce the Bug")</f>
        <v>File to Reproduce the Bug</v>
      </c>
      <c r="M360" s="3"/>
      <c r="N360" s="3"/>
      <c r="O360" s="3" t="str">
        <f ca="1">IFERROR(__xludf.DUMMYFUNCTION("""COMPUTED_VALUE"""),"Backout")</f>
        <v>Backout</v>
      </c>
    </row>
    <row r="361" spans="1:15" ht="98">
      <c r="A361" s="3" t="s">
        <v>64</v>
      </c>
      <c r="B361" s="3"/>
      <c r="C361" s="3" t="str">
        <f ca="1">IFERROR(__xludf.DUMMYFUNCTION("""COMPUTED_VALUE"""),"Agree")</f>
        <v>Agree</v>
      </c>
      <c r="D361" s="3">
        <f ca="1">IFERROR(__xludf.DUMMYFUNCTION("""COMPUTED_VALUE"""),161)</f>
        <v>161</v>
      </c>
      <c r="E361" s="3" t="str">
        <f ca="1">IFERROR(__xludf.DUMMYFUNCTION("""COMPUTED_VALUE"""),"Yes")</f>
        <v>Yes</v>
      </c>
      <c r="F361" s="3" t="str">
        <f ca="1">IFERROR(__xludf.DUMMYFUNCTION("""COMPUTED_VALUE"""),"BugRef")</f>
        <v>BugRef</v>
      </c>
      <c r="G361" s="3">
        <f ca="1">IFERROR(__xludf.DUMMYFUNCTION("""COMPUTED_VALUE"""),1686938)</f>
        <v>1686938</v>
      </c>
      <c r="H361" s="3" t="str">
        <f ca="1">IFERROR(__xludf.DUMMYFUNCTION("""COMPUTED_VALUE"""),"{1685355}")</f>
        <v>{1685355}</v>
      </c>
      <c r="I361" s="4" t="str">
        <f ca="1">IFERROR(__xludf.DUMMYFUNCTION("""COMPUTED_VALUE"""),"https://bugzilla.mozilla.org/show_bug.cgi?id=1686938")</f>
        <v>https://bugzilla.mozilla.org/show_bug.cgi?id=1686938</v>
      </c>
      <c r="J361" s="3" t="str">
        <f ca="1">IFERROR(__xludf.DUMMYFUNCTION("""COMPUTED_VALUE"""),"['netwerk/base/nsInputStreamPump.cpp', 'netwerk/protocol/http/nsHttpHandler.cpp', 'toolkit/components/clearsitedata/ClearSiteData.cpp', 'xpcom/threads/nsThread.cpp', 'xpcom/ds/nsObserverService.cpp', 'ipc/glue/MessagePump.cpp', 'xpcom/io/nsStreamUtils.cpp"&amp;"', 'xpcom/threads/TaskController.cpp', 'xpcom/ds/nsObserverList.cpp', 'netwerk/protocol/http/nsHttpChannel.cpp']")</f>
        <v>['netwerk/base/nsInputStreamPump.cpp', 'netwerk/protocol/http/nsHttpHandler.cpp', 'toolkit/components/clearsitedata/ClearSiteData.cpp', 'xpcom/threads/nsThread.cpp', 'xpcom/ds/nsObserverService.cpp', 'ipc/glue/MessagePump.cpp', 'xpcom/io/nsStreamUtils.cpp', 'xpcom/threads/TaskController.cpp', 'xpcom/ds/nsObserverList.cpp', 'netwerk/protocol/http/nsHttpChannel.cpp']</v>
      </c>
      <c r="K361" s="3" t="str">
        <f ca="1">IFERROR(__xludf.DUMMYFUNCTION("""COMPUTED_VALUE"""),"System Dumps")</f>
        <v>System Dumps</v>
      </c>
      <c r="L361" s="3" t="str">
        <f ca="1">IFERROR(__xludf.DUMMYFUNCTION("""COMPUTED_VALUE"""),"Bug Dependency")</f>
        <v>Bug Dependency</v>
      </c>
      <c r="M361" s="3"/>
      <c r="N361" s="3"/>
      <c r="O361" s="3" t="str">
        <f ca="1">IFERROR(__xludf.DUMMYFUNCTION("""COMPUTED_VALUE"""),"Backout")</f>
        <v>Backout</v>
      </c>
    </row>
    <row r="362" spans="1:15" ht="126">
      <c r="A362" s="3" t="s">
        <v>64</v>
      </c>
      <c r="B362" s="3"/>
      <c r="C362" s="3" t="str">
        <f ca="1">IFERROR(__xludf.DUMMYFUNCTION("""COMPUTED_VALUE"""),"Agree")</f>
        <v>Agree</v>
      </c>
      <c r="D362" s="3">
        <f ca="1">IFERROR(__xludf.DUMMYFUNCTION("""COMPUTED_VALUE"""),162)</f>
        <v>162</v>
      </c>
      <c r="E362" s="3" t="str">
        <f ca="1">IFERROR(__xludf.DUMMYFUNCTION("""COMPUTED_VALUE"""),"Yes")</f>
        <v>Yes</v>
      </c>
      <c r="F362" s="3" t="str">
        <f ca="1">IFERROR(__xludf.DUMMYFUNCTION("""COMPUTED_VALUE"""),"BugRef")</f>
        <v>BugRef</v>
      </c>
      <c r="G362" s="3">
        <f ca="1">IFERROR(__xludf.DUMMYFUNCTION("""COMPUTED_VALUE"""),1582733)</f>
        <v>1582733</v>
      </c>
      <c r="H362" s="3" t="str">
        <f ca="1">IFERROR(__xludf.DUMMYFUNCTION("""COMPUTED_VALUE"""),"{1580631}")</f>
        <v>{1580631}</v>
      </c>
      <c r="I362" s="4" t="str">
        <f ca="1">IFERROR(__xludf.DUMMYFUNCTION("""COMPUTED_VALUE"""),"https://bugzilla.mozilla.org/show_bug.cgi?id=1582733")</f>
        <v>https://bugzilla.mozilla.org/show_bug.cgi?id=1582733</v>
      </c>
      <c r="J362" s="3" t="str">
        <f ca="1">IFERROR(__xludf.DUMMYFUNCTION("""COMPUTED_VALUE"""),"['hg.mozilla.org/mozilla-central/raw-file/tip/layout/tools/reftest/reftest-analyzer.xhtml', 'mochitests/content/browser/devtools/client/shared/test/browser_html_tooltip_doorhanger-01.js', 'build/build/src/dom/base/nsContentUtils.cpp', 'devtools/client/sha"&amp;"red/test/browser_html_tooltip_doorhanger-01.js', 'build/build/src/widget/windows/nsLookAndFeel.cpp', 'treeherder.mozilla.org/logviewer.html', 'mochikit/content/browser-test.js', 'mochikit/content/tests/SimpleTest/SimpleTest.js', 'treeherder.mozilla.org/in"&amp;"termittent-failures.html']")</f>
        <v>['hg.mozilla.org/mozilla-central/raw-file/tip/layout/tools/reftest/reftest-analyzer.xhtml', 'mochitests/content/browser/devtools/client/shared/test/browser_html_tooltip_doorhanger-01.js', 'build/build/src/dom/base/nsContentUtils.cpp', 'devtools/client/shared/test/browser_html_tooltip_doorhanger-01.js', 'build/build/src/widget/windows/nsLookAndFeel.cpp', 'treeherder.mozilla.org/logviewer.html', 'mochikit/content/browser-test.js', 'mochikit/content/tests/SimpleTest/SimpleTest.js', 'treeherder.mozilla.org/intermittent-failures.html']</v>
      </c>
      <c r="K362" s="3" t="str">
        <f ca="1">IFERROR(__xludf.DUMMYFUNCTION("""COMPUTED_VALUE"""),"System Dumps")</f>
        <v>System Dumps</v>
      </c>
      <c r="L362" s="3" t="str">
        <f ca="1">IFERROR(__xludf.DUMMYFUNCTION("""COMPUTED_VALUE"""),"File names are part of bug title")</f>
        <v>File names are part of bug title</v>
      </c>
      <c r="M362" s="3"/>
      <c r="N362" s="3"/>
      <c r="O362" s="3"/>
    </row>
    <row r="363" spans="1:15" ht="98">
      <c r="A363" s="3" t="s">
        <v>64</v>
      </c>
      <c r="B363" s="3"/>
      <c r="C363" s="3" t="str">
        <f ca="1">IFERROR(__xludf.DUMMYFUNCTION("""COMPUTED_VALUE"""),"Agree")</f>
        <v>Agree</v>
      </c>
      <c r="D363" s="3">
        <f ca="1">IFERROR(__xludf.DUMMYFUNCTION("""COMPUTED_VALUE"""),170)</f>
        <v>170</v>
      </c>
      <c r="E363" s="3" t="str">
        <f ca="1">IFERROR(__xludf.DUMMYFUNCTION("""COMPUTED_VALUE"""),"Yes")</f>
        <v>Yes</v>
      </c>
      <c r="F363" s="3" t="str">
        <f ca="1">IFERROR(__xludf.DUMMYFUNCTION("""COMPUTED_VALUE"""),"BugRef")</f>
        <v>BugRef</v>
      </c>
      <c r="G363" s="3">
        <f ca="1">IFERROR(__xludf.DUMMYFUNCTION("""COMPUTED_VALUE"""),1560323)</f>
        <v>1560323</v>
      </c>
      <c r="H363" s="3" t="str">
        <f ca="1">IFERROR(__xludf.DUMMYFUNCTION("""COMPUTED_VALUE"""),"{1553215}")</f>
        <v>{1553215}</v>
      </c>
      <c r="I363" s="4" t="str">
        <f ca="1">IFERROR(__xludf.DUMMYFUNCTION("""COMPUTED_VALUE"""),"https://bugzilla.mozilla.org/show_bug.cgi?id=1560323")</f>
        <v>https://bugzilla.mozilla.org/show_bug.cgi?id=1560323</v>
      </c>
      <c r="J363" s="3" t="str">
        <f ca="1">IFERROR(__xludf.DUMMYFUNCTION("""COMPUTED_VALUE"""),"['hg.mozilla.org/mozilla-central/raw-file/tip/layout/tools/reftest/reftest-analyzer.xhtml', 'Users/cltbld/tasks/task_1561030133/build/tests/web-platform/runtests.py', 'treeherder.mozilla.org/logviewer.html', 'webaudio/the-audio-api/the-mediastreamaudiosou"&amp;"rcenode-interface/mediastreamaudiosourcenode-routing.html', 'treeherder.mozilla.org/intermittent-failures.html', 'tests/web-platform/tests/webrtc/RTCPeerConnection-iceGatheringState.html']")</f>
        <v>['hg.mozilla.org/mozilla-central/raw-file/tip/layout/tools/reftest/reftest-analyzer.xhtml', 'Users/cltbld/tasks/task_1561030133/build/tests/web-platform/runtests.py', 'treeherder.mozilla.org/logviewer.html', 'webaudio/the-audio-api/the-mediastreamaudiosourcenode-interface/mediastreamaudiosourcenode-routing.html', 'treeherder.mozilla.org/intermittent-failures.html', 'tests/web-platform/tests/webrtc/RTCPeerConnection-iceGatheringState.html']</v>
      </c>
      <c r="K363" s="3" t="str">
        <f ca="1">IFERROR(__xludf.DUMMYFUNCTION("""COMPUTED_VALUE"""),"System Dumps")</f>
        <v>System Dumps</v>
      </c>
      <c r="L363" s="3" t="str">
        <f ca="1">IFERROR(__xludf.DUMMYFUNCTION("""COMPUTED_VALUE"""),"File names are part of bug title")</f>
        <v>File names are part of bug title</v>
      </c>
      <c r="M363" s="3"/>
      <c r="N363" s="3"/>
      <c r="O363" s="3"/>
    </row>
    <row r="364" spans="1:15" ht="98">
      <c r="A364" s="3" t="s">
        <v>64</v>
      </c>
      <c r="B364" s="3"/>
      <c r="C364" s="3" t="str">
        <f ca="1">IFERROR(__xludf.DUMMYFUNCTION("""COMPUTED_VALUE"""),"Agree")</f>
        <v>Agree</v>
      </c>
      <c r="D364" s="3">
        <f ca="1">IFERROR(__xludf.DUMMYFUNCTION("""COMPUTED_VALUE"""),173)</f>
        <v>173</v>
      </c>
      <c r="E364" s="3" t="str">
        <f ca="1">IFERROR(__xludf.DUMMYFUNCTION("""COMPUTED_VALUE"""),"Yes")</f>
        <v>Yes</v>
      </c>
      <c r="F364" s="3" t="str">
        <f ca="1">IFERROR(__xludf.DUMMYFUNCTION("""COMPUTED_VALUE"""),"BugRef")</f>
        <v>BugRef</v>
      </c>
      <c r="G364" s="3">
        <f ca="1">IFERROR(__xludf.DUMMYFUNCTION("""COMPUTED_VALUE"""),1768961)</f>
        <v>1768961</v>
      </c>
      <c r="H364" s="3" t="str">
        <f ca="1">IFERROR(__xludf.DUMMYFUNCTION("""COMPUTED_VALUE"""),"{1746983}")</f>
        <v>{1746983}</v>
      </c>
      <c r="I364" s="4" t="str">
        <f ca="1">IFERROR(__xludf.DUMMYFUNCTION("""COMPUTED_VALUE"""),"https://bugzilla.mozilla.org/show_bug.cgi?id=1768961")</f>
        <v>https://bugzilla.mozilla.org/show_bug.cgi?id=1768961</v>
      </c>
      <c r="J364" s="3" t="str">
        <f ca="1">IFERROR(__xludf.DUMMYFUNCTION("""COMPUTED_VALUE"""),"['searchfox.org/mozilla-central/rev/513d9c0f27c0c3fdc9ed6c5fb222a3f90ae69d70/ipc/chromium/src/base/process_util.h', 'searchfox.org/mozilla-central/rev/513d9c0f27c0c3fdc9ed6c5fb222a3f90ae69d70/toolkit/components/telemetry/app/TelemetrySend.jsm', 'searchfox"&amp;".org/mozilla-central/rev/513d9c0f27c0c3fdc9ed6c5fb222a3f90ae69d70/browser/app/winlauncher/LauncherProcessWin.cpp']")</f>
        <v>['searchfox.org/mozilla-central/rev/513d9c0f27c0c3fdc9ed6c5fb222a3f90ae69d70/ipc/chromium/src/base/process_util.h', 'searchfox.org/mozilla-central/rev/513d9c0f27c0c3fdc9ed6c5fb222a3f90ae69d70/toolkit/components/telemetry/app/TelemetrySend.jsm', 'searchfox.org/mozilla-central/rev/513d9c0f27c0c3fdc9ed6c5fb222a3f90ae69d70/browser/app/winlauncher/LauncherProcessWin.cpp']</v>
      </c>
      <c r="K364" s="3" t="str">
        <f ca="1">IFERROR(__xludf.DUMMYFUNCTION("""COMPUTED_VALUE"""),"System Dumps")</f>
        <v>System Dumps</v>
      </c>
      <c r="L364" s="3" t="str">
        <f ca="1">IFERROR(__xludf.DUMMYFUNCTION("""COMPUTED_VALUE"""),"Bug Description")</f>
        <v>Bug Description</v>
      </c>
      <c r="M364" s="3"/>
      <c r="N364" s="3"/>
      <c r="O364" s="3"/>
    </row>
    <row r="365" spans="1:15" ht="42">
      <c r="A365" s="3" t="s">
        <v>64</v>
      </c>
      <c r="B365" s="3"/>
      <c r="C365" s="3" t="str">
        <f ca="1">IFERROR(__xludf.DUMMYFUNCTION("""COMPUTED_VALUE"""),"Agree")</f>
        <v>Agree</v>
      </c>
      <c r="D365" s="3">
        <f ca="1">IFERROR(__xludf.DUMMYFUNCTION("""COMPUTED_VALUE"""),183)</f>
        <v>183</v>
      </c>
      <c r="E365" s="3" t="str">
        <f ca="1">IFERROR(__xludf.DUMMYFUNCTION("""COMPUTED_VALUE"""),"Yes")</f>
        <v>Yes</v>
      </c>
      <c r="F365" s="3" t="str">
        <f ca="1">IFERROR(__xludf.DUMMYFUNCTION("""COMPUTED_VALUE"""),"BugRef")</f>
        <v>BugRef</v>
      </c>
      <c r="G365" s="3">
        <f ca="1">IFERROR(__xludf.DUMMYFUNCTION("""COMPUTED_VALUE"""),1623940)</f>
        <v>1623940</v>
      </c>
      <c r="H365" s="3" t="str">
        <f ca="1">IFERROR(__xludf.DUMMYFUNCTION("""COMPUTED_VALUE"""),"{1591996}")</f>
        <v>{1591996}</v>
      </c>
      <c r="I365" s="4" t="str">
        <f ca="1">IFERROR(__xludf.DUMMYFUNCTION("""COMPUTED_VALUE"""),"https://bugzilla.mozilla.org/show_bug.cgi?id=1623940")</f>
        <v>https://bugzilla.mozilla.org/show_bug.cgi?id=1623940</v>
      </c>
      <c r="J365" s="3" t="str">
        <f ca="1">IFERROR(__xludf.DUMMYFUNCTION("""COMPUTED_VALUE"""),"['builds/worker/checkouts/gecko/gfx/skia/skia/include/core/SkPaint.h', 'gfx/skia/skia/src/ports/SkDebug_stdio.cpp', 'testcase.html']")</f>
        <v>['builds/worker/checkouts/gecko/gfx/skia/skia/include/core/SkPaint.h', 'gfx/skia/skia/src/ports/SkDebug_stdio.cpp', 'testcase.html']</v>
      </c>
      <c r="K365" s="3" t="str">
        <f ca="1">IFERROR(__xludf.DUMMYFUNCTION("""COMPUTED_VALUE"""),"System Dumps")</f>
        <v>System Dumps</v>
      </c>
      <c r="L365" s="3" t="str">
        <f ca="1">IFERROR(__xludf.DUMMYFUNCTION("""COMPUTED_VALUE"""),"File names are part of bug title")</f>
        <v>File names are part of bug title</v>
      </c>
      <c r="M365" s="3" t="str">
        <f ca="1">IFERROR(__xludf.DUMMYFUNCTION("""COMPUTED_VALUE"""),"File to Reproduce the Bug")</f>
        <v>File to Reproduce the Bug</v>
      </c>
      <c r="N365" s="3" t="str">
        <f ca="1">IFERROR(__xludf.DUMMYFUNCTION("""COMPUTED_VALUE"""),"Bug Dependency")</f>
        <v>Bug Dependency</v>
      </c>
      <c r="O365" s="3"/>
    </row>
    <row r="366" spans="1:15" ht="126">
      <c r="A366" s="3" t="s">
        <v>64</v>
      </c>
      <c r="B366" s="3"/>
      <c r="C366" s="3" t="str">
        <f ca="1">IFERROR(__xludf.DUMMYFUNCTION("""COMPUTED_VALUE"""),"Agree")</f>
        <v>Agree</v>
      </c>
      <c r="D366" s="3">
        <f ca="1">IFERROR(__xludf.DUMMYFUNCTION("""COMPUTED_VALUE"""),190)</f>
        <v>190</v>
      </c>
      <c r="E366" s="3" t="str">
        <f ca="1">IFERROR(__xludf.DUMMYFUNCTION("""COMPUTED_VALUE"""),"Yes")</f>
        <v>Yes</v>
      </c>
      <c r="F366" s="3" t="str">
        <f ca="1">IFERROR(__xludf.DUMMYFUNCTION("""COMPUTED_VALUE"""),"BugRef")</f>
        <v>BugRef</v>
      </c>
      <c r="G366" s="3">
        <f ca="1">IFERROR(__xludf.DUMMYFUNCTION("""COMPUTED_VALUE"""),1712214)</f>
        <v>1712214</v>
      </c>
      <c r="H366" s="3" t="str">
        <f ca="1">IFERROR(__xludf.DUMMYFUNCTION("""COMPUTED_VALUE"""),"{1357902}")</f>
        <v>{1357902}</v>
      </c>
      <c r="I366" s="4" t="str">
        <f ca="1">IFERROR(__xludf.DUMMYFUNCTION("""COMPUTED_VALUE"""),"https://bugzilla.mozilla.org/show_bug.cgi?id=1712214")</f>
        <v>https://bugzilla.mozilla.org/show_bug.cgi?id=1712214</v>
      </c>
      <c r="J366" s="3" t="str">
        <f ca="1">IFERROR(__xludf.DUMMYFUNCTION("""COMPUTED_VALUE"""),"['searchfox.org/mozilla-central/rev/2b372b94ce057097a6ef8eb725f209faa9d1dc4d/browser/components/translation/LanguageDetector.jsm', 'extensions/content/parent/ext-i18n.js', 'searchfox.org/mozilla-central/rev/d01591796d5faccf762adb09a311d8ee12f7ca7f/toolkit"&amp;"/components/extensions/test/xpcshell/xpcshell-content.ini', 'searchfox.org/mozilla-central/source/toolkit/components/extensions/test/xpcshell/xpcshell-content.ini']")</f>
        <v>['searchfox.org/mozilla-central/rev/2b372b94ce057097a6ef8eb725f209faa9d1dc4d/browser/components/translation/LanguageDetector.jsm', 'extensions/content/parent/ext-i18n.js', 'searchfox.org/mozilla-central/rev/d01591796d5faccf762adb09a311d8ee12f7ca7f/toolkit/components/extensions/test/xpcshell/xpcshell-content.ini', 'searchfox.org/mozilla-central/source/toolkit/components/extensions/test/xpcshell/xpcshell-content.ini']</v>
      </c>
      <c r="K366" s="3" t="str">
        <f ca="1">IFERROR(__xludf.DUMMYFUNCTION("""COMPUTED_VALUE"""),"Bug Description")</f>
        <v>Bug Description</v>
      </c>
      <c r="L366" s="3" t="str">
        <f ca="1">IFERROR(__xludf.DUMMYFUNCTION("""COMPUTED_VALUE"""),"File to Reproduce the Bug")</f>
        <v>File to Reproduce the Bug</v>
      </c>
      <c r="M366" s="3" t="str">
        <f ca="1">IFERROR(__xludf.DUMMYFUNCTION("""COMPUTED_VALUE"""),"Solution Draft")</f>
        <v>Solution Draft</v>
      </c>
      <c r="N366" s="3"/>
      <c r="O366" s="3"/>
    </row>
    <row r="367" spans="1:15" ht="70">
      <c r="A367" s="3" t="s">
        <v>64</v>
      </c>
      <c r="B367" s="3"/>
      <c r="C367" s="3" t="str">
        <f ca="1">IFERROR(__xludf.DUMMYFUNCTION("""COMPUTED_VALUE"""),"Agree")</f>
        <v>Agree</v>
      </c>
      <c r="D367" s="3">
        <f ca="1">IFERROR(__xludf.DUMMYFUNCTION("""COMPUTED_VALUE"""),194)</f>
        <v>194</v>
      </c>
      <c r="E367" s="3" t="str">
        <f ca="1">IFERROR(__xludf.DUMMYFUNCTION("""COMPUTED_VALUE"""),"Yes")</f>
        <v>Yes</v>
      </c>
      <c r="F367" s="3" t="str">
        <f ca="1">IFERROR(__xludf.DUMMYFUNCTION("""COMPUTED_VALUE"""),"BugRef")</f>
        <v>BugRef</v>
      </c>
      <c r="G367" s="3">
        <f ca="1">IFERROR(__xludf.DUMMYFUNCTION("""COMPUTED_VALUE"""),1763343)</f>
        <v>1763343</v>
      </c>
      <c r="H367" s="3" t="str">
        <f ca="1">IFERROR(__xludf.DUMMYFUNCTION("""COMPUTED_VALUE"""),"{1755515}")</f>
        <v>{1755515}</v>
      </c>
      <c r="I367" s="4" t="str">
        <f ca="1">IFERROR(__xludf.DUMMYFUNCTION("""COMPUTED_VALUE"""),"https://bugzilla.mozilla.org/show_bug.cgi?id=1763343")</f>
        <v>https://bugzilla.mozilla.org/show_bug.cgi?id=1763343</v>
      </c>
      <c r="J367" s="3" t="str">
        <f ca="1">IFERROR(__xludf.DUMMYFUNCTION("""COMPUTED_VALUE"""),"['searchfox.org/mozilla-central/source/Makefile.in', 'searchfox.org/mozilla-central/source/taskcluster/gecko_taskgraph/transforms/build.py', 'usr/lib/python3.9/runpy.py', 'builds/worker/checkouts/gecko/python/mozbuild/mozbuild/action/symbols_archive.py']")</f>
        <v>['searchfox.org/mozilla-central/source/Makefile.in', 'searchfox.org/mozilla-central/source/taskcluster/gecko_taskgraph/transforms/build.py', 'usr/lib/python3.9/runpy.py', 'builds/worker/checkouts/gecko/python/mozbuild/mozbuild/action/symbols_archive.py']</v>
      </c>
      <c r="K367" s="3" t="str">
        <f ca="1">IFERROR(__xludf.DUMMYFUNCTION("""COMPUTED_VALUE"""),"System Dumps")</f>
        <v>System Dumps</v>
      </c>
      <c r="L367" s="3" t="str">
        <f ca="1">IFERROR(__xludf.DUMMYFUNCTION("""COMPUTED_VALUE"""),"Bug Description")</f>
        <v>Bug Description</v>
      </c>
      <c r="M367" s="3" t="str">
        <f ca="1">IFERROR(__xludf.DUMMYFUNCTION("""COMPUTED_VALUE"""),"Links")</f>
        <v>Links</v>
      </c>
      <c r="N367" s="3"/>
      <c r="O367" s="3"/>
    </row>
    <row r="368" spans="1:15" ht="42">
      <c r="A368" s="3" t="s">
        <v>64</v>
      </c>
      <c r="B368" s="3"/>
      <c r="C368" s="3" t="str">
        <f ca="1">IFERROR(__xludf.DUMMYFUNCTION("""COMPUTED_VALUE"""),"Agree")</f>
        <v>Agree</v>
      </c>
      <c r="D368" s="3">
        <f ca="1">IFERROR(__xludf.DUMMYFUNCTION("""COMPUTED_VALUE"""),197)</f>
        <v>197</v>
      </c>
      <c r="E368" s="3" t="str">
        <f ca="1">IFERROR(__xludf.DUMMYFUNCTION("""COMPUTED_VALUE"""),"Yes")</f>
        <v>Yes</v>
      </c>
      <c r="F368" s="3" t="str">
        <f ca="1">IFERROR(__xludf.DUMMYFUNCTION("""COMPUTED_VALUE"""),"BugRef")</f>
        <v>BugRef</v>
      </c>
      <c r="G368" s="3">
        <f ca="1">IFERROR(__xludf.DUMMYFUNCTION("""COMPUTED_VALUE"""),1606617)</f>
        <v>1606617</v>
      </c>
      <c r="H368" s="3" t="str">
        <f ca="1">IFERROR(__xludf.DUMMYFUNCTION("""COMPUTED_VALUE"""),"{1583925}")</f>
        <v>{1583925}</v>
      </c>
      <c r="I368" s="4" t="str">
        <f ca="1">IFERROR(__xludf.DUMMYFUNCTION("""COMPUTED_VALUE"""),"https://bugzilla.mozilla.org/show_bug.cgi?id=1606617")</f>
        <v>https://bugzilla.mozilla.org/show_bug.cgi?id=1606617</v>
      </c>
      <c r="J368" s="3" t="str">
        <f ca="1">IFERROR(__xludf.DUMMYFUNCTION("""COMPUTED_VALUE"""),"['searchfox.org/mozilla-central/source/toolkit/themes/windows/global/global.css', 'lgg.epfl.ch/teaching/DGP2019/Slides/html/01_Introduction.html']")</f>
        <v>['searchfox.org/mozilla-central/source/toolkit/themes/windows/global/global.css', 'lgg.epfl.ch/teaching/DGP2019/Slides/html/01_Introduction.html']</v>
      </c>
      <c r="K368" s="3" t="str">
        <f ca="1">IFERROR(__xludf.DUMMYFUNCTION("""COMPUTED_VALUE"""),"Bug Description")</f>
        <v>Bug Description</v>
      </c>
      <c r="L368" s="3" t="str">
        <f ca="1">IFERROR(__xludf.DUMMYFUNCTION("""COMPUTED_VALUE"""),"File to Reproduce the Bug")</f>
        <v>File to Reproduce the Bug</v>
      </c>
      <c r="M368" s="3"/>
      <c r="N368" s="3"/>
      <c r="O368" s="3"/>
    </row>
    <row r="369" spans="1:15" ht="98">
      <c r="A369" s="3" t="s">
        <v>64</v>
      </c>
      <c r="B369" s="3"/>
      <c r="C369" s="3" t="str">
        <f ca="1">IFERROR(__xludf.DUMMYFUNCTION("""COMPUTED_VALUE"""),"Agree")</f>
        <v>Agree</v>
      </c>
      <c r="D369" s="3">
        <f ca="1">IFERROR(__xludf.DUMMYFUNCTION("""COMPUTED_VALUE"""),217)</f>
        <v>217</v>
      </c>
      <c r="E369" s="3" t="str">
        <f ca="1">IFERROR(__xludf.DUMMYFUNCTION("""COMPUTED_VALUE"""),"Yes")</f>
        <v>Yes</v>
      </c>
      <c r="F369" s="3" t="str">
        <f ca="1">IFERROR(__xludf.DUMMYFUNCTION("""COMPUTED_VALUE"""),"BugRef")</f>
        <v>BugRef</v>
      </c>
      <c r="G369" s="3">
        <f ca="1">IFERROR(__xludf.DUMMYFUNCTION("""COMPUTED_VALUE"""),1659369)</f>
        <v>1659369</v>
      </c>
      <c r="H369" s="3" t="str">
        <f ca="1">IFERROR(__xludf.DUMMYFUNCTION("""COMPUTED_VALUE"""),"{1612941}")</f>
        <v>{1612941}</v>
      </c>
      <c r="I369" s="4" t="str">
        <f ca="1">IFERROR(__xludf.DUMMYFUNCTION("""COMPUTED_VALUE"""),"https://bugzilla.mozilla.org/show_bug.cgi?id=1659369")</f>
        <v>https://bugzilla.mozilla.org/show_bug.cgi?id=1659369</v>
      </c>
      <c r="J369" s="3" t="str">
        <f ca="1">IFERROR(__xludf.DUMMYFUNCTION("""COMPUTED_VALUE"""),"['gfx/webrender_bindings/src/swgl_bindings.rs', 'xpcom/threads/nsThreadUtils.h', 'gfx/webrender_bindings/RenderCompositorNative.cpp', 'gfx/webrender_bindings/src/bindings.rs', 'gfx/webrender_bindings/RenderThread.cpp', 'gfx/wr/webrender/src/renderer.rs', "&amp;"'gfx/webrender_bindings/RendererOGL.cpp']")</f>
        <v>['gfx/webrender_bindings/src/swgl_bindings.rs', 'xpcom/threads/nsThreadUtils.h', 'gfx/webrender_bindings/RenderCompositorNative.cpp', 'gfx/webrender_bindings/src/bindings.rs', 'gfx/webrender_bindings/RenderThread.cpp', 'gfx/wr/webrender/src/renderer.rs', 'gfx/webrender_bindings/RendererOGL.cpp']</v>
      </c>
      <c r="K369" s="3" t="str">
        <f ca="1">IFERROR(__xludf.DUMMYFUNCTION("""COMPUTED_VALUE"""),"System Dumps")</f>
        <v>System Dumps</v>
      </c>
      <c r="L369" s="3"/>
      <c r="M369" s="3"/>
      <c r="N369" s="3" t="str">
        <f ca="1">IFERROR(__xludf.DUMMYFUNCTION("""COMPUTED_VALUE"""),"The issue was not reproduced")</f>
        <v>The issue was not reproduced</v>
      </c>
      <c r="O369" s="3"/>
    </row>
    <row r="370" spans="1:15" ht="252">
      <c r="A370" s="3" t="s">
        <v>64</v>
      </c>
      <c r="B370" s="3"/>
      <c r="C370" s="3" t="str">
        <f ca="1">IFERROR(__xludf.DUMMYFUNCTION("""COMPUTED_VALUE"""),"Agree")</f>
        <v>Agree</v>
      </c>
      <c r="D370" s="3">
        <f ca="1">IFERROR(__xludf.DUMMYFUNCTION("""COMPUTED_VALUE"""),277)</f>
        <v>277</v>
      </c>
      <c r="E370" s="3" t="str">
        <f ca="1">IFERROR(__xludf.DUMMYFUNCTION("""COMPUTED_VALUE"""),"Yes")</f>
        <v>Yes</v>
      </c>
      <c r="F370" s="3" t="str">
        <f ca="1">IFERROR(__xludf.DUMMYFUNCTION("""COMPUTED_VALUE"""),"BugRef")</f>
        <v>BugRef</v>
      </c>
      <c r="G370" s="3">
        <f ca="1">IFERROR(__xludf.DUMMYFUNCTION("""COMPUTED_VALUE"""),1628399)</f>
        <v>1628399</v>
      </c>
      <c r="H370" s="3" t="str">
        <f ca="1">IFERROR(__xludf.DUMMYFUNCTION("""COMPUTED_VALUE"""),"{1614933}")</f>
        <v>{1614933}</v>
      </c>
      <c r="I370" s="4" t="str">
        <f ca="1">IFERROR(__xludf.DUMMYFUNCTION("""COMPUTED_VALUE"""),"https://bugzilla.mozilla.org/show_bug.cgi?id=1628399")</f>
        <v>https://bugzilla.mozilla.org/show_bug.cgi?id=1628399</v>
      </c>
      <c r="J370" s="3" t="str">
        <f ca="1">IFERROR(__xludf.DUMMYFUNCTION("""COMPUTED_VALUE"""),"['builds/worker/checkouts/gecko/xpcom/ds/nsObserverService.cpp', 'mochitests/content/browser/browser/base/content/test/plugins/browser_pluginCrashCommentAndURL.js', 'treeherder.mozilla.org/intermittent-failures.html', 'builds/worker/checkouts/gecko/dom/pl"&amp;"ugins/ipc/PluginScriptableObjectParent.cpp', 'mochikit/content/browser-test.js', 'treeherder.mozilla.org/logviewer.html', 'specialpowers/SpecialPowersParent.jsm', 'builds/worker/checkouts/gecko/editor/libeditor/EditAggregateTransaction.cpp', 'specialpower"&amp;"s/SpecialPowersSandbox.jsm', 'builds/worker/checkouts/gecko/dom/plugins/ipc/PluginModuleParent.cpp', 'builds/worker/checkouts/gecko/editor/libeditor/PlaceholderTransaction.cpp', 'browser/base/content/test/plugins/browser_pluginCrashCommentAndURL.js', 'spe"&amp;"cialpowers/SpecialPowersChild.jsm', 'mochikit/content/tests/SimpleTest/SimpleTest.js', 'builds/worker/checkouts/gecko/dom/base/nsContentUtils.cpp']")</f>
        <v>['builds/worker/checkouts/gecko/xpcom/ds/nsObserverService.cpp', 'mochitests/content/browser/browser/base/content/test/plugins/browser_pluginCrashCommentAndURL.js', 'treeherder.mozilla.org/intermittent-failures.html', 'builds/worker/checkouts/gecko/dom/plugins/ipc/PluginScriptableObjectParent.cpp', 'mochikit/content/browser-test.js', 'treeherder.mozilla.org/logviewer.html', 'specialpowers/SpecialPowersParent.jsm', 'builds/worker/checkouts/gecko/editor/libeditor/EditAggregateTransaction.cpp', 'specialpowers/SpecialPowersSandbox.jsm', 'builds/worker/checkouts/gecko/dom/plugins/ipc/PluginModuleParent.cpp', 'builds/worker/checkouts/gecko/editor/libeditor/PlaceholderTransaction.cpp', 'browser/base/content/test/plugins/browser_pluginCrashCommentAndURL.js', 'specialpowers/SpecialPowersChild.jsm', 'mochikit/content/tests/SimpleTest/SimpleTest.js', 'builds/worker/checkouts/gecko/dom/base/nsContentUtils.cpp']</v>
      </c>
      <c r="K370" s="3" t="str">
        <f ca="1">IFERROR(__xludf.DUMMYFUNCTION("""COMPUTED_VALUE"""),"System Dumps")</f>
        <v>System Dumps</v>
      </c>
      <c r="L370" s="3" t="str">
        <f ca="1">IFERROR(__xludf.DUMMYFUNCTION("""COMPUTED_VALUE"""),"File names are part of bug title")</f>
        <v>File names are part of bug title</v>
      </c>
      <c r="M370" s="3" t="str">
        <f ca="1">IFERROR(__xludf.DUMMYFUNCTION("""COMPUTED_VALUE"""),"Bug Dependency")</f>
        <v>Bug Dependency</v>
      </c>
      <c r="N370" s="3"/>
      <c r="O370" s="3"/>
    </row>
    <row r="371" spans="1:15" ht="13">
      <c r="A371" s="3"/>
      <c r="B371" s="3"/>
      <c r="C371" s="3"/>
      <c r="D371" s="3"/>
      <c r="E371" s="3"/>
      <c r="F371" s="3"/>
      <c r="G371" s="3"/>
      <c r="H371" s="3"/>
      <c r="I371" s="3"/>
      <c r="J371" s="3"/>
      <c r="K371" s="3"/>
      <c r="L371" s="3"/>
      <c r="M371" s="3"/>
      <c r="N371" s="3"/>
      <c r="O371" s="3"/>
    </row>
    <row r="372" spans="1:15" ht="13">
      <c r="A372" s="3"/>
      <c r="B372" s="3"/>
      <c r="C372" s="3"/>
      <c r="D372" s="3"/>
      <c r="E372" s="3"/>
      <c r="F372" s="3"/>
      <c r="G372" s="3"/>
      <c r="H372" s="3"/>
      <c r="I372" s="3"/>
      <c r="J372" s="3"/>
      <c r="K372" s="3"/>
      <c r="L372" s="3"/>
      <c r="M372" s="3"/>
      <c r="N372" s="3"/>
      <c r="O372" s="3"/>
    </row>
    <row r="373" spans="1:15" ht="13">
      <c r="A373" s="3"/>
      <c r="B373" s="3"/>
      <c r="C373" s="3"/>
      <c r="D373" s="3"/>
      <c r="E373" s="3"/>
      <c r="F373" s="3"/>
      <c r="G373" s="3"/>
      <c r="H373" s="3"/>
      <c r="I373" s="3"/>
      <c r="J373" s="3"/>
      <c r="K373" s="3"/>
      <c r="L373" s="3"/>
      <c r="M373" s="3"/>
      <c r="N373" s="3"/>
      <c r="O373" s="3"/>
    </row>
    <row r="374" spans="1:15" ht="13">
      <c r="A374" s="3"/>
      <c r="B374" s="3"/>
      <c r="C374" s="3"/>
      <c r="D374" s="3"/>
      <c r="E374" s="3"/>
      <c r="F374" s="3"/>
      <c r="G374" s="3"/>
      <c r="H374" s="3"/>
      <c r="I374" s="3"/>
      <c r="J374" s="3"/>
      <c r="K374" s="3"/>
      <c r="L374" s="3"/>
      <c r="M374" s="3"/>
      <c r="N374" s="3"/>
      <c r="O374" s="3"/>
    </row>
    <row r="375" spans="1:15" ht="13">
      <c r="A375" s="3"/>
      <c r="B375" s="3"/>
      <c r="C375" s="3"/>
      <c r="D375" s="3"/>
      <c r="E375" s="3"/>
      <c r="F375" s="3"/>
      <c r="G375" s="3"/>
      <c r="H375" s="3"/>
      <c r="I375" s="3"/>
      <c r="J375" s="3"/>
      <c r="K375" s="3"/>
      <c r="L375" s="3"/>
      <c r="M375" s="3"/>
      <c r="N375" s="3"/>
      <c r="O375" s="3"/>
    </row>
    <row r="376" spans="1:15" ht="13">
      <c r="A376" s="3"/>
      <c r="B376" s="3"/>
      <c r="C376" s="3"/>
      <c r="D376" s="3"/>
      <c r="E376" s="3"/>
      <c r="F376" s="3"/>
      <c r="G376" s="3"/>
      <c r="H376" s="3"/>
      <c r="I376" s="3"/>
      <c r="J376" s="3"/>
      <c r="K376" s="3"/>
      <c r="L376" s="3"/>
      <c r="M376" s="3"/>
      <c r="N376" s="3"/>
      <c r="O376" s="3"/>
    </row>
    <row r="377" spans="1:15" ht="13">
      <c r="A377" s="3"/>
      <c r="B377" s="3"/>
      <c r="C377" s="3"/>
      <c r="D377" s="3"/>
      <c r="E377" s="3"/>
      <c r="F377" s="3"/>
      <c r="G377" s="3"/>
      <c r="H377" s="3"/>
      <c r="I377" s="3"/>
      <c r="J377" s="3"/>
      <c r="K377" s="3"/>
      <c r="L377" s="3"/>
      <c r="M377" s="3"/>
      <c r="N377" s="3"/>
      <c r="O377" s="3"/>
    </row>
    <row r="378" spans="1:15" ht="13">
      <c r="A378" s="3"/>
      <c r="B378" s="3"/>
      <c r="C378" s="3"/>
      <c r="D378" s="3"/>
      <c r="E378" s="3"/>
      <c r="F378" s="3"/>
      <c r="G378" s="3"/>
      <c r="H378" s="3"/>
      <c r="I378" s="3"/>
      <c r="J378" s="3"/>
      <c r="K378" s="3"/>
      <c r="L378" s="3"/>
      <c r="M378" s="3"/>
      <c r="N378" s="3"/>
      <c r="O378" s="3"/>
    </row>
    <row r="379" spans="1:15" ht="13">
      <c r="A379" s="3"/>
      <c r="B379" s="3"/>
      <c r="C379" s="3"/>
      <c r="D379" s="3"/>
      <c r="E379" s="3"/>
      <c r="F379" s="3"/>
      <c r="G379" s="3"/>
      <c r="H379" s="3"/>
      <c r="I379" s="3"/>
      <c r="J379" s="3"/>
      <c r="K379" s="3"/>
      <c r="L379" s="3"/>
      <c r="M379" s="3"/>
      <c r="N379" s="3"/>
      <c r="O379" s="3"/>
    </row>
    <row r="380" spans="1:15" ht="13">
      <c r="A380" s="3"/>
      <c r="B380" s="3"/>
      <c r="C380" s="3"/>
      <c r="D380" s="3"/>
      <c r="E380" s="3"/>
      <c r="F380" s="3"/>
      <c r="G380" s="3"/>
      <c r="H380" s="3"/>
      <c r="I380" s="3"/>
      <c r="J380" s="3"/>
      <c r="K380" s="3"/>
      <c r="L380" s="3"/>
      <c r="M380" s="3"/>
      <c r="N380" s="3"/>
      <c r="O380" s="3"/>
    </row>
    <row r="381" spans="1:15" ht="13">
      <c r="A381" s="3"/>
      <c r="B381" s="3"/>
      <c r="C381" s="3"/>
      <c r="D381" s="3"/>
      <c r="E381" s="3"/>
      <c r="F381" s="3"/>
      <c r="G381" s="3"/>
      <c r="H381" s="3"/>
      <c r="I381" s="3"/>
      <c r="J381" s="3"/>
      <c r="K381" s="3"/>
      <c r="L381" s="3"/>
      <c r="M381" s="3"/>
      <c r="N381" s="3"/>
      <c r="O381" s="3"/>
    </row>
    <row r="382" spans="1:15" ht="13">
      <c r="A382" s="3"/>
      <c r="B382" s="3"/>
      <c r="C382" s="3"/>
      <c r="D382" s="3"/>
      <c r="E382" s="3"/>
      <c r="F382" s="3"/>
      <c r="G382" s="3"/>
      <c r="H382" s="3"/>
      <c r="I382" s="3"/>
      <c r="J382" s="3"/>
      <c r="K382" s="3"/>
      <c r="L382" s="3"/>
      <c r="M382" s="3"/>
      <c r="N382" s="3"/>
      <c r="O382" s="3"/>
    </row>
    <row r="383" spans="1:15" ht="13">
      <c r="A383" s="3"/>
      <c r="B383" s="3"/>
      <c r="C383" s="3"/>
      <c r="D383" s="3"/>
      <c r="E383" s="3"/>
      <c r="F383" s="3"/>
      <c r="G383" s="3"/>
      <c r="H383" s="3"/>
      <c r="I383" s="3"/>
      <c r="J383" s="3"/>
      <c r="K383" s="3"/>
      <c r="L383" s="3"/>
      <c r="M383" s="3"/>
      <c r="N383" s="3"/>
      <c r="O383" s="3"/>
    </row>
    <row r="384" spans="1:15" ht="13">
      <c r="A384" s="3"/>
      <c r="B384" s="3"/>
      <c r="C384" s="3"/>
      <c r="D384" s="3"/>
      <c r="E384" s="3"/>
      <c r="F384" s="3"/>
      <c r="G384" s="3"/>
      <c r="H384" s="3"/>
      <c r="I384" s="3"/>
      <c r="J384" s="3"/>
      <c r="K384" s="3"/>
      <c r="L384" s="3"/>
      <c r="M384" s="3"/>
      <c r="N384" s="3"/>
      <c r="O384" s="3"/>
    </row>
    <row r="385" spans="1:15" ht="13">
      <c r="A385" s="3"/>
      <c r="B385" s="3"/>
      <c r="C385" s="3"/>
      <c r="D385" s="3"/>
      <c r="E385" s="3"/>
      <c r="F385" s="3"/>
      <c r="G385" s="3"/>
      <c r="H385" s="3"/>
      <c r="I385" s="3"/>
      <c r="J385" s="3"/>
      <c r="K385" s="3"/>
      <c r="L385" s="3"/>
      <c r="M385" s="3"/>
      <c r="N385" s="3"/>
      <c r="O385" s="3"/>
    </row>
    <row r="386" spans="1:15" ht="13">
      <c r="A386" s="3"/>
      <c r="B386" s="3"/>
      <c r="C386" s="3"/>
      <c r="D386" s="3"/>
      <c r="E386" s="3"/>
      <c r="F386" s="3"/>
      <c r="G386" s="3"/>
      <c r="H386" s="3"/>
      <c r="I386" s="3"/>
      <c r="J386" s="3"/>
      <c r="K386" s="3"/>
      <c r="L386" s="3"/>
      <c r="M386" s="3"/>
      <c r="N386" s="3"/>
      <c r="O386" s="3"/>
    </row>
    <row r="387" spans="1:15" ht="13">
      <c r="A387" s="3"/>
      <c r="B387" s="3"/>
      <c r="C387" s="3"/>
      <c r="D387" s="3"/>
      <c r="E387" s="3"/>
      <c r="F387" s="3"/>
      <c r="G387" s="3"/>
      <c r="H387" s="3"/>
      <c r="I387" s="3"/>
      <c r="J387" s="3"/>
      <c r="K387" s="3"/>
      <c r="L387" s="3"/>
      <c r="M387" s="3"/>
      <c r="N387" s="3"/>
      <c r="O387" s="3"/>
    </row>
    <row r="388" spans="1:15" ht="13">
      <c r="A388" s="3"/>
      <c r="B388" s="3"/>
      <c r="C388" s="3"/>
      <c r="D388" s="3"/>
      <c r="E388" s="3"/>
      <c r="F388" s="3"/>
      <c r="G388" s="3"/>
      <c r="H388" s="3"/>
      <c r="I388" s="3"/>
      <c r="J388" s="3"/>
      <c r="K388" s="3"/>
      <c r="L388" s="3"/>
      <c r="M388" s="3"/>
      <c r="N388" s="3"/>
      <c r="O388" s="3"/>
    </row>
    <row r="389" spans="1:15" ht="13">
      <c r="A389" s="3"/>
      <c r="B389" s="3"/>
      <c r="C389" s="3"/>
      <c r="D389" s="3"/>
      <c r="E389" s="3"/>
      <c r="F389" s="3"/>
      <c r="G389" s="3"/>
      <c r="H389" s="3"/>
      <c r="I389" s="3"/>
      <c r="J389" s="3"/>
      <c r="K389" s="3"/>
      <c r="L389" s="3"/>
      <c r="M389" s="3"/>
      <c r="N389" s="3"/>
      <c r="O389" s="3"/>
    </row>
    <row r="390" spans="1:15" ht="13">
      <c r="A390" s="3"/>
      <c r="B390" s="3"/>
      <c r="C390" s="3"/>
      <c r="D390" s="3"/>
      <c r="E390" s="3"/>
      <c r="F390" s="3"/>
      <c r="G390" s="3"/>
      <c r="H390" s="3"/>
      <c r="I390" s="3"/>
      <c r="J390" s="3"/>
      <c r="K390" s="3"/>
      <c r="L390" s="3"/>
      <c r="M390" s="3"/>
      <c r="N390" s="3"/>
      <c r="O390" s="3"/>
    </row>
    <row r="391" spans="1:15" ht="13">
      <c r="A391" s="3"/>
      <c r="B391" s="3"/>
      <c r="C391" s="3"/>
      <c r="D391" s="3"/>
      <c r="E391" s="3"/>
      <c r="F391" s="3"/>
      <c r="G391" s="3"/>
      <c r="H391" s="3"/>
      <c r="I391" s="3"/>
      <c r="J391" s="3"/>
      <c r="K391" s="3"/>
      <c r="L391" s="3"/>
      <c r="M391" s="3"/>
      <c r="N391" s="3"/>
      <c r="O391" s="3"/>
    </row>
    <row r="392" spans="1:15" ht="13">
      <c r="A392" s="3"/>
      <c r="B392" s="3"/>
      <c r="C392" s="3"/>
      <c r="D392" s="3"/>
      <c r="E392" s="3"/>
      <c r="F392" s="3"/>
      <c r="G392" s="3"/>
      <c r="H392" s="3"/>
      <c r="I392" s="3"/>
      <c r="J392" s="3"/>
      <c r="K392" s="3"/>
      <c r="L392" s="3"/>
      <c r="M392" s="3"/>
      <c r="N392" s="3"/>
      <c r="O392" s="3"/>
    </row>
    <row r="393" spans="1:15" ht="13">
      <c r="A393" s="3"/>
      <c r="B393" s="3"/>
      <c r="C393" s="3"/>
      <c r="D393" s="3"/>
      <c r="E393" s="3"/>
      <c r="F393" s="3"/>
      <c r="G393" s="3"/>
      <c r="H393" s="3"/>
      <c r="I393" s="3"/>
      <c r="J393" s="3"/>
      <c r="K393" s="3"/>
      <c r="L393" s="3"/>
      <c r="M393" s="3"/>
      <c r="N393" s="3"/>
      <c r="O393" s="3"/>
    </row>
    <row r="394" spans="1:15" ht="13">
      <c r="A394" s="3"/>
      <c r="B394" s="3"/>
      <c r="C394" s="3"/>
      <c r="D394" s="3"/>
      <c r="E394" s="3"/>
      <c r="F394" s="3"/>
      <c r="G394" s="3"/>
      <c r="H394" s="3"/>
      <c r="I394" s="3"/>
      <c r="J394" s="3"/>
      <c r="K394" s="3"/>
      <c r="L394" s="3"/>
      <c r="M394" s="3"/>
      <c r="N394" s="3"/>
      <c r="O394" s="3"/>
    </row>
    <row r="395" spans="1:15" ht="13">
      <c r="A395" s="3"/>
      <c r="B395" s="3"/>
      <c r="C395" s="3"/>
      <c r="D395" s="3"/>
      <c r="E395" s="3"/>
      <c r="F395" s="3"/>
      <c r="G395" s="3"/>
      <c r="H395" s="3"/>
      <c r="I395" s="3"/>
      <c r="J395" s="3"/>
      <c r="K395" s="3"/>
      <c r="L395" s="3"/>
      <c r="M395" s="3"/>
      <c r="N395" s="3"/>
      <c r="O395" s="3"/>
    </row>
    <row r="396" spans="1:15" ht="13">
      <c r="A396" s="3"/>
      <c r="B396" s="3"/>
      <c r="C396" s="3"/>
      <c r="D396" s="3"/>
      <c r="E396" s="3"/>
      <c r="F396" s="3"/>
      <c r="G396" s="3"/>
      <c r="H396" s="3"/>
      <c r="I396" s="3"/>
      <c r="J396" s="3"/>
      <c r="K396" s="3"/>
      <c r="L396" s="3"/>
      <c r="M396" s="3"/>
      <c r="N396" s="3"/>
      <c r="O396" s="3"/>
    </row>
    <row r="397" spans="1:15" ht="13">
      <c r="A397" s="3"/>
      <c r="B397" s="3"/>
      <c r="C397" s="3"/>
      <c r="D397" s="3"/>
      <c r="E397" s="3"/>
      <c r="F397" s="3"/>
      <c r="G397" s="3"/>
      <c r="H397" s="3"/>
      <c r="I397" s="3"/>
      <c r="J397" s="3"/>
      <c r="K397" s="3"/>
      <c r="L397" s="3"/>
      <c r="M397" s="3"/>
      <c r="N397" s="3"/>
      <c r="O397" s="3"/>
    </row>
    <row r="398" spans="1:15" ht="13">
      <c r="A398" s="3"/>
      <c r="B398" s="3"/>
      <c r="C398" s="3"/>
      <c r="D398" s="3"/>
      <c r="E398" s="3"/>
      <c r="F398" s="3"/>
      <c r="G398" s="3"/>
      <c r="H398" s="3"/>
      <c r="I398" s="3"/>
      <c r="J398" s="3"/>
      <c r="K398" s="3"/>
      <c r="L398" s="3"/>
      <c r="M398" s="3"/>
      <c r="N398" s="3"/>
      <c r="O398" s="3"/>
    </row>
    <row r="399" spans="1:15" ht="13">
      <c r="A399" s="3"/>
      <c r="B399" s="3"/>
      <c r="C399" s="3"/>
      <c r="D399" s="3"/>
      <c r="E399" s="3"/>
      <c r="F399" s="3"/>
      <c r="G399" s="3"/>
      <c r="H399" s="3"/>
      <c r="I399" s="3"/>
      <c r="J399" s="3"/>
      <c r="K399" s="3"/>
      <c r="L399" s="3"/>
      <c r="M399" s="3"/>
      <c r="N399" s="3"/>
      <c r="O399" s="3"/>
    </row>
    <row r="400" spans="1:15" ht="13">
      <c r="A400" s="3"/>
      <c r="B400" s="3"/>
      <c r="C400" s="3"/>
      <c r="D400" s="3"/>
      <c r="E400" s="3"/>
      <c r="F400" s="3"/>
      <c r="G400" s="3"/>
      <c r="H400" s="3"/>
      <c r="I400" s="3"/>
      <c r="J400" s="3"/>
      <c r="K400" s="3"/>
      <c r="L400" s="3"/>
      <c r="M400" s="3"/>
      <c r="N400" s="3"/>
      <c r="O400" s="3"/>
    </row>
    <row r="401" spans="1:15" ht="13">
      <c r="A401" s="3"/>
      <c r="B401" s="3"/>
      <c r="C401" s="3"/>
      <c r="D401" s="3"/>
      <c r="E401" s="3"/>
      <c r="F401" s="3"/>
      <c r="G401" s="3"/>
      <c r="H401" s="3"/>
      <c r="I401" s="3"/>
      <c r="J401" s="3"/>
      <c r="K401" s="3"/>
      <c r="L401" s="3"/>
      <c r="M401" s="3"/>
      <c r="N401" s="3"/>
      <c r="O401" s="3"/>
    </row>
    <row r="402" spans="1:15" ht="13">
      <c r="A402" s="3"/>
      <c r="B402" s="3"/>
      <c r="C402" s="3"/>
      <c r="D402" s="3"/>
      <c r="E402" s="3"/>
      <c r="F402" s="3"/>
      <c r="G402" s="3"/>
      <c r="H402" s="3"/>
      <c r="I402" s="3"/>
      <c r="J402" s="3"/>
      <c r="K402" s="3"/>
      <c r="L402" s="3"/>
      <c r="M402" s="3"/>
      <c r="N402" s="3"/>
      <c r="O402" s="3"/>
    </row>
    <row r="403" spans="1:15" ht="13">
      <c r="A403" s="3"/>
      <c r="B403" s="3"/>
      <c r="C403" s="3"/>
      <c r="D403" s="3"/>
      <c r="E403" s="3"/>
      <c r="F403" s="3"/>
      <c r="G403" s="3"/>
      <c r="H403" s="3"/>
      <c r="I403" s="3"/>
      <c r="J403" s="3"/>
      <c r="K403" s="3"/>
      <c r="L403" s="3"/>
      <c r="M403" s="3"/>
      <c r="N403" s="3"/>
      <c r="O403" s="3"/>
    </row>
    <row r="404" spans="1:15" ht="13">
      <c r="A404" s="3"/>
      <c r="B404" s="3"/>
      <c r="C404" s="3"/>
      <c r="D404" s="3"/>
      <c r="E404" s="3"/>
      <c r="F404" s="3"/>
      <c r="G404" s="3"/>
      <c r="H404" s="3"/>
      <c r="I404" s="3"/>
      <c r="J404" s="3"/>
      <c r="K404" s="3"/>
      <c r="L404" s="3"/>
      <c r="M404" s="3"/>
      <c r="N404" s="3"/>
      <c r="O404" s="3"/>
    </row>
    <row r="405" spans="1:15" ht="13">
      <c r="A405" s="3"/>
      <c r="B405" s="3"/>
      <c r="C405" s="3"/>
      <c r="D405" s="3"/>
      <c r="E405" s="3"/>
      <c r="F405" s="3"/>
      <c r="G405" s="3"/>
      <c r="H405" s="3"/>
      <c r="I405" s="3"/>
      <c r="J405" s="3"/>
      <c r="K405" s="3"/>
      <c r="L405" s="3"/>
      <c r="M405" s="3"/>
      <c r="N405" s="3"/>
      <c r="O405" s="3"/>
    </row>
    <row r="406" spans="1:15" ht="13">
      <c r="A406" s="3"/>
      <c r="B406" s="3"/>
      <c r="C406" s="3"/>
      <c r="D406" s="3"/>
      <c r="E406" s="3"/>
      <c r="F406" s="3"/>
      <c r="G406" s="3"/>
      <c r="H406" s="3"/>
      <c r="I406" s="3"/>
      <c r="J406" s="3"/>
      <c r="K406" s="3"/>
      <c r="L406" s="3"/>
      <c r="M406" s="3"/>
      <c r="N406" s="3"/>
      <c r="O406" s="3"/>
    </row>
    <row r="407" spans="1:15" ht="13">
      <c r="A407" s="3"/>
      <c r="B407" s="3"/>
      <c r="C407" s="3"/>
      <c r="D407" s="3"/>
      <c r="E407" s="3"/>
      <c r="F407" s="3"/>
      <c r="G407" s="3"/>
      <c r="H407" s="3"/>
      <c r="I407" s="3"/>
      <c r="J407" s="3"/>
      <c r="K407" s="3"/>
      <c r="L407" s="3"/>
      <c r="M407" s="3"/>
      <c r="N407" s="3"/>
      <c r="O407" s="3"/>
    </row>
    <row r="408" spans="1:15" ht="13">
      <c r="A408" s="3"/>
      <c r="B408" s="3"/>
      <c r="C408" s="3"/>
      <c r="D408" s="3"/>
      <c r="E408" s="3"/>
      <c r="F408" s="3"/>
      <c r="G408" s="3"/>
      <c r="H408" s="3"/>
      <c r="I408" s="3"/>
      <c r="J408" s="3"/>
      <c r="K408" s="3"/>
      <c r="L408" s="3"/>
      <c r="M408" s="3"/>
      <c r="N408" s="3"/>
      <c r="O408" s="3"/>
    </row>
    <row r="409" spans="1:15" ht="13">
      <c r="A409" s="3"/>
      <c r="B409" s="3"/>
      <c r="C409" s="3"/>
      <c r="D409" s="3"/>
      <c r="E409" s="3"/>
      <c r="F409" s="3"/>
      <c r="G409" s="3"/>
      <c r="H409" s="3"/>
      <c r="I409" s="3"/>
      <c r="J409" s="3"/>
      <c r="K409" s="3"/>
      <c r="L409" s="3"/>
      <c r="M409" s="3"/>
      <c r="N409" s="3"/>
      <c r="O409" s="3"/>
    </row>
    <row r="410" spans="1:15" ht="13">
      <c r="A410" s="3"/>
      <c r="B410" s="3"/>
      <c r="C410" s="3"/>
      <c r="D410" s="3"/>
      <c r="E410" s="3"/>
      <c r="F410" s="3"/>
      <c r="G410" s="3"/>
      <c r="H410" s="3"/>
      <c r="I410" s="3"/>
      <c r="J410" s="3"/>
      <c r="K410" s="3"/>
      <c r="L410" s="3"/>
      <c r="M410" s="3"/>
      <c r="N410" s="3"/>
      <c r="O410" s="3"/>
    </row>
    <row r="411" spans="1:15" ht="13">
      <c r="A411" s="3"/>
      <c r="B411" s="3"/>
      <c r="C411" s="3"/>
      <c r="D411" s="3"/>
      <c r="E411" s="3"/>
      <c r="F411" s="3"/>
      <c r="G411" s="3"/>
      <c r="H411" s="3"/>
      <c r="I411" s="3"/>
      <c r="J411" s="3"/>
      <c r="K411" s="3"/>
      <c r="L411" s="3"/>
      <c r="M411" s="3"/>
      <c r="N411" s="3"/>
      <c r="O411" s="3"/>
    </row>
    <row r="412" spans="1:15" ht="13">
      <c r="A412" s="3"/>
      <c r="B412" s="3"/>
      <c r="C412" s="3"/>
      <c r="D412" s="3"/>
      <c r="E412" s="3"/>
      <c r="F412" s="3"/>
      <c r="G412" s="3"/>
      <c r="H412" s="3"/>
      <c r="I412" s="3"/>
      <c r="J412" s="3"/>
      <c r="K412" s="3"/>
      <c r="L412" s="3"/>
      <c r="M412" s="3"/>
      <c r="N412" s="3"/>
      <c r="O412" s="3"/>
    </row>
    <row r="413" spans="1:15" ht="13">
      <c r="A413" s="3"/>
      <c r="B413" s="3"/>
      <c r="C413" s="3"/>
      <c r="D413" s="3"/>
      <c r="E413" s="3"/>
      <c r="F413" s="3"/>
      <c r="G413" s="3"/>
      <c r="H413" s="3"/>
      <c r="I413" s="3"/>
      <c r="J413" s="3"/>
      <c r="K413" s="3"/>
      <c r="L413" s="3"/>
      <c r="M413" s="3"/>
      <c r="N413" s="3"/>
      <c r="O413" s="3"/>
    </row>
    <row r="414" spans="1:15" ht="13">
      <c r="A414" s="3"/>
      <c r="B414" s="3"/>
      <c r="C414" s="3"/>
      <c r="D414" s="3"/>
      <c r="E414" s="3"/>
      <c r="F414" s="3"/>
      <c r="G414" s="3"/>
      <c r="H414" s="3"/>
      <c r="I414" s="3"/>
      <c r="J414" s="3"/>
      <c r="K414" s="3"/>
      <c r="L414" s="3"/>
      <c r="M414" s="3"/>
      <c r="N414" s="3"/>
      <c r="O414" s="3"/>
    </row>
    <row r="415" spans="1:15" ht="13">
      <c r="A415" s="3"/>
      <c r="B415" s="3"/>
      <c r="C415" s="3"/>
      <c r="D415" s="3"/>
      <c r="E415" s="3"/>
      <c r="F415" s="3"/>
      <c r="G415" s="3"/>
      <c r="H415" s="3"/>
      <c r="I415" s="3"/>
      <c r="J415" s="3"/>
      <c r="K415" s="3"/>
      <c r="L415" s="3"/>
      <c r="M415" s="3"/>
      <c r="N415" s="3"/>
      <c r="O415" s="3"/>
    </row>
    <row r="416" spans="1:15" ht="13">
      <c r="A416" s="3"/>
      <c r="B416" s="3"/>
      <c r="C416" s="3"/>
      <c r="D416" s="3"/>
      <c r="E416" s="3"/>
      <c r="F416" s="3"/>
      <c r="G416" s="3"/>
      <c r="H416" s="3"/>
      <c r="I416" s="3"/>
      <c r="J416" s="3"/>
      <c r="K416" s="3"/>
      <c r="L416" s="3"/>
      <c r="M416" s="3"/>
      <c r="N416" s="3"/>
      <c r="O416" s="3"/>
    </row>
    <row r="417" spans="1:15" ht="13">
      <c r="A417" s="3"/>
      <c r="B417" s="3"/>
      <c r="C417" s="3"/>
      <c r="D417" s="3"/>
      <c r="E417" s="3"/>
      <c r="F417" s="3"/>
      <c r="G417" s="3"/>
      <c r="H417" s="3"/>
      <c r="I417" s="3"/>
      <c r="J417" s="3"/>
      <c r="K417" s="3"/>
      <c r="L417" s="3"/>
      <c r="M417" s="3"/>
      <c r="N417" s="3"/>
      <c r="O417" s="3"/>
    </row>
    <row r="418" spans="1:15" ht="13">
      <c r="A418" s="3"/>
      <c r="B418" s="3"/>
      <c r="C418" s="3"/>
      <c r="D418" s="3"/>
      <c r="E418" s="3"/>
      <c r="F418" s="3"/>
      <c r="G418" s="3"/>
      <c r="H418" s="3"/>
      <c r="I418" s="3"/>
      <c r="J418" s="3"/>
      <c r="K418" s="3"/>
      <c r="L418" s="3"/>
      <c r="M418" s="3"/>
      <c r="N418" s="3"/>
      <c r="O418" s="3"/>
    </row>
    <row r="419" spans="1:15" ht="13">
      <c r="A419" s="3"/>
      <c r="B419" s="3"/>
      <c r="C419" s="3"/>
      <c r="D419" s="3"/>
      <c r="E419" s="3"/>
      <c r="F419" s="3"/>
      <c r="G419" s="3"/>
      <c r="H419" s="3"/>
      <c r="I419" s="3"/>
      <c r="J419" s="3"/>
      <c r="K419" s="3"/>
      <c r="L419" s="3"/>
      <c r="M419" s="3"/>
      <c r="N419" s="3"/>
      <c r="O419" s="3"/>
    </row>
    <row r="420" spans="1:15" ht="13">
      <c r="A420" s="3"/>
      <c r="B420" s="3"/>
      <c r="C420" s="3"/>
      <c r="D420" s="3"/>
      <c r="E420" s="3"/>
      <c r="F420" s="3"/>
      <c r="G420" s="3"/>
      <c r="H420" s="3"/>
      <c r="I420" s="3"/>
      <c r="J420" s="3"/>
      <c r="K420" s="3"/>
      <c r="L420" s="3"/>
      <c r="M420" s="3"/>
      <c r="N420" s="3"/>
      <c r="O420" s="3"/>
    </row>
    <row r="421" spans="1:15" ht="13">
      <c r="A421" s="3"/>
      <c r="B421" s="3"/>
      <c r="C421" s="3"/>
      <c r="D421" s="3"/>
      <c r="E421" s="3"/>
      <c r="F421" s="3"/>
      <c r="G421" s="3"/>
      <c r="H421" s="3"/>
      <c r="I421" s="3"/>
      <c r="J421" s="3"/>
      <c r="K421" s="3"/>
      <c r="L421" s="3"/>
      <c r="M421" s="3"/>
      <c r="N421" s="3"/>
      <c r="O421" s="3"/>
    </row>
    <row r="422" spans="1:15" ht="13">
      <c r="A422" s="3"/>
      <c r="B422" s="3"/>
      <c r="C422" s="3"/>
      <c r="D422" s="3"/>
      <c r="E422" s="3"/>
      <c r="F422" s="3"/>
      <c r="G422" s="3"/>
      <c r="H422" s="3"/>
      <c r="I422" s="3"/>
      <c r="J422" s="3"/>
      <c r="K422" s="3"/>
      <c r="L422" s="3"/>
      <c r="M422" s="3"/>
      <c r="N422" s="3"/>
      <c r="O422" s="3"/>
    </row>
    <row r="423" spans="1:15" ht="13">
      <c r="A423" s="3"/>
      <c r="B423" s="3"/>
      <c r="C423" s="3"/>
      <c r="D423" s="3"/>
      <c r="E423" s="3"/>
      <c r="F423" s="3"/>
      <c r="G423" s="3"/>
      <c r="H423" s="3"/>
      <c r="I423" s="3"/>
      <c r="J423" s="3"/>
      <c r="K423" s="3"/>
      <c r="L423" s="3"/>
      <c r="M423" s="3"/>
      <c r="N423" s="3"/>
      <c r="O423" s="3"/>
    </row>
    <row r="424" spans="1:15" ht="13">
      <c r="A424" s="3"/>
      <c r="B424" s="3"/>
      <c r="C424" s="3"/>
      <c r="D424" s="3"/>
      <c r="E424" s="3"/>
      <c r="F424" s="3"/>
      <c r="G424" s="3"/>
      <c r="H424" s="3"/>
      <c r="I424" s="3"/>
      <c r="J424" s="3"/>
      <c r="K424" s="3"/>
      <c r="L424" s="3"/>
      <c r="M424" s="3"/>
      <c r="N424" s="3"/>
      <c r="O424" s="3"/>
    </row>
    <row r="425" spans="1:15" ht="13">
      <c r="A425" s="3"/>
      <c r="B425" s="3"/>
      <c r="C425" s="3"/>
      <c r="D425" s="3"/>
      <c r="E425" s="3"/>
      <c r="F425" s="3"/>
      <c r="G425" s="3"/>
      <c r="H425" s="3"/>
      <c r="I425" s="3"/>
      <c r="J425" s="3"/>
      <c r="K425" s="3"/>
      <c r="L425" s="3"/>
      <c r="M425" s="3"/>
      <c r="N425" s="3"/>
      <c r="O425" s="3"/>
    </row>
    <row r="426" spans="1:15" ht="13">
      <c r="A426" s="3"/>
      <c r="B426" s="3"/>
      <c r="C426" s="3"/>
      <c r="D426" s="3"/>
      <c r="E426" s="3"/>
      <c r="F426" s="3"/>
      <c r="G426" s="3"/>
      <c r="H426" s="3"/>
      <c r="I426" s="3"/>
      <c r="J426" s="3"/>
      <c r="K426" s="3"/>
      <c r="L426" s="3"/>
      <c r="M426" s="3"/>
      <c r="N426" s="3"/>
      <c r="O426" s="3"/>
    </row>
    <row r="427" spans="1:15" ht="13">
      <c r="A427" s="3"/>
      <c r="B427" s="3"/>
      <c r="C427" s="3"/>
      <c r="D427" s="3"/>
      <c r="E427" s="3"/>
      <c r="F427" s="3"/>
      <c r="G427" s="3"/>
      <c r="H427" s="3"/>
      <c r="I427" s="3"/>
      <c r="J427" s="3"/>
      <c r="K427" s="3"/>
      <c r="L427" s="3"/>
      <c r="M427" s="3"/>
      <c r="N427" s="3"/>
      <c r="O427" s="3"/>
    </row>
    <row r="428" spans="1:15" ht="13">
      <c r="A428" s="3"/>
      <c r="B428" s="3"/>
      <c r="C428" s="3"/>
      <c r="D428" s="3"/>
      <c r="E428" s="3"/>
      <c r="F428" s="3"/>
      <c r="G428" s="3"/>
      <c r="H428" s="3"/>
      <c r="I428" s="3"/>
      <c r="J428" s="3"/>
      <c r="K428" s="3"/>
      <c r="L428" s="3"/>
      <c r="M428" s="3"/>
      <c r="N428" s="3"/>
      <c r="O428" s="3"/>
    </row>
    <row r="429" spans="1:15" ht="13">
      <c r="A429" s="3"/>
      <c r="B429" s="3"/>
      <c r="C429" s="3"/>
      <c r="D429" s="3"/>
      <c r="E429" s="3"/>
      <c r="F429" s="3"/>
      <c r="G429" s="3"/>
      <c r="H429" s="3"/>
      <c r="I429" s="3"/>
      <c r="J429" s="3"/>
      <c r="K429" s="3"/>
      <c r="L429" s="3"/>
      <c r="M429" s="3"/>
      <c r="N429" s="3"/>
      <c r="O429" s="3"/>
    </row>
    <row r="430" spans="1:15" ht="13">
      <c r="A430" s="3"/>
      <c r="B430" s="3"/>
      <c r="C430" s="3"/>
      <c r="D430" s="3"/>
      <c r="E430" s="3"/>
      <c r="F430" s="3"/>
      <c r="G430" s="3"/>
      <c r="H430" s="3"/>
      <c r="I430" s="3"/>
      <c r="J430" s="3"/>
      <c r="K430" s="3"/>
      <c r="L430" s="3"/>
      <c r="M430" s="3"/>
      <c r="N430" s="3"/>
      <c r="O430" s="3"/>
    </row>
    <row r="431" spans="1:15" ht="13">
      <c r="A431" s="3"/>
      <c r="B431" s="3"/>
      <c r="C431" s="3"/>
      <c r="D431" s="3"/>
      <c r="E431" s="3"/>
      <c r="F431" s="3"/>
      <c r="G431" s="3"/>
      <c r="H431" s="3"/>
      <c r="I431" s="3"/>
      <c r="J431" s="3"/>
      <c r="K431" s="3"/>
      <c r="L431" s="3"/>
      <c r="M431" s="3"/>
      <c r="N431" s="3"/>
      <c r="O431" s="3"/>
    </row>
    <row r="432" spans="1:15" ht="13">
      <c r="A432" s="3"/>
      <c r="B432" s="3"/>
      <c r="C432" s="3"/>
      <c r="D432" s="3"/>
      <c r="E432" s="3"/>
      <c r="F432" s="3"/>
      <c r="G432" s="3"/>
      <c r="H432" s="3"/>
      <c r="I432" s="3"/>
      <c r="J432" s="3"/>
      <c r="K432" s="3"/>
      <c r="L432" s="3"/>
      <c r="M432" s="3"/>
      <c r="N432" s="3"/>
      <c r="O432" s="3"/>
    </row>
    <row r="433" spans="1:15" ht="13">
      <c r="A433" s="3"/>
      <c r="B433" s="3"/>
      <c r="C433" s="3"/>
      <c r="D433" s="3"/>
      <c r="E433" s="3"/>
      <c r="F433" s="3"/>
      <c r="G433" s="3"/>
      <c r="H433" s="3"/>
      <c r="I433" s="3"/>
      <c r="J433" s="3"/>
      <c r="K433" s="3"/>
      <c r="L433" s="3"/>
      <c r="M433" s="3"/>
      <c r="N433" s="3"/>
      <c r="O433" s="3"/>
    </row>
    <row r="434" spans="1:15" ht="13">
      <c r="A434" s="3"/>
      <c r="B434" s="3"/>
      <c r="C434" s="3"/>
      <c r="D434" s="3"/>
      <c r="E434" s="3"/>
      <c r="F434" s="3"/>
      <c r="G434" s="3"/>
      <c r="H434" s="3"/>
      <c r="I434" s="3"/>
      <c r="J434" s="3"/>
      <c r="K434" s="3"/>
      <c r="L434" s="3"/>
      <c r="M434" s="3"/>
      <c r="N434" s="3"/>
      <c r="O434" s="3"/>
    </row>
    <row r="435" spans="1:15" ht="13">
      <c r="A435" s="3"/>
      <c r="B435" s="3"/>
      <c r="C435" s="3"/>
      <c r="D435" s="3"/>
      <c r="E435" s="3"/>
      <c r="F435" s="3"/>
      <c r="G435" s="3"/>
      <c r="H435" s="3"/>
      <c r="I435" s="3"/>
      <c r="J435" s="3"/>
      <c r="K435" s="3"/>
      <c r="L435" s="3"/>
      <c r="M435" s="3"/>
      <c r="N435" s="3"/>
      <c r="O435" s="3"/>
    </row>
    <row r="436" spans="1:15" ht="13">
      <c r="A436" s="3"/>
      <c r="B436" s="3"/>
      <c r="C436" s="3"/>
      <c r="D436" s="3"/>
      <c r="E436" s="3"/>
      <c r="F436" s="3"/>
      <c r="G436" s="3"/>
      <c r="H436" s="3"/>
      <c r="I436" s="3"/>
      <c r="J436" s="3"/>
      <c r="K436" s="3"/>
      <c r="L436" s="3"/>
      <c r="M436" s="3"/>
      <c r="N436" s="3"/>
      <c r="O436" s="3"/>
    </row>
    <row r="437" spans="1:15" ht="13">
      <c r="A437" s="3"/>
      <c r="B437" s="3"/>
      <c r="C437" s="3"/>
      <c r="D437" s="3"/>
      <c r="E437" s="3"/>
      <c r="F437" s="3"/>
      <c r="G437" s="3"/>
      <c r="H437" s="3"/>
      <c r="I437" s="3"/>
      <c r="J437" s="3"/>
      <c r="K437" s="3"/>
      <c r="L437" s="3"/>
      <c r="M437" s="3"/>
      <c r="N437" s="3"/>
      <c r="O437" s="3"/>
    </row>
    <row r="438" spans="1:15" ht="13">
      <c r="A438" s="3"/>
      <c r="B438" s="3"/>
      <c r="C438" s="3"/>
      <c r="D438" s="3"/>
      <c r="E438" s="3"/>
      <c r="F438" s="3"/>
      <c r="G438" s="3"/>
      <c r="H438" s="3"/>
      <c r="I438" s="3"/>
      <c r="J438" s="3"/>
      <c r="K438" s="3"/>
      <c r="L438" s="3"/>
      <c r="M438" s="3"/>
      <c r="N438" s="3"/>
      <c r="O438" s="3"/>
    </row>
    <row r="439" spans="1:15" ht="13">
      <c r="A439" s="3"/>
      <c r="B439" s="3"/>
      <c r="C439" s="3"/>
      <c r="D439" s="3"/>
      <c r="E439" s="3"/>
      <c r="F439" s="3"/>
      <c r="G439" s="3"/>
      <c r="H439" s="3"/>
      <c r="I439" s="3"/>
      <c r="J439" s="3"/>
      <c r="K439" s="3"/>
      <c r="L439" s="3"/>
      <c r="M439" s="3"/>
      <c r="N439" s="3"/>
      <c r="O439" s="3"/>
    </row>
    <row r="440" spans="1:15" ht="13">
      <c r="A440" s="3"/>
      <c r="B440" s="3"/>
      <c r="C440" s="3"/>
      <c r="D440" s="3"/>
      <c r="E440" s="3"/>
      <c r="F440" s="3"/>
      <c r="G440" s="3"/>
      <c r="H440" s="3"/>
      <c r="I440" s="3"/>
      <c r="J440" s="3"/>
      <c r="K440" s="3"/>
      <c r="L440" s="3"/>
      <c r="M440" s="3"/>
      <c r="N440" s="3"/>
      <c r="O440" s="3"/>
    </row>
    <row r="441" spans="1:15" ht="13">
      <c r="A441" s="3"/>
      <c r="B441" s="3"/>
      <c r="C441" s="3"/>
      <c r="D441" s="3"/>
      <c r="E441" s="3"/>
      <c r="F441" s="3"/>
      <c r="G441" s="3"/>
      <c r="H441" s="3"/>
      <c r="I441" s="3"/>
      <c r="J441" s="3"/>
      <c r="K441" s="3"/>
      <c r="L441" s="3"/>
      <c r="M441" s="3"/>
      <c r="N441" s="3"/>
      <c r="O441" s="3"/>
    </row>
    <row r="442" spans="1:15" ht="13">
      <c r="A442" s="3"/>
      <c r="B442" s="3"/>
      <c r="C442" s="3"/>
      <c r="D442" s="3"/>
      <c r="E442" s="3"/>
      <c r="F442" s="3"/>
      <c r="G442" s="3"/>
      <c r="H442" s="3"/>
      <c r="I442" s="3"/>
      <c r="J442" s="3"/>
      <c r="K442" s="3"/>
      <c r="L442" s="3"/>
      <c r="M442" s="3"/>
      <c r="N442" s="3"/>
      <c r="O442" s="3"/>
    </row>
    <row r="443" spans="1:15" ht="13">
      <c r="A443" s="3"/>
      <c r="B443" s="3"/>
      <c r="C443" s="3"/>
      <c r="D443" s="3"/>
      <c r="E443" s="3"/>
      <c r="F443" s="3"/>
      <c r="G443" s="3"/>
      <c r="H443" s="3"/>
      <c r="I443" s="3"/>
      <c r="J443" s="3"/>
      <c r="K443" s="3"/>
      <c r="L443" s="3"/>
      <c r="M443" s="3"/>
      <c r="N443" s="3"/>
      <c r="O443" s="3"/>
    </row>
    <row r="444" spans="1:15" ht="13">
      <c r="A444" s="3"/>
      <c r="B444" s="3"/>
      <c r="C444" s="3"/>
      <c r="D444" s="3"/>
      <c r="E444" s="3"/>
      <c r="F444" s="3"/>
      <c r="G444" s="3"/>
      <c r="H444" s="3"/>
      <c r="I444" s="3"/>
      <c r="J444" s="3"/>
      <c r="K444" s="3"/>
      <c r="L444" s="3"/>
      <c r="M444" s="3"/>
      <c r="N444" s="3"/>
      <c r="O444" s="3"/>
    </row>
    <row r="445" spans="1:15" ht="13">
      <c r="A445" s="3"/>
      <c r="B445" s="3"/>
      <c r="C445" s="3"/>
      <c r="D445" s="3"/>
      <c r="E445" s="3"/>
      <c r="F445" s="3"/>
      <c r="G445" s="3"/>
      <c r="H445" s="3"/>
      <c r="I445" s="3"/>
      <c r="J445" s="3"/>
      <c r="K445" s="3"/>
      <c r="L445" s="3"/>
      <c r="M445" s="3"/>
      <c r="N445" s="3"/>
      <c r="O445" s="3"/>
    </row>
    <row r="446" spans="1:15" ht="13">
      <c r="A446" s="3"/>
      <c r="B446" s="3"/>
      <c r="C446" s="3"/>
      <c r="D446" s="3"/>
      <c r="E446" s="3"/>
      <c r="F446" s="3"/>
      <c r="G446" s="3"/>
      <c r="H446" s="3"/>
      <c r="I446" s="3"/>
      <c r="J446" s="3"/>
      <c r="K446" s="3"/>
      <c r="L446" s="3"/>
      <c r="M446" s="3"/>
      <c r="N446" s="3"/>
      <c r="O446" s="3"/>
    </row>
    <row r="447" spans="1:15" ht="13">
      <c r="A447" s="3"/>
      <c r="B447" s="3"/>
      <c r="C447" s="3"/>
      <c r="D447" s="3"/>
      <c r="E447" s="3"/>
      <c r="F447" s="3"/>
      <c r="G447" s="3"/>
      <c r="H447" s="3"/>
      <c r="I447" s="3"/>
      <c r="J447" s="3"/>
      <c r="K447" s="3"/>
      <c r="L447" s="3"/>
      <c r="M447" s="3"/>
      <c r="N447" s="3"/>
      <c r="O447" s="3"/>
    </row>
    <row r="448" spans="1:15" ht="13">
      <c r="A448" s="3"/>
      <c r="B448" s="3"/>
      <c r="C448" s="3"/>
      <c r="D448" s="3"/>
      <c r="E448" s="3"/>
      <c r="F448" s="3"/>
      <c r="G448" s="3"/>
      <c r="H448" s="3"/>
      <c r="I448" s="3"/>
      <c r="J448" s="3"/>
      <c r="K448" s="3"/>
      <c r="L448" s="3"/>
      <c r="M448" s="3"/>
      <c r="N448" s="3"/>
      <c r="O448" s="3"/>
    </row>
    <row r="449" spans="1:15" ht="13">
      <c r="A449" s="3"/>
      <c r="B449" s="3"/>
      <c r="C449" s="3"/>
      <c r="D449" s="3"/>
      <c r="E449" s="3"/>
      <c r="F449" s="3"/>
      <c r="G449" s="3"/>
      <c r="H449" s="3"/>
      <c r="I449" s="3"/>
      <c r="J449" s="3"/>
      <c r="K449" s="3"/>
      <c r="L449" s="3"/>
      <c r="M449" s="3"/>
      <c r="N449" s="3"/>
      <c r="O449" s="3"/>
    </row>
    <row r="450" spans="1:15" ht="13">
      <c r="A450" s="3"/>
      <c r="B450" s="3"/>
      <c r="C450" s="3"/>
      <c r="D450" s="3"/>
      <c r="E450" s="3"/>
      <c r="F450" s="3"/>
      <c r="G450" s="3"/>
      <c r="H450" s="3"/>
      <c r="I450" s="3"/>
      <c r="J450" s="3"/>
      <c r="K450" s="3"/>
      <c r="L450" s="3"/>
      <c r="M450" s="3"/>
      <c r="N450" s="3"/>
      <c r="O450" s="3"/>
    </row>
    <row r="451" spans="1:15" ht="13">
      <c r="A451" s="3"/>
      <c r="B451" s="3"/>
      <c r="C451" s="3"/>
      <c r="D451" s="3"/>
      <c r="E451" s="3"/>
      <c r="F451" s="3"/>
      <c r="G451" s="3"/>
      <c r="H451" s="3"/>
      <c r="I451" s="3"/>
      <c r="J451" s="3"/>
      <c r="K451" s="3"/>
      <c r="L451" s="3"/>
      <c r="M451" s="3"/>
      <c r="N451" s="3"/>
      <c r="O451" s="3"/>
    </row>
    <row r="452" spans="1:15" ht="13">
      <c r="A452" s="3"/>
      <c r="B452" s="3"/>
      <c r="C452" s="3"/>
      <c r="D452" s="3"/>
      <c r="E452" s="3"/>
      <c r="F452" s="3"/>
      <c r="G452" s="3"/>
      <c r="H452" s="3"/>
      <c r="I452" s="3"/>
      <c r="J452" s="3"/>
      <c r="K452" s="3"/>
      <c r="L452" s="3"/>
      <c r="M452" s="3"/>
      <c r="N452" s="3"/>
      <c r="O452" s="3"/>
    </row>
    <row r="453" spans="1:15" ht="13">
      <c r="A453" s="3"/>
      <c r="B453" s="3"/>
      <c r="C453" s="3"/>
      <c r="D453" s="3"/>
      <c r="E453" s="3"/>
      <c r="F453" s="3"/>
      <c r="G453" s="3"/>
      <c r="H453" s="3"/>
      <c r="I453" s="3"/>
      <c r="J453" s="3"/>
      <c r="K453" s="3"/>
      <c r="L453" s="3"/>
      <c r="M453" s="3"/>
      <c r="N453" s="3"/>
      <c r="O453" s="3"/>
    </row>
    <row r="454" spans="1:15" ht="13">
      <c r="A454" s="3"/>
      <c r="B454" s="3"/>
      <c r="C454" s="3"/>
      <c r="D454" s="3"/>
      <c r="E454" s="3"/>
      <c r="F454" s="3"/>
      <c r="G454" s="3"/>
      <c r="H454" s="3"/>
      <c r="I454" s="3"/>
      <c r="J454" s="3"/>
      <c r="K454" s="3"/>
      <c r="L454" s="3"/>
      <c r="M454" s="3"/>
      <c r="N454" s="3"/>
      <c r="O454" s="3"/>
    </row>
    <row r="455" spans="1:15" ht="13">
      <c r="A455" s="3"/>
      <c r="B455" s="3"/>
      <c r="C455" s="3"/>
      <c r="D455" s="3"/>
      <c r="E455" s="3"/>
      <c r="F455" s="3"/>
      <c r="G455" s="3"/>
      <c r="H455" s="3"/>
      <c r="I455" s="3"/>
      <c r="J455" s="3"/>
      <c r="K455" s="3"/>
      <c r="L455" s="3"/>
      <c r="M455" s="3"/>
      <c r="N455" s="3"/>
      <c r="O455" s="3"/>
    </row>
    <row r="456" spans="1:15" ht="13">
      <c r="A456" s="3"/>
      <c r="B456" s="3"/>
      <c r="C456" s="3"/>
      <c r="D456" s="3"/>
      <c r="E456" s="3"/>
      <c r="F456" s="3"/>
      <c r="G456" s="3"/>
      <c r="H456" s="3"/>
      <c r="I456" s="3"/>
      <c r="J456" s="3"/>
      <c r="K456" s="3"/>
      <c r="L456" s="3"/>
      <c r="M456" s="3"/>
      <c r="N456" s="3"/>
      <c r="O456" s="3"/>
    </row>
    <row r="457" spans="1:15" ht="13">
      <c r="A457" s="3"/>
      <c r="B457" s="3"/>
      <c r="C457" s="3"/>
      <c r="D457" s="3"/>
      <c r="E457" s="3"/>
      <c r="F457" s="3"/>
      <c r="G457" s="3"/>
      <c r="H457" s="3"/>
      <c r="I457" s="3"/>
      <c r="J457" s="3"/>
      <c r="K457" s="3"/>
      <c r="L457" s="3"/>
      <c r="M457" s="3"/>
      <c r="N457" s="3"/>
      <c r="O457" s="3"/>
    </row>
    <row r="458" spans="1:15" ht="13">
      <c r="A458" s="3"/>
      <c r="B458" s="3"/>
      <c r="C458" s="3"/>
      <c r="D458" s="3"/>
      <c r="E458" s="3"/>
      <c r="F458" s="3"/>
      <c r="G458" s="3"/>
      <c r="H458" s="3"/>
      <c r="I458" s="3"/>
      <c r="J458" s="3"/>
      <c r="K458" s="3"/>
      <c r="L458" s="3"/>
      <c r="M458" s="3"/>
      <c r="N458" s="3"/>
      <c r="O458" s="3"/>
    </row>
    <row r="459" spans="1:15" ht="13">
      <c r="A459" s="3"/>
      <c r="B459" s="3"/>
      <c r="C459" s="3"/>
      <c r="D459" s="3"/>
      <c r="E459" s="3"/>
      <c r="F459" s="3"/>
      <c r="G459" s="3"/>
      <c r="H459" s="3"/>
      <c r="I459" s="3"/>
      <c r="J459" s="3"/>
      <c r="K459" s="3"/>
      <c r="L459" s="3"/>
      <c r="M459" s="3"/>
      <c r="N459" s="3"/>
      <c r="O459" s="3"/>
    </row>
    <row r="460" spans="1:15" ht="13">
      <c r="A460" s="3"/>
      <c r="B460" s="3"/>
      <c r="C460" s="3"/>
      <c r="D460" s="3"/>
      <c r="E460" s="3"/>
      <c r="F460" s="3"/>
      <c r="G460" s="3"/>
      <c r="H460" s="3"/>
      <c r="I460" s="3"/>
      <c r="J460" s="3"/>
      <c r="K460" s="3"/>
      <c r="L460" s="3"/>
      <c r="M460" s="3"/>
      <c r="N460" s="3"/>
      <c r="O460" s="3"/>
    </row>
    <row r="461" spans="1:15" ht="13">
      <c r="A461" s="3"/>
      <c r="B461" s="3"/>
      <c r="C461" s="3"/>
      <c r="D461" s="3"/>
      <c r="E461" s="3"/>
      <c r="F461" s="3"/>
      <c r="G461" s="3"/>
      <c r="H461" s="3"/>
      <c r="I461" s="3"/>
      <c r="J461" s="3"/>
      <c r="K461" s="3"/>
      <c r="L461" s="3"/>
      <c r="M461" s="3"/>
      <c r="N461" s="3"/>
      <c r="O461" s="3"/>
    </row>
    <row r="462" spans="1:15" ht="13">
      <c r="A462" s="3"/>
      <c r="B462" s="3"/>
      <c r="C462" s="3"/>
      <c r="D462" s="3"/>
      <c r="E462" s="3"/>
      <c r="F462" s="3"/>
      <c r="G462" s="3"/>
      <c r="H462" s="3"/>
      <c r="I462" s="3"/>
      <c r="J462" s="3"/>
      <c r="K462" s="3"/>
      <c r="L462" s="3"/>
      <c r="M462" s="3"/>
      <c r="N462" s="3"/>
      <c r="O462" s="3"/>
    </row>
    <row r="463" spans="1:15" ht="13">
      <c r="A463" s="3"/>
      <c r="B463" s="3"/>
      <c r="C463" s="3"/>
      <c r="D463" s="3"/>
      <c r="E463" s="3"/>
      <c r="F463" s="3"/>
      <c r="G463" s="3"/>
      <c r="H463" s="3"/>
      <c r="I463" s="3"/>
      <c r="J463" s="3"/>
      <c r="K463" s="3"/>
      <c r="L463" s="3"/>
      <c r="M463" s="3"/>
      <c r="N463" s="3"/>
      <c r="O463" s="3"/>
    </row>
    <row r="464" spans="1:15" ht="13">
      <c r="A464" s="3"/>
      <c r="B464" s="3"/>
      <c r="C464" s="3"/>
      <c r="D464" s="3"/>
      <c r="E464" s="3"/>
      <c r="F464" s="3"/>
      <c r="G464" s="3"/>
      <c r="H464" s="3"/>
      <c r="I464" s="3"/>
      <c r="J464" s="3"/>
      <c r="K464" s="3"/>
      <c r="L464" s="3"/>
      <c r="M464" s="3"/>
      <c r="N464" s="3"/>
      <c r="O464" s="3"/>
    </row>
    <row r="465" spans="1:15" ht="13">
      <c r="A465" s="3"/>
      <c r="B465" s="3"/>
      <c r="C465" s="3"/>
      <c r="D465" s="3"/>
      <c r="E465" s="3"/>
      <c r="F465" s="3"/>
      <c r="G465" s="3"/>
      <c r="H465" s="3"/>
      <c r="I465" s="3"/>
      <c r="J465" s="3"/>
      <c r="K465" s="3"/>
      <c r="L465" s="3"/>
      <c r="M465" s="3"/>
      <c r="N465" s="3"/>
      <c r="O465" s="3"/>
    </row>
    <row r="466" spans="1:15" ht="13">
      <c r="A466" s="3"/>
      <c r="B466" s="3"/>
      <c r="C466" s="3"/>
      <c r="D466" s="3"/>
      <c r="E466" s="3"/>
      <c r="F466" s="3"/>
      <c r="G466" s="3"/>
      <c r="H466" s="3"/>
      <c r="I466" s="3"/>
      <c r="J466" s="3"/>
      <c r="K466" s="3"/>
      <c r="L466" s="3"/>
      <c r="M466" s="3"/>
      <c r="N466" s="3"/>
      <c r="O466" s="3"/>
    </row>
    <row r="467" spans="1:15" ht="13">
      <c r="A467" s="3"/>
      <c r="B467" s="3"/>
      <c r="C467" s="3"/>
      <c r="D467" s="3"/>
      <c r="E467" s="3"/>
      <c r="F467" s="3"/>
      <c r="G467" s="3"/>
      <c r="H467" s="3"/>
      <c r="I467" s="3"/>
      <c r="J467" s="3"/>
      <c r="K467" s="3"/>
      <c r="L467" s="3"/>
      <c r="M467" s="3"/>
      <c r="N467" s="3"/>
      <c r="O467" s="3"/>
    </row>
    <row r="468" spans="1:15" ht="13">
      <c r="A468" s="3"/>
      <c r="B468" s="3"/>
      <c r="C468" s="3"/>
      <c r="D468" s="3"/>
      <c r="E468" s="3"/>
      <c r="F468" s="3"/>
      <c r="G468" s="3"/>
      <c r="H468" s="3"/>
      <c r="I468" s="3"/>
      <c r="J468" s="3"/>
      <c r="K468" s="3"/>
      <c r="L468" s="3"/>
      <c r="M468" s="3"/>
      <c r="N468" s="3"/>
      <c r="O468" s="3"/>
    </row>
    <row r="469" spans="1:15" ht="13">
      <c r="A469" s="3"/>
      <c r="B469" s="3"/>
      <c r="C469" s="3"/>
      <c r="D469" s="3"/>
      <c r="E469" s="3"/>
      <c r="F469" s="3"/>
      <c r="G469" s="3"/>
      <c r="H469" s="3"/>
      <c r="I469" s="3"/>
      <c r="J469" s="3"/>
      <c r="K469" s="3"/>
      <c r="L469" s="3"/>
      <c r="M469" s="3"/>
      <c r="N469" s="3"/>
      <c r="O469" s="3"/>
    </row>
    <row r="470" spans="1:15" ht="13">
      <c r="A470" s="3"/>
      <c r="B470" s="3"/>
      <c r="C470" s="3"/>
      <c r="D470" s="3"/>
      <c r="E470" s="3"/>
      <c r="F470" s="3"/>
      <c r="G470" s="3"/>
      <c r="H470" s="3"/>
      <c r="I470" s="3"/>
      <c r="J470" s="3"/>
      <c r="K470" s="3"/>
      <c r="L470" s="3"/>
      <c r="M470" s="3"/>
      <c r="N470" s="3"/>
      <c r="O470" s="3"/>
    </row>
    <row r="471" spans="1:15" ht="13">
      <c r="A471" s="3"/>
      <c r="B471" s="3"/>
      <c r="C471" s="3"/>
      <c r="D471" s="3"/>
      <c r="E471" s="3"/>
      <c r="F471" s="3"/>
      <c r="G471" s="3"/>
      <c r="H471" s="3"/>
      <c r="I471" s="3"/>
      <c r="J471" s="3"/>
      <c r="K471" s="3"/>
      <c r="L471" s="3"/>
      <c r="M471" s="3"/>
      <c r="N471" s="3"/>
      <c r="O471" s="3"/>
    </row>
    <row r="472" spans="1:15" ht="13">
      <c r="A472" s="3"/>
      <c r="B472" s="3"/>
      <c r="C472" s="3"/>
      <c r="D472" s="3"/>
      <c r="E472" s="3"/>
      <c r="F472" s="3"/>
      <c r="G472" s="3"/>
      <c r="H472" s="3"/>
      <c r="I472" s="3"/>
      <c r="J472" s="3"/>
      <c r="K472" s="3"/>
      <c r="L472" s="3"/>
      <c r="M472" s="3"/>
      <c r="N472" s="3"/>
      <c r="O472" s="3"/>
    </row>
    <row r="473" spans="1:15" ht="13">
      <c r="A473" s="3"/>
      <c r="B473" s="3"/>
      <c r="C473" s="3"/>
      <c r="D473" s="3"/>
      <c r="E473" s="3"/>
      <c r="F473" s="3"/>
      <c r="G473" s="3"/>
      <c r="H473" s="3"/>
      <c r="I473" s="3"/>
      <c r="J473" s="3"/>
      <c r="K473" s="3"/>
      <c r="L473" s="3"/>
      <c r="M473" s="3"/>
      <c r="N473" s="3"/>
      <c r="O473" s="3"/>
    </row>
    <row r="474" spans="1:15" ht="13">
      <c r="A474" s="3"/>
      <c r="B474" s="3"/>
      <c r="C474" s="3"/>
      <c r="D474" s="3"/>
      <c r="E474" s="3"/>
      <c r="F474" s="3"/>
      <c r="G474" s="3"/>
      <c r="H474" s="3"/>
      <c r="I474" s="3"/>
      <c r="J474" s="3"/>
      <c r="K474" s="3"/>
      <c r="L474" s="3"/>
      <c r="M474" s="3"/>
      <c r="N474" s="3"/>
      <c r="O474" s="3"/>
    </row>
    <row r="475" spans="1:15" ht="13">
      <c r="A475" s="3"/>
      <c r="B475" s="3"/>
      <c r="C475" s="3"/>
      <c r="D475" s="3"/>
      <c r="E475" s="3"/>
      <c r="F475" s="3"/>
      <c r="G475" s="3"/>
      <c r="H475" s="3"/>
      <c r="I475" s="3"/>
      <c r="J475" s="3"/>
      <c r="K475" s="3"/>
      <c r="L475" s="3"/>
      <c r="M475" s="3"/>
      <c r="N475" s="3"/>
      <c r="O475" s="3"/>
    </row>
    <row r="476" spans="1:15" ht="13">
      <c r="A476" s="3"/>
      <c r="B476" s="3"/>
      <c r="C476" s="3"/>
      <c r="D476" s="3"/>
      <c r="E476" s="3"/>
      <c r="F476" s="3"/>
      <c r="G476" s="3"/>
      <c r="H476" s="3"/>
      <c r="I476" s="3"/>
      <c r="J476" s="3"/>
      <c r="K476" s="3"/>
      <c r="L476" s="3"/>
      <c r="M476" s="3"/>
      <c r="N476" s="3"/>
      <c r="O476" s="3"/>
    </row>
    <row r="477" spans="1:15" ht="13">
      <c r="A477" s="3"/>
      <c r="B477" s="3"/>
      <c r="C477" s="3"/>
      <c r="D477" s="3"/>
      <c r="E477" s="3"/>
      <c r="F477" s="3"/>
      <c r="G477" s="3"/>
      <c r="H477" s="3"/>
      <c r="I477" s="3"/>
      <c r="J477" s="3"/>
      <c r="K477" s="3"/>
      <c r="L477" s="3"/>
      <c r="M477" s="3"/>
      <c r="N477" s="3"/>
      <c r="O477" s="3"/>
    </row>
    <row r="478" spans="1:15" ht="13">
      <c r="A478" s="3"/>
      <c r="B478" s="3"/>
      <c r="C478" s="3"/>
      <c r="D478" s="3"/>
      <c r="E478" s="3"/>
      <c r="F478" s="3"/>
      <c r="G478" s="3"/>
      <c r="H478" s="3"/>
      <c r="I478" s="3"/>
      <c r="J478" s="3"/>
      <c r="K478" s="3"/>
      <c r="L478" s="3"/>
      <c r="M478" s="3"/>
      <c r="N478" s="3"/>
      <c r="O478" s="3"/>
    </row>
    <row r="479" spans="1:15" ht="13">
      <c r="A479" s="3"/>
      <c r="B479" s="3"/>
      <c r="C479" s="3"/>
      <c r="D479" s="3"/>
      <c r="E479" s="3"/>
      <c r="F479" s="3"/>
      <c r="G479" s="3"/>
      <c r="H479" s="3"/>
      <c r="I479" s="3"/>
      <c r="J479" s="3"/>
      <c r="K479" s="3"/>
      <c r="L479" s="3"/>
      <c r="M479" s="3"/>
      <c r="N479" s="3"/>
      <c r="O479" s="3"/>
    </row>
    <row r="480" spans="1:15" ht="13">
      <c r="A480" s="3"/>
      <c r="B480" s="3"/>
      <c r="C480" s="3"/>
      <c r="D480" s="3"/>
      <c r="E480" s="3"/>
      <c r="F480" s="3"/>
      <c r="G480" s="3"/>
      <c r="H480" s="3"/>
      <c r="I480" s="3"/>
      <c r="J480" s="3"/>
      <c r="K480" s="3"/>
      <c r="L480" s="3"/>
      <c r="M480" s="3"/>
      <c r="N480" s="3"/>
      <c r="O480" s="3"/>
    </row>
    <row r="481" spans="1:15" ht="13">
      <c r="A481" s="3"/>
      <c r="B481" s="3"/>
      <c r="C481" s="3"/>
      <c r="D481" s="3"/>
      <c r="E481" s="3"/>
      <c r="F481" s="3"/>
      <c r="G481" s="3"/>
      <c r="H481" s="3"/>
      <c r="I481" s="3"/>
      <c r="J481" s="3"/>
      <c r="K481" s="3"/>
      <c r="L481" s="3"/>
      <c r="M481" s="3"/>
      <c r="N481" s="3"/>
      <c r="O481" s="3"/>
    </row>
    <row r="482" spans="1:15" ht="13">
      <c r="A482" s="3"/>
      <c r="B482" s="3"/>
      <c r="C482" s="3"/>
      <c r="D482" s="3"/>
      <c r="E482" s="3"/>
      <c r="F482" s="3"/>
      <c r="G482" s="3"/>
      <c r="H482" s="3"/>
      <c r="I482" s="3"/>
      <c r="J482" s="3"/>
      <c r="K482" s="3"/>
      <c r="L482" s="3"/>
      <c r="M482" s="3"/>
      <c r="N482" s="3"/>
      <c r="O482" s="3"/>
    </row>
    <row r="483" spans="1:15" ht="13">
      <c r="A483" s="3"/>
      <c r="B483" s="3"/>
      <c r="C483" s="3"/>
      <c r="D483" s="3"/>
      <c r="E483" s="3"/>
      <c r="F483" s="3"/>
      <c r="G483" s="3"/>
      <c r="H483" s="3"/>
      <c r="I483" s="3"/>
      <c r="J483" s="3"/>
      <c r="K483" s="3"/>
      <c r="L483" s="3"/>
      <c r="M483" s="3"/>
      <c r="N483" s="3"/>
      <c r="O483" s="3"/>
    </row>
    <row r="484" spans="1:15" ht="13">
      <c r="A484" s="3"/>
      <c r="B484" s="3"/>
      <c r="C484" s="3"/>
      <c r="D484" s="3"/>
      <c r="E484" s="3"/>
      <c r="F484" s="3"/>
      <c r="G484" s="3"/>
      <c r="H484" s="3"/>
      <c r="I484" s="3"/>
      <c r="J484" s="3"/>
      <c r="K484" s="3"/>
      <c r="L484" s="3"/>
      <c r="M484" s="3"/>
      <c r="N484" s="3"/>
      <c r="O484" s="3"/>
    </row>
    <row r="485" spans="1:15" ht="13">
      <c r="A485" s="3"/>
      <c r="B485" s="3"/>
      <c r="C485" s="3"/>
      <c r="D485" s="3"/>
      <c r="E485" s="3"/>
      <c r="F485" s="3"/>
      <c r="G485" s="3"/>
      <c r="H485" s="3"/>
      <c r="I485" s="3"/>
      <c r="J485" s="3"/>
      <c r="K485" s="3"/>
      <c r="L485" s="3"/>
      <c r="M485" s="3"/>
      <c r="N485" s="3"/>
      <c r="O485" s="3"/>
    </row>
    <row r="486" spans="1:15" ht="13">
      <c r="A486" s="3"/>
      <c r="B486" s="3"/>
      <c r="C486" s="3"/>
      <c r="D486" s="3"/>
      <c r="E486" s="3"/>
      <c r="F486" s="3"/>
      <c r="G486" s="3"/>
      <c r="H486" s="3"/>
      <c r="I486" s="3"/>
      <c r="J486" s="3"/>
      <c r="K486" s="3"/>
      <c r="L486" s="3"/>
      <c r="M486" s="3"/>
      <c r="N486" s="3"/>
      <c r="O486" s="3"/>
    </row>
    <row r="487" spans="1:15" ht="13">
      <c r="A487" s="3"/>
      <c r="B487" s="3"/>
      <c r="C487" s="3"/>
      <c r="D487" s="3"/>
      <c r="E487" s="3"/>
      <c r="F487" s="3"/>
      <c r="G487" s="3"/>
      <c r="H487" s="3"/>
      <c r="I487" s="3"/>
      <c r="J487" s="3"/>
      <c r="K487" s="3"/>
      <c r="L487" s="3"/>
      <c r="M487" s="3"/>
      <c r="N487" s="3"/>
      <c r="O487" s="3"/>
    </row>
    <row r="488" spans="1:15" ht="13">
      <c r="A488" s="3"/>
      <c r="B488" s="3"/>
      <c r="C488" s="3"/>
      <c r="D488" s="3"/>
      <c r="E488" s="3"/>
      <c r="F488" s="3"/>
      <c r="G488" s="3"/>
      <c r="H488" s="3"/>
      <c r="I488" s="3"/>
      <c r="J488" s="3"/>
      <c r="K488" s="3"/>
      <c r="L488" s="3"/>
      <c r="M488" s="3"/>
      <c r="N488" s="3"/>
      <c r="O488" s="3"/>
    </row>
    <row r="489" spans="1:15" ht="13">
      <c r="A489" s="3"/>
      <c r="B489" s="3"/>
      <c r="C489" s="3"/>
      <c r="D489" s="3"/>
      <c r="E489" s="3"/>
      <c r="F489" s="3"/>
      <c r="G489" s="3"/>
      <c r="H489" s="3"/>
      <c r="I489" s="3"/>
      <c r="J489" s="3"/>
      <c r="K489" s="3"/>
      <c r="L489" s="3"/>
      <c r="M489" s="3"/>
      <c r="N489" s="3"/>
      <c r="O489" s="3"/>
    </row>
    <row r="490" spans="1:15" ht="13">
      <c r="A490" s="3"/>
      <c r="B490" s="3"/>
      <c r="C490" s="3"/>
      <c r="D490" s="3"/>
      <c r="E490" s="3"/>
      <c r="F490" s="3"/>
      <c r="G490" s="3"/>
      <c r="H490" s="3"/>
      <c r="I490" s="3"/>
      <c r="J490" s="3"/>
      <c r="K490" s="3"/>
      <c r="L490" s="3"/>
      <c r="M490" s="3"/>
      <c r="N490" s="3"/>
      <c r="O490" s="3"/>
    </row>
    <row r="491" spans="1:15" ht="13">
      <c r="A491" s="3"/>
      <c r="B491" s="3"/>
      <c r="C491" s="3"/>
      <c r="D491" s="3"/>
      <c r="E491" s="3"/>
      <c r="F491" s="3"/>
      <c r="G491" s="3"/>
      <c r="H491" s="3"/>
      <c r="I491" s="3"/>
      <c r="J491" s="3"/>
      <c r="K491" s="3"/>
      <c r="L491" s="3"/>
      <c r="M491" s="3"/>
      <c r="N491" s="3"/>
      <c r="O491" s="3"/>
    </row>
    <row r="492" spans="1:15" ht="13">
      <c r="A492" s="3"/>
      <c r="B492" s="3"/>
      <c r="C492" s="3"/>
      <c r="D492" s="3"/>
      <c r="E492" s="3"/>
      <c r="F492" s="3"/>
      <c r="G492" s="3"/>
      <c r="H492" s="3"/>
      <c r="I492" s="3"/>
      <c r="J492" s="3"/>
      <c r="K492" s="3"/>
      <c r="L492" s="3"/>
      <c r="M492" s="3"/>
      <c r="N492" s="3"/>
      <c r="O492" s="3"/>
    </row>
    <row r="493" spans="1:15" ht="13">
      <c r="A493" s="3"/>
      <c r="B493" s="3"/>
      <c r="C493" s="3"/>
      <c r="D493" s="3"/>
      <c r="E493" s="3"/>
      <c r="F493" s="3"/>
      <c r="G493" s="3"/>
      <c r="H493" s="3"/>
      <c r="I493" s="3"/>
      <c r="J493" s="3"/>
      <c r="K493" s="3"/>
      <c r="L493" s="3"/>
      <c r="M493" s="3"/>
      <c r="N493" s="3"/>
      <c r="O493" s="3"/>
    </row>
    <row r="494" spans="1:15" ht="13">
      <c r="A494" s="3"/>
      <c r="B494" s="3"/>
      <c r="C494" s="3"/>
      <c r="D494" s="3"/>
      <c r="E494" s="3"/>
      <c r="F494" s="3"/>
      <c r="G494" s="3"/>
      <c r="H494" s="3"/>
      <c r="I494" s="3"/>
      <c r="J494" s="3"/>
      <c r="K494" s="3"/>
      <c r="L494" s="3"/>
      <c r="M494" s="3"/>
      <c r="N494" s="3"/>
      <c r="O494" s="3"/>
    </row>
    <row r="495" spans="1:15" ht="13">
      <c r="A495" s="3"/>
      <c r="B495" s="3"/>
      <c r="C495" s="3"/>
      <c r="D495" s="3"/>
      <c r="E495" s="3"/>
      <c r="F495" s="3"/>
      <c r="G495" s="3"/>
      <c r="H495" s="3"/>
      <c r="I495" s="3"/>
      <c r="J495" s="3"/>
      <c r="K495" s="3"/>
      <c r="L495" s="3"/>
      <c r="M495" s="3"/>
      <c r="N495" s="3"/>
      <c r="O495" s="3"/>
    </row>
    <row r="496" spans="1:15" ht="13">
      <c r="A496" s="3"/>
      <c r="B496" s="3"/>
      <c r="C496" s="3"/>
      <c r="D496" s="3"/>
      <c r="E496" s="3"/>
      <c r="F496" s="3"/>
      <c r="G496" s="3"/>
      <c r="H496" s="3"/>
      <c r="I496" s="3"/>
      <c r="J496" s="3"/>
      <c r="K496" s="3"/>
      <c r="L496" s="3"/>
      <c r="M496" s="3"/>
      <c r="N496" s="3"/>
      <c r="O496" s="3"/>
    </row>
    <row r="497" spans="1:15" ht="13">
      <c r="A497" s="3"/>
      <c r="B497" s="3"/>
      <c r="C497" s="3"/>
      <c r="D497" s="3"/>
      <c r="E497" s="3"/>
      <c r="F497" s="3"/>
      <c r="G497" s="3"/>
      <c r="H497" s="3"/>
      <c r="I497" s="3"/>
      <c r="J497" s="3"/>
      <c r="K497" s="3"/>
      <c r="L497" s="3"/>
      <c r="M497" s="3"/>
      <c r="N497" s="3"/>
      <c r="O497" s="3"/>
    </row>
    <row r="498" spans="1:15" ht="13">
      <c r="A498" s="3"/>
      <c r="B498" s="3"/>
      <c r="C498" s="3"/>
      <c r="D498" s="3"/>
      <c r="E498" s="3"/>
      <c r="F498" s="3"/>
      <c r="G498" s="3"/>
      <c r="H498" s="3"/>
      <c r="I498" s="3"/>
      <c r="J498" s="3"/>
      <c r="K498" s="3"/>
      <c r="L498" s="3"/>
      <c r="M498" s="3"/>
      <c r="N498" s="3"/>
      <c r="O498" s="3"/>
    </row>
    <row r="499" spans="1:15" ht="13">
      <c r="A499" s="3"/>
      <c r="B499" s="3"/>
      <c r="C499" s="3"/>
      <c r="D499" s="3"/>
      <c r="E499" s="3"/>
      <c r="F499" s="3"/>
      <c r="G499" s="3"/>
      <c r="H499" s="3"/>
      <c r="I499" s="3"/>
      <c r="J499" s="3"/>
      <c r="K499" s="3"/>
      <c r="L499" s="3"/>
      <c r="M499" s="3"/>
      <c r="N499" s="3"/>
      <c r="O499" s="3"/>
    </row>
    <row r="500" spans="1:15" ht="13">
      <c r="A500" s="3"/>
      <c r="B500" s="3"/>
      <c r="C500" s="3"/>
      <c r="D500" s="3"/>
      <c r="E500" s="3"/>
      <c r="F500" s="3"/>
      <c r="G500" s="3"/>
      <c r="H500" s="3"/>
      <c r="I500" s="3"/>
      <c r="J500" s="3"/>
      <c r="K500" s="3"/>
      <c r="L500" s="3"/>
      <c r="M500" s="3"/>
      <c r="N500" s="3"/>
      <c r="O500" s="3"/>
    </row>
    <row r="501" spans="1:15" ht="13">
      <c r="A501" s="3"/>
      <c r="B501" s="3"/>
      <c r="C501" s="3"/>
      <c r="D501" s="3"/>
      <c r="E501" s="3"/>
      <c r="F501" s="3"/>
      <c r="G501" s="3"/>
      <c r="H501" s="3"/>
      <c r="I501" s="3"/>
      <c r="J501" s="3"/>
      <c r="K501" s="3"/>
      <c r="L501" s="3"/>
      <c r="M501" s="3"/>
      <c r="N501" s="3"/>
      <c r="O501" s="3"/>
    </row>
    <row r="502" spans="1:15" ht="13">
      <c r="A502" s="3"/>
      <c r="B502" s="3"/>
      <c r="C502" s="3"/>
      <c r="D502" s="3"/>
      <c r="E502" s="3"/>
      <c r="F502" s="3"/>
      <c r="G502" s="3"/>
      <c r="H502" s="3"/>
      <c r="I502" s="3"/>
      <c r="J502" s="3"/>
      <c r="K502" s="3"/>
      <c r="L502" s="3"/>
      <c r="M502" s="3"/>
      <c r="N502" s="3"/>
      <c r="O502" s="3"/>
    </row>
    <row r="503" spans="1:15" ht="13">
      <c r="A503" s="3"/>
      <c r="B503" s="3"/>
      <c r="C503" s="3"/>
      <c r="D503" s="3"/>
      <c r="E503" s="3"/>
      <c r="F503" s="3"/>
      <c r="G503" s="3"/>
      <c r="H503" s="3"/>
      <c r="I503" s="3"/>
      <c r="J503" s="3"/>
      <c r="K503" s="3"/>
      <c r="L503" s="3"/>
      <c r="M503" s="3"/>
      <c r="N503" s="3"/>
      <c r="O503" s="3"/>
    </row>
    <row r="504" spans="1:15" ht="13">
      <c r="A504" s="3"/>
      <c r="B504" s="3"/>
      <c r="C504" s="3"/>
      <c r="D504" s="3"/>
      <c r="E504" s="3"/>
      <c r="F504" s="3"/>
      <c r="G504" s="3"/>
      <c r="H504" s="3"/>
      <c r="I504" s="3"/>
      <c r="J504" s="3"/>
      <c r="K504" s="3"/>
      <c r="L504" s="3"/>
      <c r="M504" s="3"/>
      <c r="N504" s="3"/>
      <c r="O504" s="3"/>
    </row>
    <row r="505" spans="1:15" ht="13">
      <c r="A505" s="3"/>
      <c r="B505" s="3"/>
      <c r="C505" s="3"/>
      <c r="D505" s="3"/>
      <c r="E505" s="3"/>
      <c r="F505" s="3"/>
      <c r="G505" s="3"/>
      <c r="H505" s="3"/>
      <c r="I505" s="3"/>
      <c r="J505" s="3"/>
      <c r="K505" s="3"/>
      <c r="L505" s="3"/>
      <c r="M505" s="3"/>
      <c r="N505" s="3"/>
      <c r="O505" s="3"/>
    </row>
    <row r="506" spans="1:15" ht="13">
      <c r="A506" s="3"/>
      <c r="B506" s="3"/>
      <c r="C506" s="3"/>
      <c r="D506" s="3"/>
      <c r="E506" s="3"/>
      <c r="F506" s="3"/>
      <c r="G506" s="3"/>
      <c r="H506" s="3"/>
      <c r="I506" s="3"/>
      <c r="J506" s="3"/>
      <c r="K506" s="3"/>
      <c r="L506" s="3"/>
      <c r="M506" s="3"/>
      <c r="N506" s="3"/>
      <c r="O506" s="3"/>
    </row>
    <row r="507" spans="1:15" ht="13">
      <c r="A507" s="3"/>
      <c r="B507" s="3"/>
      <c r="C507" s="3"/>
      <c r="D507" s="3"/>
      <c r="E507" s="3"/>
      <c r="F507" s="3"/>
      <c r="G507" s="3"/>
      <c r="H507" s="3"/>
      <c r="I507" s="3"/>
      <c r="J507" s="3"/>
      <c r="K507" s="3"/>
      <c r="L507" s="3"/>
      <c r="M507" s="3"/>
      <c r="N507" s="3"/>
      <c r="O507" s="3"/>
    </row>
    <row r="508" spans="1:15" ht="13">
      <c r="A508" s="3"/>
      <c r="B508" s="3"/>
      <c r="C508" s="3"/>
      <c r="D508" s="3"/>
      <c r="E508" s="3"/>
      <c r="F508" s="3"/>
      <c r="G508" s="3"/>
      <c r="H508" s="3"/>
      <c r="I508" s="3"/>
      <c r="J508" s="3"/>
      <c r="K508" s="3"/>
      <c r="L508" s="3"/>
      <c r="M508" s="3"/>
      <c r="N508" s="3"/>
      <c r="O508" s="3"/>
    </row>
    <row r="509" spans="1:15" ht="13">
      <c r="A509" s="3"/>
      <c r="B509" s="3"/>
      <c r="C509" s="3"/>
      <c r="D509" s="3"/>
      <c r="E509" s="3"/>
      <c r="F509" s="3"/>
      <c r="G509" s="3"/>
      <c r="H509" s="3"/>
      <c r="I509" s="3"/>
      <c r="J509" s="3"/>
      <c r="K509" s="3"/>
      <c r="L509" s="3"/>
      <c r="M509" s="3"/>
      <c r="N509" s="3"/>
      <c r="O509" s="3"/>
    </row>
    <row r="510" spans="1:15" ht="13">
      <c r="A510" s="3"/>
      <c r="B510" s="3"/>
      <c r="C510" s="3"/>
      <c r="D510" s="3"/>
      <c r="E510" s="3"/>
      <c r="F510" s="3"/>
      <c r="G510" s="3"/>
      <c r="H510" s="3"/>
      <c r="I510" s="3"/>
      <c r="J510" s="3"/>
      <c r="K510" s="3"/>
      <c r="L510" s="3"/>
      <c r="M510" s="3"/>
      <c r="N510" s="3"/>
      <c r="O510" s="3"/>
    </row>
    <row r="511" spans="1:15" ht="13">
      <c r="A511" s="3"/>
      <c r="B511" s="3"/>
      <c r="C511" s="3"/>
      <c r="D511" s="3"/>
      <c r="E511" s="3"/>
      <c r="F511" s="3"/>
      <c r="G511" s="3"/>
      <c r="H511" s="3"/>
      <c r="I511" s="3"/>
      <c r="J511" s="3"/>
      <c r="K511" s="3"/>
      <c r="L511" s="3"/>
      <c r="M511" s="3"/>
      <c r="N511" s="3"/>
      <c r="O511" s="3"/>
    </row>
    <row r="512" spans="1:15" ht="13">
      <c r="A512" s="3"/>
      <c r="B512" s="3"/>
      <c r="C512" s="3"/>
      <c r="D512" s="3"/>
      <c r="E512" s="3"/>
      <c r="F512" s="3"/>
      <c r="G512" s="3"/>
      <c r="H512" s="3"/>
      <c r="I512" s="3"/>
      <c r="J512" s="3"/>
      <c r="K512" s="3"/>
      <c r="L512" s="3"/>
      <c r="M512" s="3"/>
      <c r="N512" s="3"/>
      <c r="O512" s="3"/>
    </row>
    <row r="513" spans="1:15" ht="13">
      <c r="A513" s="3"/>
      <c r="B513" s="3"/>
      <c r="C513" s="3"/>
      <c r="D513" s="3"/>
      <c r="E513" s="3"/>
      <c r="F513" s="3"/>
      <c r="G513" s="3"/>
      <c r="H513" s="3"/>
      <c r="I513" s="3"/>
      <c r="J513" s="3"/>
      <c r="K513" s="3"/>
      <c r="L513" s="3"/>
      <c r="M513" s="3"/>
      <c r="N513" s="3"/>
      <c r="O513" s="3"/>
    </row>
    <row r="514" spans="1:15" ht="13">
      <c r="A514" s="3"/>
      <c r="B514" s="3"/>
      <c r="C514" s="3"/>
      <c r="D514" s="3"/>
      <c r="E514" s="3"/>
      <c r="F514" s="3"/>
      <c r="G514" s="3"/>
      <c r="H514" s="3"/>
      <c r="I514" s="3"/>
      <c r="J514" s="3"/>
      <c r="K514" s="3"/>
      <c r="L514" s="3"/>
      <c r="M514" s="3"/>
      <c r="N514" s="3"/>
      <c r="O514" s="3"/>
    </row>
    <row r="515" spans="1:15" ht="13">
      <c r="A515" s="3"/>
      <c r="B515" s="3"/>
      <c r="C515" s="3"/>
      <c r="D515" s="3"/>
      <c r="E515" s="3"/>
      <c r="F515" s="3"/>
      <c r="G515" s="3"/>
      <c r="H515" s="3"/>
      <c r="I515" s="3"/>
      <c r="J515" s="3"/>
      <c r="K515" s="3"/>
      <c r="L515" s="3"/>
      <c r="M515" s="3"/>
      <c r="N515" s="3"/>
      <c r="O515" s="3"/>
    </row>
    <row r="516" spans="1:15" ht="13">
      <c r="A516" s="3"/>
      <c r="B516" s="3"/>
      <c r="C516" s="3"/>
      <c r="D516" s="3"/>
      <c r="E516" s="3"/>
      <c r="F516" s="3"/>
      <c r="G516" s="3"/>
      <c r="H516" s="3"/>
      <c r="I516" s="3"/>
      <c r="J516" s="3"/>
      <c r="K516" s="3"/>
      <c r="L516" s="3"/>
      <c r="M516" s="3"/>
      <c r="N516" s="3"/>
      <c r="O516" s="3"/>
    </row>
    <row r="517" spans="1:15" ht="13">
      <c r="A517" s="3"/>
      <c r="B517" s="3"/>
      <c r="C517" s="3"/>
      <c r="D517" s="3"/>
      <c r="E517" s="3"/>
      <c r="F517" s="3"/>
      <c r="G517" s="3"/>
      <c r="H517" s="3"/>
      <c r="I517" s="3"/>
      <c r="J517" s="3"/>
      <c r="K517" s="3"/>
      <c r="L517" s="3"/>
      <c r="M517" s="3"/>
      <c r="N517" s="3"/>
      <c r="O517" s="3"/>
    </row>
    <row r="518" spans="1:15" ht="13">
      <c r="A518" s="3"/>
      <c r="B518" s="3"/>
      <c r="C518" s="3"/>
      <c r="D518" s="3"/>
      <c r="E518" s="3"/>
      <c r="F518" s="3"/>
      <c r="G518" s="3"/>
      <c r="H518" s="3"/>
      <c r="I518" s="3"/>
      <c r="J518" s="3"/>
      <c r="K518" s="3"/>
      <c r="L518" s="3"/>
      <c r="M518" s="3"/>
      <c r="N518" s="3"/>
      <c r="O518" s="3"/>
    </row>
    <row r="519" spans="1:15" ht="13">
      <c r="A519" s="3"/>
      <c r="B519" s="3"/>
      <c r="C519" s="3"/>
      <c r="D519" s="3"/>
      <c r="E519" s="3"/>
      <c r="F519" s="3"/>
      <c r="G519" s="3"/>
      <c r="H519" s="3"/>
      <c r="I519" s="3"/>
      <c r="J519" s="3"/>
      <c r="K519" s="3"/>
      <c r="L519" s="3"/>
      <c r="M519" s="3"/>
      <c r="N519" s="3"/>
      <c r="O519" s="3"/>
    </row>
    <row r="520" spans="1:15" ht="13">
      <c r="A520" s="3"/>
      <c r="B520" s="3"/>
      <c r="C520" s="3"/>
      <c r="D520" s="3"/>
      <c r="E520" s="3"/>
      <c r="F520" s="3"/>
      <c r="G520" s="3"/>
      <c r="H520" s="3"/>
      <c r="I520" s="3"/>
      <c r="J520" s="3"/>
      <c r="K520" s="3"/>
      <c r="L520" s="3"/>
      <c r="M520" s="3"/>
      <c r="N520" s="3"/>
      <c r="O520" s="3"/>
    </row>
    <row r="521" spans="1:15" ht="13">
      <c r="A521" s="3"/>
      <c r="B521" s="3"/>
      <c r="C521" s="3"/>
      <c r="D521" s="3"/>
      <c r="E521" s="3"/>
      <c r="F521" s="3"/>
      <c r="G521" s="3"/>
      <c r="H521" s="3"/>
      <c r="I521" s="3"/>
      <c r="J521" s="3"/>
      <c r="K521" s="3"/>
      <c r="L521" s="3"/>
      <c r="M521" s="3"/>
      <c r="N521" s="3"/>
      <c r="O521" s="3"/>
    </row>
    <row r="522" spans="1:15" ht="13">
      <c r="A522" s="3"/>
      <c r="B522" s="3"/>
      <c r="C522" s="3"/>
      <c r="D522" s="3"/>
      <c r="E522" s="3"/>
      <c r="F522" s="3"/>
      <c r="G522" s="3"/>
      <c r="H522" s="3"/>
      <c r="I522" s="3"/>
      <c r="J522" s="3"/>
      <c r="K522" s="3"/>
      <c r="L522" s="3"/>
      <c r="M522" s="3"/>
      <c r="N522" s="3"/>
      <c r="O522" s="3"/>
    </row>
    <row r="523" spans="1:15" ht="13">
      <c r="A523" s="3"/>
      <c r="B523" s="3"/>
      <c r="C523" s="3"/>
      <c r="D523" s="3"/>
      <c r="E523" s="3"/>
      <c r="F523" s="3"/>
      <c r="G523" s="3"/>
      <c r="H523" s="3"/>
      <c r="I523" s="3"/>
      <c r="J523" s="3"/>
      <c r="K523" s="3"/>
      <c r="L523" s="3"/>
      <c r="M523" s="3"/>
      <c r="N523" s="3"/>
      <c r="O523" s="3"/>
    </row>
    <row r="524" spans="1:15" ht="13">
      <c r="A524" s="3"/>
      <c r="B524" s="3"/>
      <c r="C524" s="3"/>
      <c r="D524" s="3"/>
      <c r="E524" s="3"/>
      <c r="F524" s="3"/>
      <c r="G524" s="3"/>
      <c r="H524" s="3"/>
      <c r="I524" s="3"/>
      <c r="J524" s="3"/>
      <c r="K524" s="3"/>
      <c r="L524" s="3"/>
      <c r="M524" s="3"/>
      <c r="N524" s="3"/>
      <c r="O524" s="3"/>
    </row>
    <row r="525" spans="1:15" ht="13">
      <c r="A525" s="3"/>
      <c r="B525" s="3"/>
      <c r="C525" s="3"/>
      <c r="D525" s="3"/>
      <c r="E525" s="3"/>
      <c r="F525" s="3"/>
      <c r="G525" s="3"/>
      <c r="H525" s="3"/>
      <c r="I525" s="3"/>
      <c r="J525" s="3"/>
      <c r="K525" s="3"/>
      <c r="L525" s="3"/>
      <c r="M525" s="3"/>
      <c r="N525" s="3"/>
      <c r="O525" s="3"/>
    </row>
    <row r="526" spans="1:15" ht="13">
      <c r="A526" s="3"/>
      <c r="B526" s="3"/>
      <c r="C526" s="3"/>
      <c r="D526" s="3"/>
      <c r="E526" s="3"/>
      <c r="F526" s="3"/>
      <c r="G526" s="3"/>
      <c r="H526" s="3"/>
      <c r="I526" s="3"/>
      <c r="J526" s="3"/>
      <c r="K526" s="3"/>
      <c r="L526" s="3"/>
      <c r="M526" s="3"/>
      <c r="N526" s="3"/>
      <c r="O526" s="3"/>
    </row>
    <row r="527" spans="1:15" ht="13">
      <c r="A527" s="3"/>
      <c r="B527" s="3"/>
      <c r="C527" s="3"/>
      <c r="D527" s="3"/>
      <c r="E527" s="3"/>
      <c r="F527" s="3"/>
      <c r="G527" s="3"/>
      <c r="H527" s="3"/>
      <c r="I527" s="3"/>
      <c r="J527" s="3"/>
      <c r="K527" s="3"/>
      <c r="L527" s="3"/>
      <c r="M527" s="3"/>
      <c r="N527" s="3"/>
      <c r="O527" s="3"/>
    </row>
    <row r="528" spans="1:15" ht="13">
      <c r="A528" s="3"/>
      <c r="B528" s="3"/>
      <c r="C528" s="3"/>
      <c r="D528" s="3"/>
      <c r="E528" s="3"/>
      <c r="F528" s="3"/>
      <c r="G528" s="3"/>
      <c r="H528" s="3"/>
      <c r="I528" s="3"/>
      <c r="J528" s="3"/>
      <c r="K528" s="3"/>
      <c r="L528" s="3"/>
      <c r="M528" s="3"/>
      <c r="N528" s="3"/>
      <c r="O528" s="3"/>
    </row>
    <row r="529" spans="1:15" ht="13">
      <c r="A529" s="3"/>
      <c r="B529" s="3"/>
      <c r="C529" s="3"/>
      <c r="D529" s="3"/>
      <c r="E529" s="3"/>
      <c r="F529" s="3"/>
      <c r="G529" s="3"/>
      <c r="H529" s="3"/>
      <c r="I529" s="3"/>
      <c r="J529" s="3"/>
      <c r="K529" s="3"/>
      <c r="L529" s="3"/>
      <c r="M529" s="3"/>
      <c r="N529" s="3"/>
      <c r="O529" s="3"/>
    </row>
    <row r="530" spans="1:15" ht="13">
      <c r="A530" s="3"/>
      <c r="B530" s="3"/>
      <c r="C530" s="3"/>
      <c r="D530" s="3"/>
      <c r="E530" s="3"/>
      <c r="F530" s="3"/>
      <c r="G530" s="3"/>
      <c r="H530" s="3"/>
      <c r="I530" s="3"/>
      <c r="J530" s="3"/>
      <c r="K530" s="3"/>
      <c r="L530" s="3"/>
      <c r="M530" s="3"/>
      <c r="N530" s="3"/>
      <c r="O530" s="3"/>
    </row>
    <row r="531" spans="1:15" ht="13">
      <c r="A531" s="3"/>
      <c r="B531" s="3"/>
      <c r="C531" s="3"/>
      <c r="D531" s="3"/>
      <c r="E531" s="3"/>
      <c r="F531" s="3"/>
      <c r="G531" s="3"/>
      <c r="H531" s="3"/>
      <c r="I531" s="3"/>
      <c r="J531" s="3"/>
      <c r="K531" s="3"/>
      <c r="L531" s="3"/>
      <c r="M531" s="3"/>
      <c r="N531" s="3"/>
      <c r="O531" s="3"/>
    </row>
    <row r="532" spans="1:15" ht="13">
      <c r="A532" s="3"/>
      <c r="B532" s="3"/>
      <c r="C532" s="3"/>
      <c r="D532" s="3"/>
      <c r="E532" s="3"/>
      <c r="F532" s="3"/>
      <c r="G532" s="3"/>
      <c r="H532" s="3"/>
      <c r="I532" s="3"/>
      <c r="J532" s="3"/>
      <c r="K532" s="3"/>
      <c r="L532" s="3"/>
      <c r="M532" s="3"/>
      <c r="N532" s="3"/>
      <c r="O532" s="3"/>
    </row>
    <row r="533" spans="1:15" ht="13">
      <c r="A533" s="3"/>
      <c r="B533" s="3"/>
      <c r="C533" s="3"/>
      <c r="D533" s="3"/>
      <c r="E533" s="3"/>
      <c r="F533" s="3"/>
      <c r="G533" s="3"/>
      <c r="H533" s="3"/>
      <c r="I533" s="3"/>
      <c r="J533" s="3"/>
      <c r="K533" s="3"/>
      <c r="L533" s="3"/>
      <c r="M533" s="3"/>
      <c r="N533" s="3"/>
      <c r="O533" s="3"/>
    </row>
    <row r="534" spans="1:15" ht="13">
      <c r="A534" s="3"/>
      <c r="B534" s="3"/>
      <c r="C534" s="3"/>
      <c r="D534" s="3"/>
      <c r="E534" s="3"/>
      <c r="F534" s="3"/>
      <c r="G534" s="3"/>
      <c r="H534" s="3"/>
      <c r="I534" s="3"/>
      <c r="J534" s="3"/>
      <c r="K534" s="3"/>
      <c r="L534" s="3"/>
      <c r="M534" s="3"/>
      <c r="N534" s="3"/>
      <c r="O534" s="3"/>
    </row>
    <row r="535" spans="1:15" ht="13">
      <c r="A535" s="3"/>
      <c r="B535" s="3"/>
      <c r="C535" s="3"/>
      <c r="D535" s="3"/>
      <c r="E535" s="3"/>
      <c r="F535" s="3"/>
      <c r="G535" s="3"/>
      <c r="H535" s="3"/>
      <c r="I535" s="3"/>
      <c r="J535" s="3"/>
      <c r="K535" s="3"/>
      <c r="L535" s="3"/>
      <c r="M535" s="3"/>
      <c r="N535" s="3"/>
      <c r="O535" s="3"/>
    </row>
    <row r="536" spans="1:15" ht="13">
      <c r="A536" s="3"/>
      <c r="B536" s="3"/>
      <c r="C536" s="3"/>
      <c r="D536" s="3"/>
      <c r="E536" s="3"/>
      <c r="F536" s="3"/>
      <c r="G536" s="3"/>
      <c r="H536" s="3"/>
      <c r="I536" s="3"/>
      <c r="J536" s="3"/>
      <c r="K536" s="3"/>
      <c r="L536" s="3"/>
      <c r="M536" s="3"/>
      <c r="N536" s="3"/>
      <c r="O536" s="3"/>
    </row>
    <row r="537" spans="1:15" ht="13">
      <c r="A537" s="3"/>
      <c r="B537" s="3"/>
      <c r="C537" s="3"/>
      <c r="D537" s="3"/>
      <c r="E537" s="3"/>
      <c r="F537" s="3"/>
      <c r="G537" s="3"/>
      <c r="H537" s="3"/>
      <c r="I537" s="3"/>
      <c r="J537" s="3"/>
      <c r="K537" s="3"/>
      <c r="L537" s="3"/>
      <c r="M537" s="3"/>
      <c r="N537" s="3"/>
      <c r="O537" s="3"/>
    </row>
    <row r="538" spans="1:15" ht="13">
      <c r="A538" s="3"/>
      <c r="B538" s="3"/>
      <c r="C538" s="3"/>
      <c r="D538" s="3"/>
      <c r="E538" s="3"/>
      <c r="F538" s="3"/>
      <c r="G538" s="3"/>
      <c r="H538" s="3"/>
      <c r="I538" s="3"/>
      <c r="J538" s="3"/>
      <c r="K538" s="3"/>
      <c r="L538" s="3"/>
      <c r="M538" s="3"/>
      <c r="N538" s="3"/>
      <c r="O538" s="3"/>
    </row>
    <row r="539" spans="1:15" ht="13">
      <c r="A539" s="3"/>
      <c r="B539" s="3"/>
      <c r="C539" s="3"/>
      <c r="D539" s="3"/>
      <c r="E539" s="3"/>
      <c r="F539" s="3"/>
      <c r="G539" s="3"/>
      <c r="H539" s="3"/>
      <c r="I539" s="3"/>
      <c r="J539" s="3"/>
      <c r="K539" s="3"/>
      <c r="L539" s="3"/>
      <c r="M539" s="3"/>
      <c r="N539" s="3"/>
      <c r="O539" s="3"/>
    </row>
    <row r="540" spans="1:15" ht="13">
      <c r="A540" s="3"/>
      <c r="B540" s="3"/>
      <c r="C540" s="3"/>
      <c r="D540" s="3"/>
      <c r="E540" s="3"/>
      <c r="F540" s="3"/>
      <c r="G540" s="3"/>
      <c r="H540" s="3"/>
      <c r="I540" s="3"/>
      <c r="J540" s="3"/>
      <c r="K540" s="3"/>
      <c r="L540" s="3"/>
      <c r="M540" s="3"/>
      <c r="N540" s="3"/>
      <c r="O540" s="3"/>
    </row>
    <row r="541" spans="1:15" ht="13">
      <c r="A541" s="3"/>
      <c r="B541" s="3"/>
      <c r="C541" s="3"/>
      <c r="D541" s="3"/>
      <c r="E541" s="3"/>
      <c r="F541" s="3"/>
      <c r="G541" s="3"/>
      <c r="H541" s="3"/>
      <c r="I541" s="3"/>
      <c r="J541" s="3"/>
      <c r="K541" s="3"/>
      <c r="L541" s="3"/>
      <c r="M541" s="3"/>
      <c r="N541" s="3"/>
      <c r="O541" s="3"/>
    </row>
    <row r="542" spans="1:15" ht="13">
      <c r="A542" s="3"/>
      <c r="B542" s="3"/>
      <c r="C542" s="3"/>
      <c r="D542" s="3"/>
      <c r="E542" s="3"/>
      <c r="F542" s="3"/>
      <c r="G542" s="3"/>
      <c r="H542" s="3"/>
      <c r="I542" s="3"/>
      <c r="J542" s="3"/>
      <c r="K542" s="3"/>
      <c r="L542" s="3"/>
      <c r="M542" s="3"/>
      <c r="N542" s="3"/>
      <c r="O542" s="3"/>
    </row>
    <row r="543" spans="1:15" ht="13">
      <c r="A543" s="3"/>
      <c r="B543" s="3"/>
      <c r="C543" s="3"/>
      <c r="D543" s="3"/>
      <c r="E543" s="3"/>
      <c r="F543" s="3"/>
      <c r="G543" s="3"/>
      <c r="H543" s="3"/>
      <c r="I543" s="3"/>
      <c r="J543" s="3"/>
      <c r="K543" s="3"/>
      <c r="L543" s="3"/>
      <c r="M543" s="3"/>
      <c r="N543" s="3"/>
      <c r="O543" s="3"/>
    </row>
    <row r="544" spans="1:15" ht="13">
      <c r="A544" s="3"/>
      <c r="B544" s="3"/>
      <c r="C544" s="3"/>
      <c r="D544" s="3"/>
      <c r="E544" s="3"/>
      <c r="F544" s="3"/>
      <c r="G544" s="3"/>
      <c r="H544" s="3"/>
      <c r="I544" s="3"/>
      <c r="J544" s="3"/>
      <c r="K544" s="3"/>
      <c r="L544" s="3"/>
      <c r="M544" s="3"/>
      <c r="N544" s="3"/>
      <c r="O544" s="3"/>
    </row>
    <row r="545" spans="1:15" ht="13">
      <c r="A545" s="3"/>
      <c r="B545" s="3"/>
      <c r="C545" s="3"/>
      <c r="D545" s="3"/>
      <c r="E545" s="3"/>
      <c r="F545" s="3"/>
      <c r="G545" s="3"/>
      <c r="H545" s="3"/>
      <c r="I545" s="3"/>
      <c r="J545" s="3"/>
      <c r="K545" s="3"/>
      <c r="L545" s="3"/>
      <c r="M545" s="3"/>
      <c r="N545" s="3"/>
      <c r="O545" s="3"/>
    </row>
    <row r="546" spans="1:15" ht="13">
      <c r="A546" s="3"/>
      <c r="B546" s="3"/>
      <c r="C546" s="3"/>
      <c r="D546" s="3"/>
      <c r="E546" s="3"/>
      <c r="F546" s="3"/>
      <c r="G546" s="3"/>
      <c r="H546" s="3"/>
      <c r="I546" s="3"/>
      <c r="J546" s="3"/>
      <c r="K546" s="3"/>
      <c r="L546" s="3"/>
      <c r="M546" s="3"/>
      <c r="N546" s="3"/>
      <c r="O546" s="3"/>
    </row>
    <row r="547" spans="1:15" ht="13">
      <c r="A547" s="3"/>
      <c r="B547" s="3"/>
      <c r="C547" s="3"/>
      <c r="D547" s="3"/>
      <c r="E547" s="3"/>
      <c r="F547" s="3"/>
      <c r="G547" s="3"/>
      <c r="H547" s="3"/>
      <c r="I547" s="3"/>
      <c r="J547" s="3"/>
      <c r="K547" s="3"/>
      <c r="L547" s="3"/>
      <c r="M547" s="3"/>
      <c r="N547" s="3"/>
      <c r="O547" s="3"/>
    </row>
    <row r="548" spans="1:15" ht="13">
      <c r="A548" s="3"/>
      <c r="B548" s="3"/>
      <c r="C548" s="3"/>
      <c r="D548" s="3"/>
      <c r="E548" s="3"/>
      <c r="F548" s="3"/>
      <c r="G548" s="3"/>
      <c r="H548" s="3"/>
      <c r="I548" s="3"/>
      <c r="J548" s="3"/>
      <c r="K548" s="3"/>
      <c r="L548" s="3"/>
      <c r="M548" s="3"/>
      <c r="N548" s="3"/>
      <c r="O548" s="3"/>
    </row>
    <row r="549" spans="1:15" ht="13">
      <c r="A549" s="3"/>
      <c r="B549" s="3"/>
      <c r="C549" s="3"/>
      <c r="D549" s="3"/>
      <c r="E549" s="3"/>
      <c r="F549" s="3"/>
      <c r="G549" s="3"/>
      <c r="H549" s="3"/>
      <c r="I549" s="3"/>
      <c r="J549" s="3"/>
      <c r="K549" s="3"/>
      <c r="L549" s="3"/>
      <c r="M549" s="3"/>
      <c r="N549" s="3"/>
      <c r="O549" s="3"/>
    </row>
    <row r="550" spans="1:15" ht="13">
      <c r="A550" s="3"/>
      <c r="B550" s="3"/>
      <c r="C550" s="3"/>
      <c r="D550" s="3"/>
      <c r="E550" s="3"/>
      <c r="F550" s="3"/>
      <c r="G550" s="3"/>
      <c r="H550" s="3"/>
      <c r="I550" s="3"/>
      <c r="J550" s="3"/>
      <c r="K550" s="3"/>
      <c r="L550" s="3"/>
      <c r="M550" s="3"/>
      <c r="N550" s="3"/>
      <c r="O550" s="3"/>
    </row>
    <row r="551" spans="1:15" ht="13">
      <c r="A551" s="3"/>
      <c r="B551" s="3"/>
      <c r="C551" s="3"/>
      <c r="D551" s="3"/>
      <c r="E551" s="3"/>
      <c r="F551" s="3"/>
      <c r="G551" s="3"/>
      <c r="H551" s="3"/>
      <c r="I551" s="3"/>
      <c r="J551" s="3"/>
      <c r="K551" s="3"/>
      <c r="L551" s="3"/>
      <c r="M551" s="3"/>
      <c r="N551" s="3"/>
      <c r="O551" s="3"/>
    </row>
    <row r="552" spans="1:15" ht="13">
      <c r="A552" s="3"/>
      <c r="B552" s="3"/>
      <c r="C552" s="3"/>
      <c r="D552" s="3"/>
      <c r="E552" s="3"/>
      <c r="F552" s="3"/>
      <c r="G552" s="3"/>
      <c r="H552" s="3"/>
      <c r="I552" s="3"/>
      <c r="J552" s="3"/>
      <c r="K552" s="3"/>
      <c r="L552" s="3"/>
      <c r="M552" s="3"/>
      <c r="N552" s="3"/>
      <c r="O552" s="3"/>
    </row>
    <row r="553" spans="1:15" ht="13">
      <c r="A553" s="3"/>
      <c r="B553" s="3"/>
      <c r="C553" s="3"/>
      <c r="D553" s="3"/>
      <c r="E553" s="3"/>
      <c r="F553" s="3"/>
      <c r="G553" s="3"/>
      <c r="H553" s="3"/>
      <c r="I553" s="3"/>
      <c r="J553" s="3"/>
      <c r="K553" s="3"/>
      <c r="L553" s="3"/>
      <c r="M553" s="3"/>
      <c r="N553" s="3"/>
      <c r="O553" s="3"/>
    </row>
    <row r="554" spans="1:15" ht="13">
      <c r="A554" s="3"/>
      <c r="B554" s="3"/>
      <c r="C554" s="3"/>
      <c r="D554" s="3"/>
      <c r="E554" s="3"/>
      <c r="F554" s="3"/>
      <c r="G554" s="3"/>
      <c r="H554" s="3"/>
      <c r="I554" s="3"/>
      <c r="J554" s="3"/>
      <c r="K554" s="3"/>
      <c r="L554" s="3"/>
      <c r="M554" s="3"/>
      <c r="N554" s="3"/>
      <c r="O554" s="3"/>
    </row>
    <row r="555" spans="1:15" ht="13">
      <c r="A555" s="3"/>
      <c r="B555" s="3"/>
      <c r="C555" s="3"/>
      <c r="D555" s="3"/>
      <c r="E555" s="3"/>
      <c r="F555" s="3"/>
      <c r="G555" s="3"/>
      <c r="H555" s="3"/>
      <c r="I555" s="3"/>
      <c r="J555" s="3"/>
      <c r="K555" s="3"/>
      <c r="L555" s="3"/>
      <c r="M555" s="3"/>
      <c r="N555" s="3"/>
      <c r="O555" s="3"/>
    </row>
    <row r="556" spans="1:15" ht="13">
      <c r="A556" s="3"/>
      <c r="B556" s="3"/>
      <c r="C556" s="3"/>
      <c r="D556" s="3"/>
      <c r="E556" s="3"/>
      <c r="F556" s="3"/>
      <c r="G556" s="3"/>
      <c r="H556" s="3"/>
      <c r="I556" s="3"/>
      <c r="J556" s="3"/>
      <c r="K556" s="3"/>
      <c r="L556" s="3"/>
      <c r="M556" s="3"/>
      <c r="N556" s="3"/>
      <c r="O556" s="3"/>
    </row>
    <row r="557" spans="1:15" ht="13">
      <c r="A557" s="3"/>
      <c r="B557" s="3"/>
      <c r="C557" s="3"/>
      <c r="D557" s="3"/>
      <c r="E557" s="3"/>
      <c r="F557" s="3"/>
      <c r="G557" s="3"/>
      <c r="H557" s="3"/>
      <c r="I557" s="3"/>
      <c r="J557" s="3"/>
      <c r="K557" s="3"/>
      <c r="L557" s="3"/>
      <c r="M557" s="3"/>
      <c r="N557" s="3"/>
      <c r="O557" s="3"/>
    </row>
    <row r="558" spans="1:15" ht="13">
      <c r="A558" s="3"/>
      <c r="B558" s="3"/>
      <c r="C558" s="3"/>
      <c r="D558" s="3"/>
      <c r="E558" s="3"/>
      <c r="F558" s="3"/>
      <c r="G558" s="3"/>
      <c r="H558" s="3"/>
      <c r="I558" s="3"/>
      <c r="J558" s="3"/>
      <c r="K558" s="3"/>
      <c r="L558" s="3"/>
      <c r="M558" s="3"/>
      <c r="N558" s="3"/>
      <c r="O558" s="3"/>
    </row>
    <row r="559" spans="1:15" ht="13">
      <c r="A559" s="3"/>
      <c r="B559" s="3"/>
      <c r="C559" s="3"/>
      <c r="D559" s="3"/>
      <c r="E559" s="3"/>
      <c r="F559" s="3"/>
      <c r="G559" s="3"/>
      <c r="H559" s="3"/>
      <c r="I559" s="3"/>
      <c r="J559" s="3"/>
      <c r="K559" s="3"/>
      <c r="L559" s="3"/>
      <c r="M559" s="3"/>
      <c r="N559" s="3"/>
      <c r="O559" s="3"/>
    </row>
    <row r="560" spans="1:15" ht="13">
      <c r="A560" s="3"/>
      <c r="B560" s="3"/>
      <c r="C560" s="3"/>
      <c r="D560" s="3"/>
      <c r="E560" s="3"/>
      <c r="F560" s="3"/>
      <c r="G560" s="3"/>
      <c r="H560" s="3"/>
      <c r="I560" s="3"/>
      <c r="J560" s="3"/>
      <c r="K560" s="3"/>
      <c r="L560" s="3"/>
      <c r="M560" s="3"/>
      <c r="N560" s="3"/>
      <c r="O560" s="3"/>
    </row>
    <row r="561" spans="1:15" ht="13">
      <c r="A561" s="3"/>
      <c r="B561" s="3"/>
      <c r="C561" s="3"/>
      <c r="D561" s="3"/>
      <c r="E561" s="3"/>
      <c r="F561" s="3"/>
      <c r="G561" s="3"/>
      <c r="H561" s="3"/>
      <c r="I561" s="3"/>
      <c r="J561" s="3"/>
      <c r="K561" s="3"/>
      <c r="L561" s="3"/>
      <c r="M561" s="3"/>
      <c r="N561" s="3"/>
      <c r="O561" s="3"/>
    </row>
    <row r="562" spans="1:15" ht="13">
      <c r="A562" s="3"/>
      <c r="B562" s="3"/>
      <c r="C562" s="3"/>
      <c r="D562" s="3"/>
      <c r="E562" s="3"/>
      <c r="F562" s="3"/>
      <c r="G562" s="3"/>
      <c r="H562" s="3"/>
      <c r="I562" s="3"/>
      <c r="J562" s="3"/>
      <c r="K562" s="3"/>
      <c r="L562" s="3"/>
      <c r="M562" s="3"/>
      <c r="N562" s="3"/>
      <c r="O562" s="3"/>
    </row>
    <row r="563" spans="1:15" ht="13">
      <c r="A563" s="3"/>
      <c r="B563" s="3"/>
      <c r="C563" s="3"/>
      <c r="D563" s="3"/>
      <c r="E563" s="3"/>
      <c r="F563" s="3"/>
      <c r="G563" s="3"/>
      <c r="H563" s="3"/>
      <c r="I563" s="3"/>
      <c r="J563" s="3"/>
      <c r="K563" s="3"/>
      <c r="L563" s="3"/>
      <c r="M563" s="3"/>
      <c r="N563" s="3"/>
      <c r="O563" s="3"/>
    </row>
    <row r="564" spans="1:15" ht="13">
      <c r="A564" s="3"/>
      <c r="B564" s="3"/>
      <c r="C564" s="3"/>
      <c r="D564" s="3"/>
      <c r="E564" s="3"/>
      <c r="F564" s="3"/>
      <c r="G564" s="3"/>
      <c r="H564" s="3"/>
      <c r="I564" s="3"/>
      <c r="J564" s="3"/>
      <c r="K564" s="3"/>
      <c r="L564" s="3"/>
      <c r="M564" s="3"/>
      <c r="N564" s="3"/>
      <c r="O564" s="3"/>
    </row>
    <row r="565" spans="1:15" ht="13">
      <c r="A565" s="3"/>
      <c r="B565" s="3"/>
      <c r="C565" s="3"/>
      <c r="D565" s="3"/>
      <c r="E565" s="3"/>
      <c r="F565" s="3"/>
      <c r="G565" s="3"/>
      <c r="H565" s="3"/>
      <c r="I565" s="3"/>
      <c r="J565" s="3"/>
      <c r="K565" s="3"/>
      <c r="L565" s="3"/>
      <c r="M565" s="3"/>
      <c r="N565" s="3"/>
      <c r="O565" s="3"/>
    </row>
    <row r="566" spans="1:15" ht="13">
      <c r="A566" s="3"/>
      <c r="B566" s="3"/>
      <c r="C566" s="3"/>
      <c r="D566" s="3"/>
      <c r="E566" s="3"/>
      <c r="F566" s="3"/>
      <c r="G566" s="3"/>
      <c r="H566" s="3"/>
      <c r="I566" s="3"/>
      <c r="J566" s="3"/>
      <c r="K566" s="3"/>
      <c r="L566" s="3"/>
      <c r="M566" s="3"/>
      <c r="N566" s="3"/>
      <c r="O566" s="3"/>
    </row>
    <row r="567" spans="1:15" ht="13">
      <c r="A567" s="3"/>
      <c r="B567" s="3"/>
      <c r="C567" s="3"/>
      <c r="D567" s="3"/>
      <c r="E567" s="3"/>
      <c r="F567" s="3"/>
      <c r="G567" s="3"/>
      <c r="H567" s="3"/>
      <c r="I567" s="3"/>
      <c r="J567" s="3"/>
      <c r="K567" s="3"/>
      <c r="L567" s="3"/>
      <c r="M567" s="3"/>
      <c r="N567" s="3"/>
      <c r="O567" s="3"/>
    </row>
    <row r="568" spans="1:15" ht="13">
      <c r="A568" s="3"/>
      <c r="B568" s="3"/>
      <c r="C568" s="3"/>
      <c r="D568" s="3"/>
      <c r="E568" s="3"/>
      <c r="F568" s="3"/>
      <c r="G568" s="3"/>
      <c r="H568" s="3"/>
      <c r="I568" s="3"/>
      <c r="J568" s="3"/>
      <c r="K568" s="3"/>
      <c r="L568" s="3"/>
      <c r="M568" s="3"/>
      <c r="N568" s="3"/>
      <c r="O568" s="3"/>
    </row>
    <row r="569" spans="1:15" ht="13">
      <c r="A569" s="3"/>
      <c r="B569" s="3"/>
      <c r="C569" s="3"/>
      <c r="D569" s="3"/>
      <c r="E569" s="3"/>
      <c r="F569" s="3"/>
      <c r="G569" s="3"/>
      <c r="H569" s="3"/>
      <c r="I569" s="3"/>
      <c r="J569" s="3"/>
      <c r="K569" s="3"/>
      <c r="L569" s="3"/>
      <c r="M569" s="3"/>
      <c r="N569" s="3"/>
      <c r="O569" s="3"/>
    </row>
    <row r="570" spans="1:15" ht="13">
      <c r="A570" s="3"/>
      <c r="B570" s="3"/>
      <c r="C570" s="3"/>
      <c r="D570" s="3"/>
      <c r="E570" s="3"/>
      <c r="F570" s="3"/>
      <c r="G570" s="3"/>
      <c r="H570" s="3"/>
      <c r="I570" s="3"/>
      <c r="J570" s="3"/>
      <c r="K570" s="3"/>
      <c r="L570" s="3"/>
      <c r="M570" s="3"/>
      <c r="N570" s="3"/>
      <c r="O570" s="3"/>
    </row>
    <row r="571" spans="1:15" ht="13">
      <c r="A571" s="3"/>
      <c r="B571" s="3"/>
      <c r="C571" s="3"/>
      <c r="D571" s="3"/>
      <c r="E571" s="3"/>
      <c r="F571" s="3"/>
      <c r="G571" s="3"/>
      <c r="H571" s="3"/>
      <c r="I571" s="3"/>
      <c r="J571" s="3"/>
      <c r="K571" s="3"/>
      <c r="L571" s="3"/>
      <c r="M571" s="3"/>
      <c r="N571" s="3"/>
      <c r="O571" s="3"/>
    </row>
    <row r="572" spans="1:15" ht="13">
      <c r="A572" s="3"/>
      <c r="B572" s="3"/>
      <c r="C572" s="3"/>
      <c r="D572" s="3"/>
      <c r="E572" s="3"/>
      <c r="F572" s="3"/>
      <c r="G572" s="3"/>
      <c r="H572" s="3"/>
      <c r="I572" s="3"/>
      <c r="J572" s="3"/>
      <c r="K572" s="3"/>
      <c r="L572" s="3"/>
      <c r="M572" s="3"/>
      <c r="N572" s="3"/>
      <c r="O572" s="3"/>
    </row>
    <row r="573" spans="1:15" ht="13">
      <c r="A573" s="3"/>
      <c r="B573" s="3"/>
      <c r="C573" s="3"/>
      <c r="D573" s="3"/>
      <c r="E573" s="3"/>
      <c r="F573" s="3"/>
      <c r="G573" s="3"/>
      <c r="H573" s="3"/>
      <c r="I573" s="3"/>
      <c r="J573" s="3"/>
      <c r="K573" s="3"/>
      <c r="L573" s="3"/>
      <c r="M573" s="3"/>
      <c r="N573" s="3"/>
      <c r="O573" s="3"/>
    </row>
    <row r="574" spans="1:15" ht="13">
      <c r="A574" s="3"/>
      <c r="B574" s="3"/>
      <c r="C574" s="3"/>
      <c r="D574" s="3"/>
      <c r="E574" s="3"/>
      <c r="F574" s="3"/>
      <c r="G574" s="3"/>
      <c r="H574" s="3"/>
      <c r="I574" s="3"/>
      <c r="J574" s="3"/>
      <c r="K574" s="3"/>
      <c r="L574" s="3"/>
      <c r="M574" s="3"/>
      <c r="N574" s="3"/>
      <c r="O574" s="3"/>
    </row>
    <row r="575" spans="1:15" ht="13">
      <c r="A575" s="3"/>
      <c r="B575" s="3"/>
      <c r="C575" s="3"/>
      <c r="D575" s="3"/>
      <c r="E575" s="3"/>
      <c r="F575" s="3"/>
      <c r="G575" s="3"/>
      <c r="H575" s="3"/>
      <c r="I575" s="3"/>
      <c r="J575" s="3"/>
      <c r="K575" s="3"/>
      <c r="L575" s="3"/>
      <c r="M575" s="3"/>
      <c r="N575" s="3"/>
      <c r="O575" s="3"/>
    </row>
    <row r="576" spans="1:15" ht="13">
      <c r="A576" s="3"/>
      <c r="B576" s="3"/>
      <c r="C576" s="3"/>
      <c r="D576" s="3"/>
      <c r="E576" s="3"/>
      <c r="F576" s="3"/>
      <c r="G576" s="3"/>
      <c r="H576" s="3"/>
      <c r="I576" s="3"/>
      <c r="J576" s="3"/>
      <c r="K576" s="3"/>
      <c r="L576" s="3"/>
      <c r="M576" s="3"/>
      <c r="N576" s="3"/>
      <c r="O576" s="3"/>
    </row>
    <row r="577" spans="1:15" ht="13">
      <c r="A577" s="3"/>
      <c r="B577" s="3"/>
      <c r="C577" s="3"/>
      <c r="D577" s="3"/>
      <c r="E577" s="3"/>
      <c r="F577" s="3"/>
      <c r="G577" s="3"/>
      <c r="H577" s="3"/>
      <c r="I577" s="3"/>
      <c r="J577" s="3"/>
      <c r="K577" s="3"/>
      <c r="L577" s="3"/>
      <c r="M577" s="3"/>
      <c r="N577" s="3"/>
      <c r="O577" s="3"/>
    </row>
    <row r="578" spans="1:15" ht="13">
      <c r="A578" s="3"/>
      <c r="B578" s="3"/>
      <c r="C578" s="3"/>
      <c r="D578" s="3"/>
      <c r="E578" s="3"/>
      <c r="F578" s="3"/>
      <c r="G578" s="3"/>
      <c r="H578" s="3"/>
      <c r="I578" s="3"/>
      <c r="J578" s="3"/>
      <c r="K578" s="3"/>
      <c r="L578" s="3"/>
      <c r="M578" s="3"/>
      <c r="N578" s="3"/>
      <c r="O578" s="3"/>
    </row>
    <row r="579" spans="1:15" ht="13">
      <c r="A579" s="3"/>
      <c r="B579" s="3"/>
      <c r="C579" s="3"/>
      <c r="D579" s="3"/>
      <c r="E579" s="3"/>
      <c r="F579" s="3"/>
      <c r="G579" s="3"/>
      <c r="H579" s="3"/>
      <c r="I579" s="3"/>
      <c r="J579" s="3"/>
      <c r="K579" s="3"/>
      <c r="L579" s="3"/>
      <c r="M579" s="3"/>
      <c r="N579" s="3"/>
      <c r="O579" s="3"/>
    </row>
    <row r="580" spans="1:15" ht="13">
      <c r="A580" s="3"/>
      <c r="B580" s="3"/>
      <c r="C580" s="3"/>
      <c r="D580" s="3"/>
      <c r="E580" s="3"/>
      <c r="F580" s="3"/>
      <c r="G580" s="3"/>
      <c r="H580" s="3"/>
      <c r="I580" s="3"/>
      <c r="J580" s="3"/>
      <c r="K580" s="3"/>
      <c r="L580" s="3"/>
      <c r="M580" s="3"/>
      <c r="N580" s="3"/>
      <c r="O580" s="3"/>
    </row>
    <row r="581" spans="1:15" ht="13">
      <c r="A581" s="3"/>
      <c r="B581" s="3"/>
      <c r="C581" s="3"/>
      <c r="D581" s="3"/>
      <c r="E581" s="3"/>
      <c r="F581" s="3"/>
      <c r="G581" s="3"/>
      <c r="H581" s="3"/>
      <c r="I581" s="3"/>
      <c r="J581" s="3"/>
      <c r="K581" s="3"/>
      <c r="L581" s="3"/>
      <c r="M581" s="3"/>
      <c r="N581" s="3"/>
      <c r="O581" s="3"/>
    </row>
    <row r="582" spans="1:15" ht="13">
      <c r="A582" s="3"/>
      <c r="B582" s="3"/>
      <c r="C582" s="3"/>
      <c r="D582" s="3"/>
      <c r="E582" s="3"/>
      <c r="F582" s="3"/>
      <c r="G582" s="3"/>
      <c r="H582" s="3"/>
      <c r="I582" s="3"/>
      <c r="J582" s="3"/>
      <c r="K582" s="3"/>
      <c r="L582" s="3"/>
      <c r="M582" s="3"/>
      <c r="N582" s="3"/>
      <c r="O582" s="3"/>
    </row>
    <row r="583" spans="1:15" ht="13">
      <c r="A583" s="3"/>
      <c r="B583" s="3"/>
      <c r="C583" s="3"/>
      <c r="D583" s="3"/>
      <c r="E583" s="3"/>
      <c r="F583" s="3"/>
      <c r="G583" s="3"/>
      <c r="H583" s="3"/>
      <c r="I583" s="3"/>
      <c r="J583" s="3"/>
      <c r="K583" s="3"/>
      <c r="L583" s="3"/>
      <c r="M583" s="3"/>
      <c r="N583" s="3"/>
      <c r="O583" s="3"/>
    </row>
    <row r="584" spans="1:15" ht="13">
      <c r="A584" s="3"/>
      <c r="B584" s="3"/>
      <c r="C584" s="3"/>
      <c r="D584" s="3"/>
      <c r="E584" s="3"/>
      <c r="F584" s="3"/>
      <c r="G584" s="3"/>
      <c r="H584" s="3"/>
      <c r="I584" s="3"/>
      <c r="J584" s="3"/>
      <c r="K584" s="3"/>
      <c r="L584" s="3"/>
      <c r="M584" s="3"/>
      <c r="N584" s="3"/>
      <c r="O584" s="3"/>
    </row>
    <row r="585" spans="1:15" ht="13">
      <c r="A585" s="3"/>
      <c r="B585" s="3"/>
      <c r="C585" s="3"/>
      <c r="D585" s="3"/>
      <c r="E585" s="3"/>
      <c r="F585" s="3"/>
      <c r="G585" s="3"/>
      <c r="H585" s="3"/>
      <c r="I585" s="3"/>
      <c r="J585" s="3"/>
      <c r="K585" s="3"/>
      <c r="L585" s="3"/>
      <c r="M585" s="3"/>
      <c r="N585" s="3"/>
      <c r="O585" s="3"/>
    </row>
    <row r="586" spans="1:15" ht="13">
      <c r="A586" s="3"/>
      <c r="B586" s="3"/>
      <c r="C586" s="3"/>
      <c r="D586" s="3"/>
      <c r="E586" s="3"/>
      <c r="F586" s="3"/>
      <c r="G586" s="3"/>
      <c r="H586" s="3"/>
      <c r="I586" s="3"/>
      <c r="J586" s="3"/>
      <c r="K586" s="3"/>
      <c r="L586" s="3"/>
      <c r="M586" s="3"/>
      <c r="N586" s="3"/>
      <c r="O586" s="3"/>
    </row>
    <row r="587" spans="1:15" ht="13">
      <c r="A587" s="3"/>
      <c r="B587" s="3"/>
      <c r="C587" s="3"/>
      <c r="D587" s="3"/>
      <c r="E587" s="3"/>
      <c r="F587" s="3"/>
      <c r="G587" s="3"/>
      <c r="H587" s="3"/>
      <c r="I587" s="3"/>
      <c r="J587" s="3"/>
      <c r="K587" s="3"/>
      <c r="L587" s="3"/>
      <c r="M587" s="3"/>
      <c r="N587" s="3"/>
      <c r="O587" s="3"/>
    </row>
    <row r="588" spans="1:15" ht="13">
      <c r="A588" s="3"/>
      <c r="B588" s="3"/>
      <c r="C588" s="3"/>
      <c r="D588" s="3"/>
      <c r="E588" s="3"/>
      <c r="F588" s="3"/>
      <c r="G588" s="3"/>
      <c r="H588" s="3"/>
      <c r="I588" s="3"/>
      <c r="J588" s="3"/>
      <c r="K588" s="3"/>
      <c r="L588" s="3"/>
      <c r="M588" s="3"/>
      <c r="N588" s="3"/>
      <c r="O588" s="3"/>
    </row>
    <row r="589" spans="1:15" ht="13">
      <c r="A589" s="3"/>
      <c r="B589" s="3"/>
      <c r="C589" s="3"/>
      <c r="D589" s="3"/>
      <c r="E589" s="3"/>
      <c r="F589" s="3"/>
      <c r="G589" s="3"/>
      <c r="H589" s="3"/>
      <c r="I589" s="3"/>
      <c r="J589" s="3"/>
      <c r="K589" s="3"/>
      <c r="L589" s="3"/>
      <c r="M589" s="3"/>
      <c r="N589" s="3"/>
      <c r="O589" s="3"/>
    </row>
    <row r="590" spans="1:15" ht="13">
      <c r="A590" s="3"/>
      <c r="B590" s="3"/>
      <c r="C590" s="3"/>
      <c r="D590" s="3"/>
      <c r="E590" s="3"/>
      <c r="F590" s="3"/>
      <c r="G590" s="3"/>
      <c r="H590" s="3"/>
      <c r="I590" s="3"/>
      <c r="J590" s="3"/>
      <c r="K590" s="3"/>
      <c r="L590" s="3"/>
      <c r="M590" s="3"/>
      <c r="N590" s="3"/>
      <c r="O590" s="3"/>
    </row>
    <row r="591" spans="1:15" ht="13">
      <c r="A591" s="3"/>
      <c r="B591" s="3"/>
      <c r="C591" s="3"/>
      <c r="D591" s="3"/>
      <c r="E591" s="3"/>
      <c r="F591" s="3"/>
      <c r="G591" s="3"/>
      <c r="H591" s="3"/>
      <c r="I591" s="3"/>
      <c r="J591" s="3"/>
      <c r="K591" s="3"/>
      <c r="L591" s="3"/>
      <c r="M591" s="3"/>
      <c r="N591" s="3"/>
      <c r="O591" s="3"/>
    </row>
    <row r="592" spans="1:15" ht="13">
      <c r="A592" s="3"/>
      <c r="B592" s="3"/>
      <c r="C592" s="3"/>
      <c r="D592" s="3"/>
      <c r="E592" s="3"/>
      <c r="F592" s="3"/>
      <c r="G592" s="3"/>
      <c r="H592" s="3"/>
      <c r="I592" s="3"/>
      <c r="J592" s="3"/>
      <c r="K592" s="3"/>
      <c r="L592" s="3"/>
      <c r="M592" s="3"/>
      <c r="N592" s="3"/>
      <c r="O592" s="3"/>
    </row>
    <row r="593" spans="1:15" ht="13">
      <c r="A593" s="3"/>
      <c r="B593" s="3"/>
      <c r="C593" s="3"/>
      <c r="D593" s="3"/>
      <c r="E593" s="3"/>
      <c r="F593" s="3"/>
      <c r="G593" s="3"/>
      <c r="H593" s="3"/>
      <c r="I593" s="3"/>
      <c r="J593" s="3"/>
      <c r="K593" s="3"/>
      <c r="L593" s="3"/>
      <c r="M593" s="3"/>
      <c r="N593" s="3"/>
      <c r="O593" s="3"/>
    </row>
    <row r="594" spans="1:15" ht="13">
      <c r="A594" s="3"/>
      <c r="B594" s="3"/>
      <c r="C594" s="3"/>
      <c r="D594" s="3"/>
      <c r="E594" s="3"/>
      <c r="F594" s="3"/>
      <c r="G594" s="3"/>
      <c r="H594" s="3"/>
      <c r="I594" s="3"/>
      <c r="J594" s="3"/>
      <c r="K594" s="3"/>
      <c r="L594" s="3"/>
      <c r="M594" s="3"/>
      <c r="N594" s="3"/>
      <c r="O594" s="3"/>
    </row>
    <row r="595" spans="1:15" ht="13">
      <c r="A595" s="3"/>
      <c r="B595" s="3"/>
      <c r="C595" s="3"/>
      <c r="D595" s="3"/>
      <c r="E595" s="3"/>
      <c r="F595" s="3"/>
      <c r="G595" s="3"/>
      <c r="H595" s="3"/>
      <c r="I595" s="3"/>
      <c r="J595" s="3"/>
      <c r="K595" s="3"/>
      <c r="L595" s="3"/>
      <c r="M595" s="3"/>
      <c r="N595" s="3"/>
      <c r="O595" s="3"/>
    </row>
    <row r="596" spans="1:15" ht="13">
      <c r="A596" s="3"/>
      <c r="B596" s="3"/>
      <c r="C596" s="3"/>
      <c r="D596" s="3"/>
      <c r="E596" s="3"/>
      <c r="F596" s="3"/>
      <c r="G596" s="3"/>
      <c r="H596" s="3"/>
      <c r="I596" s="3"/>
      <c r="J596" s="3"/>
      <c r="K596" s="3"/>
      <c r="L596" s="3"/>
      <c r="M596" s="3"/>
      <c r="N596" s="3"/>
      <c r="O596" s="3"/>
    </row>
    <row r="597" spans="1:15" ht="13">
      <c r="A597" s="3"/>
      <c r="B597" s="3"/>
      <c r="C597" s="3"/>
      <c r="D597" s="3"/>
      <c r="E597" s="3"/>
      <c r="F597" s="3"/>
      <c r="G597" s="3"/>
      <c r="H597" s="3"/>
      <c r="I597" s="3"/>
      <c r="J597" s="3"/>
      <c r="K597" s="3"/>
      <c r="L597" s="3"/>
      <c r="M597" s="3"/>
      <c r="N597" s="3"/>
      <c r="O597" s="3"/>
    </row>
    <row r="598" spans="1:15" ht="13">
      <c r="A598" s="3"/>
      <c r="B598" s="3"/>
      <c r="C598" s="3"/>
      <c r="D598" s="3"/>
      <c r="E598" s="3"/>
      <c r="F598" s="3"/>
      <c r="G598" s="3"/>
      <c r="H598" s="3"/>
      <c r="I598" s="3"/>
      <c r="J598" s="3"/>
      <c r="K598" s="3"/>
      <c r="L598" s="3"/>
      <c r="M598" s="3"/>
      <c r="N598" s="3"/>
      <c r="O598" s="3"/>
    </row>
    <row r="599" spans="1:15" ht="13">
      <c r="A599" s="3"/>
      <c r="B599" s="3"/>
      <c r="C599" s="3"/>
      <c r="D599" s="3"/>
      <c r="E599" s="3"/>
      <c r="F599" s="3"/>
      <c r="G599" s="3"/>
      <c r="H599" s="3"/>
      <c r="I599" s="3"/>
      <c r="J599" s="3"/>
      <c r="K599" s="3"/>
      <c r="L599" s="3"/>
      <c r="M599" s="3"/>
      <c r="N599" s="3"/>
      <c r="O599" s="3"/>
    </row>
    <row r="600" spans="1:15" ht="13">
      <c r="A600" s="3"/>
      <c r="B600" s="3"/>
      <c r="C600" s="3"/>
      <c r="D600" s="3"/>
      <c r="E600" s="3"/>
      <c r="F600" s="3"/>
      <c r="G600" s="3"/>
      <c r="H600" s="3"/>
      <c r="I600" s="3"/>
      <c r="J600" s="3"/>
      <c r="K600" s="3"/>
      <c r="L600" s="3"/>
      <c r="M600" s="3"/>
      <c r="N600" s="3"/>
      <c r="O600" s="3"/>
    </row>
    <row r="601" spans="1:15" ht="13">
      <c r="A601" s="3"/>
      <c r="B601" s="3"/>
      <c r="C601" s="3"/>
      <c r="D601" s="3"/>
      <c r="E601" s="3"/>
      <c r="F601" s="3"/>
      <c r="G601" s="3"/>
      <c r="H601" s="3"/>
      <c r="I601" s="3"/>
      <c r="J601" s="3"/>
      <c r="K601" s="3"/>
      <c r="L601" s="3"/>
      <c r="M601" s="3"/>
      <c r="N601" s="3"/>
      <c r="O601" s="3"/>
    </row>
    <row r="602" spans="1:15" ht="13">
      <c r="A602" s="3"/>
      <c r="B602" s="3"/>
      <c r="C602" s="3"/>
      <c r="D602" s="3"/>
      <c r="E602" s="3"/>
      <c r="F602" s="3"/>
      <c r="G602" s="3"/>
      <c r="H602" s="3"/>
      <c r="I602" s="3"/>
      <c r="J602" s="3"/>
      <c r="K602" s="3"/>
      <c r="L602" s="3"/>
      <c r="M602" s="3"/>
      <c r="N602" s="3"/>
      <c r="O602" s="3"/>
    </row>
    <row r="603" spans="1:15" ht="13">
      <c r="A603" s="3"/>
      <c r="B603" s="3"/>
      <c r="C603" s="3"/>
      <c r="D603" s="3"/>
      <c r="E603" s="3"/>
      <c r="F603" s="3"/>
      <c r="G603" s="3"/>
      <c r="H603" s="3"/>
      <c r="I603" s="3"/>
      <c r="J603" s="3"/>
      <c r="K603" s="3"/>
      <c r="L603" s="3"/>
      <c r="M603" s="3"/>
      <c r="N603" s="3"/>
      <c r="O603" s="3"/>
    </row>
    <row r="604" spans="1:15" ht="13">
      <c r="A604" s="3"/>
      <c r="B604" s="3"/>
      <c r="C604" s="3"/>
      <c r="D604" s="3"/>
      <c r="E604" s="3"/>
      <c r="F604" s="3"/>
      <c r="G604" s="3"/>
      <c r="H604" s="3"/>
      <c r="I604" s="3"/>
      <c r="J604" s="3"/>
      <c r="K604" s="3"/>
      <c r="L604" s="3"/>
      <c r="M604" s="3"/>
      <c r="N604" s="3"/>
      <c r="O604" s="3"/>
    </row>
    <row r="605" spans="1:15" ht="13">
      <c r="A605" s="3"/>
      <c r="B605" s="3"/>
      <c r="C605" s="3"/>
      <c r="D605" s="3"/>
      <c r="E605" s="3"/>
      <c r="F605" s="3"/>
      <c r="G605" s="3"/>
      <c r="H605" s="3"/>
      <c r="I605" s="3"/>
      <c r="J605" s="3"/>
      <c r="K605" s="3"/>
      <c r="L605" s="3"/>
      <c r="M605" s="3"/>
      <c r="N605" s="3"/>
      <c r="O605" s="3"/>
    </row>
    <row r="606" spans="1:15" ht="13">
      <c r="A606" s="3"/>
      <c r="B606" s="3"/>
      <c r="C606" s="3"/>
      <c r="D606" s="3"/>
      <c r="E606" s="3"/>
      <c r="F606" s="3"/>
      <c r="G606" s="3"/>
      <c r="H606" s="3"/>
      <c r="I606" s="3"/>
      <c r="J606" s="3"/>
      <c r="K606" s="3"/>
      <c r="L606" s="3"/>
      <c r="M606" s="3"/>
      <c r="N606" s="3"/>
      <c r="O606" s="3"/>
    </row>
    <row r="607" spans="1:15" ht="13">
      <c r="A607" s="3"/>
      <c r="B607" s="3"/>
      <c r="C607" s="3"/>
      <c r="D607" s="3"/>
      <c r="E607" s="3"/>
      <c r="F607" s="3"/>
      <c r="G607" s="3"/>
      <c r="H607" s="3"/>
      <c r="I607" s="3"/>
      <c r="J607" s="3"/>
      <c r="K607" s="3"/>
      <c r="L607" s="3"/>
      <c r="M607" s="3"/>
      <c r="N607" s="3"/>
      <c r="O607" s="3"/>
    </row>
    <row r="608" spans="1:15" ht="13">
      <c r="A608" s="3"/>
      <c r="B608" s="3"/>
      <c r="C608" s="3"/>
      <c r="D608" s="3"/>
      <c r="E608" s="3"/>
      <c r="F608" s="3"/>
      <c r="G608" s="3"/>
      <c r="H608" s="3"/>
      <c r="I608" s="3"/>
      <c r="J608" s="3"/>
      <c r="K608" s="3"/>
      <c r="L608" s="3"/>
      <c r="M608" s="3"/>
      <c r="N608" s="3"/>
      <c r="O608" s="3"/>
    </row>
    <row r="609" spans="1:15" ht="13">
      <c r="A609" s="3"/>
      <c r="B609" s="3"/>
      <c r="C609" s="3"/>
      <c r="D609" s="3"/>
      <c r="E609" s="3"/>
      <c r="F609" s="3"/>
      <c r="G609" s="3"/>
      <c r="H609" s="3"/>
      <c r="I609" s="3"/>
      <c r="J609" s="3"/>
      <c r="K609" s="3"/>
      <c r="L609" s="3"/>
      <c r="M609" s="3"/>
      <c r="N609" s="3"/>
      <c r="O609" s="3"/>
    </row>
    <row r="610" spans="1:15" ht="13">
      <c r="A610" s="3"/>
      <c r="B610" s="3"/>
      <c r="C610" s="3"/>
      <c r="D610" s="3"/>
      <c r="E610" s="3"/>
      <c r="F610" s="3"/>
      <c r="G610" s="3"/>
      <c r="H610" s="3"/>
      <c r="I610" s="3"/>
      <c r="J610" s="3"/>
      <c r="K610" s="3"/>
      <c r="L610" s="3"/>
      <c r="M610" s="3"/>
      <c r="N610" s="3"/>
      <c r="O610" s="3"/>
    </row>
    <row r="611" spans="1:15" ht="13">
      <c r="A611" s="3"/>
      <c r="B611" s="3"/>
      <c r="C611" s="3"/>
      <c r="D611" s="3"/>
      <c r="E611" s="3"/>
      <c r="F611" s="3"/>
      <c r="G611" s="3"/>
      <c r="H611" s="3"/>
      <c r="I611" s="3"/>
      <c r="J611" s="3"/>
      <c r="K611" s="3"/>
      <c r="L611" s="3"/>
      <c r="M611" s="3"/>
      <c r="N611" s="3"/>
      <c r="O611" s="3"/>
    </row>
    <row r="612" spans="1:15" ht="13">
      <c r="A612" s="3"/>
      <c r="B612" s="3"/>
      <c r="C612" s="3"/>
      <c r="D612" s="3"/>
      <c r="E612" s="3"/>
      <c r="F612" s="3"/>
      <c r="G612" s="3"/>
      <c r="H612" s="3"/>
      <c r="I612" s="3"/>
      <c r="J612" s="3"/>
      <c r="K612" s="3"/>
      <c r="L612" s="3"/>
      <c r="M612" s="3"/>
      <c r="N612" s="3"/>
      <c r="O612" s="3"/>
    </row>
    <row r="613" spans="1:15" ht="13">
      <c r="A613" s="3"/>
      <c r="B613" s="3"/>
      <c r="C613" s="3"/>
      <c r="D613" s="3"/>
      <c r="E613" s="3"/>
      <c r="F613" s="3"/>
      <c r="G613" s="3"/>
      <c r="H613" s="3"/>
      <c r="I613" s="3"/>
      <c r="J613" s="3"/>
      <c r="K613" s="3"/>
      <c r="L613" s="3"/>
      <c r="M613" s="3"/>
      <c r="N613" s="3"/>
      <c r="O613" s="3"/>
    </row>
    <row r="614" spans="1:15" ht="13">
      <c r="A614" s="3"/>
      <c r="B614" s="3"/>
      <c r="C614" s="3"/>
      <c r="D614" s="3"/>
      <c r="E614" s="3"/>
      <c r="F614" s="3"/>
      <c r="G614" s="3"/>
      <c r="H614" s="3"/>
      <c r="I614" s="3"/>
      <c r="J614" s="3"/>
      <c r="K614" s="3"/>
      <c r="L614" s="3"/>
      <c r="M614" s="3"/>
      <c r="N614" s="3"/>
      <c r="O614" s="3"/>
    </row>
    <row r="615" spans="1:15" ht="13">
      <c r="A615" s="3"/>
      <c r="B615" s="3"/>
      <c r="C615" s="3"/>
      <c r="D615" s="3"/>
      <c r="E615" s="3"/>
      <c r="F615" s="3"/>
      <c r="G615" s="3"/>
      <c r="H615" s="3"/>
      <c r="I615" s="3"/>
      <c r="J615" s="3"/>
      <c r="K615" s="3"/>
      <c r="L615" s="3"/>
      <c r="M615" s="3"/>
      <c r="N615" s="3"/>
      <c r="O615" s="3"/>
    </row>
    <row r="616" spans="1:15" ht="13">
      <c r="A616" s="3"/>
      <c r="B616" s="3"/>
      <c r="C616" s="3"/>
      <c r="D616" s="3"/>
      <c r="E616" s="3"/>
      <c r="F616" s="3"/>
      <c r="G616" s="3"/>
      <c r="H616" s="3"/>
      <c r="I616" s="3"/>
      <c r="J616" s="3"/>
      <c r="K616" s="3"/>
      <c r="L616" s="3"/>
      <c r="M616" s="3"/>
      <c r="N616" s="3"/>
      <c r="O616" s="3"/>
    </row>
    <row r="617" spans="1:15" ht="13">
      <c r="A617" s="3"/>
      <c r="B617" s="3"/>
      <c r="C617" s="3"/>
      <c r="D617" s="3"/>
      <c r="E617" s="3"/>
      <c r="F617" s="3"/>
      <c r="G617" s="3"/>
      <c r="H617" s="3"/>
      <c r="I617" s="3"/>
      <c r="J617" s="3"/>
      <c r="K617" s="3"/>
      <c r="L617" s="3"/>
      <c r="M617" s="3"/>
      <c r="N617" s="3"/>
      <c r="O617" s="3"/>
    </row>
    <row r="618" spans="1:15" ht="13">
      <c r="A618" s="3"/>
      <c r="B618" s="3"/>
      <c r="C618" s="3"/>
      <c r="D618" s="3"/>
      <c r="E618" s="3"/>
      <c r="F618" s="3"/>
      <c r="G618" s="3"/>
      <c r="H618" s="3"/>
      <c r="I618" s="3"/>
      <c r="J618" s="3"/>
      <c r="K618" s="3"/>
      <c r="L618" s="3"/>
      <c r="M618" s="3"/>
      <c r="N618" s="3"/>
      <c r="O618" s="3"/>
    </row>
    <row r="619" spans="1:15" ht="13">
      <c r="A619" s="3"/>
      <c r="B619" s="3"/>
      <c r="C619" s="3"/>
      <c r="D619" s="3"/>
      <c r="E619" s="3"/>
      <c r="F619" s="3"/>
      <c r="G619" s="3"/>
      <c r="H619" s="3"/>
      <c r="I619" s="3"/>
      <c r="J619" s="3"/>
      <c r="K619" s="3"/>
      <c r="L619" s="3"/>
      <c r="M619" s="3"/>
      <c r="N619" s="3"/>
      <c r="O619" s="3"/>
    </row>
    <row r="620" spans="1:15" ht="13">
      <c r="A620" s="3"/>
      <c r="B620" s="3"/>
      <c r="C620" s="3"/>
      <c r="D620" s="3"/>
      <c r="E620" s="3"/>
      <c r="F620" s="3"/>
      <c r="G620" s="3"/>
      <c r="H620" s="3"/>
      <c r="I620" s="3"/>
      <c r="J620" s="3"/>
      <c r="K620" s="3"/>
      <c r="L620" s="3"/>
      <c r="M620" s="3"/>
      <c r="N620" s="3"/>
      <c r="O620" s="3"/>
    </row>
    <row r="621" spans="1:15" ht="13">
      <c r="A621" s="3"/>
      <c r="B621" s="3"/>
      <c r="C621" s="3"/>
      <c r="D621" s="3"/>
      <c r="E621" s="3"/>
      <c r="F621" s="3"/>
      <c r="G621" s="3"/>
      <c r="H621" s="3"/>
      <c r="I621" s="3"/>
      <c r="J621" s="3"/>
      <c r="K621" s="3"/>
      <c r="L621" s="3"/>
      <c r="M621" s="3"/>
      <c r="N621" s="3"/>
      <c r="O621" s="3"/>
    </row>
    <row r="622" spans="1:15" ht="13">
      <c r="A622" s="3"/>
      <c r="B622" s="3"/>
      <c r="C622" s="3"/>
      <c r="D622" s="3"/>
      <c r="E622" s="3"/>
      <c r="F622" s="3"/>
      <c r="G622" s="3"/>
      <c r="H622" s="3"/>
      <c r="I622" s="3"/>
      <c r="J622" s="3"/>
      <c r="K622" s="3"/>
      <c r="L622" s="3"/>
      <c r="M622" s="3"/>
      <c r="N622" s="3"/>
      <c r="O622" s="3"/>
    </row>
    <row r="623" spans="1:15" ht="13">
      <c r="A623" s="3"/>
      <c r="B623" s="3"/>
      <c r="C623" s="3"/>
      <c r="D623" s="3"/>
      <c r="E623" s="3"/>
      <c r="F623" s="3"/>
      <c r="G623" s="3"/>
      <c r="H623" s="3"/>
      <c r="I623" s="3"/>
      <c r="J623" s="3"/>
      <c r="K623" s="3"/>
      <c r="L623" s="3"/>
      <c r="M623" s="3"/>
      <c r="N623" s="3"/>
      <c r="O623" s="3"/>
    </row>
    <row r="624" spans="1:15" ht="13">
      <c r="A624" s="3"/>
      <c r="B624" s="3"/>
      <c r="C624" s="3"/>
      <c r="D624" s="3"/>
      <c r="E624" s="3"/>
      <c r="F624" s="3"/>
      <c r="G624" s="3"/>
      <c r="H624" s="3"/>
      <c r="I624" s="3"/>
      <c r="J624" s="3"/>
      <c r="K624" s="3"/>
      <c r="L624" s="3"/>
      <c r="M624" s="3"/>
      <c r="N624" s="3"/>
      <c r="O624" s="3"/>
    </row>
    <row r="625" spans="1:15" ht="13">
      <c r="A625" s="3"/>
      <c r="B625" s="3"/>
      <c r="C625" s="3"/>
      <c r="D625" s="3"/>
      <c r="E625" s="3"/>
      <c r="F625" s="3"/>
      <c r="G625" s="3"/>
      <c r="H625" s="3"/>
      <c r="I625" s="3"/>
      <c r="J625" s="3"/>
      <c r="K625" s="3"/>
      <c r="L625" s="3"/>
      <c r="M625" s="3"/>
      <c r="N625" s="3"/>
      <c r="O625" s="3"/>
    </row>
    <row r="626" spans="1:15" ht="13">
      <c r="A626" s="3"/>
      <c r="B626" s="3"/>
      <c r="C626" s="3"/>
      <c r="D626" s="3"/>
      <c r="E626" s="3"/>
      <c r="F626" s="3"/>
      <c r="G626" s="3"/>
      <c r="H626" s="3"/>
      <c r="I626" s="3"/>
      <c r="J626" s="3"/>
      <c r="K626" s="3"/>
      <c r="L626" s="3"/>
      <c r="M626" s="3"/>
      <c r="N626" s="3"/>
      <c r="O626" s="3"/>
    </row>
    <row r="627" spans="1:15" ht="13">
      <c r="A627" s="3"/>
      <c r="B627" s="3"/>
      <c r="C627" s="3"/>
      <c r="D627" s="3"/>
      <c r="E627" s="3"/>
      <c r="F627" s="3"/>
      <c r="G627" s="3"/>
      <c r="H627" s="3"/>
      <c r="I627" s="3"/>
      <c r="J627" s="3"/>
      <c r="K627" s="3"/>
      <c r="L627" s="3"/>
      <c r="M627" s="3"/>
      <c r="N627" s="3"/>
      <c r="O627" s="3"/>
    </row>
    <row r="628" spans="1:15" ht="13">
      <c r="A628" s="3"/>
      <c r="B628" s="3"/>
      <c r="C628" s="3"/>
      <c r="D628" s="3"/>
      <c r="E628" s="3"/>
      <c r="F628" s="3"/>
      <c r="G628" s="3"/>
      <c r="H628" s="3"/>
      <c r="I628" s="3"/>
      <c r="J628" s="3"/>
      <c r="K628" s="3"/>
      <c r="L628" s="3"/>
      <c r="M628" s="3"/>
      <c r="N628" s="3"/>
      <c r="O628" s="3"/>
    </row>
    <row r="629" spans="1:15" ht="13">
      <c r="A629" s="3"/>
      <c r="B629" s="3"/>
      <c r="C629" s="3"/>
      <c r="D629" s="3"/>
      <c r="E629" s="3"/>
      <c r="F629" s="3"/>
      <c r="G629" s="3"/>
      <c r="H629" s="3"/>
      <c r="I629" s="3"/>
      <c r="J629" s="3"/>
      <c r="K629" s="3"/>
      <c r="L629" s="3"/>
      <c r="M629" s="3"/>
      <c r="N629" s="3"/>
      <c r="O629" s="3"/>
    </row>
    <row r="630" spans="1:15" ht="13">
      <c r="A630" s="3"/>
      <c r="B630" s="3"/>
      <c r="C630" s="3"/>
      <c r="D630" s="3"/>
      <c r="E630" s="3"/>
      <c r="F630" s="3"/>
      <c r="G630" s="3"/>
      <c r="H630" s="3"/>
      <c r="I630" s="3"/>
      <c r="J630" s="3"/>
      <c r="K630" s="3"/>
      <c r="L630" s="3"/>
      <c r="M630" s="3"/>
      <c r="N630" s="3"/>
      <c r="O630" s="3"/>
    </row>
    <row r="631" spans="1:15" ht="13">
      <c r="A631" s="3"/>
      <c r="B631" s="3"/>
      <c r="C631" s="3"/>
      <c r="D631" s="3"/>
      <c r="E631" s="3"/>
      <c r="F631" s="3"/>
      <c r="G631" s="3"/>
      <c r="H631" s="3"/>
      <c r="I631" s="3"/>
      <c r="J631" s="3"/>
      <c r="K631" s="3"/>
      <c r="L631" s="3"/>
      <c r="M631" s="3"/>
      <c r="N631" s="3"/>
      <c r="O631" s="3"/>
    </row>
    <row r="632" spans="1:15" ht="13">
      <c r="A632" s="3"/>
      <c r="B632" s="3"/>
      <c r="C632" s="3"/>
      <c r="D632" s="3"/>
      <c r="E632" s="3"/>
      <c r="F632" s="3"/>
      <c r="G632" s="3"/>
      <c r="H632" s="3"/>
      <c r="I632" s="3"/>
      <c r="J632" s="3"/>
      <c r="K632" s="3"/>
      <c r="L632" s="3"/>
      <c r="M632" s="3"/>
      <c r="N632" s="3"/>
      <c r="O632" s="3"/>
    </row>
    <row r="633" spans="1:15" ht="13">
      <c r="A633" s="3"/>
      <c r="B633" s="3"/>
      <c r="C633" s="3"/>
      <c r="D633" s="3"/>
      <c r="E633" s="3"/>
      <c r="F633" s="3"/>
      <c r="G633" s="3"/>
      <c r="H633" s="3"/>
      <c r="I633" s="3"/>
      <c r="J633" s="3"/>
      <c r="K633" s="3"/>
      <c r="L633" s="3"/>
      <c r="M633" s="3"/>
      <c r="N633" s="3"/>
      <c r="O633" s="3"/>
    </row>
    <row r="634" spans="1:15" ht="13">
      <c r="A634" s="3"/>
      <c r="B634" s="3"/>
      <c r="C634" s="3"/>
      <c r="D634" s="3"/>
      <c r="E634" s="3"/>
      <c r="F634" s="3"/>
      <c r="G634" s="3"/>
      <c r="H634" s="3"/>
      <c r="I634" s="3"/>
      <c r="J634" s="3"/>
      <c r="K634" s="3"/>
      <c r="L634" s="3"/>
      <c r="M634" s="3"/>
      <c r="N634" s="3"/>
      <c r="O634" s="3"/>
    </row>
    <row r="635" spans="1:15" ht="13">
      <c r="A635" s="3"/>
      <c r="B635" s="3"/>
      <c r="C635" s="3"/>
      <c r="D635" s="3"/>
      <c r="E635" s="3"/>
      <c r="F635" s="3"/>
      <c r="G635" s="3"/>
      <c r="H635" s="3"/>
      <c r="I635" s="3"/>
      <c r="J635" s="3"/>
      <c r="K635" s="3"/>
      <c r="L635" s="3"/>
      <c r="M635" s="3"/>
      <c r="N635" s="3"/>
      <c r="O635" s="3"/>
    </row>
    <row r="636" spans="1:15" ht="13">
      <c r="A636" s="3"/>
      <c r="B636" s="3"/>
      <c r="C636" s="3"/>
      <c r="D636" s="3"/>
      <c r="E636" s="3"/>
      <c r="F636" s="3"/>
      <c r="G636" s="3"/>
      <c r="H636" s="3"/>
      <c r="I636" s="3"/>
      <c r="J636" s="3"/>
      <c r="K636" s="3"/>
      <c r="L636" s="3"/>
      <c r="M636" s="3"/>
      <c r="N636" s="3"/>
      <c r="O636" s="3"/>
    </row>
    <row r="637" spans="1:15" ht="13">
      <c r="A637" s="3"/>
      <c r="B637" s="3"/>
      <c r="C637" s="3"/>
      <c r="D637" s="3"/>
      <c r="E637" s="3"/>
      <c r="F637" s="3"/>
      <c r="G637" s="3"/>
      <c r="H637" s="3"/>
      <c r="I637" s="3"/>
      <c r="J637" s="3"/>
      <c r="K637" s="3"/>
      <c r="L637" s="3"/>
      <c r="M637" s="3"/>
      <c r="N637" s="3"/>
      <c r="O637" s="3"/>
    </row>
    <row r="638" spans="1:15" ht="13">
      <c r="A638" s="3"/>
      <c r="B638" s="3"/>
      <c r="C638" s="3"/>
      <c r="D638" s="3"/>
      <c r="E638" s="3"/>
      <c r="F638" s="3"/>
      <c r="G638" s="3"/>
      <c r="H638" s="3"/>
      <c r="I638" s="3"/>
      <c r="J638" s="3"/>
      <c r="K638" s="3"/>
      <c r="L638" s="3"/>
      <c r="M638" s="3"/>
      <c r="N638" s="3"/>
      <c r="O638" s="3"/>
    </row>
    <row r="639" spans="1:15" ht="13">
      <c r="A639" s="3"/>
      <c r="B639" s="3"/>
      <c r="C639" s="3"/>
      <c r="D639" s="3"/>
      <c r="E639" s="3"/>
      <c r="F639" s="3"/>
      <c r="G639" s="3"/>
      <c r="H639" s="3"/>
      <c r="I639" s="3"/>
      <c r="J639" s="3"/>
      <c r="K639" s="3"/>
      <c r="L639" s="3"/>
      <c r="M639" s="3"/>
      <c r="N639" s="3"/>
      <c r="O639" s="3"/>
    </row>
    <row r="640" spans="1:15" ht="13">
      <c r="A640" s="3"/>
      <c r="B640" s="3"/>
      <c r="C640" s="3"/>
      <c r="D640" s="3"/>
      <c r="E640" s="3"/>
      <c r="F640" s="3"/>
      <c r="G640" s="3"/>
      <c r="H640" s="3"/>
      <c r="I640" s="3"/>
      <c r="J640" s="3"/>
      <c r="K640" s="3"/>
      <c r="L640" s="3"/>
      <c r="M640" s="3"/>
      <c r="N640" s="3"/>
      <c r="O640" s="3"/>
    </row>
    <row r="641" spans="1:15" ht="13">
      <c r="A641" s="3"/>
      <c r="B641" s="3"/>
      <c r="C641" s="3"/>
      <c r="D641" s="3"/>
      <c r="E641" s="3"/>
      <c r="F641" s="3"/>
      <c r="G641" s="3"/>
      <c r="H641" s="3"/>
      <c r="I641" s="3"/>
      <c r="J641" s="3"/>
      <c r="K641" s="3"/>
      <c r="L641" s="3"/>
      <c r="M641" s="3"/>
      <c r="N641" s="3"/>
      <c r="O641" s="3"/>
    </row>
    <row r="642" spans="1:15" ht="13">
      <c r="A642" s="3"/>
      <c r="B642" s="3"/>
      <c r="C642" s="3"/>
      <c r="D642" s="3"/>
      <c r="E642" s="3"/>
      <c r="F642" s="3"/>
      <c r="G642" s="3"/>
      <c r="H642" s="3"/>
      <c r="I642" s="3"/>
      <c r="J642" s="3"/>
      <c r="K642" s="3"/>
      <c r="L642" s="3"/>
      <c r="M642" s="3"/>
      <c r="N642" s="3"/>
      <c r="O642" s="3"/>
    </row>
    <row r="643" spans="1:15" ht="13">
      <c r="A643" s="3"/>
      <c r="B643" s="3"/>
      <c r="C643" s="3"/>
      <c r="D643" s="3"/>
      <c r="E643" s="3"/>
      <c r="F643" s="3"/>
      <c r="G643" s="3"/>
      <c r="H643" s="3"/>
      <c r="I643" s="3"/>
      <c r="J643" s="3"/>
      <c r="K643" s="3"/>
      <c r="L643" s="3"/>
      <c r="M643" s="3"/>
      <c r="N643" s="3"/>
      <c r="O643" s="3"/>
    </row>
    <row r="644" spans="1:15" ht="13">
      <c r="A644" s="3"/>
      <c r="B644" s="3"/>
      <c r="C644" s="3"/>
      <c r="D644" s="3"/>
      <c r="E644" s="3"/>
      <c r="F644" s="3"/>
      <c r="G644" s="3"/>
      <c r="H644" s="3"/>
      <c r="I644" s="3"/>
      <c r="J644" s="3"/>
      <c r="K644" s="3"/>
      <c r="L644" s="3"/>
      <c r="M644" s="3"/>
      <c r="N644" s="3"/>
      <c r="O644" s="3"/>
    </row>
    <row r="645" spans="1:15" ht="13">
      <c r="A645" s="3"/>
      <c r="B645" s="3"/>
      <c r="C645" s="3"/>
      <c r="D645" s="3"/>
      <c r="E645" s="3"/>
      <c r="F645" s="3"/>
      <c r="G645" s="3"/>
      <c r="H645" s="3"/>
      <c r="I645" s="3"/>
      <c r="J645" s="3"/>
      <c r="K645" s="3"/>
      <c r="L645" s="3"/>
      <c r="M645" s="3"/>
      <c r="N645" s="3"/>
      <c r="O645" s="3"/>
    </row>
    <row r="646" spans="1:15" ht="13">
      <c r="A646" s="3"/>
      <c r="B646" s="3"/>
      <c r="C646" s="3"/>
      <c r="D646" s="3"/>
      <c r="E646" s="3"/>
      <c r="F646" s="3"/>
      <c r="G646" s="3"/>
      <c r="H646" s="3"/>
      <c r="I646" s="3"/>
      <c r="J646" s="3"/>
      <c r="K646" s="3"/>
      <c r="L646" s="3"/>
      <c r="M646" s="3"/>
      <c r="N646" s="3"/>
      <c r="O646" s="3"/>
    </row>
    <row r="647" spans="1:15" ht="13">
      <c r="A647" s="3"/>
      <c r="B647" s="3"/>
      <c r="C647" s="3"/>
      <c r="D647" s="3"/>
      <c r="E647" s="3"/>
      <c r="F647" s="3"/>
      <c r="G647" s="3"/>
      <c r="H647" s="3"/>
      <c r="I647" s="3"/>
      <c r="J647" s="3"/>
      <c r="K647" s="3"/>
      <c r="L647" s="3"/>
      <c r="M647" s="3"/>
      <c r="N647" s="3"/>
      <c r="O647" s="3"/>
    </row>
    <row r="648" spans="1:15" ht="13">
      <c r="A648" s="3"/>
      <c r="B648" s="3"/>
      <c r="C648" s="3"/>
      <c r="D648" s="3"/>
      <c r="E648" s="3"/>
      <c r="F648" s="3"/>
      <c r="G648" s="3"/>
      <c r="H648" s="3"/>
      <c r="I648" s="3"/>
      <c r="J648" s="3"/>
      <c r="K648" s="3"/>
      <c r="L648" s="3"/>
      <c r="M648" s="3"/>
      <c r="N648" s="3"/>
      <c r="O648" s="3"/>
    </row>
    <row r="649" spans="1:15" ht="13">
      <c r="A649" s="3"/>
      <c r="B649" s="3"/>
      <c r="C649" s="3"/>
      <c r="D649" s="3"/>
      <c r="E649" s="3"/>
      <c r="F649" s="3"/>
      <c r="G649" s="3"/>
      <c r="H649" s="3"/>
      <c r="I649" s="3"/>
      <c r="J649" s="3"/>
      <c r="K649" s="3"/>
      <c r="L649" s="3"/>
      <c r="M649" s="3"/>
      <c r="N649" s="3"/>
      <c r="O649" s="3"/>
    </row>
    <row r="650" spans="1:15" ht="13">
      <c r="A650" s="3"/>
      <c r="B650" s="3"/>
      <c r="C650" s="3"/>
      <c r="D650" s="3"/>
      <c r="E650" s="3"/>
      <c r="F650" s="3"/>
      <c r="G650" s="3"/>
      <c r="H650" s="3"/>
      <c r="I650" s="3"/>
      <c r="J650" s="3"/>
      <c r="K650" s="3"/>
      <c r="L650" s="3"/>
      <c r="M650" s="3"/>
      <c r="N650" s="3"/>
      <c r="O650" s="3"/>
    </row>
    <row r="651" spans="1:15" ht="13">
      <c r="A651" s="3"/>
      <c r="B651" s="3"/>
      <c r="C651" s="3"/>
      <c r="D651" s="3"/>
      <c r="E651" s="3"/>
      <c r="F651" s="3"/>
      <c r="G651" s="3"/>
      <c r="H651" s="3"/>
      <c r="I651" s="3"/>
      <c r="J651" s="3"/>
      <c r="K651" s="3"/>
      <c r="L651" s="3"/>
      <c r="M651" s="3"/>
      <c r="N651" s="3"/>
      <c r="O651" s="3"/>
    </row>
    <row r="652" spans="1:15" ht="13">
      <c r="A652" s="3"/>
      <c r="B652" s="3"/>
      <c r="C652" s="3"/>
      <c r="D652" s="3"/>
      <c r="E652" s="3"/>
      <c r="F652" s="3"/>
      <c r="G652" s="3"/>
      <c r="H652" s="3"/>
      <c r="I652" s="3"/>
      <c r="J652" s="3"/>
      <c r="K652" s="3"/>
      <c r="L652" s="3"/>
      <c r="M652" s="3"/>
      <c r="N652" s="3"/>
      <c r="O652" s="3"/>
    </row>
    <row r="653" spans="1:15" ht="13">
      <c r="A653" s="3"/>
      <c r="B653" s="3"/>
      <c r="C653" s="3"/>
      <c r="D653" s="3"/>
      <c r="E653" s="3"/>
      <c r="F653" s="3"/>
      <c r="G653" s="3"/>
      <c r="H653" s="3"/>
      <c r="I653" s="3"/>
      <c r="J653" s="3"/>
      <c r="K653" s="3"/>
      <c r="L653" s="3"/>
      <c r="M653" s="3"/>
      <c r="N653" s="3"/>
      <c r="O653" s="3"/>
    </row>
    <row r="654" spans="1:15" ht="13">
      <c r="A654" s="3"/>
      <c r="B654" s="3"/>
      <c r="C654" s="3"/>
      <c r="D654" s="3"/>
      <c r="E654" s="3"/>
      <c r="F654" s="3"/>
      <c r="G654" s="3"/>
      <c r="H654" s="3"/>
      <c r="I654" s="3"/>
      <c r="J654" s="3"/>
      <c r="K654" s="3"/>
      <c r="L654" s="3"/>
      <c r="M654" s="3"/>
      <c r="N654" s="3"/>
      <c r="O654" s="3"/>
    </row>
    <row r="655" spans="1:15" ht="13">
      <c r="A655" s="3"/>
      <c r="B655" s="3"/>
      <c r="C655" s="3"/>
      <c r="D655" s="3"/>
      <c r="E655" s="3"/>
      <c r="F655" s="3"/>
      <c r="G655" s="3"/>
      <c r="H655" s="3"/>
      <c r="I655" s="3"/>
      <c r="J655" s="3"/>
      <c r="K655" s="3"/>
      <c r="L655" s="3"/>
      <c r="M655" s="3"/>
      <c r="N655" s="3"/>
      <c r="O655" s="3"/>
    </row>
    <row r="656" spans="1:15" ht="13">
      <c r="A656" s="3"/>
      <c r="B656" s="3"/>
      <c r="C656" s="3"/>
      <c r="D656" s="3"/>
      <c r="E656" s="3"/>
      <c r="F656" s="3"/>
      <c r="G656" s="3"/>
      <c r="H656" s="3"/>
      <c r="I656" s="3"/>
      <c r="J656" s="3"/>
      <c r="K656" s="3"/>
      <c r="L656" s="3"/>
      <c r="M656" s="3"/>
      <c r="N656" s="3"/>
      <c r="O656" s="3"/>
    </row>
    <row r="657" spans="1:15" ht="13">
      <c r="A657" s="3"/>
      <c r="B657" s="3"/>
      <c r="C657" s="3"/>
      <c r="D657" s="3"/>
      <c r="E657" s="3"/>
      <c r="F657" s="3"/>
      <c r="G657" s="3"/>
      <c r="H657" s="3"/>
      <c r="I657" s="3"/>
      <c r="J657" s="3"/>
      <c r="K657" s="3"/>
      <c r="L657" s="3"/>
      <c r="M657" s="3"/>
      <c r="N657" s="3"/>
      <c r="O657" s="3"/>
    </row>
    <row r="658" spans="1:15" ht="13">
      <c r="A658" s="3"/>
      <c r="B658" s="3"/>
      <c r="C658" s="3"/>
      <c r="D658" s="3"/>
      <c r="E658" s="3"/>
      <c r="F658" s="3"/>
      <c r="G658" s="3"/>
      <c r="H658" s="3"/>
      <c r="I658" s="3"/>
      <c r="J658" s="3"/>
      <c r="K658" s="3"/>
      <c r="L658" s="3"/>
      <c r="M658" s="3"/>
      <c r="N658" s="3"/>
      <c r="O658" s="3"/>
    </row>
    <row r="659" spans="1:15" ht="13">
      <c r="A659" s="3"/>
      <c r="B659" s="3"/>
      <c r="C659" s="3"/>
      <c r="D659" s="3"/>
      <c r="E659" s="3"/>
      <c r="F659" s="3"/>
      <c r="G659" s="3"/>
      <c r="H659" s="3"/>
      <c r="I659" s="3"/>
      <c r="J659" s="3"/>
      <c r="K659" s="3"/>
      <c r="L659" s="3"/>
      <c r="M659" s="3"/>
      <c r="N659" s="3"/>
      <c r="O659" s="3"/>
    </row>
    <row r="660" spans="1:15" ht="13">
      <c r="A660" s="3"/>
      <c r="B660" s="3"/>
      <c r="C660" s="3"/>
      <c r="D660" s="3"/>
      <c r="E660" s="3"/>
      <c r="F660" s="3"/>
      <c r="G660" s="3"/>
      <c r="H660" s="3"/>
      <c r="I660" s="3"/>
      <c r="J660" s="3"/>
      <c r="K660" s="3"/>
      <c r="L660" s="3"/>
      <c r="M660" s="3"/>
      <c r="N660" s="3"/>
      <c r="O660" s="3"/>
    </row>
    <row r="661" spans="1:15" ht="13">
      <c r="A661" s="3"/>
      <c r="B661" s="3"/>
      <c r="C661" s="3"/>
      <c r="D661" s="3"/>
      <c r="E661" s="3"/>
      <c r="F661" s="3"/>
      <c r="G661" s="3"/>
      <c r="H661" s="3"/>
      <c r="I661" s="3"/>
      <c r="J661" s="3"/>
      <c r="K661" s="3"/>
      <c r="L661" s="3"/>
      <c r="M661" s="3"/>
      <c r="N661" s="3"/>
      <c r="O661" s="3"/>
    </row>
    <row r="662" spans="1:15" ht="13">
      <c r="A662" s="3"/>
      <c r="B662" s="3"/>
      <c r="C662" s="3"/>
      <c r="D662" s="3"/>
      <c r="E662" s="3"/>
      <c r="F662" s="3"/>
      <c r="G662" s="3"/>
      <c r="H662" s="3"/>
      <c r="I662" s="3"/>
      <c r="J662" s="3"/>
      <c r="K662" s="3"/>
      <c r="L662" s="3"/>
      <c r="M662" s="3"/>
      <c r="N662" s="3"/>
      <c r="O662" s="3"/>
    </row>
    <row r="663" spans="1:15" ht="13">
      <c r="A663" s="3"/>
      <c r="B663" s="3"/>
      <c r="C663" s="3"/>
      <c r="D663" s="3"/>
      <c r="E663" s="3"/>
      <c r="F663" s="3"/>
      <c r="G663" s="3"/>
      <c r="H663" s="3"/>
      <c r="I663" s="3"/>
      <c r="J663" s="3"/>
      <c r="K663" s="3"/>
      <c r="L663" s="3"/>
      <c r="M663" s="3"/>
      <c r="N663" s="3"/>
      <c r="O663" s="3"/>
    </row>
    <row r="664" spans="1:15" ht="13">
      <c r="A664" s="3"/>
      <c r="B664" s="3"/>
      <c r="C664" s="3"/>
      <c r="D664" s="3"/>
      <c r="E664" s="3"/>
      <c r="F664" s="3"/>
      <c r="G664" s="3"/>
      <c r="H664" s="3"/>
      <c r="I664" s="3"/>
      <c r="J664" s="3"/>
      <c r="K664" s="3"/>
      <c r="L664" s="3"/>
      <c r="M664" s="3"/>
      <c r="N664" s="3"/>
      <c r="O664" s="3"/>
    </row>
    <row r="665" spans="1:15" ht="13">
      <c r="A665" s="3"/>
      <c r="B665" s="3"/>
      <c r="C665" s="3"/>
      <c r="D665" s="3"/>
      <c r="E665" s="3"/>
      <c r="F665" s="3"/>
      <c r="G665" s="3"/>
      <c r="H665" s="3"/>
      <c r="I665" s="3"/>
      <c r="J665" s="3"/>
      <c r="K665" s="3"/>
      <c r="L665" s="3"/>
      <c r="M665" s="3"/>
      <c r="N665" s="3"/>
      <c r="O665" s="3"/>
    </row>
    <row r="666" spans="1:15" ht="13">
      <c r="A666" s="3"/>
      <c r="B666" s="3"/>
      <c r="C666" s="3"/>
      <c r="D666" s="3"/>
      <c r="E666" s="3"/>
      <c r="F666" s="3"/>
      <c r="G666" s="3"/>
      <c r="H666" s="3"/>
      <c r="I666" s="3"/>
      <c r="J666" s="3"/>
      <c r="K666" s="3"/>
      <c r="L666" s="3"/>
      <c r="M666" s="3"/>
      <c r="N666" s="3"/>
      <c r="O666" s="3"/>
    </row>
    <row r="667" spans="1:15" ht="13">
      <c r="A667" s="3"/>
      <c r="B667" s="3"/>
      <c r="C667" s="3"/>
      <c r="D667" s="3"/>
      <c r="E667" s="3"/>
      <c r="F667" s="3"/>
      <c r="G667" s="3"/>
      <c r="H667" s="3"/>
      <c r="I667" s="3"/>
      <c r="J667" s="3"/>
      <c r="K667" s="3"/>
      <c r="L667" s="3"/>
      <c r="M667" s="3"/>
      <c r="N667" s="3"/>
      <c r="O667" s="3"/>
    </row>
    <row r="668" spans="1:15" ht="13">
      <c r="A668" s="3"/>
      <c r="B668" s="3"/>
      <c r="C668" s="3"/>
      <c r="D668" s="3"/>
      <c r="E668" s="3"/>
      <c r="F668" s="3"/>
      <c r="G668" s="3"/>
      <c r="H668" s="3"/>
      <c r="I668" s="3"/>
      <c r="J668" s="3"/>
      <c r="K668" s="3"/>
      <c r="L668" s="3"/>
      <c r="M668" s="3"/>
      <c r="N668" s="3"/>
      <c r="O668" s="3"/>
    </row>
    <row r="669" spans="1:15" ht="13">
      <c r="A669" s="3"/>
      <c r="B669" s="3"/>
      <c r="C669" s="3"/>
      <c r="D669" s="3"/>
      <c r="E669" s="3"/>
      <c r="F669" s="3"/>
      <c r="G669" s="3"/>
      <c r="H669" s="3"/>
      <c r="I669" s="3"/>
      <c r="J669" s="3"/>
      <c r="K669" s="3"/>
      <c r="L669" s="3"/>
      <c r="M669" s="3"/>
      <c r="N669" s="3"/>
      <c r="O669" s="3"/>
    </row>
    <row r="670" spans="1:15" ht="13">
      <c r="A670" s="3"/>
      <c r="B670" s="3"/>
      <c r="C670" s="3"/>
      <c r="D670" s="3"/>
      <c r="E670" s="3"/>
      <c r="F670" s="3"/>
      <c r="G670" s="3"/>
      <c r="H670" s="3"/>
      <c r="I670" s="3"/>
      <c r="J670" s="3"/>
      <c r="K670" s="3"/>
      <c r="L670" s="3"/>
      <c r="M670" s="3"/>
      <c r="N670" s="3"/>
      <c r="O670" s="3"/>
    </row>
    <row r="671" spans="1:15" ht="13">
      <c r="A671" s="3"/>
      <c r="B671" s="3"/>
      <c r="C671" s="3"/>
      <c r="D671" s="3"/>
      <c r="E671" s="3"/>
      <c r="F671" s="3"/>
      <c r="G671" s="3"/>
      <c r="H671" s="3"/>
      <c r="I671" s="3"/>
      <c r="J671" s="3"/>
      <c r="K671" s="3"/>
      <c r="L671" s="3"/>
      <c r="M671" s="3"/>
      <c r="N671" s="3"/>
      <c r="O671" s="3"/>
    </row>
    <row r="672" spans="1:15" ht="13">
      <c r="A672" s="3"/>
      <c r="B672" s="3"/>
      <c r="C672" s="3"/>
      <c r="D672" s="3"/>
      <c r="E672" s="3"/>
      <c r="F672" s="3"/>
      <c r="G672" s="3"/>
      <c r="H672" s="3"/>
      <c r="I672" s="3"/>
      <c r="J672" s="3"/>
      <c r="K672" s="3"/>
      <c r="L672" s="3"/>
      <c r="M672" s="3"/>
      <c r="N672" s="3"/>
      <c r="O672" s="3"/>
    </row>
    <row r="673" spans="1:15" ht="13">
      <c r="A673" s="3"/>
      <c r="B673" s="3"/>
      <c r="C673" s="3"/>
      <c r="D673" s="3"/>
      <c r="E673" s="3"/>
      <c r="F673" s="3"/>
      <c r="G673" s="3"/>
      <c r="H673" s="3"/>
      <c r="I673" s="3"/>
      <c r="J673" s="3"/>
      <c r="K673" s="3"/>
      <c r="L673" s="3"/>
      <c r="M673" s="3"/>
      <c r="N673" s="3"/>
      <c r="O673" s="3"/>
    </row>
    <row r="674" spans="1:15" ht="13">
      <c r="A674" s="3"/>
      <c r="B674" s="3"/>
      <c r="C674" s="3"/>
      <c r="D674" s="3"/>
      <c r="E674" s="3"/>
      <c r="F674" s="3"/>
      <c r="G674" s="3"/>
      <c r="H674" s="3"/>
      <c r="I674" s="3"/>
      <c r="J674" s="3"/>
      <c r="K674" s="3"/>
      <c r="L674" s="3"/>
      <c r="M674" s="3"/>
      <c r="N674" s="3"/>
      <c r="O674" s="3"/>
    </row>
    <row r="675" spans="1:15" ht="13">
      <c r="A675" s="3"/>
      <c r="B675" s="3"/>
      <c r="C675" s="3"/>
      <c r="D675" s="3"/>
      <c r="E675" s="3"/>
      <c r="F675" s="3"/>
      <c r="G675" s="3"/>
      <c r="H675" s="3"/>
      <c r="I675" s="3"/>
      <c r="J675" s="3"/>
      <c r="K675" s="3"/>
      <c r="L675" s="3"/>
      <c r="M675" s="3"/>
      <c r="N675" s="3"/>
      <c r="O675" s="3"/>
    </row>
    <row r="676" spans="1:15" ht="13">
      <c r="A676" s="3"/>
      <c r="B676" s="3"/>
      <c r="C676" s="3"/>
      <c r="D676" s="3"/>
      <c r="E676" s="3"/>
      <c r="F676" s="3"/>
      <c r="G676" s="3"/>
      <c r="H676" s="3"/>
      <c r="I676" s="3"/>
      <c r="J676" s="3"/>
      <c r="K676" s="3"/>
      <c r="L676" s="3"/>
      <c r="M676" s="3"/>
      <c r="N676" s="3"/>
      <c r="O676" s="3"/>
    </row>
    <row r="677" spans="1:15" ht="13">
      <c r="A677" s="3"/>
      <c r="B677" s="3"/>
      <c r="C677" s="3"/>
      <c r="D677" s="3"/>
      <c r="E677" s="3"/>
      <c r="F677" s="3"/>
      <c r="G677" s="3"/>
      <c r="H677" s="3"/>
      <c r="I677" s="3"/>
      <c r="J677" s="3"/>
      <c r="K677" s="3"/>
      <c r="L677" s="3"/>
      <c r="M677" s="3"/>
      <c r="N677" s="3"/>
      <c r="O677" s="3"/>
    </row>
    <row r="678" spans="1:15" ht="13">
      <c r="A678" s="3"/>
      <c r="B678" s="3"/>
      <c r="C678" s="3"/>
      <c r="D678" s="3"/>
      <c r="E678" s="3"/>
      <c r="F678" s="3"/>
      <c r="G678" s="3"/>
      <c r="H678" s="3"/>
      <c r="I678" s="3"/>
      <c r="J678" s="3"/>
      <c r="K678" s="3"/>
      <c r="L678" s="3"/>
      <c r="M678" s="3"/>
      <c r="N678" s="3"/>
      <c r="O678" s="3"/>
    </row>
    <row r="679" spans="1:15" ht="13">
      <c r="A679" s="3"/>
      <c r="B679" s="3"/>
      <c r="C679" s="3"/>
      <c r="D679" s="3"/>
      <c r="E679" s="3"/>
      <c r="F679" s="3"/>
      <c r="G679" s="3"/>
      <c r="H679" s="3"/>
      <c r="I679" s="3"/>
      <c r="J679" s="3"/>
      <c r="K679" s="3"/>
      <c r="L679" s="3"/>
      <c r="M679" s="3"/>
      <c r="N679" s="3"/>
      <c r="O679" s="3"/>
    </row>
    <row r="680" spans="1:15" ht="13">
      <c r="A680" s="3"/>
      <c r="B680" s="3"/>
      <c r="C680" s="3"/>
      <c r="D680" s="3"/>
      <c r="E680" s="3"/>
      <c r="F680" s="3"/>
      <c r="G680" s="3"/>
      <c r="H680" s="3"/>
      <c r="I680" s="3"/>
      <c r="J680" s="3"/>
      <c r="K680" s="3"/>
      <c r="L680" s="3"/>
      <c r="M680" s="3"/>
      <c r="N680" s="3"/>
      <c r="O680" s="3"/>
    </row>
    <row r="681" spans="1:15" ht="13">
      <c r="A681" s="3"/>
      <c r="B681" s="3"/>
      <c r="C681" s="3"/>
      <c r="D681" s="3"/>
      <c r="E681" s="3"/>
      <c r="F681" s="3"/>
      <c r="G681" s="3"/>
      <c r="H681" s="3"/>
      <c r="I681" s="3"/>
      <c r="J681" s="3"/>
      <c r="K681" s="3"/>
      <c r="L681" s="3"/>
      <c r="M681" s="3"/>
      <c r="N681" s="3"/>
      <c r="O681" s="3"/>
    </row>
    <row r="682" spans="1:15" ht="13">
      <c r="A682" s="3"/>
      <c r="B682" s="3"/>
      <c r="C682" s="3"/>
      <c r="D682" s="3"/>
      <c r="E682" s="3"/>
      <c r="F682" s="3"/>
      <c r="G682" s="3"/>
      <c r="H682" s="3"/>
      <c r="I682" s="3"/>
      <c r="J682" s="3"/>
      <c r="K682" s="3"/>
      <c r="L682" s="3"/>
      <c r="M682" s="3"/>
      <c r="N682" s="3"/>
      <c r="O682" s="3"/>
    </row>
    <row r="683" spans="1:15" ht="13">
      <c r="A683" s="3"/>
      <c r="B683" s="3"/>
      <c r="C683" s="3"/>
      <c r="D683" s="3"/>
      <c r="E683" s="3"/>
      <c r="F683" s="3"/>
      <c r="G683" s="3"/>
      <c r="H683" s="3"/>
      <c r="I683" s="3"/>
      <c r="J683" s="3"/>
      <c r="K683" s="3"/>
      <c r="L683" s="3"/>
      <c r="M683" s="3"/>
      <c r="N683" s="3"/>
      <c r="O683" s="3"/>
    </row>
    <row r="684" spans="1:15" ht="13">
      <c r="A684" s="3"/>
      <c r="B684" s="3"/>
      <c r="C684" s="3"/>
      <c r="D684" s="3"/>
      <c r="E684" s="3"/>
      <c r="F684" s="3"/>
      <c r="G684" s="3"/>
      <c r="H684" s="3"/>
      <c r="I684" s="3"/>
      <c r="J684" s="3"/>
      <c r="K684" s="3"/>
      <c r="L684" s="3"/>
      <c r="M684" s="3"/>
      <c r="N684" s="3"/>
      <c r="O684" s="3"/>
    </row>
    <row r="685" spans="1:15" ht="13">
      <c r="A685" s="3"/>
      <c r="B685" s="3"/>
      <c r="C685" s="3"/>
      <c r="D685" s="3"/>
      <c r="E685" s="3"/>
      <c r="F685" s="3"/>
      <c r="G685" s="3"/>
      <c r="H685" s="3"/>
      <c r="I685" s="3"/>
      <c r="J685" s="3"/>
      <c r="K685" s="3"/>
      <c r="L685" s="3"/>
      <c r="M685" s="3"/>
      <c r="N685" s="3"/>
      <c r="O685" s="3"/>
    </row>
    <row r="686" spans="1:15" ht="13">
      <c r="A686" s="3"/>
      <c r="B686" s="3"/>
      <c r="C686" s="3"/>
      <c r="D686" s="3"/>
      <c r="E686" s="3"/>
      <c r="F686" s="3"/>
      <c r="G686" s="3"/>
      <c r="H686" s="3"/>
      <c r="I686" s="3"/>
      <c r="J686" s="3"/>
      <c r="K686" s="3"/>
      <c r="L686" s="3"/>
      <c r="M686" s="3"/>
      <c r="N686" s="3"/>
      <c r="O686" s="3"/>
    </row>
    <row r="687" spans="1:15" ht="13">
      <c r="A687" s="3"/>
      <c r="B687" s="3"/>
      <c r="C687" s="3"/>
      <c r="D687" s="3"/>
      <c r="E687" s="3"/>
      <c r="F687" s="3"/>
      <c r="G687" s="3"/>
      <c r="H687" s="3"/>
      <c r="I687" s="3"/>
      <c r="J687" s="3"/>
      <c r="K687" s="3"/>
      <c r="L687" s="3"/>
      <c r="M687" s="3"/>
      <c r="N687" s="3"/>
      <c r="O687" s="3"/>
    </row>
    <row r="688" spans="1:15" ht="13">
      <c r="A688" s="3"/>
      <c r="B688" s="3"/>
      <c r="C688" s="3"/>
      <c r="D688" s="3"/>
      <c r="E688" s="3"/>
      <c r="F688" s="3"/>
      <c r="G688" s="3"/>
      <c r="H688" s="3"/>
      <c r="I688" s="3"/>
      <c r="J688" s="3"/>
      <c r="K688" s="3"/>
      <c r="L688" s="3"/>
      <c r="M688" s="3"/>
      <c r="N688" s="3"/>
      <c r="O688" s="3"/>
    </row>
    <row r="689" spans="1:15" ht="13">
      <c r="A689" s="3"/>
      <c r="B689" s="3"/>
      <c r="C689" s="3"/>
      <c r="D689" s="3"/>
      <c r="E689" s="3"/>
      <c r="F689" s="3"/>
      <c r="G689" s="3"/>
      <c r="H689" s="3"/>
      <c r="I689" s="3"/>
      <c r="J689" s="3"/>
      <c r="K689" s="3"/>
      <c r="L689" s="3"/>
      <c r="M689" s="3"/>
      <c r="N689" s="3"/>
      <c r="O689" s="3"/>
    </row>
    <row r="690" spans="1:15" ht="13">
      <c r="A690" s="3"/>
      <c r="B690" s="3"/>
      <c r="C690" s="3"/>
      <c r="D690" s="3"/>
      <c r="E690" s="3"/>
      <c r="F690" s="3"/>
      <c r="G690" s="3"/>
      <c r="H690" s="3"/>
      <c r="I690" s="3"/>
      <c r="J690" s="3"/>
      <c r="K690" s="3"/>
      <c r="L690" s="3"/>
      <c r="M690" s="3"/>
      <c r="N690" s="3"/>
      <c r="O690" s="3"/>
    </row>
    <row r="691" spans="1:15" ht="13">
      <c r="A691" s="3"/>
      <c r="B691" s="3"/>
      <c r="C691" s="3"/>
      <c r="D691" s="3"/>
      <c r="E691" s="3"/>
      <c r="F691" s="3"/>
      <c r="G691" s="3"/>
      <c r="H691" s="3"/>
      <c r="I691" s="3"/>
      <c r="J691" s="3"/>
      <c r="K691" s="3"/>
      <c r="L691" s="3"/>
      <c r="M691" s="3"/>
      <c r="N691" s="3"/>
      <c r="O691" s="3"/>
    </row>
    <row r="692" spans="1:15" ht="13">
      <c r="A692" s="3"/>
      <c r="B692" s="3"/>
      <c r="C692" s="3"/>
      <c r="D692" s="3"/>
      <c r="E692" s="3"/>
      <c r="F692" s="3"/>
      <c r="G692" s="3"/>
      <c r="H692" s="3"/>
      <c r="I692" s="3"/>
      <c r="J692" s="3"/>
      <c r="K692" s="3"/>
      <c r="L692" s="3"/>
      <c r="M692" s="3"/>
      <c r="N692" s="3"/>
      <c r="O692" s="3"/>
    </row>
    <row r="693" spans="1:15" ht="13">
      <c r="A693" s="3"/>
      <c r="B693" s="3"/>
      <c r="C693" s="3"/>
      <c r="D693" s="3"/>
      <c r="E693" s="3"/>
      <c r="F693" s="3"/>
      <c r="G693" s="3"/>
      <c r="H693" s="3"/>
      <c r="I693" s="3"/>
      <c r="J693" s="3"/>
      <c r="K693" s="3"/>
      <c r="L693" s="3"/>
      <c r="M693" s="3"/>
      <c r="N693" s="3"/>
      <c r="O693" s="3"/>
    </row>
    <row r="694" spans="1:15" ht="13">
      <c r="A694" s="3"/>
      <c r="B694" s="3"/>
      <c r="C694" s="3"/>
      <c r="D694" s="3"/>
      <c r="E694" s="3"/>
      <c r="F694" s="3"/>
      <c r="G694" s="3"/>
      <c r="H694" s="3"/>
      <c r="I694" s="3"/>
      <c r="J694" s="3"/>
      <c r="K694" s="3"/>
      <c r="L694" s="3"/>
      <c r="M694" s="3"/>
      <c r="N694" s="3"/>
      <c r="O694" s="3"/>
    </row>
    <row r="695" spans="1:15" ht="13">
      <c r="A695" s="3"/>
      <c r="B695" s="3"/>
      <c r="C695" s="3"/>
      <c r="D695" s="3"/>
      <c r="E695" s="3"/>
      <c r="F695" s="3"/>
      <c r="G695" s="3"/>
      <c r="H695" s="3"/>
      <c r="I695" s="3"/>
      <c r="J695" s="3"/>
      <c r="K695" s="3"/>
      <c r="L695" s="3"/>
      <c r="M695" s="3"/>
      <c r="N695" s="3"/>
      <c r="O695" s="3"/>
    </row>
    <row r="696" spans="1:15" ht="13">
      <c r="A696" s="3"/>
      <c r="B696" s="3"/>
      <c r="C696" s="3"/>
      <c r="D696" s="3"/>
      <c r="E696" s="3"/>
      <c r="F696" s="3"/>
      <c r="G696" s="3"/>
      <c r="H696" s="3"/>
      <c r="I696" s="3"/>
      <c r="J696" s="3"/>
      <c r="K696" s="3"/>
      <c r="L696" s="3"/>
      <c r="M696" s="3"/>
      <c r="N696" s="3"/>
      <c r="O696" s="3"/>
    </row>
    <row r="697" spans="1:15" ht="13">
      <c r="A697" s="3"/>
      <c r="B697" s="3"/>
      <c r="C697" s="3"/>
      <c r="D697" s="3"/>
      <c r="E697" s="3"/>
      <c r="F697" s="3"/>
      <c r="G697" s="3"/>
      <c r="H697" s="3"/>
      <c r="I697" s="3"/>
      <c r="J697" s="3"/>
      <c r="K697" s="3"/>
      <c r="L697" s="3"/>
      <c r="M697" s="3"/>
      <c r="N697" s="3"/>
      <c r="O697" s="3"/>
    </row>
    <row r="698" spans="1:15" ht="13">
      <c r="A698" s="3"/>
      <c r="B698" s="3"/>
      <c r="C698" s="3"/>
      <c r="D698" s="3"/>
      <c r="E698" s="3"/>
      <c r="F698" s="3"/>
      <c r="G698" s="3"/>
      <c r="H698" s="3"/>
      <c r="I698" s="3"/>
      <c r="J698" s="3"/>
      <c r="K698" s="3"/>
      <c r="L698" s="3"/>
      <c r="M698" s="3"/>
      <c r="N698" s="3"/>
      <c r="O698" s="3"/>
    </row>
    <row r="699" spans="1:15" ht="13">
      <c r="A699" s="3"/>
      <c r="B699" s="3"/>
      <c r="C699" s="3"/>
      <c r="D699" s="3"/>
      <c r="E699" s="3"/>
      <c r="F699" s="3"/>
      <c r="G699" s="3"/>
      <c r="H699" s="3"/>
      <c r="I699" s="3"/>
      <c r="J699" s="3"/>
      <c r="K699" s="3"/>
      <c r="L699" s="3"/>
      <c r="M699" s="3"/>
      <c r="N699" s="3"/>
      <c r="O699" s="3"/>
    </row>
    <row r="700" spans="1:15" ht="13">
      <c r="A700" s="3"/>
      <c r="B700" s="3"/>
      <c r="C700" s="3"/>
      <c r="D700" s="3"/>
      <c r="E700" s="3"/>
      <c r="F700" s="3"/>
      <c r="G700" s="3"/>
      <c r="H700" s="3"/>
      <c r="I700" s="3"/>
      <c r="J700" s="3"/>
      <c r="K700" s="3"/>
      <c r="L700" s="3"/>
      <c r="M700" s="3"/>
      <c r="N700" s="3"/>
      <c r="O700" s="3"/>
    </row>
    <row r="701" spans="1:15" ht="13">
      <c r="A701" s="3"/>
      <c r="B701" s="3"/>
      <c r="C701" s="3"/>
      <c r="D701" s="3"/>
      <c r="E701" s="3"/>
      <c r="F701" s="3"/>
      <c r="G701" s="3"/>
      <c r="H701" s="3"/>
      <c r="I701" s="3"/>
      <c r="J701" s="3"/>
      <c r="K701" s="3"/>
      <c r="L701" s="3"/>
      <c r="M701" s="3"/>
      <c r="N701" s="3"/>
      <c r="O701" s="3"/>
    </row>
    <row r="702" spans="1:15" ht="13">
      <c r="A702" s="3"/>
      <c r="B702" s="3"/>
      <c r="C702" s="3"/>
      <c r="D702" s="3"/>
      <c r="E702" s="3"/>
      <c r="F702" s="3"/>
      <c r="G702" s="3"/>
      <c r="H702" s="3"/>
      <c r="I702" s="3"/>
      <c r="J702" s="3"/>
      <c r="K702" s="3"/>
      <c r="L702" s="3"/>
      <c r="M702" s="3"/>
      <c r="N702" s="3"/>
      <c r="O702" s="3"/>
    </row>
    <row r="703" spans="1:15" ht="13">
      <c r="A703" s="3"/>
      <c r="B703" s="3"/>
      <c r="C703" s="3"/>
      <c r="D703" s="3"/>
      <c r="E703" s="3"/>
      <c r="F703" s="3"/>
      <c r="G703" s="3"/>
      <c r="H703" s="3"/>
      <c r="I703" s="3"/>
      <c r="J703" s="3"/>
      <c r="K703" s="3"/>
      <c r="L703" s="3"/>
      <c r="M703" s="3"/>
      <c r="N703" s="3"/>
      <c r="O703" s="3"/>
    </row>
    <row r="704" spans="1:15" ht="13">
      <c r="A704" s="3"/>
      <c r="B704" s="3"/>
      <c r="C704" s="3"/>
      <c r="D704" s="3"/>
      <c r="E704" s="3"/>
      <c r="F704" s="3"/>
      <c r="G704" s="3"/>
      <c r="H704" s="3"/>
      <c r="I704" s="3"/>
      <c r="J704" s="3"/>
      <c r="K704" s="3"/>
      <c r="L704" s="3"/>
      <c r="M704" s="3"/>
      <c r="N704" s="3"/>
      <c r="O704" s="3"/>
    </row>
    <row r="705" spans="1:15" ht="13">
      <c r="A705" s="3"/>
      <c r="B705" s="3"/>
      <c r="C705" s="3"/>
      <c r="D705" s="3"/>
      <c r="E705" s="3"/>
      <c r="F705" s="3"/>
      <c r="G705" s="3"/>
      <c r="H705" s="3"/>
      <c r="I705" s="3"/>
      <c r="J705" s="3"/>
      <c r="K705" s="3"/>
      <c r="L705" s="3"/>
      <c r="M705" s="3"/>
      <c r="N705" s="3"/>
      <c r="O705" s="3"/>
    </row>
    <row r="706" spans="1:15" ht="13">
      <c r="A706" s="3"/>
      <c r="B706" s="3"/>
      <c r="C706" s="3"/>
      <c r="D706" s="3"/>
      <c r="E706" s="3"/>
      <c r="F706" s="3"/>
      <c r="G706" s="3"/>
      <c r="H706" s="3"/>
      <c r="I706" s="3"/>
      <c r="J706" s="3"/>
      <c r="K706" s="3"/>
      <c r="L706" s="3"/>
      <c r="M706" s="3"/>
      <c r="N706" s="3"/>
      <c r="O706" s="3"/>
    </row>
    <row r="707" spans="1:15" ht="13">
      <c r="A707" s="3"/>
      <c r="B707" s="3"/>
      <c r="C707" s="3"/>
      <c r="D707" s="3"/>
      <c r="E707" s="3"/>
      <c r="F707" s="3"/>
      <c r="G707" s="3"/>
      <c r="H707" s="3"/>
      <c r="I707" s="3"/>
      <c r="J707" s="3"/>
      <c r="K707" s="3"/>
      <c r="L707" s="3"/>
      <c r="M707" s="3"/>
      <c r="N707" s="3"/>
      <c r="O707" s="3"/>
    </row>
    <row r="708" spans="1:15" ht="13">
      <c r="A708" s="3"/>
      <c r="B708" s="3"/>
      <c r="C708" s="3"/>
      <c r="D708" s="3"/>
      <c r="E708" s="3"/>
      <c r="F708" s="3"/>
      <c r="G708" s="3"/>
      <c r="H708" s="3"/>
      <c r="I708" s="3"/>
      <c r="J708" s="3"/>
      <c r="K708" s="3"/>
      <c r="L708" s="3"/>
      <c r="M708" s="3"/>
      <c r="N708" s="3"/>
      <c r="O708" s="3"/>
    </row>
    <row r="709" spans="1:15" ht="13">
      <c r="A709" s="3"/>
      <c r="B709" s="3"/>
      <c r="C709" s="3"/>
      <c r="D709" s="3"/>
      <c r="E709" s="3"/>
      <c r="F709" s="3"/>
      <c r="G709" s="3"/>
      <c r="H709" s="3"/>
      <c r="I709" s="3"/>
      <c r="J709" s="3"/>
      <c r="K709" s="3"/>
      <c r="L709" s="3"/>
      <c r="M709" s="3"/>
      <c r="N709" s="3"/>
      <c r="O709" s="3"/>
    </row>
    <row r="710" spans="1:15" ht="13">
      <c r="A710" s="3"/>
      <c r="B710" s="3"/>
      <c r="C710" s="3"/>
      <c r="D710" s="3"/>
      <c r="E710" s="3"/>
      <c r="F710" s="3"/>
      <c r="G710" s="3"/>
      <c r="H710" s="3"/>
      <c r="I710" s="3"/>
      <c r="J710" s="3"/>
      <c r="K710" s="3"/>
      <c r="L710" s="3"/>
      <c r="M710" s="3"/>
      <c r="N710" s="3"/>
      <c r="O710" s="3"/>
    </row>
    <row r="711" spans="1:15" ht="13">
      <c r="A711" s="3"/>
      <c r="B711" s="3"/>
      <c r="C711" s="3"/>
      <c r="D711" s="3"/>
      <c r="E711" s="3"/>
      <c r="F711" s="3"/>
      <c r="G711" s="3"/>
      <c r="H711" s="3"/>
      <c r="I711" s="3"/>
      <c r="J711" s="3"/>
      <c r="K711" s="3"/>
      <c r="L711" s="3"/>
      <c r="M711" s="3"/>
      <c r="N711" s="3"/>
      <c r="O711" s="3"/>
    </row>
    <row r="712" spans="1:15" ht="13">
      <c r="A712" s="3"/>
      <c r="B712" s="3"/>
      <c r="C712" s="3"/>
      <c r="D712" s="3"/>
      <c r="E712" s="3"/>
      <c r="F712" s="3"/>
      <c r="G712" s="3"/>
      <c r="H712" s="3"/>
      <c r="I712" s="3"/>
      <c r="J712" s="3"/>
      <c r="K712" s="3"/>
      <c r="L712" s="3"/>
      <c r="M712" s="3"/>
      <c r="N712" s="3"/>
      <c r="O712" s="3"/>
    </row>
    <row r="713" spans="1:15" ht="13">
      <c r="A713" s="3"/>
      <c r="B713" s="3"/>
      <c r="C713" s="3"/>
      <c r="D713" s="3"/>
      <c r="E713" s="3"/>
      <c r="F713" s="3"/>
      <c r="G713" s="3"/>
      <c r="H713" s="3"/>
      <c r="I713" s="3"/>
      <c r="J713" s="3"/>
      <c r="K713" s="3"/>
      <c r="L713" s="3"/>
      <c r="M713" s="3"/>
      <c r="N713" s="3"/>
      <c r="O713" s="3"/>
    </row>
    <row r="714" spans="1:15" ht="13">
      <c r="A714" s="3"/>
      <c r="B714" s="3"/>
      <c r="C714" s="3"/>
      <c r="D714" s="3"/>
      <c r="E714" s="3"/>
      <c r="F714" s="3"/>
      <c r="G714" s="3"/>
      <c r="H714" s="3"/>
      <c r="I714" s="3"/>
      <c r="J714" s="3"/>
      <c r="K714" s="3"/>
      <c r="L714" s="3"/>
      <c r="M714" s="3"/>
      <c r="N714" s="3"/>
      <c r="O714" s="3"/>
    </row>
    <row r="715" spans="1:15" ht="13">
      <c r="A715" s="3"/>
      <c r="B715" s="3"/>
      <c r="C715" s="3"/>
      <c r="D715" s="3"/>
      <c r="E715" s="3"/>
      <c r="F715" s="3"/>
      <c r="G715" s="3"/>
      <c r="H715" s="3"/>
      <c r="I715" s="3"/>
      <c r="J715" s="3"/>
      <c r="K715" s="3"/>
      <c r="L715" s="3"/>
      <c r="M715" s="3"/>
      <c r="N715" s="3"/>
      <c r="O715" s="3"/>
    </row>
    <row r="716" spans="1:15" ht="13">
      <c r="A716" s="3"/>
      <c r="B716" s="3"/>
      <c r="C716" s="3"/>
      <c r="D716" s="3"/>
      <c r="E716" s="3"/>
      <c r="F716" s="3"/>
      <c r="G716" s="3"/>
      <c r="H716" s="3"/>
      <c r="I716" s="3"/>
      <c r="J716" s="3"/>
      <c r="K716" s="3"/>
      <c r="L716" s="3"/>
      <c r="M716" s="3"/>
      <c r="N716" s="3"/>
      <c r="O716" s="3"/>
    </row>
    <row r="717" spans="1:15" ht="13">
      <c r="A717" s="3"/>
      <c r="B717" s="3"/>
      <c r="C717" s="3"/>
      <c r="D717" s="3"/>
      <c r="E717" s="3"/>
      <c r="F717" s="3"/>
      <c r="G717" s="3"/>
      <c r="H717" s="3"/>
      <c r="I717" s="3"/>
      <c r="J717" s="3"/>
      <c r="K717" s="3"/>
      <c r="L717" s="3"/>
      <c r="M717" s="3"/>
      <c r="N717" s="3"/>
      <c r="O717" s="3"/>
    </row>
    <row r="718" spans="1:15" ht="13">
      <c r="A718" s="3"/>
      <c r="B718" s="3"/>
      <c r="C718" s="3"/>
      <c r="D718" s="3"/>
      <c r="E718" s="3"/>
      <c r="F718" s="3"/>
      <c r="G718" s="3"/>
      <c r="H718" s="3"/>
      <c r="I718" s="3"/>
      <c r="J718" s="3"/>
      <c r="K718" s="3"/>
      <c r="L718" s="3"/>
      <c r="M718" s="3"/>
      <c r="N718" s="3"/>
      <c r="O718" s="3"/>
    </row>
    <row r="719" spans="1:15" ht="13">
      <c r="A719" s="3"/>
      <c r="B719" s="3"/>
      <c r="C719" s="3"/>
      <c r="D719" s="3"/>
      <c r="E719" s="3"/>
      <c r="F719" s="3"/>
      <c r="G719" s="3"/>
      <c r="H719" s="3"/>
      <c r="I719" s="3"/>
      <c r="J719" s="3"/>
      <c r="K719" s="3"/>
      <c r="L719" s="3"/>
      <c r="M719" s="3"/>
      <c r="N719" s="3"/>
      <c r="O719" s="3"/>
    </row>
    <row r="720" spans="1:15" ht="13">
      <c r="A720" s="3"/>
      <c r="B720" s="3"/>
      <c r="C720" s="3"/>
      <c r="D720" s="3"/>
      <c r="E720" s="3"/>
      <c r="F720" s="3"/>
      <c r="G720" s="3"/>
      <c r="H720" s="3"/>
      <c r="I720" s="3"/>
      <c r="J720" s="3"/>
      <c r="K720" s="3"/>
      <c r="L720" s="3"/>
      <c r="M720" s="3"/>
      <c r="N720" s="3"/>
      <c r="O720" s="3"/>
    </row>
    <row r="721" spans="1:15" ht="13">
      <c r="A721" s="3"/>
      <c r="B721" s="3"/>
      <c r="C721" s="3"/>
      <c r="D721" s="3"/>
      <c r="E721" s="3"/>
      <c r="F721" s="3"/>
      <c r="G721" s="3"/>
      <c r="H721" s="3"/>
      <c r="I721" s="3"/>
      <c r="J721" s="3"/>
      <c r="K721" s="3"/>
      <c r="L721" s="3"/>
      <c r="M721" s="3"/>
      <c r="N721" s="3"/>
      <c r="O721" s="3"/>
    </row>
    <row r="722" spans="1:15" ht="13">
      <c r="A722" s="3"/>
      <c r="B722" s="3"/>
      <c r="C722" s="3"/>
      <c r="D722" s="3"/>
      <c r="E722" s="3"/>
      <c r="F722" s="3"/>
      <c r="G722" s="3"/>
      <c r="H722" s="3"/>
      <c r="I722" s="3"/>
      <c r="J722" s="3"/>
      <c r="K722" s="3"/>
      <c r="L722" s="3"/>
      <c r="M722" s="3"/>
      <c r="N722" s="3"/>
      <c r="O722" s="3"/>
    </row>
    <row r="723" spans="1:15" ht="13">
      <c r="A723" s="3"/>
      <c r="B723" s="3"/>
      <c r="C723" s="3"/>
      <c r="D723" s="3"/>
      <c r="E723" s="3"/>
      <c r="F723" s="3"/>
      <c r="G723" s="3"/>
      <c r="H723" s="3"/>
      <c r="I723" s="3"/>
      <c r="J723" s="3"/>
      <c r="K723" s="3"/>
      <c r="L723" s="3"/>
      <c r="M723" s="3"/>
      <c r="N723" s="3"/>
      <c r="O723" s="3"/>
    </row>
    <row r="724" spans="1:15" ht="13">
      <c r="A724" s="3"/>
      <c r="B724" s="3"/>
      <c r="C724" s="3"/>
      <c r="D724" s="3"/>
      <c r="E724" s="3"/>
      <c r="F724" s="3"/>
      <c r="G724" s="3"/>
      <c r="H724" s="3"/>
      <c r="I724" s="3"/>
      <c r="J724" s="3"/>
      <c r="K724" s="3"/>
      <c r="L724" s="3"/>
      <c r="M724" s="3"/>
      <c r="N724" s="3"/>
      <c r="O724" s="3"/>
    </row>
    <row r="725" spans="1:15" ht="13">
      <c r="A725" s="3"/>
      <c r="B725" s="3"/>
      <c r="C725" s="3"/>
      <c r="D725" s="3"/>
      <c r="E725" s="3"/>
      <c r="F725" s="3"/>
      <c r="G725" s="3"/>
      <c r="H725" s="3"/>
      <c r="I725" s="3"/>
      <c r="J725" s="3"/>
      <c r="K725" s="3"/>
      <c r="L725" s="3"/>
      <c r="M725" s="3"/>
      <c r="N725" s="3"/>
      <c r="O725" s="3"/>
    </row>
    <row r="726" spans="1:15" ht="13">
      <c r="A726" s="3"/>
      <c r="B726" s="3"/>
      <c r="C726" s="3"/>
      <c r="D726" s="3"/>
      <c r="E726" s="3"/>
      <c r="F726" s="3"/>
      <c r="G726" s="3"/>
      <c r="H726" s="3"/>
      <c r="I726" s="3"/>
      <c r="J726" s="3"/>
      <c r="K726" s="3"/>
      <c r="L726" s="3"/>
      <c r="M726" s="3"/>
      <c r="N726" s="3"/>
      <c r="O726" s="3"/>
    </row>
    <row r="727" spans="1:15" ht="13">
      <c r="A727" s="3"/>
      <c r="B727" s="3"/>
      <c r="C727" s="3"/>
      <c r="D727" s="3"/>
      <c r="E727" s="3"/>
      <c r="F727" s="3"/>
      <c r="G727" s="3"/>
      <c r="H727" s="3"/>
      <c r="I727" s="3"/>
      <c r="J727" s="3"/>
      <c r="K727" s="3"/>
      <c r="L727" s="3"/>
      <c r="M727" s="3"/>
      <c r="N727" s="3"/>
      <c r="O727" s="3"/>
    </row>
    <row r="728" spans="1:15" ht="13">
      <c r="A728" s="3"/>
      <c r="B728" s="3"/>
      <c r="C728" s="3"/>
      <c r="D728" s="3"/>
      <c r="E728" s="3"/>
      <c r="F728" s="3"/>
      <c r="G728" s="3"/>
      <c r="H728" s="3"/>
      <c r="I728" s="3"/>
      <c r="J728" s="3"/>
      <c r="K728" s="3"/>
      <c r="L728" s="3"/>
      <c r="M728" s="3"/>
      <c r="N728" s="3"/>
      <c r="O728" s="3"/>
    </row>
    <row r="729" spans="1:15" ht="13">
      <c r="A729" s="3"/>
      <c r="B729" s="3"/>
      <c r="C729" s="3"/>
      <c r="D729" s="3"/>
      <c r="E729" s="3"/>
      <c r="F729" s="3"/>
      <c r="G729" s="3"/>
      <c r="H729" s="3"/>
      <c r="I729" s="3"/>
      <c r="J729" s="3"/>
      <c r="K729" s="3"/>
      <c r="L729" s="3"/>
      <c r="M729" s="3"/>
      <c r="N729" s="3"/>
      <c r="O729" s="3"/>
    </row>
    <row r="730" spans="1:15" ht="13">
      <c r="A730" s="3"/>
      <c r="B730" s="3"/>
      <c r="C730" s="3"/>
      <c r="D730" s="3"/>
      <c r="E730" s="3"/>
      <c r="F730" s="3"/>
      <c r="G730" s="3"/>
      <c r="H730" s="3"/>
      <c r="I730" s="3"/>
      <c r="J730" s="3"/>
      <c r="K730" s="3"/>
      <c r="L730" s="3"/>
      <c r="M730" s="3"/>
      <c r="N730" s="3"/>
      <c r="O730" s="3"/>
    </row>
    <row r="731" spans="1:15" ht="13">
      <c r="A731" s="3"/>
      <c r="B731" s="3"/>
      <c r="C731" s="3"/>
      <c r="D731" s="3"/>
      <c r="E731" s="3"/>
      <c r="F731" s="3"/>
      <c r="G731" s="3"/>
      <c r="H731" s="3"/>
      <c r="I731" s="3"/>
      <c r="J731" s="3"/>
      <c r="K731" s="3"/>
      <c r="L731" s="3"/>
      <c r="M731" s="3"/>
      <c r="N731" s="3"/>
      <c r="O731" s="3"/>
    </row>
    <row r="732" spans="1:15" ht="13">
      <c r="A732" s="3"/>
      <c r="B732" s="3"/>
      <c r="C732" s="3"/>
      <c r="D732" s="3"/>
      <c r="E732" s="3"/>
      <c r="F732" s="3"/>
      <c r="G732" s="3"/>
      <c r="H732" s="3"/>
      <c r="I732" s="3"/>
      <c r="J732" s="3"/>
      <c r="K732" s="3"/>
      <c r="L732" s="3"/>
      <c r="M732" s="3"/>
      <c r="N732" s="3"/>
      <c r="O732" s="3"/>
    </row>
    <row r="733" spans="1:15" ht="13">
      <c r="A733" s="3"/>
      <c r="B733" s="3"/>
      <c r="C733" s="3"/>
      <c r="D733" s="3"/>
      <c r="E733" s="3"/>
      <c r="F733" s="3"/>
      <c r="G733" s="3"/>
      <c r="H733" s="3"/>
      <c r="I733" s="3"/>
      <c r="J733" s="3"/>
      <c r="K733" s="3"/>
      <c r="L733" s="3"/>
      <c r="M733" s="3"/>
      <c r="N733" s="3"/>
      <c r="O733" s="3"/>
    </row>
    <row r="734" spans="1:15" ht="13">
      <c r="A734" s="3"/>
      <c r="B734" s="3"/>
      <c r="C734" s="3"/>
      <c r="D734" s="3"/>
      <c r="E734" s="3"/>
      <c r="F734" s="3"/>
      <c r="G734" s="3"/>
      <c r="H734" s="3"/>
      <c r="I734" s="3"/>
      <c r="J734" s="3"/>
      <c r="K734" s="3"/>
      <c r="L734" s="3"/>
      <c r="M734" s="3"/>
      <c r="N734" s="3"/>
      <c r="O734" s="3"/>
    </row>
    <row r="735" spans="1:15" ht="13">
      <c r="A735" s="3"/>
      <c r="B735" s="3"/>
      <c r="C735" s="3"/>
      <c r="D735" s="3"/>
      <c r="E735" s="3"/>
      <c r="F735" s="3"/>
      <c r="G735" s="3"/>
      <c r="H735" s="3"/>
      <c r="I735" s="3"/>
      <c r="J735" s="3"/>
      <c r="K735" s="3"/>
      <c r="L735" s="3"/>
      <c r="M735" s="3"/>
      <c r="N735" s="3"/>
      <c r="O735" s="3"/>
    </row>
    <row r="736" spans="1:15" ht="13">
      <c r="A736" s="3"/>
      <c r="B736" s="3"/>
      <c r="C736" s="3"/>
      <c r="D736" s="3"/>
      <c r="E736" s="3"/>
      <c r="F736" s="3"/>
      <c r="G736" s="3"/>
      <c r="H736" s="3"/>
      <c r="I736" s="3"/>
      <c r="J736" s="3"/>
      <c r="K736" s="3"/>
      <c r="L736" s="3"/>
      <c r="M736" s="3"/>
      <c r="N736" s="3"/>
      <c r="O736" s="3"/>
    </row>
    <row r="737" spans="1:15" ht="13">
      <c r="A737" s="3"/>
      <c r="B737" s="3"/>
      <c r="C737" s="3"/>
      <c r="D737" s="3"/>
      <c r="E737" s="3"/>
      <c r="F737" s="3"/>
      <c r="G737" s="3"/>
      <c r="H737" s="3"/>
      <c r="I737" s="3"/>
      <c r="J737" s="3"/>
      <c r="K737" s="3"/>
      <c r="L737" s="3"/>
      <c r="M737" s="3"/>
      <c r="N737" s="3"/>
      <c r="O737" s="3"/>
    </row>
    <row r="738" spans="1:15" ht="13">
      <c r="A738" s="3"/>
      <c r="B738" s="3"/>
      <c r="C738" s="3"/>
      <c r="D738" s="3"/>
      <c r="E738" s="3"/>
      <c r="F738" s="3"/>
      <c r="G738" s="3"/>
      <c r="H738" s="3"/>
      <c r="I738" s="3"/>
      <c r="J738" s="3"/>
      <c r="K738" s="3"/>
      <c r="L738" s="3"/>
      <c r="M738" s="3"/>
      <c r="N738" s="3"/>
      <c r="O738" s="3"/>
    </row>
    <row r="739" spans="1:15" ht="13">
      <c r="A739" s="3"/>
      <c r="B739" s="3"/>
      <c r="C739" s="3"/>
      <c r="D739" s="3"/>
      <c r="E739" s="3"/>
      <c r="F739" s="3"/>
      <c r="G739" s="3"/>
      <c r="H739" s="3"/>
      <c r="I739" s="3"/>
      <c r="J739" s="3"/>
      <c r="K739" s="3"/>
      <c r="L739" s="3"/>
      <c r="M739" s="3"/>
      <c r="N739" s="3"/>
      <c r="O739" s="3"/>
    </row>
    <row r="740" spans="1:15" ht="13">
      <c r="A740" s="3"/>
      <c r="B740" s="3"/>
      <c r="C740" s="3"/>
      <c r="D740" s="3"/>
      <c r="E740" s="3"/>
      <c r="F740" s="3"/>
      <c r="G740" s="3"/>
      <c r="H740" s="3"/>
      <c r="I740" s="3"/>
      <c r="J740" s="3"/>
      <c r="K740" s="3"/>
      <c r="L740" s="3"/>
      <c r="M740" s="3"/>
      <c r="N740" s="3"/>
      <c r="O740" s="3"/>
    </row>
    <row r="741" spans="1:15" ht="13">
      <c r="A741" s="3"/>
      <c r="B741" s="3"/>
      <c r="C741" s="3"/>
      <c r="D741" s="3"/>
      <c r="E741" s="3"/>
      <c r="F741" s="3"/>
      <c r="G741" s="3"/>
      <c r="H741" s="3"/>
      <c r="I741" s="3"/>
      <c r="J741" s="3"/>
      <c r="K741" s="3"/>
      <c r="L741" s="3"/>
      <c r="M741" s="3"/>
      <c r="N741" s="3"/>
      <c r="O741" s="3"/>
    </row>
    <row r="742" spans="1:15" ht="13">
      <c r="A742" s="3"/>
      <c r="B742" s="3"/>
      <c r="C742" s="3"/>
      <c r="D742" s="3"/>
      <c r="E742" s="3"/>
      <c r="F742" s="3"/>
      <c r="G742" s="3"/>
      <c r="H742" s="3"/>
      <c r="I742" s="3"/>
      <c r="J742" s="3"/>
      <c r="K742" s="3"/>
      <c r="L742" s="3"/>
      <c r="M742" s="3"/>
      <c r="N742" s="3"/>
      <c r="O742" s="3"/>
    </row>
    <row r="743" spans="1:15" ht="13">
      <c r="A743" s="3"/>
      <c r="B743" s="3"/>
      <c r="C743" s="3"/>
      <c r="D743" s="3"/>
      <c r="E743" s="3"/>
      <c r="F743" s="3"/>
      <c r="G743" s="3"/>
      <c r="H743" s="3"/>
      <c r="I743" s="3"/>
      <c r="J743" s="3"/>
      <c r="K743" s="3"/>
      <c r="L743" s="3"/>
      <c r="M743" s="3"/>
      <c r="N743" s="3"/>
      <c r="O743" s="3"/>
    </row>
    <row r="744" spans="1:15" ht="13">
      <c r="A744" s="3"/>
      <c r="B744" s="3"/>
      <c r="C744" s="3"/>
      <c r="D744" s="3"/>
      <c r="E744" s="3"/>
      <c r="F744" s="3"/>
      <c r="G744" s="3"/>
      <c r="H744" s="3"/>
      <c r="I744" s="3"/>
      <c r="J744" s="3"/>
      <c r="K744" s="3"/>
      <c r="L744" s="3"/>
      <c r="M744" s="3"/>
      <c r="N744" s="3"/>
      <c r="O744" s="3"/>
    </row>
    <row r="745" spans="1:15" ht="13">
      <c r="A745" s="3"/>
      <c r="B745" s="3"/>
      <c r="C745" s="3"/>
      <c r="D745" s="3"/>
      <c r="E745" s="3"/>
      <c r="F745" s="3"/>
      <c r="G745" s="3"/>
      <c r="H745" s="3"/>
      <c r="I745" s="3"/>
      <c r="J745" s="3"/>
      <c r="K745" s="3"/>
      <c r="L745" s="3"/>
      <c r="M745" s="3"/>
      <c r="N745" s="3"/>
      <c r="O745" s="3"/>
    </row>
    <row r="746" spans="1:15" ht="13">
      <c r="A746" s="3"/>
      <c r="B746" s="3"/>
      <c r="C746" s="3"/>
      <c r="D746" s="3"/>
      <c r="E746" s="3"/>
      <c r="F746" s="3"/>
      <c r="G746" s="3"/>
      <c r="H746" s="3"/>
      <c r="I746" s="3"/>
      <c r="J746" s="3"/>
      <c r="K746" s="3"/>
      <c r="L746" s="3"/>
      <c r="M746" s="3"/>
      <c r="N746" s="3"/>
      <c r="O746" s="3"/>
    </row>
    <row r="747" spans="1:15" ht="13">
      <c r="A747" s="3"/>
      <c r="B747" s="3"/>
      <c r="C747" s="3"/>
      <c r="D747" s="3"/>
      <c r="E747" s="3"/>
      <c r="F747" s="3"/>
      <c r="G747" s="3"/>
      <c r="H747" s="3"/>
      <c r="I747" s="3"/>
      <c r="J747" s="3"/>
      <c r="K747" s="3"/>
      <c r="L747" s="3"/>
      <c r="M747" s="3"/>
      <c r="N747" s="3"/>
      <c r="O747" s="3"/>
    </row>
    <row r="748" spans="1:15" ht="13">
      <c r="A748" s="3"/>
      <c r="B748" s="3"/>
      <c r="C748" s="3"/>
      <c r="D748" s="3"/>
      <c r="E748" s="3"/>
      <c r="F748" s="3"/>
      <c r="G748" s="3"/>
      <c r="H748" s="3"/>
      <c r="I748" s="3"/>
      <c r="J748" s="3"/>
      <c r="K748" s="3"/>
      <c r="L748" s="3"/>
      <c r="M748" s="3"/>
      <c r="N748" s="3"/>
      <c r="O748" s="3"/>
    </row>
    <row r="749" spans="1:15" ht="13">
      <c r="A749" s="3"/>
      <c r="B749" s="3"/>
      <c r="C749" s="3"/>
      <c r="D749" s="3"/>
      <c r="E749" s="3"/>
      <c r="F749" s="3"/>
      <c r="G749" s="3"/>
      <c r="H749" s="3"/>
      <c r="I749" s="3"/>
      <c r="J749" s="3"/>
      <c r="K749" s="3"/>
      <c r="L749" s="3"/>
      <c r="M749" s="3"/>
      <c r="N749" s="3"/>
      <c r="O749" s="3"/>
    </row>
    <row r="750" spans="1:15" ht="13">
      <c r="A750" s="3"/>
      <c r="B750" s="3"/>
      <c r="C750" s="3"/>
      <c r="D750" s="3"/>
      <c r="E750" s="3"/>
      <c r="F750" s="3"/>
      <c r="G750" s="3"/>
      <c r="H750" s="3"/>
      <c r="I750" s="3"/>
      <c r="J750" s="3"/>
      <c r="K750" s="3"/>
      <c r="L750" s="3"/>
      <c r="M750" s="3"/>
      <c r="N750" s="3"/>
      <c r="O750" s="3"/>
    </row>
    <row r="751" spans="1:15" ht="13">
      <c r="A751" s="3"/>
      <c r="B751" s="3"/>
      <c r="C751" s="3"/>
      <c r="D751" s="3"/>
      <c r="E751" s="3"/>
      <c r="F751" s="3"/>
      <c r="G751" s="3"/>
      <c r="H751" s="3"/>
      <c r="I751" s="3"/>
      <c r="J751" s="3"/>
      <c r="K751" s="3"/>
      <c r="L751" s="3"/>
      <c r="M751" s="3"/>
      <c r="N751" s="3"/>
      <c r="O751" s="3"/>
    </row>
    <row r="752" spans="1:15" ht="13">
      <c r="A752" s="3"/>
      <c r="B752" s="3"/>
      <c r="C752" s="3"/>
      <c r="D752" s="3"/>
      <c r="E752" s="3"/>
      <c r="F752" s="3"/>
      <c r="G752" s="3"/>
      <c r="H752" s="3"/>
      <c r="I752" s="3"/>
      <c r="J752" s="3"/>
      <c r="K752" s="3"/>
      <c r="L752" s="3"/>
      <c r="M752" s="3"/>
      <c r="N752" s="3"/>
      <c r="O752" s="3"/>
    </row>
    <row r="753" spans="1:15" ht="13">
      <c r="A753" s="3"/>
      <c r="B753" s="3"/>
      <c r="C753" s="3"/>
      <c r="D753" s="3"/>
      <c r="E753" s="3"/>
      <c r="F753" s="3"/>
      <c r="G753" s="3"/>
      <c r="H753" s="3"/>
      <c r="I753" s="3"/>
      <c r="J753" s="3"/>
      <c r="K753" s="3"/>
      <c r="L753" s="3"/>
      <c r="M753" s="3"/>
      <c r="N753" s="3"/>
      <c r="O753" s="3"/>
    </row>
    <row r="754" spans="1:15" ht="13">
      <c r="A754" s="3"/>
      <c r="B754" s="3"/>
      <c r="C754" s="3"/>
      <c r="D754" s="3"/>
      <c r="E754" s="3"/>
      <c r="F754" s="3"/>
      <c r="G754" s="3"/>
      <c r="H754" s="3"/>
      <c r="I754" s="3"/>
      <c r="J754" s="3"/>
      <c r="K754" s="3"/>
      <c r="L754" s="3"/>
      <c r="M754" s="3"/>
      <c r="N754" s="3"/>
      <c r="O754" s="3"/>
    </row>
    <row r="755" spans="1:15" ht="13">
      <c r="A755" s="3"/>
      <c r="B755" s="3"/>
      <c r="C755" s="3"/>
      <c r="D755" s="3"/>
      <c r="E755" s="3"/>
      <c r="F755" s="3"/>
      <c r="G755" s="3"/>
      <c r="H755" s="3"/>
      <c r="I755" s="3"/>
      <c r="J755" s="3"/>
      <c r="K755" s="3"/>
      <c r="L755" s="3"/>
      <c r="M755" s="3"/>
      <c r="N755" s="3"/>
      <c r="O755" s="3"/>
    </row>
    <row r="756" spans="1:15" ht="13">
      <c r="A756" s="3"/>
      <c r="B756" s="3"/>
      <c r="C756" s="3"/>
      <c r="D756" s="3"/>
      <c r="E756" s="3"/>
      <c r="F756" s="3"/>
      <c r="G756" s="3"/>
      <c r="H756" s="3"/>
      <c r="I756" s="3"/>
      <c r="J756" s="3"/>
      <c r="K756" s="3"/>
      <c r="L756" s="3"/>
      <c r="M756" s="3"/>
      <c r="N756" s="3"/>
      <c r="O756" s="3"/>
    </row>
    <row r="757" spans="1:15" ht="13">
      <c r="A757" s="3"/>
      <c r="B757" s="3"/>
      <c r="C757" s="3"/>
      <c r="D757" s="3"/>
      <c r="E757" s="3"/>
      <c r="F757" s="3"/>
      <c r="G757" s="3"/>
      <c r="H757" s="3"/>
      <c r="I757" s="3"/>
      <c r="J757" s="3"/>
      <c r="K757" s="3"/>
      <c r="L757" s="3"/>
      <c r="M757" s="3"/>
      <c r="N757" s="3"/>
      <c r="O757" s="3"/>
    </row>
    <row r="758" spans="1:15" ht="13">
      <c r="A758" s="3"/>
      <c r="B758" s="3"/>
      <c r="C758" s="3"/>
      <c r="D758" s="3"/>
      <c r="E758" s="3"/>
      <c r="F758" s="3"/>
      <c r="G758" s="3"/>
      <c r="H758" s="3"/>
      <c r="I758" s="3"/>
      <c r="J758" s="3"/>
      <c r="K758" s="3"/>
      <c r="L758" s="3"/>
      <c r="M758" s="3"/>
      <c r="N758" s="3"/>
      <c r="O758" s="3"/>
    </row>
    <row r="759" spans="1:15" ht="13">
      <c r="A759" s="3"/>
      <c r="B759" s="3"/>
      <c r="C759" s="3"/>
      <c r="D759" s="3"/>
      <c r="E759" s="3"/>
      <c r="F759" s="3"/>
      <c r="G759" s="3"/>
      <c r="H759" s="3"/>
      <c r="I759" s="3"/>
      <c r="J759" s="3"/>
      <c r="K759" s="3"/>
      <c r="L759" s="3"/>
      <c r="M759" s="3"/>
      <c r="N759" s="3"/>
      <c r="O759" s="3"/>
    </row>
    <row r="760" spans="1:15" ht="13">
      <c r="A760" s="3"/>
      <c r="B760" s="3"/>
      <c r="C760" s="3"/>
      <c r="D760" s="3"/>
      <c r="E760" s="3"/>
      <c r="F760" s="3"/>
      <c r="G760" s="3"/>
      <c r="H760" s="3"/>
      <c r="I760" s="3"/>
      <c r="J760" s="3"/>
      <c r="K760" s="3"/>
      <c r="L760" s="3"/>
      <c r="M760" s="3"/>
      <c r="N760" s="3"/>
      <c r="O760" s="3"/>
    </row>
    <row r="761" spans="1:15" ht="13">
      <c r="A761" s="3"/>
      <c r="B761" s="3"/>
      <c r="C761" s="3"/>
      <c r="D761" s="3"/>
      <c r="E761" s="3"/>
      <c r="F761" s="3"/>
      <c r="G761" s="3"/>
      <c r="H761" s="3"/>
      <c r="I761" s="3"/>
      <c r="J761" s="3"/>
      <c r="K761" s="3"/>
      <c r="L761" s="3"/>
      <c r="M761" s="3"/>
      <c r="N761" s="3"/>
      <c r="O761" s="3"/>
    </row>
    <row r="762" spans="1:15" ht="13">
      <c r="A762" s="3"/>
      <c r="B762" s="3"/>
      <c r="C762" s="3"/>
      <c r="D762" s="3"/>
      <c r="E762" s="3"/>
      <c r="F762" s="3"/>
      <c r="G762" s="3"/>
      <c r="H762" s="3"/>
      <c r="I762" s="3"/>
      <c r="J762" s="3"/>
      <c r="K762" s="3"/>
      <c r="L762" s="3"/>
      <c r="M762" s="3"/>
      <c r="N762" s="3"/>
      <c r="O762" s="3"/>
    </row>
    <row r="763" spans="1:15" ht="13">
      <c r="A763" s="3"/>
      <c r="B763" s="3"/>
      <c r="C763" s="3"/>
      <c r="D763" s="3"/>
      <c r="E763" s="3"/>
      <c r="F763" s="3"/>
      <c r="G763" s="3"/>
      <c r="H763" s="3"/>
      <c r="I763" s="3"/>
      <c r="J763" s="3"/>
      <c r="K763" s="3"/>
      <c r="L763" s="3"/>
      <c r="M763" s="3"/>
      <c r="N763" s="3"/>
      <c r="O763" s="3"/>
    </row>
    <row r="764" spans="1:15" ht="13">
      <c r="A764" s="3"/>
      <c r="B764" s="3"/>
      <c r="C764" s="3"/>
      <c r="D764" s="3"/>
      <c r="E764" s="3"/>
      <c r="F764" s="3"/>
      <c r="G764" s="3"/>
      <c r="H764" s="3"/>
      <c r="I764" s="3"/>
      <c r="J764" s="3"/>
      <c r="K764" s="3"/>
      <c r="L764" s="3"/>
      <c r="M764" s="3"/>
      <c r="N764" s="3"/>
      <c r="O764" s="3"/>
    </row>
    <row r="765" spans="1:15" ht="13">
      <c r="A765" s="3"/>
      <c r="B765" s="3"/>
      <c r="C765" s="3"/>
      <c r="D765" s="3"/>
      <c r="E765" s="3"/>
      <c r="F765" s="3"/>
      <c r="G765" s="3"/>
      <c r="H765" s="3"/>
      <c r="I765" s="3"/>
      <c r="J765" s="3"/>
      <c r="K765" s="3"/>
      <c r="L765" s="3"/>
      <c r="M765" s="3"/>
      <c r="N765" s="3"/>
      <c r="O765" s="3"/>
    </row>
    <row r="766" spans="1:15" ht="13">
      <c r="A766" s="3"/>
      <c r="B766" s="3"/>
      <c r="C766" s="3"/>
      <c r="D766" s="3"/>
      <c r="E766" s="3"/>
      <c r="F766" s="3"/>
      <c r="G766" s="3"/>
      <c r="H766" s="3"/>
      <c r="I766" s="3"/>
      <c r="J766" s="3"/>
      <c r="K766" s="3"/>
      <c r="L766" s="3"/>
      <c r="M766" s="3"/>
      <c r="N766" s="3"/>
      <c r="O766" s="3"/>
    </row>
    <row r="767" spans="1:15" ht="13">
      <c r="A767" s="3"/>
      <c r="B767" s="3"/>
      <c r="C767" s="3"/>
      <c r="D767" s="3"/>
      <c r="E767" s="3"/>
      <c r="F767" s="3"/>
      <c r="G767" s="3"/>
      <c r="H767" s="3"/>
      <c r="I767" s="3"/>
      <c r="J767" s="3"/>
      <c r="K767" s="3"/>
      <c r="L767" s="3"/>
      <c r="M767" s="3"/>
      <c r="N767" s="3"/>
      <c r="O767" s="3"/>
    </row>
    <row r="768" spans="1:15" ht="13">
      <c r="A768" s="3"/>
      <c r="B768" s="3"/>
      <c r="C768" s="3"/>
      <c r="D768" s="3"/>
      <c r="E768" s="3"/>
      <c r="F768" s="3"/>
      <c r="G768" s="3"/>
      <c r="H768" s="3"/>
      <c r="I768" s="3"/>
      <c r="J768" s="3"/>
      <c r="K768" s="3"/>
      <c r="L768" s="3"/>
      <c r="M768" s="3"/>
      <c r="N768" s="3"/>
      <c r="O768" s="3"/>
    </row>
    <row r="769" spans="1:15" ht="13">
      <c r="A769" s="3"/>
      <c r="B769" s="3"/>
      <c r="C769" s="3"/>
      <c r="D769" s="3"/>
      <c r="E769" s="3"/>
      <c r="F769" s="3"/>
      <c r="G769" s="3"/>
      <c r="H769" s="3"/>
      <c r="I769" s="3"/>
      <c r="J769" s="3"/>
      <c r="K769" s="3"/>
      <c r="L769" s="3"/>
      <c r="M769" s="3"/>
      <c r="N769" s="3"/>
      <c r="O769" s="3"/>
    </row>
    <row r="770" spans="1:15" ht="13">
      <c r="A770" s="3"/>
      <c r="B770" s="3"/>
      <c r="C770" s="3"/>
      <c r="D770" s="3"/>
      <c r="E770" s="3"/>
      <c r="F770" s="3"/>
      <c r="G770" s="3"/>
      <c r="H770" s="3"/>
      <c r="I770" s="3"/>
      <c r="J770" s="3"/>
      <c r="K770" s="3"/>
      <c r="L770" s="3"/>
      <c r="M770" s="3"/>
      <c r="N770" s="3"/>
      <c r="O770" s="3"/>
    </row>
    <row r="771" spans="1:15" ht="13">
      <c r="A771" s="3"/>
      <c r="B771" s="3"/>
      <c r="C771" s="3"/>
      <c r="D771" s="3"/>
      <c r="E771" s="3"/>
      <c r="F771" s="3"/>
      <c r="G771" s="3"/>
      <c r="H771" s="3"/>
      <c r="I771" s="3"/>
      <c r="J771" s="3"/>
      <c r="K771" s="3"/>
      <c r="L771" s="3"/>
      <c r="M771" s="3"/>
      <c r="N771" s="3"/>
      <c r="O771" s="3"/>
    </row>
    <row r="772" spans="1:15" ht="13">
      <c r="A772" s="3"/>
      <c r="B772" s="3"/>
      <c r="C772" s="3"/>
      <c r="D772" s="3"/>
      <c r="E772" s="3"/>
      <c r="F772" s="3"/>
      <c r="G772" s="3"/>
      <c r="H772" s="3"/>
      <c r="I772" s="3"/>
      <c r="J772" s="3"/>
      <c r="K772" s="3"/>
      <c r="L772" s="3"/>
      <c r="M772" s="3"/>
      <c r="N772" s="3"/>
      <c r="O772" s="3"/>
    </row>
    <row r="773" spans="1:15" ht="13">
      <c r="A773" s="3"/>
      <c r="B773" s="3"/>
      <c r="C773" s="3"/>
      <c r="D773" s="3"/>
      <c r="E773" s="3"/>
      <c r="F773" s="3"/>
      <c r="G773" s="3"/>
      <c r="H773" s="3"/>
      <c r="I773" s="3"/>
      <c r="J773" s="3"/>
      <c r="K773" s="3"/>
      <c r="L773" s="3"/>
      <c r="M773" s="3"/>
      <c r="N773" s="3"/>
      <c r="O773" s="3"/>
    </row>
    <row r="774" spans="1:15" ht="13">
      <c r="A774" s="3"/>
      <c r="B774" s="3"/>
      <c r="C774" s="3"/>
      <c r="D774" s="3"/>
      <c r="E774" s="3"/>
      <c r="F774" s="3"/>
      <c r="G774" s="3"/>
      <c r="H774" s="3"/>
      <c r="I774" s="3"/>
      <c r="J774" s="3"/>
      <c r="K774" s="3"/>
      <c r="L774" s="3"/>
      <c r="M774" s="3"/>
      <c r="N774" s="3"/>
      <c r="O774" s="3"/>
    </row>
    <row r="775" spans="1:15" ht="13">
      <c r="A775" s="3"/>
      <c r="B775" s="3"/>
      <c r="C775" s="3"/>
      <c r="D775" s="3"/>
      <c r="E775" s="3"/>
      <c r="F775" s="3"/>
      <c r="G775" s="3"/>
      <c r="H775" s="3"/>
      <c r="I775" s="3"/>
      <c r="J775" s="3"/>
      <c r="K775" s="3"/>
      <c r="L775" s="3"/>
      <c r="M775" s="3"/>
      <c r="N775" s="3"/>
      <c r="O775" s="3"/>
    </row>
    <row r="776" spans="1:15" ht="13">
      <c r="A776" s="3"/>
      <c r="B776" s="3"/>
      <c r="C776" s="3"/>
      <c r="D776" s="3"/>
      <c r="E776" s="3"/>
      <c r="F776" s="3"/>
      <c r="G776" s="3"/>
      <c r="H776" s="3"/>
      <c r="I776" s="3"/>
      <c r="J776" s="3"/>
      <c r="K776" s="3"/>
      <c r="L776" s="3"/>
      <c r="M776" s="3"/>
      <c r="N776" s="3"/>
      <c r="O776" s="3"/>
    </row>
    <row r="777" spans="1:15" ht="13">
      <c r="A777" s="3"/>
      <c r="B777" s="3"/>
      <c r="C777" s="3"/>
      <c r="D777" s="3"/>
      <c r="E777" s="3"/>
      <c r="F777" s="3"/>
      <c r="G777" s="3"/>
      <c r="H777" s="3"/>
      <c r="I777" s="3"/>
      <c r="J777" s="3"/>
      <c r="K777" s="3"/>
      <c r="L777" s="3"/>
      <c r="M777" s="3"/>
      <c r="N777" s="3"/>
      <c r="O777" s="3"/>
    </row>
    <row r="778" spans="1:15" ht="13">
      <c r="A778" s="3"/>
      <c r="B778" s="3"/>
      <c r="C778" s="3"/>
      <c r="D778" s="3"/>
      <c r="E778" s="3"/>
      <c r="F778" s="3"/>
      <c r="G778" s="3"/>
      <c r="H778" s="3"/>
      <c r="I778" s="3"/>
      <c r="J778" s="3"/>
      <c r="K778" s="3"/>
      <c r="L778" s="3"/>
      <c r="M778" s="3"/>
      <c r="N778" s="3"/>
      <c r="O778" s="3"/>
    </row>
    <row r="779" spans="1:15" ht="13">
      <c r="A779" s="3"/>
      <c r="B779" s="3"/>
      <c r="C779" s="3"/>
      <c r="D779" s="3"/>
      <c r="E779" s="3"/>
      <c r="F779" s="3"/>
      <c r="G779" s="3"/>
      <c r="H779" s="3"/>
      <c r="I779" s="3"/>
      <c r="J779" s="3"/>
      <c r="K779" s="3"/>
      <c r="L779" s="3"/>
      <c r="M779" s="3"/>
      <c r="N779" s="3"/>
      <c r="O779" s="3"/>
    </row>
    <row r="780" spans="1:15" ht="13">
      <c r="A780" s="3"/>
      <c r="B780" s="3"/>
      <c r="C780" s="3"/>
      <c r="D780" s="3"/>
      <c r="E780" s="3"/>
      <c r="F780" s="3"/>
      <c r="G780" s="3"/>
      <c r="H780" s="3"/>
      <c r="I780" s="3"/>
      <c r="J780" s="3"/>
      <c r="K780" s="3"/>
      <c r="L780" s="3"/>
      <c r="M780" s="3"/>
      <c r="N780" s="3"/>
      <c r="O780" s="3"/>
    </row>
    <row r="781" spans="1:15" ht="13">
      <c r="A781" s="3"/>
      <c r="B781" s="3"/>
      <c r="C781" s="3"/>
      <c r="D781" s="3"/>
      <c r="E781" s="3"/>
      <c r="F781" s="3"/>
      <c r="G781" s="3"/>
      <c r="H781" s="3"/>
      <c r="I781" s="3"/>
      <c r="J781" s="3"/>
      <c r="K781" s="3"/>
      <c r="L781" s="3"/>
      <c r="M781" s="3"/>
      <c r="N781" s="3"/>
      <c r="O781" s="3"/>
    </row>
    <row r="782" spans="1:15" ht="13">
      <c r="A782" s="3"/>
      <c r="B782" s="3"/>
      <c r="C782" s="3"/>
      <c r="D782" s="3"/>
      <c r="E782" s="3"/>
      <c r="F782" s="3"/>
      <c r="G782" s="3"/>
      <c r="H782" s="3"/>
      <c r="I782" s="3"/>
      <c r="J782" s="3"/>
      <c r="K782" s="3"/>
      <c r="L782" s="3"/>
      <c r="M782" s="3"/>
      <c r="N782" s="3"/>
      <c r="O782" s="3"/>
    </row>
    <row r="783" spans="1:15" ht="13">
      <c r="A783" s="3"/>
      <c r="B783" s="3"/>
      <c r="C783" s="3"/>
      <c r="D783" s="3"/>
      <c r="E783" s="3"/>
      <c r="F783" s="3"/>
      <c r="G783" s="3"/>
      <c r="H783" s="3"/>
      <c r="I783" s="3"/>
      <c r="J783" s="3"/>
      <c r="K783" s="3"/>
      <c r="L783" s="3"/>
      <c r="M783" s="3"/>
      <c r="N783" s="3"/>
      <c r="O783" s="3"/>
    </row>
    <row r="784" spans="1:15" ht="13">
      <c r="A784" s="3"/>
      <c r="B784" s="3"/>
      <c r="C784" s="3"/>
      <c r="D784" s="3"/>
      <c r="E784" s="3"/>
      <c r="F784" s="3"/>
      <c r="G784" s="3"/>
      <c r="H784" s="3"/>
      <c r="I784" s="3"/>
      <c r="J784" s="3"/>
      <c r="K784" s="3"/>
      <c r="L784" s="3"/>
      <c r="M784" s="3"/>
      <c r="N784" s="3"/>
      <c r="O784" s="3"/>
    </row>
    <row r="785" spans="1:15" ht="13">
      <c r="A785" s="3"/>
      <c r="B785" s="3"/>
      <c r="C785" s="3"/>
      <c r="D785" s="3"/>
      <c r="E785" s="3"/>
      <c r="F785" s="3"/>
      <c r="G785" s="3"/>
      <c r="H785" s="3"/>
      <c r="I785" s="3"/>
      <c r="J785" s="3"/>
      <c r="K785" s="3"/>
      <c r="L785" s="3"/>
      <c r="M785" s="3"/>
      <c r="N785" s="3"/>
      <c r="O785" s="3"/>
    </row>
    <row r="786" spans="1:15" ht="13">
      <c r="A786" s="3"/>
      <c r="B786" s="3"/>
      <c r="C786" s="3"/>
      <c r="D786" s="3"/>
      <c r="E786" s="3"/>
      <c r="F786" s="3"/>
      <c r="G786" s="3"/>
      <c r="H786" s="3"/>
      <c r="I786" s="3"/>
      <c r="J786" s="3"/>
      <c r="K786" s="3"/>
      <c r="L786" s="3"/>
      <c r="M786" s="3"/>
      <c r="N786" s="3"/>
      <c r="O786" s="3"/>
    </row>
    <row r="787" spans="1:15" ht="13">
      <c r="A787" s="3"/>
      <c r="B787" s="3"/>
      <c r="C787" s="3"/>
      <c r="D787" s="3"/>
      <c r="E787" s="3"/>
      <c r="F787" s="3"/>
      <c r="G787" s="3"/>
      <c r="H787" s="3"/>
      <c r="I787" s="3"/>
      <c r="J787" s="3"/>
      <c r="K787" s="3"/>
      <c r="L787" s="3"/>
      <c r="M787" s="3"/>
      <c r="N787" s="3"/>
      <c r="O787" s="3"/>
    </row>
    <row r="788" spans="1:15" ht="13">
      <c r="A788" s="3"/>
      <c r="B788" s="3"/>
      <c r="C788" s="3"/>
      <c r="D788" s="3"/>
      <c r="E788" s="3"/>
      <c r="F788" s="3"/>
      <c r="G788" s="3"/>
      <c r="H788" s="3"/>
      <c r="I788" s="3"/>
      <c r="J788" s="3"/>
      <c r="K788" s="3"/>
      <c r="L788" s="3"/>
      <c r="M788" s="3"/>
      <c r="N788" s="3"/>
      <c r="O788" s="3"/>
    </row>
    <row r="789" spans="1:15" ht="13">
      <c r="A789" s="3"/>
      <c r="B789" s="3"/>
      <c r="C789" s="3"/>
      <c r="D789" s="3"/>
      <c r="E789" s="3"/>
      <c r="F789" s="3"/>
      <c r="G789" s="3"/>
      <c r="H789" s="3"/>
      <c r="I789" s="3"/>
      <c r="J789" s="3"/>
      <c r="K789" s="3"/>
      <c r="L789" s="3"/>
      <c r="M789" s="3"/>
      <c r="N789" s="3"/>
      <c r="O789" s="3"/>
    </row>
    <row r="790" spans="1:15" ht="13">
      <c r="A790" s="3"/>
      <c r="B790" s="3"/>
      <c r="C790" s="3"/>
      <c r="D790" s="3"/>
      <c r="E790" s="3"/>
      <c r="F790" s="3"/>
      <c r="G790" s="3"/>
      <c r="H790" s="3"/>
      <c r="I790" s="3"/>
      <c r="J790" s="3"/>
      <c r="K790" s="3"/>
      <c r="L790" s="3"/>
      <c r="M790" s="3"/>
      <c r="N790" s="3"/>
      <c r="O790" s="3"/>
    </row>
    <row r="791" spans="1:15" ht="13">
      <c r="A791" s="3"/>
      <c r="B791" s="3"/>
      <c r="C791" s="3"/>
      <c r="D791" s="3"/>
      <c r="E791" s="3"/>
      <c r="F791" s="3"/>
      <c r="G791" s="3"/>
      <c r="H791" s="3"/>
      <c r="I791" s="3"/>
      <c r="J791" s="3"/>
      <c r="K791" s="3"/>
      <c r="L791" s="3"/>
      <c r="M791" s="3"/>
      <c r="N791" s="3"/>
      <c r="O791" s="3"/>
    </row>
    <row r="792" spans="1:15" ht="13">
      <c r="A792" s="3"/>
      <c r="B792" s="3"/>
      <c r="C792" s="3"/>
      <c r="D792" s="3"/>
      <c r="E792" s="3"/>
      <c r="F792" s="3"/>
      <c r="G792" s="3"/>
      <c r="H792" s="3"/>
      <c r="I792" s="3"/>
      <c r="J792" s="3"/>
      <c r="K792" s="3"/>
      <c r="L792" s="3"/>
      <c r="M792" s="3"/>
      <c r="N792" s="3"/>
      <c r="O792" s="3"/>
    </row>
    <row r="793" spans="1:15" ht="13">
      <c r="A793" s="3"/>
      <c r="B793" s="3"/>
      <c r="C793" s="3"/>
      <c r="D793" s="3"/>
      <c r="E793" s="3"/>
      <c r="F793" s="3"/>
      <c r="G793" s="3"/>
      <c r="H793" s="3"/>
      <c r="I793" s="3"/>
      <c r="J793" s="3"/>
      <c r="K793" s="3"/>
      <c r="L793" s="3"/>
      <c r="M793" s="3"/>
      <c r="N793" s="3"/>
      <c r="O793" s="3"/>
    </row>
    <row r="794" spans="1:15" ht="13">
      <c r="A794" s="3"/>
      <c r="B794" s="3"/>
      <c r="C794" s="3"/>
      <c r="D794" s="3"/>
      <c r="E794" s="3"/>
      <c r="F794" s="3"/>
      <c r="G794" s="3"/>
      <c r="H794" s="3"/>
      <c r="I794" s="3"/>
      <c r="J794" s="3"/>
      <c r="K794" s="3"/>
      <c r="L794" s="3"/>
      <c r="M794" s="3"/>
      <c r="N794" s="3"/>
      <c r="O794" s="3"/>
    </row>
    <row r="795" spans="1:15" ht="13">
      <c r="A795" s="3"/>
      <c r="B795" s="3"/>
      <c r="C795" s="3"/>
      <c r="D795" s="3"/>
      <c r="E795" s="3"/>
      <c r="F795" s="3"/>
      <c r="G795" s="3"/>
      <c r="H795" s="3"/>
      <c r="I795" s="3"/>
      <c r="J795" s="3"/>
      <c r="K795" s="3"/>
      <c r="L795" s="3"/>
      <c r="M795" s="3"/>
      <c r="N795" s="3"/>
      <c r="O795" s="3"/>
    </row>
    <row r="796" spans="1:15" ht="13">
      <c r="A796" s="3"/>
      <c r="B796" s="3"/>
      <c r="C796" s="3"/>
      <c r="D796" s="3"/>
      <c r="E796" s="3"/>
      <c r="F796" s="3"/>
      <c r="G796" s="3"/>
      <c r="H796" s="3"/>
      <c r="I796" s="3"/>
      <c r="J796" s="3"/>
      <c r="K796" s="3"/>
      <c r="L796" s="3"/>
      <c r="M796" s="3"/>
      <c r="N796" s="3"/>
      <c r="O796" s="3"/>
    </row>
    <row r="797" spans="1:15" ht="13">
      <c r="A797" s="3"/>
      <c r="B797" s="3"/>
      <c r="C797" s="3"/>
      <c r="D797" s="3"/>
      <c r="E797" s="3"/>
      <c r="F797" s="3"/>
      <c r="G797" s="3"/>
      <c r="H797" s="3"/>
      <c r="I797" s="3"/>
      <c r="J797" s="3"/>
      <c r="K797" s="3"/>
      <c r="L797" s="3"/>
      <c r="M797" s="3"/>
      <c r="N797" s="3"/>
      <c r="O797" s="3"/>
    </row>
    <row r="798" spans="1:15" ht="13">
      <c r="A798" s="3"/>
      <c r="B798" s="3"/>
      <c r="C798" s="3"/>
      <c r="D798" s="3"/>
      <c r="E798" s="3"/>
      <c r="F798" s="3"/>
      <c r="G798" s="3"/>
      <c r="H798" s="3"/>
      <c r="I798" s="3"/>
      <c r="J798" s="3"/>
      <c r="K798" s="3"/>
      <c r="L798" s="3"/>
      <c r="M798" s="3"/>
      <c r="N798" s="3"/>
      <c r="O798" s="3"/>
    </row>
    <row r="799" spans="1:15" ht="13">
      <c r="A799" s="3"/>
      <c r="B799" s="3"/>
      <c r="C799" s="3"/>
      <c r="D799" s="3"/>
      <c r="E799" s="3"/>
      <c r="F799" s="3"/>
      <c r="G799" s="3"/>
      <c r="H799" s="3"/>
      <c r="I799" s="3"/>
      <c r="J799" s="3"/>
      <c r="K799" s="3"/>
      <c r="L799" s="3"/>
      <c r="M799" s="3"/>
      <c r="N799" s="3"/>
      <c r="O799" s="3"/>
    </row>
    <row r="800" spans="1:15" ht="13">
      <c r="A800" s="3"/>
      <c r="B800" s="3"/>
      <c r="C800" s="3"/>
      <c r="D800" s="3"/>
      <c r="E800" s="3"/>
      <c r="F800" s="3"/>
      <c r="G800" s="3"/>
      <c r="H800" s="3"/>
      <c r="I800" s="3"/>
      <c r="J800" s="3"/>
      <c r="K800" s="3"/>
      <c r="L800" s="3"/>
      <c r="M800" s="3"/>
      <c r="N800" s="3"/>
      <c r="O800" s="3"/>
    </row>
    <row r="801" spans="1:15" ht="13">
      <c r="A801" s="3"/>
      <c r="B801" s="3"/>
      <c r="C801" s="3"/>
      <c r="D801" s="3"/>
      <c r="E801" s="3"/>
      <c r="F801" s="3"/>
      <c r="G801" s="3"/>
      <c r="H801" s="3"/>
      <c r="I801" s="3"/>
      <c r="J801" s="3"/>
      <c r="K801" s="3"/>
      <c r="L801" s="3"/>
      <c r="M801" s="3"/>
      <c r="N801" s="3"/>
      <c r="O801" s="3"/>
    </row>
    <row r="802" spans="1:15" ht="13">
      <c r="A802" s="3"/>
      <c r="B802" s="3"/>
      <c r="C802" s="3"/>
      <c r="D802" s="3"/>
      <c r="E802" s="3"/>
      <c r="F802" s="3"/>
      <c r="G802" s="3"/>
      <c r="H802" s="3"/>
      <c r="I802" s="3"/>
      <c r="J802" s="3"/>
      <c r="K802" s="3"/>
      <c r="L802" s="3"/>
      <c r="M802" s="3"/>
      <c r="N802" s="3"/>
      <c r="O802" s="3"/>
    </row>
    <row r="803" spans="1:15" ht="13">
      <c r="A803" s="3"/>
      <c r="B803" s="3"/>
      <c r="C803" s="3"/>
      <c r="D803" s="3"/>
      <c r="E803" s="3"/>
      <c r="F803" s="3"/>
      <c r="G803" s="3"/>
      <c r="H803" s="3"/>
      <c r="I803" s="3"/>
      <c r="J803" s="3"/>
      <c r="K803" s="3"/>
      <c r="L803" s="3"/>
      <c r="M803" s="3"/>
      <c r="N803" s="3"/>
      <c r="O803" s="3"/>
    </row>
    <row r="804" spans="1:15" ht="13">
      <c r="A804" s="3"/>
      <c r="B804" s="3"/>
      <c r="C804" s="3"/>
      <c r="D804" s="3"/>
      <c r="E804" s="3"/>
      <c r="F804" s="3"/>
      <c r="G804" s="3"/>
      <c r="H804" s="3"/>
      <c r="I804" s="3"/>
      <c r="J804" s="3"/>
      <c r="K804" s="3"/>
      <c r="L804" s="3"/>
      <c r="M804" s="3"/>
      <c r="N804" s="3"/>
      <c r="O804" s="3"/>
    </row>
    <row r="805" spans="1:15" ht="13">
      <c r="A805" s="3"/>
      <c r="B805" s="3"/>
      <c r="C805" s="3"/>
      <c r="D805" s="3"/>
      <c r="E805" s="3"/>
      <c r="F805" s="3"/>
      <c r="G805" s="3"/>
      <c r="H805" s="3"/>
      <c r="I805" s="3"/>
      <c r="J805" s="3"/>
      <c r="K805" s="3"/>
      <c r="L805" s="3"/>
      <c r="M805" s="3"/>
      <c r="N805" s="3"/>
      <c r="O805" s="3"/>
    </row>
    <row r="806" spans="1:15" ht="13">
      <c r="A806" s="3"/>
      <c r="B806" s="3"/>
      <c r="C806" s="3"/>
      <c r="D806" s="3"/>
      <c r="E806" s="3"/>
      <c r="F806" s="3"/>
      <c r="G806" s="3"/>
      <c r="H806" s="3"/>
      <c r="I806" s="3"/>
      <c r="J806" s="3"/>
      <c r="K806" s="3"/>
      <c r="L806" s="3"/>
      <c r="M806" s="3"/>
      <c r="N806" s="3"/>
      <c r="O806" s="3"/>
    </row>
    <row r="807" spans="1:15" ht="13">
      <c r="A807" s="3"/>
      <c r="B807" s="3"/>
      <c r="C807" s="3"/>
      <c r="D807" s="3"/>
      <c r="E807" s="3"/>
      <c r="F807" s="3"/>
      <c r="G807" s="3"/>
      <c r="H807" s="3"/>
      <c r="I807" s="3"/>
      <c r="J807" s="3"/>
      <c r="K807" s="3"/>
      <c r="L807" s="3"/>
      <c r="M807" s="3"/>
      <c r="N807" s="3"/>
      <c r="O807" s="3"/>
    </row>
    <row r="808" spans="1:15" ht="13">
      <c r="A808" s="3"/>
      <c r="B808" s="3"/>
      <c r="C808" s="3"/>
      <c r="D808" s="3"/>
      <c r="E808" s="3"/>
      <c r="F808" s="3"/>
      <c r="G808" s="3"/>
      <c r="H808" s="3"/>
      <c r="I808" s="3"/>
      <c r="J808" s="3"/>
      <c r="K808" s="3"/>
      <c r="L808" s="3"/>
      <c r="M808" s="3"/>
      <c r="N808" s="3"/>
      <c r="O808" s="3"/>
    </row>
    <row r="809" spans="1:15" ht="13">
      <c r="A809" s="3"/>
      <c r="B809" s="3"/>
      <c r="C809" s="3"/>
      <c r="D809" s="3"/>
      <c r="E809" s="3"/>
      <c r="F809" s="3"/>
      <c r="G809" s="3"/>
      <c r="H809" s="3"/>
      <c r="I809" s="3"/>
      <c r="J809" s="3"/>
      <c r="K809" s="3"/>
      <c r="L809" s="3"/>
      <c r="M809" s="3"/>
      <c r="N809" s="3"/>
      <c r="O809" s="3"/>
    </row>
    <row r="810" spans="1:15" ht="13">
      <c r="A810" s="3"/>
      <c r="B810" s="3"/>
      <c r="C810" s="3"/>
      <c r="D810" s="3"/>
      <c r="E810" s="3"/>
      <c r="F810" s="3"/>
      <c r="G810" s="3"/>
      <c r="H810" s="3"/>
      <c r="I810" s="3"/>
      <c r="J810" s="3"/>
      <c r="K810" s="3"/>
      <c r="L810" s="3"/>
      <c r="M810" s="3"/>
      <c r="N810" s="3"/>
      <c r="O810" s="3"/>
    </row>
    <row r="811" spans="1:15" ht="13">
      <c r="A811" s="3"/>
      <c r="B811" s="3"/>
      <c r="C811" s="3"/>
      <c r="D811" s="3"/>
      <c r="E811" s="3"/>
      <c r="F811" s="3"/>
      <c r="G811" s="3"/>
      <c r="H811" s="3"/>
      <c r="I811" s="3"/>
      <c r="J811" s="3"/>
      <c r="K811" s="3"/>
      <c r="L811" s="3"/>
      <c r="M811" s="3"/>
      <c r="N811" s="3"/>
      <c r="O811" s="3"/>
    </row>
    <row r="812" spans="1:15" ht="13">
      <c r="A812" s="3"/>
      <c r="B812" s="3"/>
      <c r="C812" s="3"/>
      <c r="D812" s="3"/>
      <c r="E812" s="3"/>
      <c r="F812" s="3"/>
      <c r="G812" s="3"/>
      <c r="H812" s="3"/>
      <c r="I812" s="3"/>
      <c r="J812" s="3"/>
      <c r="K812" s="3"/>
      <c r="L812" s="3"/>
      <c r="M812" s="3"/>
      <c r="N812" s="3"/>
      <c r="O812" s="3"/>
    </row>
    <row r="813" spans="1:15" ht="13">
      <c r="A813" s="3"/>
      <c r="B813" s="3"/>
      <c r="C813" s="3"/>
      <c r="D813" s="3"/>
      <c r="E813" s="3"/>
      <c r="F813" s="3"/>
      <c r="G813" s="3"/>
      <c r="H813" s="3"/>
      <c r="I813" s="3"/>
      <c r="J813" s="3"/>
      <c r="K813" s="3"/>
      <c r="L813" s="3"/>
      <c r="M813" s="3"/>
      <c r="N813" s="3"/>
      <c r="O813" s="3"/>
    </row>
    <row r="814" spans="1:15" ht="13">
      <c r="A814" s="3"/>
      <c r="B814" s="3"/>
      <c r="C814" s="3"/>
      <c r="D814" s="3"/>
      <c r="E814" s="3"/>
      <c r="F814" s="3"/>
      <c r="G814" s="3"/>
      <c r="H814" s="3"/>
      <c r="I814" s="3"/>
      <c r="J814" s="3"/>
      <c r="K814" s="3"/>
      <c r="L814" s="3"/>
      <c r="M814" s="3"/>
      <c r="N814" s="3"/>
      <c r="O814" s="3"/>
    </row>
    <row r="815" spans="1:15" ht="13">
      <c r="A815" s="3"/>
      <c r="B815" s="3"/>
      <c r="C815" s="3"/>
      <c r="D815" s="3"/>
      <c r="E815" s="3"/>
      <c r="F815" s="3"/>
      <c r="G815" s="3"/>
      <c r="H815" s="3"/>
      <c r="I815" s="3"/>
      <c r="J815" s="3"/>
      <c r="K815" s="3"/>
      <c r="L815" s="3"/>
      <c r="M815" s="3"/>
      <c r="N815" s="3"/>
      <c r="O815" s="3"/>
    </row>
    <row r="816" spans="1:15" ht="13">
      <c r="A816" s="3"/>
      <c r="B816" s="3"/>
      <c r="C816" s="3"/>
      <c r="D816" s="3"/>
      <c r="E816" s="3"/>
      <c r="F816" s="3"/>
      <c r="G816" s="3"/>
      <c r="H816" s="3"/>
      <c r="I816" s="3"/>
      <c r="J816" s="3"/>
      <c r="K816" s="3"/>
      <c r="L816" s="3"/>
      <c r="M816" s="3"/>
      <c r="N816" s="3"/>
      <c r="O816" s="3"/>
    </row>
    <row r="817" spans="1:15" ht="13">
      <c r="A817" s="3"/>
      <c r="B817" s="3"/>
      <c r="C817" s="3"/>
      <c r="D817" s="3"/>
      <c r="E817" s="3"/>
      <c r="F817" s="3"/>
      <c r="G817" s="3"/>
      <c r="H817" s="3"/>
      <c r="I817" s="3"/>
      <c r="J817" s="3"/>
      <c r="K817" s="3"/>
      <c r="L817" s="3"/>
      <c r="M817" s="3"/>
      <c r="N817" s="3"/>
      <c r="O817" s="3"/>
    </row>
    <row r="818" spans="1:15" ht="13">
      <c r="A818" s="3"/>
      <c r="B818" s="3"/>
      <c r="C818" s="3"/>
      <c r="D818" s="3"/>
      <c r="E818" s="3"/>
      <c r="F818" s="3"/>
      <c r="G818" s="3"/>
      <c r="H818" s="3"/>
      <c r="I818" s="3"/>
      <c r="J818" s="3"/>
      <c r="K818" s="3"/>
      <c r="L818" s="3"/>
      <c r="M818" s="3"/>
      <c r="N818" s="3"/>
      <c r="O818" s="3"/>
    </row>
    <row r="819" spans="1:15" ht="13">
      <c r="A819" s="3"/>
      <c r="B819" s="3"/>
      <c r="C819" s="3"/>
      <c r="D819" s="3"/>
      <c r="E819" s="3"/>
      <c r="F819" s="3"/>
      <c r="G819" s="3"/>
      <c r="H819" s="3"/>
      <c r="I819" s="3"/>
      <c r="J819" s="3"/>
      <c r="K819" s="3"/>
      <c r="L819" s="3"/>
      <c r="M819" s="3"/>
      <c r="N819" s="3"/>
      <c r="O819" s="3"/>
    </row>
    <row r="820" spans="1:15" ht="13">
      <c r="A820" s="3"/>
      <c r="B820" s="3"/>
      <c r="C820" s="3"/>
      <c r="D820" s="3"/>
      <c r="E820" s="3"/>
      <c r="F820" s="3"/>
      <c r="G820" s="3"/>
      <c r="H820" s="3"/>
      <c r="I820" s="3"/>
      <c r="J820" s="3"/>
      <c r="K820" s="3"/>
      <c r="L820" s="3"/>
      <c r="M820" s="3"/>
      <c r="N820" s="3"/>
      <c r="O820" s="3"/>
    </row>
    <row r="821" spans="1:15" ht="13">
      <c r="A821" s="3"/>
      <c r="B821" s="3"/>
      <c r="C821" s="3"/>
      <c r="D821" s="3"/>
      <c r="E821" s="3"/>
      <c r="F821" s="3"/>
      <c r="G821" s="3"/>
      <c r="H821" s="3"/>
      <c r="I821" s="3"/>
      <c r="J821" s="3"/>
      <c r="K821" s="3"/>
      <c r="L821" s="3"/>
      <c r="M821" s="3"/>
      <c r="N821" s="3"/>
      <c r="O821" s="3"/>
    </row>
    <row r="822" spans="1:15" ht="13">
      <c r="A822" s="3"/>
      <c r="B822" s="3"/>
      <c r="C822" s="3"/>
      <c r="D822" s="3"/>
      <c r="E822" s="3"/>
      <c r="F822" s="3"/>
      <c r="G822" s="3"/>
      <c r="H822" s="3"/>
      <c r="I822" s="3"/>
      <c r="J822" s="3"/>
      <c r="K822" s="3"/>
      <c r="L822" s="3"/>
      <c r="M822" s="3"/>
      <c r="N822" s="3"/>
      <c r="O822" s="3"/>
    </row>
    <row r="823" spans="1:15" ht="13">
      <c r="A823" s="3"/>
      <c r="B823" s="3"/>
      <c r="C823" s="3"/>
      <c r="D823" s="3"/>
      <c r="E823" s="3"/>
      <c r="F823" s="3"/>
      <c r="G823" s="3"/>
      <c r="H823" s="3"/>
      <c r="I823" s="3"/>
      <c r="J823" s="3"/>
      <c r="K823" s="3"/>
      <c r="L823" s="3"/>
      <c r="M823" s="3"/>
      <c r="N823" s="3"/>
      <c r="O823" s="3"/>
    </row>
    <row r="824" spans="1:15" ht="13">
      <c r="A824" s="3"/>
      <c r="B824" s="3"/>
      <c r="C824" s="3"/>
      <c r="D824" s="3"/>
      <c r="E824" s="3"/>
      <c r="F824" s="3"/>
      <c r="G824" s="3"/>
      <c r="H824" s="3"/>
      <c r="I824" s="3"/>
      <c r="J824" s="3"/>
      <c r="K824" s="3"/>
      <c r="L824" s="3"/>
      <c r="M824" s="3"/>
      <c r="N824" s="3"/>
      <c r="O824" s="3"/>
    </row>
    <row r="825" spans="1:15" ht="13">
      <c r="A825" s="3"/>
      <c r="B825" s="3"/>
      <c r="C825" s="3"/>
      <c r="D825" s="3"/>
      <c r="E825" s="3"/>
      <c r="F825" s="3"/>
      <c r="G825" s="3"/>
      <c r="H825" s="3"/>
      <c r="I825" s="3"/>
      <c r="J825" s="3"/>
      <c r="K825" s="3"/>
      <c r="L825" s="3"/>
      <c r="M825" s="3"/>
      <c r="N825" s="3"/>
      <c r="O825" s="3"/>
    </row>
    <row r="826" spans="1:15" ht="13">
      <c r="A826" s="3"/>
      <c r="B826" s="3"/>
      <c r="C826" s="3"/>
      <c r="D826" s="3"/>
      <c r="E826" s="3"/>
      <c r="F826" s="3"/>
      <c r="G826" s="3"/>
      <c r="H826" s="3"/>
      <c r="I826" s="3"/>
      <c r="J826" s="3"/>
      <c r="K826" s="3"/>
      <c r="L826" s="3"/>
      <c r="M826" s="3"/>
      <c r="N826" s="3"/>
      <c r="O826" s="3"/>
    </row>
    <row r="827" spans="1:15" ht="13">
      <c r="A827" s="3"/>
      <c r="B827" s="3"/>
      <c r="C827" s="3"/>
      <c r="D827" s="3"/>
      <c r="E827" s="3"/>
      <c r="F827" s="3"/>
      <c r="G827" s="3"/>
      <c r="H827" s="3"/>
      <c r="I827" s="3"/>
      <c r="J827" s="3"/>
      <c r="K827" s="3"/>
      <c r="L827" s="3"/>
      <c r="M827" s="3"/>
      <c r="N827" s="3"/>
      <c r="O827" s="3"/>
    </row>
    <row r="828" spans="1:15" ht="13">
      <c r="A828" s="3"/>
      <c r="B828" s="3"/>
      <c r="C828" s="3"/>
      <c r="D828" s="3"/>
      <c r="E828" s="3"/>
      <c r="F828" s="3"/>
      <c r="G828" s="3"/>
      <c r="H828" s="3"/>
      <c r="I828" s="3"/>
      <c r="J828" s="3"/>
      <c r="K828" s="3"/>
      <c r="L828" s="3"/>
      <c r="M828" s="3"/>
      <c r="N828" s="3"/>
      <c r="O828" s="3"/>
    </row>
    <row r="829" spans="1:15" ht="13">
      <c r="A829" s="3"/>
      <c r="B829" s="3"/>
      <c r="C829" s="3"/>
      <c r="D829" s="3"/>
      <c r="E829" s="3"/>
      <c r="F829" s="3"/>
      <c r="G829" s="3"/>
      <c r="H829" s="3"/>
      <c r="I829" s="3"/>
      <c r="J829" s="3"/>
      <c r="K829" s="3"/>
      <c r="L829" s="3"/>
      <c r="M829" s="3"/>
      <c r="N829" s="3"/>
      <c r="O829" s="3"/>
    </row>
    <row r="830" spans="1:15" ht="13">
      <c r="A830" s="3"/>
      <c r="B830" s="3"/>
      <c r="C830" s="3"/>
      <c r="D830" s="3"/>
      <c r="E830" s="3"/>
      <c r="F830" s="3"/>
      <c r="G830" s="3"/>
      <c r="H830" s="3"/>
      <c r="I830" s="3"/>
      <c r="J830" s="3"/>
      <c r="K830" s="3"/>
      <c r="L830" s="3"/>
      <c r="M830" s="3"/>
      <c r="N830" s="3"/>
      <c r="O830" s="3"/>
    </row>
    <row r="831" spans="1:15" ht="13">
      <c r="A831" s="3"/>
      <c r="B831" s="3"/>
      <c r="C831" s="3"/>
      <c r="D831" s="3"/>
      <c r="E831" s="3"/>
      <c r="F831" s="3"/>
      <c r="G831" s="3"/>
      <c r="H831" s="3"/>
      <c r="I831" s="3"/>
      <c r="J831" s="3"/>
      <c r="K831" s="3"/>
      <c r="L831" s="3"/>
      <c r="M831" s="3"/>
      <c r="N831" s="3"/>
      <c r="O831" s="3"/>
    </row>
    <row r="832" spans="1:15" ht="13">
      <c r="A832" s="3"/>
      <c r="B832" s="3"/>
      <c r="C832" s="3"/>
      <c r="D832" s="3"/>
      <c r="E832" s="3"/>
      <c r="F832" s="3"/>
      <c r="G832" s="3"/>
      <c r="H832" s="3"/>
      <c r="I832" s="3"/>
      <c r="J832" s="3"/>
      <c r="K832" s="3"/>
      <c r="L832" s="3"/>
      <c r="M832" s="3"/>
      <c r="N832" s="3"/>
      <c r="O832" s="3"/>
    </row>
    <row r="833" spans="1:15" ht="13">
      <c r="A833" s="3"/>
      <c r="B833" s="3"/>
      <c r="C833" s="3"/>
      <c r="D833" s="3"/>
      <c r="E833" s="3"/>
      <c r="F833" s="3"/>
      <c r="G833" s="3"/>
      <c r="H833" s="3"/>
      <c r="I833" s="3"/>
      <c r="J833" s="3"/>
      <c r="K833" s="3"/>
      <c r="L833" s="3"/>
      <c r="M833" s="3"/>
      <c r="N833" s="3"/>
      <c r="O833" s="3"/>
    </row>
    <row r="834" spans="1:15" ht="13">
      <c r="A834" s="3"/>
      <c r="B834" s="3"/>
      <c r="C834" s="3"/>
      <c r="D834" s="3"/>
      <c r="E834" s="3"/>
      <c r="F834" s="3"/>
      <c r="G834" s="3"/>
      <c r="H834" s="3"/>
      <c r="I834" s="3"/>
      <c r="J834" s="3"/>
      <c r="K834" s="3"/>
      <c r="L834" s="3"/>
      <c r="M834" s="3"/>
      <c r="N834" s="3"/>
      <c r="O834" s="3"/>
    </row>
    <row r="835" spans="1:15" ht="13">
      <c r="A835" s="3"/>
      <c r="B835" s="3"/>
      <c r="C835" s="3"/>
      <c r="D835" s="3"/>
      <c r="E835" s="3"/>
      <c r="F835" s="3"/>
      <c r="G835" s="3"/>
      <c r="H835" s="3"/>
      <c r="I835" s="3"/>
      <c r="J835" s="3"/>
      <c r="K835" s="3"/>
      <c r="L835" s="3"/>
      <c r="M835" s="3"/>
      <c r="N835" s="3"/>
      <c r="O835" s="3"/>
    </row>
    <row r="836" spans="1:15" ht="13">
      <c r="A836" s="3"/>
      <c r="B836" s="3"/>
      <c r="C836" s="3"/>
      <c r="D836" s="3"/>
      <c r="E836" s="3"/>
      <c r="F836" s="3"/>
      <c r="G836" s="3"/>
      <c r="H836" s="3"/>
      <c r="I836" s="3"/>
      <c r="J836" s="3"/>
      <c r="K836" s="3"/>
      <c r="L836" s="3"/>
      <c r="M836" s="3"/>
      <c r="N836" s="3"/>
      <c r="O836" s="3"/>
    </row>
    <row r="837" spans="1:15" ht="13">
      <c r="A837" s="3"/>
      <c r="B837" s="3"/>
      <c r="C837" s="3"/>
      <c r="D837" s="3"/>
      <c r="E837" s="3"/>
      <c r="F837" s="3"/>
      <c r="G837" s="3"/>
      <c r="H837" s="3"/>
      <c r="I837" s="3"/>
      <c r="J837" s="3"/>
      <c r="K837" s="3"/>
      <c r="L837" s="3"/>
      <c r="M837" s="3"/>
      <c r="N837" s="3"/>
      <c r="O837" s="3"/>
    </row>
    <row r="838" spans="1:15" ht="13">
      <c r="A838" s="3"/>
      <c r="B838" s="3"/>
      <c r="C838" s="3"/>
      <c r="D838" s="3"/>
      <c r="E838" s="3"/>
      <c r="F838" s="3"/>
      <c r="G838" s="3"/>
      <c r="H838" s="3"/>
      <c r="I838" s="3"/>
      <c r="J838" s="3"/>
      <c r="K838" s="3"/>
      <c r="L838" s="3"/>
      <c r="M838" s="3"/>
      <c r="N838" s="3"/>
      <c r="O838" s="3"/>
    </row>
    <row r="839" spans="1:15" ht="13">
      <c r="A839" s="3"/>
      <c r="B839" s="3"/>
      <c r="C839" s="3"/>
      <c r="D839" s="3"/>
      <c r="E839" s="3"/>
      <c r="F839" s="3"/>
      <c r="G839" s="3"/>
      <c r="H839" s="3"/>
      <c r="I839" s="3"/>
      <c r="J839" s="3"/>
      <c r="K839" s="3"/>
      <c r="L839" s="3"/>
      <c r="M839" s="3"/>
      <c r="N839" s="3"/>
      <c r="O839" s="3"/>
    </row>
    <row r="840" spans="1:15" ht="13">
      <c r="A840" s="3"/>
      <c r="B840" s="3"/>
      <c r="C840" s="3"/>
      <c r="D840" s="3"/>
      <c r="E840" s="3"/>
      <c r="F840" s="3"/>
      <c r="G840" s="3"/>
      <c r="H840" s="3"/>
      <c r="I840" s="3"/>
      <c r="J840" s="3"/>
      <c r="K840" s="3"/>
      <c r="L840" s="3"/>
      <c r="M840" s="3"/>
      <c r="N840" s="3"/>
      <c r="O840" s="3"/>
    </row>
    <row r="841" spans="1:15" ht="13">
      <c r="A841" s="3"/>
      <c r="B841" s="3"/>
      <c r="C841" s="3"/>
      <c r="D841" s="3"/>
      <c r="E841" s="3"/>
      <c r="F841" s="3"/>
      <c r="G841" s="3"/>
      <c r="H841" s="3"/>
      <c r="I841" s="3"/>
      <c r="J841" s="3"/>
      <c r="K841" s="3"/>
      <c r="L841" s="3"/>
      <c r="M841" s="3"/>
      <c r="N841" s="3"/>
      <c r="O841" s="3"/>
    </row>
    <row r="842" spans="1:15" ht="13">
      <c r="A842" s="3"/>
      <c r="B842" s="3"/>
      <c r="C842" s="3"/>
      <c r="D842" s="3"/>
      <c r="E842" s="3"/>
      <c r="F842" s="3"/>
      <c r="G842" s="3"/>
      <c r="H842" s="3"/>
      <c r="I842" s="3"/>
      <c r="J842" s="3"/>
      <c r="K842" s="3"/>
      <c r="L842" s="3"/>
      <c r="M842" s="3"/>
      <c r="N842" s="3"/>
      <c r="O842" s="3"/>
    </row>
    <row r="843" spans="1:15" ht="13">
      <c r="A843" s="3"/>
      <c r="B843" s="3"/>
      <c r="C843" s="3"/>
      <c r="D843" s="3"/>
      <c r="E843" s="3"/>
      <c r="F843" s="3"/>
      <c r="G843" s="3"/>
      <c r="H843" s="3"/>
      <c r="I843" s="3"/>
      <c r="J843" s="3"/>
      <c r="K843" s="3"/>
      <c r="L843" s="3"/>
      <c r="M843" s="3"/>
      <c r="N843" s="3"/>
      <c r="O843" s="3"/>
    </row>
    <row r="844" spans="1:15" ht="13">
      <c r="A844" s="3"/>
      <c r="B844" s="3"/>
      <c r="C844" s="3"/>
      <c r="D844" s="3"/>
      <c r="E844" s="3"/>
      <c r="F844" s="3"/>
      <c r="G844" s="3"/>
      <c r="H844" s="3"/>
      <c r="I844" s="3"/>
      <c r="J844" s="3"/>
      <c r="K844" s="3"/>
      <c r="L844" s="3"/>
      <c r="M844" s="3"/>
      <c r="N844" s="3"/>
      <c r="O844" s="3"/>
    </row>
    <row r="845" spans="1:15" ht="13">
      <c r="A845" s="3"/>
      <c r="B845" s="3"/>
      <c r="C845" s="3"/>
      <c r="D845" s="3"/>
      <c r="E845" s="3"/>
      <c r="F845" s="3"/>
      <c r="G845" s="3"/>
      <c r="H845" s="3"/>
      <c r="I845" s="3"/>
      <c r="J845" s="3"/>
      <c r="K845" s="3"/>
      <c r="L845" s="3"/>
      <c r="M845" s="3"/>
      <c r="N845" s="3"/>
      <c r="O845" s="3"/>
    </row>
    <row r="846" spans="1:15" ht="13">
      <c r="A846" s="3"/>
      <c r="B846" s="3"/>
      <c r="C846" s="3"/>
      <c r="D846" s="3"/>
      <c r="E846" s="3"/>
      <c r="F846" s="3"/>
      <c r="G846" s="3"/>
      <c r="H846" s="3"/>
      <c r="I846" s="3"/>
      <c r="J846" s="3"/>
      <c r="K846" s="3"/>
      <c r="L846" s="3"/>
      <c r="M846" s="3"/>
      <c r="N846" s="3"/>
      <c r="O846" s="3"/>
    </row>
    <row r="847" spans="1:15" ht="13">
      <c r="A847" s="3"/>
      <c r="B847" s="3"/>
      <c r="C847" s="3"/>
      <c r="D847" s="3"/>
      <c r="E847" s="3"/>
      <c r="F847" s="3"/>
      <c r="G847" s="3"/>
      <c r="H847" s="3"/>
      <c r="I847" s="3"/>
      <c r="J847" s="3"/>
      <c r="K847" s="3"/>
      <c r="L847" s="3"/>
      <c r="M847" s="3"/>
      <c r="N847" s="3"/>
      <c r="O847" s="3"/>
    </row>
    <row r="848" spans="1:15" ht="13">
      <c r="A848" s="3"/>
      <c r="B848" s="3"/>
      <c r="C848" s="3"/>
      <c r="D848" s="3"/>
      <c r="E848" s="3"/>
      <c r="F848" s="3"/>
      <c r="G848" s="3"/>
      <c r="H848" s="3"/>
      <c r="I848" s="3"/>
      <c r="J848" s="3"/>
      <c r="K848" s="3"/>
      <c r="L848" s="3"/>
      <c r="M848" s="3"/>
      <c r="N848" s="3"/>
      <c r="O848" s="3"/>
    </row>
    <row r="849" spans="1:15" ht="13">
      <c r="A849" s="3"/>
      <c r="B849" s="3"/>
      <c r="C849" s="3"/>
      <c r="D849" s="3"/>
      <c r="E849" s="3"/>
      <c r="F849" s="3"/>
      <c r="G849" s="3"/>
      <c r="H849" s="3"/>
      <c r="I849" s="3"/>
      <c r="J849" s="3"/>
      <c r="K849" s="3"/>
      <c r="L849" s="3"/>
      <c r="M849" s="3"/>
      <c r="N849" s="3"/>
      <c r="O849" s="3"/>
    </row>
    <row r="850" spans="1:15" ht="13">
      <c r="A850" s="3"/>
      <c r="B850" s="3"/>
      <c r="C850" s="3"/>
      <c r="D850" s="3"/>
      <c r="E850" s="3"/>
      <c r="F850" s="3"/>
      <c r="G850" s="3"/>
      <c r="H850" s="3"/>
      <c r="I850" s="3"/>
      <c r="J850" s="3"/>
      <c r="K850" s="3"/>
      <c r="L850" s="3"/>
      <c r="M850" s="3"/>
      <c r="N850" s="3"/>
      <c r="O850" s="3"/>
    </row>
    <row r="851" spans="1:15" ht="13">
      <c r="A851" s="3"/>
      <c r="B851" s="3"/>
      <c r="C851" s="3"/>
      <c r="D851" s="3"/>
      <c r="E851" s="3"/>
      <c r="F851" s="3"/>
      <c r="G851" s="3"/>
      <c r="H851" s="3"/>
      <c r="I851" s="3"/>
      <c r="J851" s="3"/>
      <c r="K851" s="3"/>
      <c r="L851" s="3"/>
      <c r="M851" s="3"/>
      <c r="N851" s="3"/>
      <c r="O851" s="3"/>
    </row>
    <row r="852" spans="1:15" ht="13">
      <c r="A852" s="3"/>
      <c r="B852" s="3"/>
      <c r="C852" s="3"/>
      <c r="D852" s="3"/>
      <c r="E852" s="3"/>
      <c r="F852" s="3"/>
      <c r="G852" s="3"/>
      <c r="H852" s="3"/>
      <c r="I852" s="3"/>
      <c r="J852" s="3"/>
      <c r="K852" s="3"/>
      <c r="L852" s="3"/>
      <c r="M852" s="3"/>
      <c r="N852" s="3"/>
      <c r="O852" s="3"/>
    </row>
    <row r="853" spans="1:15" ht="13">
      <c r="A853" s="3"/>
      <c r="B853" s="3"/>
      <c r="C853" s="3"/>
      <c r="D853" s="3"/>
      <c r="E853" s="3"/>
      <c r="F853" s="3"/>
      <c r="G853" s="3"/>
      <c r="H853" s="3"/>
      <c r="I853" s="3"/>
      <c r="J853" s="3"/>
      <c r="K853" s="3"/>
      <c r="L853" s="3"/>
      <c r="M853" s="3"/>
      <c r="N853" s="3"/>
      <c r="O853" s="3"/>
    </row>
    <row r="854" spans="1:15" ht="13">
      <c r="A854" s="3"/>
      <c r="B854" s="3"/>
      <c r="C854" s="3"/>
      <c r="D854" s="3"/>
      <c r="E854" s="3"/>
      <c r="F854" s="3"/>
      <c r="G854" s="3"/>
      <c r="H854" s="3"/>
      <c r="I854" s="3"/>
      <c r="J854" s="3"/>
      <c r="K854" s="3"/>
      <c r="L854" s="3"/>
      <c r="M854" s="3"/>
      <c r="N854" s="3"/>
      <c r="O854" s="3"/>
    </row>
    <row r="855" spans="1:15" ht="13">
      <c r="A855" s="3"/>
      <c r="B855" s="3"/>
      <c r="C855" s="3"/>
      <c r="D855" s="3"/>
      <c r="E855" s="3"/>
      <c r="F855" s="3"/>
      <c r="G855" s="3"/>
      <c r="H855" s="3"/>
      <c r="I855" s="3"/>
      <c r="J855" s="3"/>
      <c r="K855" s="3"/>
      <c r="L855" s="3"/>
      <c r="M855" s="3"/>
      <c r="N855" s="3"/>
      <c r="O855" s="3"/>
    </row>
    <row r="856" spans="1:15" ht="13">
      <c r="A856" s="3"/>
      <c r="B856" s="3"/>
      <c r="C856" s="3"/>
      <c r="D856" s="3"/>
      <c r="E856" s="3"/>
      <c r="F856" s="3"/>
      <c r="G856" s="3"/>
      <c r="H856" s="3"/>
      <c r="I856" s="3"/>
      <c r="J856" s="3"/>
      <c r="K856" s="3"/>
      <c r="L856" s="3"/>
      <c r="M856" s="3"/>
      <c r="N856" s="3"/>
      <c r="O856" s="3"/>
    </row>
    <row r="857" spans="1:15" ht="13">
      <c r="A857" s="3"/>
      <c r="B857" s="3"/>
      <c r="C857" s="3"/>
      <c r="D857" s="3"/>
      <c r="E857" s="3"/>
      <c r="F857" s="3"/>
      <c r="G857" s="3"/>
      <c r="H857" s="3"/>
      <c r="I857" s="3"/>
      <c r="J857" s="3"/>
      <c r="K857" s="3"/>
      <c r="L857" s="3"/>
      <c r="M857" s="3"/>
      <c r="N857" s="3"/>
      <c r="O857" s="3"/>
    </row>
    <row r="858" spans="1:15" ht="13">
      <c r="A858" s="3"/>
      <c r="B858" s="3"/>
      <c r="C858" s="3"/>
      <c r="D858" s="3"/>
      <c r="E858" s="3"/>
      <c r="F858" s="3"/>
      <c r="G858" s="3"/>
      <c r="H858" s="3"/>
      <c r="I858" s="3"/>
      <c r="J858" s="3"/>
      <c r="K858" s="3"/>
      <c r="L858" s="3"/>
      <c r="M858" s="3"/>
      <c r="N858" s="3"/>
      <c r="O858" s="3"/>
    </row>
    <row r="859" spans="1:15" ht="13">
      <c r="A859" s="3"/>
      <c r="B859" s="3"/>
      <c r="C859" s="3"/>
      <c r="D859" s="3"/>
      <c r="E859" s="3"/>
      <c r="F859" s="3"/>
      <c r="G859" s="3"/>
      <c r="H859" s="3"/>
      <c r="I859" s="3"/>
      <c r="J859" s="3"/>
      <c r="K859" s="3"/>
      <c r="L859" s="3"/>
      <c r="M859" s="3"/>
      <c r="N859" s="3"/>
      <c r="O859" s="3"/>
    </row>
    <row r="860" spans="1:15" ht="13">
      <c r="A860" s="3"/>
      <c r="B860" s="3"/>
      <c r="C860" s="3"/>
      <c r="D860" s="3"/>
      <c r="E860" s="3"/>
      <c r="F860" s="3"/>
      <c r="G860" s="3"/>
      <c r="H860" s="3"/>
      <c r="I860" s="3"/>
      <c r="J860" s="3"/>
      <c r="K860" s="3"/>
      <c r="L860" s="3"/>
      <c r="M860" s="3"/>
      <c r="N860" s="3"/>
      <c r="O860" s="3"/>
    </row>
    <row r="861" spans="1:15" ht="13">
      <c r="A861" s="3"/>
      <c r="B861" s="3"/>
      <c r="C861" s="3"/>
      <c r="D861" s="3"/>
      <c r="E861" s="3"/>
      <c r="F861" s="3"/>
      <c r="G861" s="3"/>
      <c r="H861" s="3"/>
      <c r="I861" s="3"/>
      <c r="J861" s="3"/>
      <c r="K861" s="3"/>
      <c r="L861" s="3"/>
      <c r="M861" s="3"/>
      <c r="N861" s="3"/>
      <c r="O861" s="3"/>
    </row>
    <row r="862" spans="1:15" ht="13">
      <c r="A862" s="3"/>
      <c r="B862" s="3"/>
      <c r="C862" s="3"/>
      <c r="D862" s="3"/>
      <c r="E862" s="3"/>
      <c r="F862" s="3"/>
      <c r="G862" s="3"/>
      <c r="H862" s="3"/>
      <c r="I862" s="3"/>
      <c r="J862" s="3"/>
      <c r="K862" s="3"/>
      <c r="L862" s="3"/>
      <c r="M862" s="3"/>
      <c r="N862" s="3"/>
      <c r="O862" s="3"/>
    </row>
    <row r="863" spans="1:15" ht="13">
      <c r="A863" s="3"/>
      <c r="B863" s="3"/>
      <c r="C863" s="3"/>
      <c r="D863" s="3"/>
      <c r="E863" s="3"/>
      <c r="F863" s="3"/>
      <c r="G863" s="3"/>
      <c r="H863" s="3"/>
      <c r="I863" s="3"/>
      <c r="J863" s="3"/>
      <c r="K863" s="3"/>
      <c r="L863" s="3"/>
      <c r="M863" s="3"/>
      <c r="N863" s="3"/>
      <c r="O863" s="3"/>
    </row>
    <row r="864" spans="1:15" ht="13">
      <c r="A864" s="3"/>
      <c r="B864" s="3"/>
      <c r="C864" s="3"/>
      <c r="D864" s="3"/>
      <c r="E864" s="3"/>
      <c r="F864" s="3"/>
      <c r="G864" s="3"/>
      <c r="H864" s="3"/>
      <c r="I864" s="3"/>
      <c r="J864" s="3"/>
      <c r="K864" s="3"/>
      <c r="L864" s="3"/>
      <c r="M864" s="3"/>
      <c r="N864" s="3"/>
      <c r="O864" s="3"/>
    </row>
    <row r="865" spans="1:15" ht="13">
      <c r="A865" s="3"/>
      <c r="B865" s="3"/>
      <c r="C865" s="3"/>
      <c r="D865" s="3"/>
      <c r="E865" s="3"/>
      <c r="F865" s="3"/>
      <c r="G865" s="3"/>
      <c r="H865" s="3"/>
      <c r="I865" s="3"/>
      <c r="J865" s="3"/>
      <c r="K865" s="3"/>
      <c r="L865" s="3"/>
      <c r="M865" s="3"/>
      <c r="N865" s="3"/>
      <c r="O865" s="3"/>
    </row>
    <row r="866" spans="1:15" ht="13">
      <c r="A866" s="3"/>
      <c r="B866" s="3"/>
      <c r="C866" s="3"/>
      <c r="D866" s="3"/>
      <c r="E866" s="3"/>
      <c r="F866" s="3"/>
      <c r="G866" s="3"/>
      <c r="H866" s="3"/>
      <c r="I866" s="3"/>
      <c r="J866" s="3"/>
      <c r="K866" s="3"/>
      <c r="L866" s="3"/>
      <c r="M866" s="3"/>
      <c r="N866" s="3"/>
      <c r="O866" s="3"/>
    </row>
    <row r="867" spans="1:15" ht="13">
      <c r="A867" s="3"/>
      <c r="B867" s="3"/>
      <c r="C867" s="3"/>
      <c r="D867" s="3"/>
      <c r="E867" s="3"/>
      <c r="F867" s="3"/>
      <c r="G867" s="3"/>
      <c r="H867" s="3"/>
      <c r="I867" s="3"/>
      <c r="J867" s="3"/>
      <c r="K867" s="3"/>
      <c r="L867" s="3"/>
      <c r="M867" s="3"/>
      <c r="N867" s="3"/>
      <c r="O867" s="3"/>
    </row>
    <row r="868" spans="1:15" ht="13">
      <c r="A868" s="3"/>
      <c r="B868" s="3"/>
      <c r="C868" s="3"/>
      <c r="D868" s="3"/>
      <c r="E868" s="3"/>
      <c r="F868" s="3"/>
      <c r="G868" s="3"/>
      <c r="H868" s="3"/>
      <c r="I868" s="3"/>
      <c r="J868" s="3"/>
      <c r="K868" s="3"/>
      <c r="L868" s="3"/>
      <c r="M868" s="3"/>
      <c r="N868" s="3"/>
      <c r="O868" s="3"/>
    </row>
    <row r="869" spans="1:15" ht="13">
      <c r="A869" s="3"/>
      <c r="B869" s="3"/>
      <c r="C869" s="3"/>
      <c r="D869" s="3"/>
      <c r="E869" s="3"/>
      <c r="F869" s="3"/>
      <c r="G869" s="3"/>
      <c r="H869" s="3"/>
      <c r="I869" s="3"/>
      <c r="J869" s="3"/>
      <c r="K869" s="3"/>
      <c r="L869" s="3"/>
      <c r="M869" s="3"/>
      <c r="N869" s="3"/>
      <c r="O869" s="3"/>
    </row>
    <row r="870" spans="1:15" ht="13">
      <c r="A870" s="3"/>
      <c r="B870" s="3"/>
      <c r="C870" s="3"/>
      <c r="D870" s="3"/>
      <c r="E870" s="3"/>
      <c r="F870" s="3"/>
      <c r="G870" s="3"/>
      <c r="H870" s="3"/>
      <c r="I870" s="3"/>
      <c r="J870" s="3"/>
      <c r="K870" s="3"/>
      <c r="L870" s="3"/>
      <c r="M870" s="3"/>
      <c r="N870" s="3"/>
      <c r="O870" s="3"/>
    </row>
    <row r="871" spans="1:15" ht="13">
      <c r="A871" s="3"/>
      <c r="B871" s="3"/>
      <c r="C871" s="3"/>
      <c r="D871" s="3"/>
      <c r="E871" s="3"/>
      <c r="F871" s="3"/>
      <c r="G871" s="3"/>
      <c r="H871" s="3"/>
      <c r="I871" s="3"/>
      <c r="J871" s="3"/>
      <c r="K871" s="3"/>
      <c r="L871" s="3"/>
      <c r="M871" s="3"/>
      <c r="N871" s="3"/>
      <c r="O871" s="3"/>
    </row>
    <row r="872" spans="1:15" ht="13">
      <c r="A872" s="3"/>
      <c r="B872" s="3"/>
      <c r="C872" s="3"/>
      <c r="D872" s="3"/>
      <c r="E872" s="3"/>
      <c r="F872" s="3"/>
      <c r="G872" s="3"/>
      <c r="H872" s="3"/>
      <c r="I872" s="3"/>
      <c r="J872" s="3"/>
      <c r="K872" s="3"/>
      <c r="L872" s="3"/>
      <c r="M872" s="3"/>
      <c r="N872" s="3"/>
      <c r="O872" s="3"/>
    </row>
    <row r="873" spans="1:15" ht="13">
      <c r="A873" s="3"/>
      <c r="B873" s="3"/>
      <c r="C873" s="3"/>
      <c r="D873" s="3"/>
      <c r="E873" s="3"/>
      <c r="F873" s="3"/>
      <c r="G873" s="3"/>
      <c r="H873" s="3"/>
      <c r="I873" s="3"/>
      <c r="J873" s="3"/>
      <c r="K873" s="3"/>
      <c r="L873" s="3"/>
      <c r="M873" s="3"/>
      <c r="N873" s="3"/>
      <c r="O873" s="3"/>
    </row>
    <row r="874" spans="1:15" ht="13">
      <c r="A874" s="3"/>
      <c r="B874" s="3"/>
      <c r="C874" s="3"/>
      <c r="D874" s="3"/>
      <c r="E874" s="3"/>
      <c r="F874" s="3"/>
      <c r="G874" s="3"/>
      <c r="H874" s="3"/>
      <c r="I874" s="3"/>
      <c r="J874" s="3"/>
      <c r="K874" s="3"/>
      <c r="L874" s="3"/>
      <c r="M874" s="3"/>
      <c r="N874" s="3"/>
      <c r="O874" s="3"/>
    </row>
    <row r="875" spans="1:15" ht="13">
      <c r="A875" s="3"/>
      <c r="B875" s="3"/>
      <c r="C875" s="3"/>
      <c r="D875" s="3"/>
      <c r="E875" s="3"/>
      <c r="F875" s="3"/>
      <c r="G875" s="3"/>
      <c r="H875" s="3"/>
      <c r="I875" s="3"/>
      <c r="J875" s="3"/>
      <c r="K875" s="3"/>
      <c r="L875" s="3"/>
      <c r="M875" s="3"/>
      <c r="N875" s="3"/>
      <c r="O875" s="3"/>
    </row>
    <row r="876" spans="1:15" ht="13">
      <c r="A876" s="3"/>
      <c r="B876" s="3"/>
      <c r="C876" s="3"/>
      <c r="D876" s="3"/>
      <c r="E876" s="3"/>
      <c r="F876" s="3"/>
      <c r="G876" s="3"/>
      <c r="H876" s="3"/>
      <c r="I876" s="3"/>
      <c r="J876" s="3"/>
      <c r="K876" s="3"/>
      <c r="L876" s="3"/>
      <c r="M876" s="3"/>
      <c r="N876" s="3"/>
      <c r="O876" s="3"/>
    </row>
    <row r="877" spans="1:15" ht="13">
      <c r="A877" s="3"/>
      <c r="B877" s="3"/>
      <c r="C877" s="3"/>
      <c r="D877" s="3"/>
      <c r="E877" s="3"/>
      <c r="F877" s="3"/>
      <c r="G877" s="3"/>
      <c r="H877" s="3"/>
      <c r="I877" s="3"/>
      <c r="J877" s="3"/>
      <c r="K877" s="3"/>
      <c r="L877" s="3"/>
      <c r="M877" s="3"/>
      <c r="N877" s="3"/>
      <c r="O877" s="3"/>
    </row>
    <row r="878" spans="1:15" ht="13">
      <c r="A878" s="3"/>
      <c r="B878" s="3"/>
      <c r="C878" s="3"/>
      <c r="D878" s="3"/>
      <c r="E878" s="3"/>
      <c r="F878" s="3"/>
      <c r="G878" s="3"/>
      <c r="H878" s="3"/>
      <c r="I878" s="3"/>
      <c r="J878" s="3"/>
      <c r="K878" s="3"/>
      <c r="L878" s="3"/>
      <c r="M878" s="3"/>
      <c r="N878" s="3"/>
      <c r="O878" s="3"/>
    </row>
    <row r="879" spans="1:15" ht="13">
      <c r="A879" s="3"/>
      <c r="B879" s="3"/>
      <c r="C879" s="3"/>
      <c r="D879" s="3"/>
      <c r="E879" s="3"/>
      <c r="F879" s="3"/>
      <c r="G879" s="3"/>
      <c r="H879" s="3"/>
      <c r="I879" s="3"/>
      <c r="J879" s="3"/>
      <c r="K879" s="3"/>
      <c r="L879" s="3"/>
      <c r="M879" s="3"/>
      <c r="N879" s="3"/>
      <c r="O879" s="3"/>
    </row>
    <row r="880" spans="1:15" ht="13">
      <c r="A880" s="3"/>
      <c r="B880" s="3"/>
      <c r="C880" s="3"/>
      <c r="D880" s="3"/>
      <c r="E880" s="3"/>
      <c r="F880" s="3"/>
      <c r="G880" s="3"/>
      <c r="H880" s="3"/>
      <c r="I880" s="3"/>
      <c r="J880" s="3"/>
      <c r="K880" s="3"/>
      <c r="L880" s="3"/>
      <c r="M880" s="3"/>
      <c r="N880" s="3"/>
      <c r="O880" s="3"/>
    </row>
    <row r="881" spans="1:15" ht="13">
      <c r="A881" s="3"/>
      <c r="B881" s="3"/>
      <c r="C881" s="3"/>
      <c r="D881" s="3"/>
      <c r="E881" s="3"/>
      <c r="F881" s="3"/>
      <c r="G881" s="3"/>
      <c r="H881" s="3"/>
      <c r="I881" s="3"/>
      <c r="J881" s="3"/>
      <c r="K881" s="3"/>
      <c r="L881" s="3"/>
      <c r="M881" s="3"/>
      <c r="N881" s="3"/>
      <c r="O881" s="3"/>
    </row>
    <row r="882" spans="1:15" ht="13">
      <c r="A882" s="3"/>
      <c r="B882" s="3"/>
      <c r="C882" s="3"/>
      <c r="D882" s="3"/>
      <c r="E882" s="3"/>
      <c r="F882" s="3"/>
      <c r="G882" s="3"/>
      <c r="H882" s="3"/>
      <c r="I882" s="3"/>
      <c r="J882" s="3"/>
      <c r="K882" s="3"/>
      <c r="L882" s="3"/>
      <c r="M882" s="3"/>
      <c r="N882" s="3"/>
      <c r="O882" s="3"/>
    </row>
    <row r="883" spans="1:15" ht="13">
      <c r="A883" s="3"/>
      <c r="B883" s="3"/>
      <c r="C883" s="3"/>
      <c r="D883" s="3"/>
      <c r="E883" s="3"/>
      <c r="F883" s="3"/>
      <c r="G883" s="3"/>
      <c r="H883" s="3"/>
      <c r="I883" s="3"/>
      <c r="J883" s="3"/>
      <c r="K883" s="3"/>
      <c r="L883" s="3"/>
      <c r="M883" s="3"/>
      <c r="N883" s="3"/>
      <c r="O883" s="3"/>
    </row>
    <row r="884" spans="1:15" ht="13">
      <c r="A884" s="3"/>
      <c r="B884" s="3"/>
      <c r="C884" s="3"/>
      <c r="D884" s="3"/>
      <c r="E884" s="3"/>
      <c r="F884" s="3"/>
      <c r="G884" s="3"/>
      <c r="H884" s="3"/>
      <c r="I884" s="3"/>
      <c r="J884" s="3"/>
      <c r="K884" s="3"/>
      <c r="L884" s="3"/>
      <c r="M884" s="3"/>
      <c r="N884" s="3"/>
      <c r="O884" s="3"/>
    </row>
    <row r="885" spans="1:15" ht="13">
      <c r="A885" s="3"/>
      <c r="B885" s="3"/>
      <c r="C885" s="3"/>
      <c r="D885" s="3"/>
      <c r="E885" s="3"/>
      <c r="F885" s="3"/>
      <c r="G885" s="3"/>
      <c r="H885" s="3"/>
      <c r="I885" s="3"/>
      <c r="J885" s="3"/>
      <c r="K885" s="3"/>
      <c r="L885" s="3"/>
      <c r="M885" s="3"/>
      <c r="N885" s="3"/>
      <c r="O885" s="3"/>
    </row>
    <row r="886" spans="1:15" ht="13">
      <c r="A886" s="3"/>
      <c r="B886" s="3"/>
      <c r="C886" s="3"/>
      <c r="D886" s="3"/>
      <c r="E886" s="3"/>
      <c r="F886" s="3"/>
      <c r="G886" s="3"/>
      <c r="H886" s="3"/>
      <c r="I886" s="3"/>
      <c r="J886" s="3"/>
      <c r="K886" s="3"/>
      <c r="L886" s="3"/>
      <c r="M886" s="3"/>
      <c r="N886" s="3"/>
      <c r="O886" s="3"/>
    </row>
    <row r="887" spans="1:15" ht="13">
      <c r="A887" s="3"/>
      <c r="B887" s="3"/>
      <c r="C887" s="3"/>
      <c r="D887" s="3"/>
      <c r="E887" s="3"/>
      <c r="F887" s="3"/>
      <c r="G887" s="3"/>
      <c r="H887" s="3"/>
      <c r="I887" s="3"/>
      <c r="J887" s="3"/>
      <c r="K887" s="3"/>
      <c r="L887" s="3"/>
      <c r="M887" s="3"/>
      <c r="N887" s="3"/>
      <c r="O887" s="3"/>
    </row>
    <row r="888" spans="1:15" ht="13">
      <c r="A888" s="3"/>
      <c r="B888" s="3"/>
      <c r="C888" s="3"/>
      <c r="D888" s="3"/>
      <c r="E888" s="3"/>
      <c r="F888" s="3"/>
      <c r="G888" s="3"/>
      <c r="H888" s="3"/>
      <c r="I888" s="3"/>
      <c r="J888" s="3"/>
      <c r="K888" s="3"/>
      <c r="L888" s="3"/>
      <c r="M888" s="3"/>
      <c r="N888" s="3"/>
      <c r="O888" s="3"/>
    </row>
    <row r="889" spans="1:15" ht="13">
      <c r="A889" s="3"/>
      <c r="B889" s="3"/>
      <c r="C889" s="3"/>
      <c r="D889" s="3"/>
      <c r="E889" s="3"/>
      <c r="F889" s="3"/>
      <c r="G889" s="3"/>
      <c r="H889" s="3"/>
      <c r="I889" s="3"/>
      <c r="J889" s="3"/>
      <c r="K889" s="3"/>
      <c r="L889" s="3"/>
      <c r="M889" s="3"/>
      <c r="N889" s="3"/>
      <c r="O889" s="3"/>
    </row>
    <row r="890" spans="1:15" ht="13">
      <c r="A890" s="3"/>
      <c r="B890" s="3"/>
      <c r="C890" s="3"/>
      <c r="D890" s="3"/>
      <c r="E890" s="3"/>
      <c r="F890" s="3"/>
      <c r="G890" s="3"/>
      <c r="H890" s="3"/>
      <c r="I890" s="3"/>
      <c r="J890" s="3"/>
      <c r="K890" s="3"/>
      <c r="L890" s="3"/>
      <c r="M890" s="3"/>
      <c r="N890" s="3"/>
      <c r="O890" s="3"/>
    </row>
    <row r="891" spans="1:15" ht="13">
      <c r="A891" s="3"/>
      <c r="B891" s="3"/>
      <c r="C891" s="3"/>
      <c r="D891" s="3"/>
      <c r="E891" s="3"/>
      <c r="F891" s="3"/>
      <c r="G891" s="3"/>
      <c r="H891" s="3"/>
      <c r="I891" s="3"/>
      <c r="J891" s="3"/>
      <c r="K891" s="3"/>
      <c r="L891" s="3"/>
      <c r="M891" s="3"/>
      <c r="N891" s="3"/>
      <c r="O891" s="3"/>
    </row>
    <row r="892" spans="1:15" ht="13">
      <c r="A892" s="3"/>
      <c r="B892" s="3"/>
      <c r="C892" s="3"/>
      <c r="D892" s="3"/>
      <c r="E892" s="3"/>
      <c r="F892" s="3"/>
      <c r="G892" s="3"/>
      <c r="H892" s="3"/>
      <c r="I892" s="3"/>
      <c r="J892" s="3"/>
      <c r="K892" s="3"/>
      <c r="L892" s="3"/>
      <c r="M892" s="3"/>
      <c r="N892" s="3"/>
      <c r="O892" s="3"/>
    </row>
    <row r="893" spans="1:15" ht="13">
      <c r="A893" s="3"/>
      <c r="B893" s="3"/>
      <c r="C893" s="3"/>
      <c r="D893" s="3"/>
      <c r="E893" s="3"/>
      <c r="F893" s="3"/>
      <c r="G893" s="3"/>
      <c r="H893" s="3"/>
      <c r="I893" s="3"/>
      <c r="J893" s="3"/>
      <c r="K893" s="3"/>
      <c r="L893" s="3"/>
      <c r="M893" s="3"/>
      <c r="N893" s="3"/>
      <c r="O893" s="3"/>
    </row>
    <row r="894" spans="1:15" ht="13">
      <c r="A894" s="3"/>
      <c r="B894" s="3"/>
      <c r="C894" s="3"/>
      <c r="D894" s="3"/>
      <c r="E894" s="3"/>
      <c r="F894" s="3"/>
      <c r="G894" s="3"/>
      <c r="H894" s="3"/>
      <c r="I894" s="3"/>
      <c r="J894" s="3"/>
      <c r="K894" s="3"/>
      <c r="L894" s="3"/>
      <c r="M894" s="3"/>
      <c r="N894" s="3"/>
      <c r="O894" s="3"/>
    </row>
    <row r="895" spans="1:15" ht="13">
      <c r="A895" s="3"/>
      <c r="B895" s="3"/>
      <c r="C895" s="3"/>
      <c r="D895" s="3"/>
      <c r="E895" s="3"/>
      <c r="F895" s="3"/>
      <c r="G895" s="3"/>
      <c r="H895" s="3"/>
      <c r="I895" s="3"/>
      <c r="J895" s="3"/>
      <c r="K895" s="3"/>
      <c r="L895" s="3"/>
      <c r="M895" s="3"/>
      <c r="N895" s="3"/>
      <c r="O895" s="3"/>
    </row>
    <row r="896" spans="1:15" ht="13">
      <c r="A896" s="3"/>
      <c r="B896" s="3"/>
      <c r="C896" s="3"/>
      <c r="D896" s="3"/>
      <c r="E896" s="3"/>
      <c r="F896" s="3"/>
      <c r="G896" s="3"/>
      <c r="H896" s="3"/>
      <c r="I896" s="3"/>
      <c r="J896" s="3"/>
      <c r="K896" s="3"/>
      <c r="L896" s="3"/>
      <c r="M896" s="3"/>
      <c r="N896" s="3"/>
      <c r="O896" s="3"/>
    </row>
    <row r="897" spans="1:15" ht="13">
      <c r="A897" s="3"/>
      <c r="B897" s="3"/>
      <c r="C897" s="3"/>
      <c r="D897" s="3"/>
      <c r="E897" s="3"/>
      <c r="F897" s="3"/>
      <c r="G897" s="3"/>
      <c r="H897" s="3"/>
      <c r="I897" s="3"/>
      <c r="J897" s="3"/>
      <c r="K897" s="3"/>
      <c r="L897" s="3"/>
      <c r="M897" s="3"/>
      <c r="N897" s="3"/>
      <c r="O897" s="3"/>
    </row>
    <row r="898" spans="1:15" ht="13">
      <c r="A898" s="3"/>
      <c r="B898" s="3"/>
      <c r="C898" s="3"/>
      <c r="D898" s="3"/>
      <c r="E898" s="3"/>
      <c r="F898" s="3"/>
      <c r="G898" s="3"/>
      <c r="H898" s="3"/>
      <c r="I898" s="3"/>
      <c r="J898" s="3"/>
      <c r="K898" s="3"/>
      <c r="L898" s="3"/>
      <c r="M898" s="3"/>
      <c r="N898" s="3"/>
      <c r="O898" s="3"/>
    </row>
    <row r="899" spans="1:15" ht="13">
      <c r="A899" s="3"/>
      <c r="B899" s="3"/>
      <c r="C899" s="3"/>
      <c r="D899" s="3"/>
      <c r="E899" s="3"/>
      <c r="F899" s="3"/>
      <c r="G899" s="3"/>
      <c r="H899" s="3"/>
      <c r="I899" s="3"/>
      <c r="J899" s="3"/>
      <c r="K899" s="3"/>
      <c r="L899" s="3"/>
      <c r="M899" s="3"/>
      <c r="N899" s="3"/>
      <c r="O899" s="3"/>
    </row>
    <row r="900" spans="1:15" ht="13">
      <c r="A900" s="3"/>
      <c r="B900" s="3"/>
      <c r="C900" s="3"/>
      <c r="D900" s="3"/>
      <c r="E900" s="3"/>
      <c r="F900" s="3"/>
      <c r="G900" s="3"/>
      <c r="H900" s="3"/>
      <c r="I900" s="3"/>
      <c r="J900" s="3"/>
      <c r="K900" s="3"/>
      <c r="L900" s="3"/>
      <c r="M900" s="3"/>
      <c r="N900" s="3"/>
      <c r="O900" s="3"/>
    </row>
    <row r="901" spans="1:15" ht="13">
      <c r="A901" s="3"/>
      <c r="B901" s="3"/>
      <c r="C901" s="3"/>
      <c r="D901" s="3"/>
      <c r="E901" s="3"/>
      <c r="F901" s="3"/>
      <c r="G901" s="3"/>
      <c r="H901" s="3"/>
      <c r="I901" s="3"/>
      <c r="J901" s="3"/>
      <c r="K901" s="3"/>
      <c r="L901" s="3"/>
      <c r="M901" s="3"/>
      <c r="N901" s="3"/>
      <c r="O901" s="3"/>
    </row>
    <row r="902" spans="1:15" ht="13">
      <c r="A902" s="3"/>
      <c r="B902" s="3"/>
      <c r="C902" s="3"/>
      <c r="D902" s="3"/>
      <c r="E902" s="3"/>
      <c r="F902" s="3"/>
      <c r="G902" s="3"/>
      <c r="H902" s="3"/>
      <c r="I902" s="3"/>
      <c r="J902" s="3"/>
      <c r="K902" s="3"/>
      <c r="L902" s="3"/>
      <c r="M902" s="3"/>
      <c r="N902" s="3"/>
      <c r="O902" s="3"/>
    </row>
    <row r="903" spans="1:15" ht="13">
      <c r="A903" s="3"/>
      <c r="B903" s="3"/>
      <c r="C903" s="3"/>
      <c r="D903" s="3"/>
      <c r="E903" s="3"/>
      <c r="F903" s="3"/>
      <c r="G903" s="3"/>
      <c r="H903" s="3"/>
      <c r="I903" s="3"/>
      <c r="J903" s="3"/>
      <c r="K903" s="3"/>
      <c r="L903" s="3"/>
      <c r="M903" s="3"/>
      <c r="N903" s="3"/>
      <c r="O903" s="3"/>
    </row>
    <row r="904" spans="1:15" ht="13">
      <c r="A904" s="3"/>
      <c r="B904" s="3"/>
      <c r="C904" s="3"/>
      <c r="D904" s="3"/>
      <c r="E904" s="3"/>
      <c r="F904" s="3"/>
      <c r="G904" s="3"/>
      <c r="H904" s="3"/>
      <c r="I904" s="3"/>
      <c r="J904" s="3"/>
      <c r="K904" s="3"/>
      <c r="L904" s="3"/>
      <c r="M904" s="3"/>
      <c r="N904" s="3"/>
      <c r="O904" s="3"/>
    </row>
    <row r="905" spans="1:15" ht="13">
      <c r="A905" s="3"/>
      <c r="B905" s="3"/>
      <c r="C905" s="3"/>
      <c r="D905" s="3"/>
      <c r="E905" s="3"/>
      <c r="F905" s="3"/>
      <c r="G905" s="3"/>
      <c r="H905" s="3"/>
      <c r="I905" s="3"/>
      <c r="J905" s="3"/>
      <c r="K905" s="3"/>
      <c r="L905" s="3"/>
      <c r="M905" s="3"/>
      <c r="N905" s="3"/>
      <c r="O905" s="3"/>
    </row>
    <row r="906" spans="1:15" ht="13">
      <c r="A906" s="3"/>
      <c r="B906" s="3"/>
      <c r="C906" s="3"/>
      <c r="D906" s="3"/>
      <c r="E906" s="3"/>
      <c r="F906" s="3"/>
      <c r="G906" s="3"/>
      <c r="H906" s="3"/>
      <c r="I906" s="3"/>
      <c r="J906" s="3"/>
      <c r="K906" s="3"/>
      <c r="L906" s="3"/>
      <c r="M906" s="3"/>
      <c r="N906" s="3"/>
      <c r="O906" s="3"/>
    </row>
    <row r="907" spans="1:15" ht="13">
      <c r="A907" s="3"/>
      <c r="B907" s="3"/>
      <c r="C907" s="3"/>
      <c r="D907" s="3"/>
      <c r="E907" s="3"/>
      <c r="F907" s="3"/>
      <c r="G907" s="3"/>
      <c r="H907" s="3"/>
      <c r="I907" s="3"/>
      <c r="J907" s="3"/>
      <c r="K907" s="3"/>
      <c r="L907" s="3"/>
      <c r="M907" s="3"/>
      <c r="N907" s="3"/>
      <c r="O907" s="3"/>
    </row>
    <row r="908" spans="1:15" ht="13">
      <c r="A908" s="3"/>
      <c r="B908" s="3"/>
      <c r="C908" s="3"/>
      <c r="D908" s="3"/>
      <c r="E908" s="3"/>
      <c r="F908" s="3"/>
      <c r="G908" s="3"/>
      <c r="H908" s="3"/>
      <c r="I908" s="3"/>
      <c r="J908" s="3"/>
      <c r="K908" s="3"/>
      <c r="L908" s="3"/>
      <c r="M908" s="3"/>
      <c r="N908" s="3"/>
      <c r="O908" s="3"/>
    </row>
    <row r="909" spans="1:15" ht="13">
      <c r="A909" s="3"/>
      <c r="B909" s="3"/>
      <c r="C909" s="3"/>
      <c r="D909" s="3"/>
      <c r="E909" s="3"/>
      <c r="F909" s="3"/>
      <c r="G909" s="3"/>
      <c r="H909" s="3"/>
      <c r="I909" s="3"/>
      <c r="J909" s="3"/>
      <c r="K909" s="3"/>
      <c r="L909" s="3"/>
      <c r="M909" s="3"/>
      <c r="N909" s="3"/>
      <c r="O909" s="3"/>
    </row>
    <row r="910" spans="1:15" ht="13">
      <c r="A910" s="3"/>
      <c r="B910" s="3"/>
      <c r="C910" s="3"/>
      <c r="D910" s="3"/>
      <c r="E910" s="3"/>
      <c r="F910" s="3"/>
      <c r="G910" s="3"/>
      <c r="H910" s="3"/>
      <c r="I910" s="3"/>
      <c r="J910" s="3"/>
      <c r="K910" s="3"/>
      <c r="L910" s="3"/>
      <c r="M910" s="3"/>
      <c r="N910" s="3"/>
      <c r="O910" s="3"/>
    </row>
    <row r="911" spans="1:15" ht="13">
      <c r="A911" s="3"/>
      <c r="B911" s="3"/>
      <c r="C911" s="3"/>
      <c r="D911" s="3"/>
      <c r="E911" s="3"/>
      <c r="F911" s="3"/>
      <c r="G911" s="3"/>
      <c r="H911" s="3"/>
      <c r="I911" s="3"/>
      <c r="J911" s="3"/>
      <c r="K911" s="3"/>
      <c r="L911" s="3"/>
      <c r="M911" s="3"/>
      <c r="N911" s="3"/>
      <c r="O911" s="3"/>
    </row>
    <row r="912" spans="1:15" ht="13">
      <c r="A912" s="3"/>
      <c r="B912" s="3"/>
      <c r="C912" s="3"/>
      <c r="D912" s="3"/>
      <c r="E912" s="3"/>
      <c r="F912" s="3"/>
      <c r="G912" s="3"/>
      <c r="H912" s="3"/>
      <c r="I912" s="3"/>
      <c r="J912" s="3"/>
      <c r="K912" s="3"/>
      <c r="L912" s="3"/>
      <c r="M912" s="3"/>
      <c r="N912" s="3"/>
      <c r="O912" s="3"/>
    </row>
    <row r="913" spans="1:15" ht="13">
      <c r="A913" s="3"/>
      <c r="B913" s="3"/>
      <c r="C913" s="3"/>
      <c r="D913" s="3"/>
      <c r="E913" s="3"/>
      <c r="F913" s="3"/>
      <c r="G913" s="3"/>
      <c r="H913" s="3"/>
      <c r="I913" s="3"/>
      <c r="J913" s="3"/>
      <c r="K913" s="3"/>
      <c r="L913" s="3"/>
      <c r="M913" s="3"/>
      <c r="N913" s="3"/>
      <c r="O913" s="3"/>
    </row>
    <row r="914" spans="1:15" ht="13">
      <c r="A914" s="3"/>
      <c r="B914" s="3"/>
      <c r="C914" s="3"/>
      <c r="D914" s="3"/>
      <c r="E914" s="3"/>
      <c r="F914" s="3"/>
      <c r="G914" s="3"/>
      <c r="H914" s="3"/>
      <c r="I914" s="3"/>
      <c r="J914" s="3"/>
      <c r="K914" s="3"/>
      <c r="L914" s="3"/>
      <c r="M914" s="3"/>
      <c r="N914" s="3"/>
      <c r="O914" s="3"/>
    </row>
    <row r="915" spans="1:15" ht="13">
      <c r="A915" s="3"/>
      <c r="B915" s="3"/>
      <c r="C915" s="3"/>
      <c r="D915" s="3"/>
      <c r="E915" s="3"/>
      <c r="F915" s="3"/>
      <c r="G915" s="3"/>
      <c r="H915" s="3"/>
      <c r="I915" s="3"/>
      <c r="J915" s="3"/>
      <c r="K915" s="3"/>
      <c r="L915" s="3"/>
      <c r="M915" s="3"/>
      <c r="N915" s="3"/>
      <c r="O915" s="3"/>
    </row>
    <row r="916" spans="1:15" ht="13">
      <c r="A916" s="3"/>
      <c r="B916" s="3"/>
      <c r="C916" s="3"/>
      <c r="D916" s="3"/>
      <c r="E916" s="3"/>
      <c r="F916" s="3"/>
      <c r="G916" s="3"/>
      <c r="H916" s="3"/>
      <c r="I916" s="3"/>
      <c r="J916" s="3"/>
      <c r="K916" s="3"/>
      <c r="L916" s="3"/>
      <c r="M916" s="3"/>
      <c r="N916" s="3"/>
      <c r="O916" s="3"/>
    </row>
    <row r="917" spans="1:15" ht="13">
      <c r="A917" s="3"/>
      <c r="B917" s="3"/>
      <c r="C917" s="3"/>
      <c r="D917" s="3"/>
      <c r="E917" s="3"/>
      <c r="F917" s="3"/>
      <c r="G917" s="3"/>
      <c r="H917" s="3"/>
      <c r="I917" s="3"/>
      <c r="J917" s="3"/>
      <c r="K917" s="3"/>
      <c r="L917" s="3"/>
      <c r="M917" s="3"/>
      <c r="N917" s="3"/>
      <c r="O917" s="3"/>
    </row>
    <row r="918" spans="1:15" ht="13">
      <c r="A918" s="3"/>
      <c r="B918" s="3"/>
      <c r="C918" s="3"/>
      <c r="D918" s="3"/>
      <c r="E918" s="3"/>
      <c r="F918" s="3"/>
      <c r="G918" s="3"/>
      <c r="H918" s="3"/>
      <c r="I918" s="3"/>
      <c r="J918" s="3"/>
      <c r="K918" s="3"/>
      <c r="L918" s="3"/>
      <c r="M918" s="3"/>
      <c r="N918" s="3"/>
      <c r="O918" s="3"/>
    </row>
    <row r="919" spans="1:15" ht="13">
      <c r="A919" s="3"/>
      <c r="B919" s="3"/>
      <c r="C919" s="3"/>
      <c r="D919" s="3"/>
      <c r="E919" s="3"/>
      <c r="F919" s="3"/>
      <c r="G919" s="3"/>
      <c r="H919" s="3"/>
      <c r="I919" s="3"/>
      <c r="J919" s="3"/>
      <c r="K919" s="3"/>
      <c r="L919" s="3"/>
      <c r="M919" s="3"/>
      <c r="N919" s="3"/>
      <c r="O919" s="3"/>
    </row>
    <row r="920" spans="1:15" ht="13">
      <c r="A920" s="3"/>
      <c r="B920" s="3"/>
      <c r="C920" s="3"/>
      <c r="D920" s="3"/>
      <c r="E920" s="3"/>
      <c r="F920" s="3"/>
      <c r="G920" s="3"/>
      <c r="H920" s="3"/>
      <c r="I920" s="3"/>
      <c r="J920" s="3"/>
      <c r="K920" s="3"/>
      <c r="L920" s="3"/>
      <c r="M920" s="3"/>
      <c r="N920" s="3"/>
      <c r="O920" s="3"/>
    </row>
    <row r="921" spans="1:15" ht="13">
      <c r="A921" s="3"/>
      <c r="B921" s="3"/>
      <c r="C921" s="3"/>
      <c r="D921" s="3"/>
      <c r="E921" s="3"/>
      <c r="F921" s="3"/>
      <c r="G921" s="3"/>
      <c r="H921" s="3"/>
      <c r="I921" s="3"/>
      <c r="J921" s="3"/>
      <c r="K921" s="3"/>
      <c r="L921" s="3"/>
      <c r="M921" s="3"/>
      <c r="N921" s="3"/>
      <c r="O921" s="3"/>
    </row>
    <row r="922" spans="1:15" ht="13">
      <c r="A922" s="3"/>
      <c r="B922" s="3"/>
      <c r="C922" s="3"/>
      <c r="D922" s="3"/>
      <c r="E922" s="3"/>
      <c r="F922" s="3"/>
      <c r="G922" s="3"/>
      <c r="H922" s="3"/>
      <c r="I922" s="3"/>
      <c r="J922" s="3"/>
      <c r="K922" s="3"/>
      <c r="L922" s="3"/>
      <c r="M922" s="3"/>
      <c r="N922" s="3"/>
      <c r="O922" s="3"/>
    </row>
    <row r="923" spans="1:15" ht="13">
      <c r="A923" s="3"/>
      <c r="B923" s="3"/>
      <c r="C923" s="3"/>
      <c r="D923" s="3"/>
      <c r="E923" s="3"/>
      <c r="F923" s="3"/>
      <c r="G923" s="3"/>
      <c r="H923" s="3"/>
      <c r="I923" s="3"/>
      <c r="J923" s="3"/>
      <c r="K923" s="3"/>
      <c r="L923" s="3"/>
      <c r="M923" s="3"/>
      <c r="N923" s="3"/>
      <c r="O923" s="3"/>
    </row>
    <row r="924" spans="1:15" ht="13">
      <c r="A924" s="3"/>
      <c r="B924" s="3"/>
      <c r="C924" s="3"/>
      <c r="D924" s="3"/>
      <c r="E924" s="3"/>
      <c r="F924" s="3"/>
      <c r="G924" s="3"/>
      <c r="H924" s="3"/>
      <c r="I924" s="3"/>
      <c r="J924" s="3"/>
      <c r="K924" s="3"/>
      <c r="L924" s="3"/>
      <c r="M924" s="3"/>
      <c r="N924" s="3"/>
      <c r="O924" s="3"/>
    </row>
    <row r="925" spans="1:15" ht="13">
      <c r="A925" s="3"/>
      <c r="B925" s="3"/>
      <c r="C925" s="3"/>
      <c r="D925" s="3"/>
      <c r="E925" s="3"/>
      <c r="F925" s="3"/>
      <c r="G925" s="3"/>
      <c r="H925" s="3"/>
      <c r="I925" s="3"/>
      <c r="J925" s="3"/>
      <c r="K925" s="3"/>
      <c r="L925" s="3"/>
      <c r="M925" s="3"/>
      <c r="N925" s="3"/>
      <c r="O925" s="3"/>
    </row>
    <row r="926" spans="1:15" ht="13">
      <c r="A926" s="3"/>
      <c r="B926" s="3"/>
      <c r="C926" s="3"/>
      <c r="D926" s="3"/>
      <c r="E926" s="3"/>
      <c r="F926" s="3"/>
      <c r="G926" s="3"/>
      <c r="H926" s="3"/>
      <c r="I926" s="3"/>
      <c r="J926" s="3"/>
      <c r="K926" s="3"/>
      <c r="L926" s="3"/>
      <c r="M926" s="3"/>
      <c r="N926" s="3"/>
      <c r="O926" s="3"/>
    </row>
    <row r="927" spans="1:15" ht="13">
      <c r="A927" s="3"/>
      <c r="B927" s="3"/>
      <c r="C927" s="3"/>
      <c r="D927" s="3"/>
      <c r="E927" s="3"/>
      <c r="F927" s="3"/>
      <c r="G927" s="3"/>
      <c r="H927" s="3"/>
      <c r="I927" s="3"/>
      <c r="J927" s="3"/>
      <c r="K927" s="3"/>
      <c r="L927" s="3"/>
      <c r="M927" s="3"/>
      <c r="N927" s="3"/>
      <c r="O927" s="3"/>
    </row>
    <row r="928" spans="1:15" ht="13">
      <c r="A928" s="3"/>
      <c r="B928" s="3"/>
      <c r="C928" s="3"/>
      <c r="D928" s="3"/>
      <c r="E928" s="3"/>
      <c r="F928" s="3"/>
      <c r="G928" s="3"/>
      <c r="H928" s="3"/>
      <c r="I928" s="3"/>
      <c r="J928" s="3"/>
      <c r="K928" s="3"/>
      <c r="L928" s="3"/>
      <c r="M928" s="3"/>
      <c r="N928" s="3"/>
      <c r="O928" s="3"/>
    </row>
    <row r="929" spans="1:15" ht="13">
      <c r="A929" s="3"/>
      <c r="B929" s="3"/>
      <c r="C929" s="3"/>
      <c r="D929" s="3"/>
      <c r="E929" s="3"/>
      <c r="F929" s="3"/>
      <c r="G929" s="3"/>
      <c r="H929" s="3"/>
      <c r="I929" s="3"/>
      <c r="J929" s="3"/>
      <c r="K929" s="3"/>
      <c r="L929" s="3"/>
      <c r="M929" s="3"/>
      <c r="N929" s="3"/>
      <c r="O929" s="3"/>
    </row>
    <row r="930" spans="1:15" ht="13">
      <c r="A930" s="3"/>
      <c r="B930" s="3"/>
      <c r="C930" s="3"/>
      <c r="D930" s="3"/>
      <c r="E930" s="3"/>
      <c r="F930" s="3"/>
      <c r="G930" s="3"/>
      <c r="H930" s="3"/>
      <c r="I930" s="3"/>
      <c r="J930" s="3"/>
      <c r="K930" s="3"/>
      <c r="L930" s="3"/>
      <c r="M930" s="3"/>
      <c r="N930" s="3"/>
      <c r="O930" s="3"/>
    </row>
    <row r="931" spans="1:15" ht="13">
      <c r="A931" s="3"/>
      <c r="B931" s="3"/>
      <c r="C931" s="3"/>
      <c r="D931" s="3"/>
      <c r="E931" s="3"/>
      <c r="F931" s="3"/>
      <c r="G931" s="3"/>
      <c r="H931" s="3"/>
      <c r="I931" s="3"/>
      <c r="J931" s="3"/>
      <c r="K931" s="3"/>
      <c r="L931" s="3"/>
      <c r="M931" s="3"/>
      <c r="N931" s="3"/>
      <c r="O931" s="3"/>
    </row>
    <row r="932" spans="1:15" ht="13">
      <c r="A932" s="3"/>
      <c r="B932" s="3"/>
      <c r="C932" s="3"/>
      <c r="D932" s="3"/>
      <c r="E932" s="3"/>
      <c r="F932" s="3"/>
      <c r="G932" s="3"/>
      <c r="H932" s="3"/>
      <c r="I932" s="3"/>
      <c r="J932" s="3"/>
      <c r="K932" s="3"/>
      <c r="L932" s="3"/>
      <c r="M932" s="3"/>
      <c r="N932" s="3"/>
      <c r="O932" s="3"/>
    </row>
    <row r="933" spans="1:15" ht="13">
      <c r="A933" s="3"/>
      <c r="B933" s="3"/>
      <c r="C933" s="3"/>
      <c r="D933" s="3"/>
      <c r="E933" s="3"/>
      <c r="F933" s="3"/>
      <c r="G933" s="3"/>
      <c r="H933" s="3"/>
      <c r="I933" s="3"/>
      <c r="J933" s="3"/>
      <c r="K933" s="3"/>
      <c r="L933" s="3"/>
      <c r="M933" s="3"/>
      <c r="N933" s="3"/>
      <c r="O933" s="3"/>
    </row>
    <row r="934" spans="1:15" ht="13">
      <c r="A934" s="3"/>
      <c r="B934" s="3"/>
      <c r="C934" s="3"/>
      <c r="D934" s="3"/>
      <c r="E934" s="3"/>
      <c r="F934" s="3"/>
      <c r="G934" s="3"/>
      <c r="H934" s="3"/>
      <c r="I934" s="3"/>
      <c r="J934" s="3"/>
      <c r="K934" s="3"/>
      <c r="L934" s="3"/>
      <c r="M934" s="3"/>
      <c r="N934" s="3"/>
      <c r="O934" s="3"/>
    </row>
    <row r="935" spans="1:15" ht="13">
      <c r="A935" s="3"/>
      <c r="B935" s="3"/>
      <c r="C935" s="3"/>
      <c r="D935" s="3"/>
      <c r="E935" s="3"/>
      <c r="F935" s="3"/>
      <c r="G935" s="3"/>
      <c r="H935" s="3"/>
      <c r="I935" s="3"/>
      <c r="J935" s="3"/>
      <c r="K935" s="3"/>
      <c r="L935" s="3"/>
      <c r="M935" s="3"/>
      <c r="N935" s="3"/>
      <c r="O935" s="3"/>
    </row>
    <row r="936" spans="1:15" ht="13">
      <c r="A936" s="3"/>
      <c r="B936" s="3"/>
      <c r="C936" s="3"/>
      <c r="D936" s="3"/>
      <c r="E936" s="3"/>
      <c r="F936" s="3"/>
      <c r="G936" s="3"/>
      <c r="H936" s="3"/>
      <c r="I936" s="3"/>
      <c r="J936" s="3"/>
      <c r="K936" s="3"/>
      <c r="L936" s="3"/>
      <c r="M936" s="3"/>
      <c r="N936" s="3"/>
      <c r="O936" s="3"/>
    </row>
    <row r="937" spans="1:15" ht="13">
      <c r="A937" s="3"/>
      <c r="B937" s="3"/>
      <c r="C937" s="3"/>
      <c r="D937" s="3"/>
      <c r="E937" s="3"/>
      <c r="F937" s="3"/>
      <c r="G937" s="3"/>
      <c r="H937" s="3"/>
      <c r="I937" s="3"/>
      <c r="J937" s="3"/>
      <c r="K937" s="3"/>
      <c r="L937" s="3"/>
      <c r="M937" s="3"/>
      <c r="N937" s="3"/>
      <c r="O937" s="3"/>
    </row>
    <row r="938" spans="1:15" ht="13">
      <c r="A938" s="3"/>
      <c r="B938" s="3"/>
      <c r="C938" s="3"/>
      <c r="D938" s="3"/>
      <c r="E938" s="3"/>
      <c r="F938" s="3"/>
      <c r="G938" s="3"/>
      <c r="H938" s="3"/>
      <c r="I938" s="3"/>
      <c r="J938" s="3"/>
      <c r="K938" s="3"/>
      <c r="L938" s="3"/>
      <c r="M938" s="3"/>
      <c r="N938" s="3"/>
      <c r="O938" s="3"/>
    </row>
    <row r="939" spans="1:15" ht="13">
      <c r="A939" s="3"/>
      <c r="B939" s="3"/>
      <c r="C939" s="3"/>
      <c r="D939" s="3"/>
      <c r="E939" s="3"/>
      <c r="F939" s="3"/>
      <c r="G939" s="3"/>
      <c r="H939" s="3"/>
      <c r="I939" s="3"/>
      <c r="J939" s="3"/>
      <c r="K939" s="3"/>
      <c r="L939" s="3"/>
      <c r="M939" s="3"/>
      <c r="N939" s="3"/>
      <c r="O939" s="3"/>
    </row>
    <row r="940" spans="1:15" ht="13">
      <c r="A940" s="3"/>
      <c r="B940" s="3"/>
      <c r="C940" s="3"/>
      <c r="D940" s="3"/>
      <c r="E940" s="3"/>
      <c r="F940" s="3"/>
      <c r="G940" s="3"/>
      <c r="H940" s="3"/>
      <c r="I940" s="3"/>
      <c r="J940" s="3"/>
      <c r="K940" s="3"/>
      <c r="L940" s="3"/>
      <c r="M940" s="3"/>
      <c r="N940" s="3"/>
      <c r="O940" s="3"/>
    </row>
    <row r="941" spans="1:15" ht="13">
      <c r="A941" s="3"/>
      <c r="B941" s="3"/>
      <c r="C941" s="3"/>
      <c r="D941" s="3"/>
      <c r="E941" s="3"/>
      <c r="F941" s="3"/>
      <c r="G941" s="3"/>
      <c r="H941" s="3"/>
      <c r="I941" s="3"/>
      <c r="J941" s="3"/>
      <c r="K941" s="3"/>
      <c r="L941" s="3"/>
      <c r="M941" s="3"/>
      <c r="N941" s="3"/>
      <c r="O941" s="3"/>
    </row>
    <row r="942" spans="1:15" ht="13">
      <c r="A942" s="3"/>
      <c r="B942" s="3"/>
      <c r="C942" s="3"/>
      <c r="D942" s="3"/>
      <c r="E942" s="3"/>
      <c r="F942" s="3"/>
      <c r="G942" s="3"/>
      <c r="H942" s="3"/>
      <c r="I942" s="3"/>
      <c r="J942" s="3"/>
      <c r="K942" s="3"/>
      <c r="L942" s="3"/>
      <c r="M942" s="3"/>
      <c r="N942" s="3"/>
      <c r="O942" s="3"/>
    </row>
    <row r="943" spans="1:15" ht="13">
      <c r="A943" s="3"/>
      <c r="B943" s="3"/>
      <c r="C943" s="3"/>
      <c r="D943" s="3"/>
      <c r="E943" s="3"/>
      <c r="F943" s="3"/>
      <c r="G943" s="3"/>
      <c r="H943" s="3"/>
      <c r="I943" s="3"/>
      <c r="J943" s="3"/>
      <c r="K943" s="3"/>
      <c r="L943" s="3"/>
      <c r="M943" s="3"/>
      <c r="N943" s="3"/>
      <c r="O943" s="3"/>
    </row>
    <row r="944" spans="1:15" ht="13">
      <c r="A944" s="3"/>
      <c r="B944" s="3"/>
      <c r="C944" s="3"/>
      <c r="D944" s="3"/>
      <c r="E944" s="3"/>
      <c r="F944" s="3"/>
      <c r="G944" s="3"/>
      <c r="H944" s="3"/>
      <c r="I944" s="3"/>
      <c r="J944" s="3"/>
      <c r="K944" s="3"/>
      <c r="L944" s="3"/>
      <c r="M944" s="3"/>
      <c r="N944" s="3"/>
      <c r="O944" s="3"/>
    </row>
    <row r="945" spans="1:15" ht="13">
      <c r="A945" s="3"/>
      <c r="B945" s="3"/>
      <c r="C945" s="3"/>
      <c r="D945" s="3"/>
      <c r="E945" s="3"/>
      <c r="F945" s="3"/>
      <c r="G945" s="3"/>
      <c r="H945" s="3"/>
      <c r="I945" s="3"/>
      <c r="J945" s="3"/>
      <c r="K945" s="3"/>
      <c r="L945" s="3"/>
      <c r="M945" s="3"/>
      <c r="N945" s="3"/>
      <c r="O945" s="3"/>
    </row>
    <row r="946" spans="1:15" ht="13">
      <c r="A946" s="3"/>
      <c r="B946" s="3"/>
      <c r="C946" s="3"/>
      <c r="D946" s="3"/>
      <c r="E946" s="3"/>
      <c r="F946" s="3"/>
      <c r="G946" s="3"/>
      <c r="H946" s="3"/>
      <c r="I946" s="3"/>
      <c r="J946" s="3"/>
      <c r="K946" s="3"/>
      <c r="L946" s="3"/>
      <c r="M946" s="3"/>
      <c r="N946" s="3"/>
      <c r="O946" s="3"/>
    </row>
    <row r="947" spans="1:15" ht="13">
      <c r="A947" s="3"/>
      <c r="B947" s="3"/>
      <c r="C947" s="3"/>
      <c r="D947" s="3"/>
      <c r="E947" s="3"/>
      <c r="F947" s="3"/>
      <c r="G947" s="3"/>
      <c r="H947" s="3"/>
      <c r="I947" s="3"/>
      <c r="J947" s="3"/>
      <c r="K947" s="3"/>
      <c r="L947" s="3"/>
      <c r="M947" s="3"/>
      <c r="N947" s="3"/>
      <c r="O947" s="3"/>
    </row>
    <row r="948" spans="1:15" ht="13">
      <c r="A948" s="3"/>
      <c r="B948" s="3"/>
      <c r="C948" s="3"/>
      <c r="D948" s="3"/>
      <c r="E948" s="3"/>
      <c r="F948" s="3"/>
      <c r="G948" s="3"/>
      <c r="H948" s="3"/>
      <c r="I948" s="3"/>
      <c r="J948" s="3"/>
      <c r="K948" s="3"/>
      <c r="L948" s="3"/>
      <c r="M948" s="3"/>
      <c r="N948" s="3"/>
      <c r="O948" s="3"/>
    </row>
    <row r="949" spans="1:15" ht="13">
      <c r="A949" s="3"/>
      <c r="B949" s="3"/>
      <c r="C949" s="3"/>
      <c r="D949" s="3"/>
      <c r="E949" s="3"/>
      <c r="F949" s="3"/>
      <c r="G949" s="3"/>
      <c r="H949" s="3"/>
      <c r="I949" s="3"/>
      <c r="J949" s="3"/>
      <c r="K949" s="3"/>
      <c r="L949" s="3"/>
      <c r="M949" s="3"/>
      <c r="N949" s="3"/>
      <c r="O949" s="3"/>
    </row>
    <row r="950" spans="1:15" ht="13">
      <c r="A950" s="3"/>
      <c r="B950" s="3"/>
      <c r="C950" s="3"/>
      <c r="D950" s="3"/>
      <c r="E950" s="3"/>
      <c r="F950" s="3"/>
      <c r="G950" s="3"/>
      <c r="H950" s="3"/>
      <c r="I950" s="3"/>
      <c r="J950" s="3"/>
      <c r="K950" s="3"/>
      <c r="L950" s="3"/>
      <c r="M950" s="3"/>
      <c r="N950" s="3"/>
      <c r="O950" s="3"/>
    </row>
    <row r="951" spans="1:15" ht="13">
      <c r="A951" s="3"/>
      <c r="B951" s="3"/>
      <c r="C951" s="3"/>
      <c r="D951" s="3"/>
      <c r="E951" s="3"/>
      <c r="F951" s="3"/>
      <c r="G951" s="3"/>
      <c r="H951" s="3"/>
      <c r="I951" s="3"/>
      <c r="J951" s="3"/>
      <c r="K951" s="3"/>
      <c r="L951" s="3"/>
      <c r="M951" s="3"/>
      <c r="N951" s="3"/>
      <c r="O951" s="3"/>
    </row>
    <row r="952" spans="1:15" ht="13">
      <c r="A952" s="3"/>
      <c r="B952" s="3"/>
      <c r="C952" s="3"/>
      <c r="D952" s="3"/>
      <c r="E952" s="3"/>
      <c r="F952" s="3"/>
      <c r="G952" s="3"/>
      <c r="H952" s="3"/>
      <c r="I952" s="3"/>
      <c r="J952" s="3"/>
      <c r="K952" s="3"/>
      <c r="L952" s="3"/>
      <c r="M952" s="3"/>
      <c r="N952" s="3"/>
      <c r="O952" s="3"/>
    </row>
    <row r="953" spans="1:15" ht="13">
      <c r="A953" s="3"/>
      <c r="B953" s="3"/>
      <c r="C953" s="3"/>
      <c r="D953" s="3"/>
      <c r="E953" s="3"/>
      <c r="F953" s="3"/>
      <c r="G953" s="3"/>
      <c r="H953" s="3"/>
      <c r="I953" s="3"/>
      <c r="J953" s="3"/>
      <c r="K953" s="3"/>
      <c r="L953" s="3"/>
      <c r="M953" s="3"/>
      <c r="N953" s="3"/>
      <c r="O953" s="3"/>
    </row>
    <row r="954" spans="1:15" ht="13">
      <c r="A954" s="3"/>
      <c r="B954" s="3"/>
      <c r="C954" s="3"/>
      <c r="D954" s="3"/>
      <c r="E954" s="3"/>
      <c r="F954" s="3"/>
      <c r="G954" s="3"/>
      <c r="H954" s="3"/>
      <c r="I954" s="3"/>
      <c r="J954" s="3"/>
      <c r="K954" s="3"/>
      <c r="L954" s="3"/>
      <c r="M954" s="3"/>
      <c r="N954" s="3"/>
      <c r="O954" s="3"/>
    </row>
    <row r="955" spans="1:15" ht="13">
      <c r="A955" s="3"/>
      <c r="B955" s="3"/>
      <c r="C955" s="3"/>
      <c r="D955" s="3"/>
      <c r="E955" s="3"/>
      <c r="F955" s="3"/>
      <c r="G955" s="3"/>
      <c r="H955" s="3"/>
      <c r="I955" s="3"/>
      <c r="J955" s="3"/>
      <c r="K955" s="3"/>
      <c r="L955" s="3"/>
      <c r="M955" s="3"/>
      <c r="N955" s="3"/>
      <c r="O955" s="3"/>
    </row>
    <row r="956" spans="1:15" ht="13">
      <c r="A956" s="3"/>
      <c r="B956" s="3"/>
      <c r="C956" s="3"/>
      <c r="D956" s="3"/>
      <c r="E956" s="3"/>
      <c r="F956" s="3"/>
      <c r="G956" s="3"/>
      <c r="H956" s="3"/>
      <c r="I956" s="3"/>
      <c r="J956" s="3"/>
      <c r="K956" s="3"/>
      <c r="L956" s="3"/>
      <c r="M956" s="3"/>
      <c r="N956" s="3"/>
      <c r="O956" s="3"/>
    </row>
    <row r="957" spans="1:15" ht="13">
      <c r="A957" s="3"/>
      <c r="B957" s="3"/>
      <c r="C957" s="3"/>
      <c r="D957" s="3"/>
      <c r="E957" s="3"/>
      <c r="F957" s="3"/>
      <c r="G957" s="3"/>
      <c r="H957" s="3"/>
      <c r="I957" s="3"/>
      <c r="J957" s="3"/>
      <c r="K957" s="3"/>
      <c r="L957" s="3"/>
      <c r="M957" s="3"/>
      <c r="N957" s="3"/>
      <c r="O957" s="3"/>
    </row>
    <row r="958" spans="1:15" ht="13">
      <c r="A958" s="3"/>
      <c r="B958" s="3"/>
      <c r="C958" s="3"/>
      <c r="D958" s="3"/>
      <c r="E958" s="3"/>
      <c r="F958" s="3"/>
      <c r="G958" s="3"/>
      <c r="H958" s="3"/>
      <c r="I958" s="3"/>
      <c r="J958" s="3"/>
      <c r="K958" s="3"/>
      <c r="L958" s="3"/>
      <c r="M958" s="3"/>
      <c r="N958" s="3"/>
      <c r="O958" s="3"/>
    </row>
    <row r="959" spans="1:15" ht="13">
      <c r="A959" s="3"/>
      <c r="B959" s="3"/>
      <c r="C959" s="3"/>
      <c r="D959" s="3"/>
      <c r="E959" s="3"/>
      <c r="F959" s="3"/>
      <c r="G959" s="3"/>
      <c r="H959" s="3"/>
      <c r="I959" s="3"/>
      <c r="J959" s="3"/>
      <c r="K959" s="3"/>
      <c r="L959" s="3"/>
      <c r="M959" s="3"/>
      <c r="N959" s="3"/>
      <c r="O959" s="3"/>
    </row>
    <row r="960" spans="1:15" ht="13">
      <c r="A960" s="3"/>
      <c r="B960" s="3"/>
      <c r="C960" s="3"/>
      <c r="D960" s="3"/>
      <c r="E960" s="3"/>
      <c r="F960" s="3"/>
      <c r="G960" s="3"/>
      <c r="H960" s="3"/>
      <c r="I960" s="3"/>
      <c r="J960" s="3"/>
      <c r="K960" s="3"/>
      <c r="L960" s="3"/>
      <c r="M960" s="3"/>
      <c r="N960" s="3"/>
      <c r="O960" s="3"/>
    </row>
    <row r="961" spans="1:15" ht="13">
      <c r="A961" s="3"/>
      <c r="B961" s="3"/>
      <c r="C961" s="3"/>
      <c r="D961" s="3"/>
      <c r="E961" s="3"/>
      <c r="F961" s="3"/>
      <c r="G961" s="3"/>
      <c r="H961" s="3"/>
      <c r="I961" s="3"/>
      <c r="J961" s="3"/>
      <c r="K961" s="3"/>
      <c r="L961" s="3"/>
      <c r="M961" s="3"/>
      <c r="N961" s="3"/>
      <c r="O961" s="3"/>
    </row>
    <row r="962" spans="1:15" ht="13">
      <c r="A962" s="3"/>
      <c r="B962" s="3"/>
      <c r="C962" s="3"/>
      <c r="D962" s="3"/>
      <c r="E962" s="3"/>
      <c r="F962" s="3"/>
      <c r="G962" s="3"/>
      <c r="H962" s="3"/>
      <c r="I962" s="3"/>
      <c r="J962" s="3"/>
      <c r="K962" s="3"/>
      <c r="L962" s="3"/>
      <c r="M962" s="3"/>
      <c r="N962" s="3"/>
      <c r="O962" s="3"/>
    </row>
    <row r="963" spans="1:15" ht="13">
      <c r="A963" s="3"/>
      <c r="B963" s="3"/>
      <c r="C963" s="3"/>
      <c r="D963" s="3"/>
      <c r="E963" s="3"/>
      <c r="F963" s="3"/>
      <c r="G963" s="3"/>
      <c r="H963" s="3"/>
      <c r="I963" s="3"/>
      <c r="J963" s="3"/>
      <c r="K963" s="3"/>
      <c r="L963" s="3"/>
      <c r="M963" s="3"/>
      <c r="N963" s="3"/>
      <c r="O963" s="3"/>
    </row>
    <row r="964" spans="1:15" ht="13">
      <c r="A964" s="3"/>
      <c r="B964" s="3"/>
      <c r="C964" s="3"/>
      <c r="D964" s="3"/>
      <c r="E964" s="3"/>
      <c r="F964" s="3"/>
      <c r="G964" s="3"/>
      <c r="H964" s="3"/>
      <c r="I964" s="3"/>
      <c r="J964" s="3"/>
      <c r="K964" s="3"/>
      <c r="L964" s="3"/>
      <c r="M964" s="3"/>
      <c r="N964" s="3"/>
      <c r="O964" s="3"/>
    </row>
    <row r="965" spans="1:15" ht="13">
      <c r="A965" s="3"/>
      <c r="B965" s="3"/>
      <c r="C965" s="3"/>
      <c r="D965" s="3"/>
      <c r="E965" s="3"/>
      <c r="F965" s="3"/>
      <c r="G965" s="3"/>
      <c r="H965" s="3"/>
      <c r="I965" s="3"/>
      <c r="J965" s="3"/>
      <c r="K965" s="3"/>
      <c r="L965" s="3"/>
      <c r="M965" s="3"/>
      <c r="N965" s="3"/>
      <c r="O965" s="3"/>
    </row>
    <row r="966" spans="1:15" ht="13">
      <c r="A966" s="3"/>
      <c r="B966" s="3"/>
      <c r="C966" s="3"/>
      <c r="D966" s="3"/>
      <c r="E966" s="3"/>
      <c r="F966" s="3"/>
      <c r="G966" s="3"/>
      <c r="H966" s="3"/>
      <c r="I966" s="3"/>
      <c r="J966" s="3"/>
      <c r="K966" s="3"/>
      <c r="L966" s="3"/>
      <c r="M966" s="3"/>
      <c r="N966" s="3"/>
      <c r="O966" s="3"/>
    </row>
    <row r="967" spans="1:15" ht="13">
      <c r="A967" s="3"/>
      <c r="B967" s="3"/>
      <c r="C967" s="3"/>
      <c r="D967" s="3"/>
      <c r="E967" s="3"/>
      <c r="F967" s="3"/>
      <c r="G967" s="3"/>
      <c r="H967" s="3"/>
      <c r="I967" s="3"/>
      <c r="J967" s="3"/>
      <c r="K967" s="3"/>
      <c r="L967" s="3"/>
      <c r="M967" s="3"/>
      <c r="N967" s="3"/>
      <c r="O967" s="3"/>
    </row>
    <row r="968" spans="1:15" ht="13">
      <c r="A968" s="3"/>
      <c r="B968" s="3"/>
      <c r="C968" s="3"/>
      <c r="D968" s="3"/>
      <c r="E968" s="3"/>
      <c r="F968" s="3"/>
      <c r="G968" s="3"/>
      <c r="H968" s="3"/>
      <c r="I968" s="3"/>
      <c r="J968" s="3"/>
      <c r="K968" s="3"/>
      <c r="L968" s="3"/>
      <c r="M968" s="3"/>
      <c r="N968" s="3"/>
      <c r="O968" s="3"/>
    </row>
    <row r="969" spans="1:15" ht="13">
      <c r="A969" s="3"/>
      <c r="B969" s="3"/>
      <c r="C969" s="3"/>
      <c r="D969" s="3"/>
      <c r="E969" s="3"/>
      <c r="F969" s="3"/>
      <c r="G969" s="3"/>
      <c r="H969" s="3"/>
      <c r="I969" s="3"/>
      <c r="J969" s="3"/>
      <c r="K969" s="3"/>
      <c r="L969" s="3"/>
      <c r="M969" s="3"/>
      <c r="N969" s="3"/>
      <c r="O969" s="3"/>
    </row>
    <row r="970" spans="1:15" ht="13">
      <c r="A970" s="3"/>
      <c r="B970" s="3"/>
      <c r="C970" s="3"/>
      <c r="D970" s="3"/>
      <c r="E970" s="3"/>
      <c r="F970" s="3"/>
      <c r="G970" s="3"/>
      <c r="H970" s="3"/>
      <c r="I970" s="3"/>
      <c r="J970" s="3"/>
      <c r="K970" s="3"/>
      <c r="L970" s="3"/>
      <c r="M970" s="3"/>
      <c r="N970" s="3"/>
      <c r="O970" s="3"/>
    </row>
    <row r="971" spans="1:15" ht="13">
      <c r="A971" s="3"/>
      <c r="B971" s="3"/>
      <c r="C971" s="3"/>
      <c r="D971" s="3"/>
      <c r="E971" s="3"/>
      <c r="F971" s="3"/>
      <c r="G971" s="3"/>
      <c r="H971" s="3"/>
      <c r="I971" s="3"/>
      <c r="J971" s="3"/>
      <c r="K971" s="3"/>
      <c r="L971" s="3"/>
      <c r="M971" s="3"/>
      <c r="N971" s="3"/>
      <c r="O971" s="3"/>
    </row>
    <row r="972" spans="1:15" ht="13">
      <c r="A972" s="3"/>
      <c r="B972" s="3"/>
      <c r="C972" s="3"/>
      <c r="D972" s="3"/>
      <c r="E972" s="3"/>
      <c r="F972" s="3"/>
      <c r="G972" s="3"/>
      <c r="H972" s="3"/>
      <c r="I972" s="3"/>
      <c r="J972" s="3"/>
      <c r="K972" s="3"/>
      <c r="L972" s="3"/>
      <c r="M972" s="3"/>
      <c r="N972" s="3"/>
      <c r="O972" s="3"/>
    </row>
    <row r="973" spans="1:15" ht="13">
      <c r="A973" s="3"/>
      <c r="B973" s="3"/>
      <c r="C973" s="3"/>
      <c r="D973" s="3"/>
      <c r="E973" s="3"/>
      <c r="F973" s="3"/>
      <c r="G973" s="3"/>
      <c r="H973" s="3"/>
      <c r="I973" s="3"/>
      <c r="J973" s="3"/>
      <c r="K973" s="3"/>
      <c r="L973" s="3"/>
      <c r="M973" s="3"/>
      <c r="N973" s="3"/>
      <c r="O973" s="3"/>
    </row>
    <row r="974" spans="1:15" ht="13">
      <c r="A974" s="3"/>
      <c r="B974" s="3"/>
      <c r="C974" s="3"/>
      <c r="D974" s="3"/>
      <c r="E974" s="3"/>
      <c r="F974" s="3"/>
      <c r="G974" s="3"/>
      <c r="H974" s="3"/>
      <c r="I974" s="3"/>
      <c r="J974" s="3"/>
      <c r="K974" s="3"/>
      <c r="L974" s="3"/>
      <c r="M974" s="3"/>
      <c r="N974" s="3"/>
      <c r="O974" s="3"/>
    </row>
    <row r="975" spans="1:15" ht="13">
      <c r="A975" s="3"/>
      <c r="B975" s="3"/>
      <c r="C975" s="3"/>
      <c r="D975" s="3"/>
      <c r="E975" s="3"/>
      <c r="F975" s="3"/>
      <c r="G975" s="3"/>
      <c r="H975" s="3"/>
      <c r="I975" s="3"/>
      <c r="J975" s="3"/>
      <c r="K975" s="3"/>
      <c r="L975" s="3"/>
      <c r="M975" s="3"/>
      <c r="N975" s="3"/>
      <c r="O975" s="3"/>
    </row>
    <row r="976" spans="1:15" ht="13">
      <c r="A976" s="3"/>
      <c r="B976" s="3"/>
      <c r="C976" s="3"/>
      <c r="D976" s="3"/>
      <c r="E976" s="3"/>
      <c r="F976" s="3"/>
      <c r="G976" s="3"/>
      <c r="H976" s="3"/>
      <c r="I976" s="3"/>
      <c r="J976" s="3"/>
      <c r="K976" s="3"/>
      <c r="L976" s="3"/>
      <c r="M976" s="3"/>
      <c r="N976" s="3"/>
      <c r="O976" s="3"/>
    </row>
    <row r="977" spans="1:15" ht="13">
      <c r="A977" s="3"/>
      <c r="B977" s="3"/>
      <c r="C977" s="3"/>
      <c r="D977" s="3"/>
      <c r="E977" s="3"/>
      <c r="F977" s="3"/>
      <c r="G977" s="3"/>
      <c r="H977" s="3"/>
      <c r="I977" s="3"/>
      <c r="J977" s="3"/>
      <c r="K977" s="3"/>
      <c r="L977" s="3"/>
      <c r="M977" s="3"/>
      <c r="N977" s="3"/>
      <c r="O977" s="3"/>
    </row>
    <row r="978" spans="1:15" ht="13">
      <c r="A978" s="3"/>
      <c r="B978" s="3"/>
      <c r="C978" s="3"/>
      <c r="D978" s="3"/>
      <c r="E978" s="3"/>
      <c r="F978" s="3"/>
      <c r="G978" s="3"/>
      <c r="H978" s="3"/>
      <c r="I978" s="3"/>
      <c r="J978" s="3"/>
      <c r="K978" s="3"/>
      <c r="L978" s="3"/>
      <c r="M978" s="3"/>
      <c r="N978" s="3"/>
      <c r="O978" s="3"/>
    </row>
    <row r="979" spans="1:15" ht="13">
      <c r="A979" s="3"/>
      <c r="B979" s="3"/>
      <c r="C979" s="3"/>
      <c r="D979" s="3"/>
      <c r="E979" s="3"/>
      <c r="F979" s="3"/>
      <c r="G979" s="3"/>
      <c r="H979" s="3"/>
      <c r="I979" s="3"/>
      <c r="J979" s="3"/>
      <c r="K979" s="3"/>
      <c r="L979" s="3"/>
      <c r="M979" s="3"/>
      <c r="N979" s="3"/>
      <c r="O979" s="3"/>
    </row>
    <row r="980" spans="1:15" ht="13">
      <c r="A980" s="3"/>
      <c r="B980" s="3"/>
      <c r="C980" s="3"/>
      <c r="D980" s="3"/>
      <c r="E980" s="3"/>
      <c r="F980" s="3"/>
      <c r="G980" s="3"/>
      <c r="H980" s="3"/>
      <c r="I980" s="3"/>
      <c r="J980" s="3"/>
      <c r="K980" s="3"/>
      <c r="L980" s="3"/>
      <c r="M980" s="3"/>
      <c r="N980" s="3"/>
      <c r="O980" s="3"/>
    </row>
    <row r="981" spans="1:15" ht="13">
      <c r="A981" s="3"/>
      <c r="B981" s="3"/>
      <c r="C981" s="3"/>
      <c r="D981" s="3"/>
      <c r="E981" s="3"/>
      <c r="F981" s="3"/>
      <c r="G981" s="3"/>
      <c r="H981" s="3"/>
      <c r="I981" s="3"/>
      <c r="J981" s="3"/>
      <c r="K981" s="3"/>
      <c r="L981" s="3"/>
      <c r="M981" s="3"/>
      <c r="N981" s="3"/>
      <c r="O981" s="3"/>
    </row>
    <row r="982" spans="1:15" ht="13">
      <c r="A982" s="3"/>
      <c r="B982" s="3"/>
      <c r="C982" s="3"/>
      <c r="D982" s="3"/>
      <c r="E982" s="3"/>
      <c r="F982" s="3"/>
      <c r="G982" s="3"/>
      <c r="H982" s="3"/>
      <c r="I982" s="3"/>
      <c r="J982" s="3"/>
      <c r="K982" s="3"/>
      <c r="L982" s="3"/>
      <c r="M982" s="3"/>
      <c r="N982" s="3"/>
      <c r="O982" s="3"/>
    </row>
    <row r="983" spans="1:15" ht="13">
      <c r="A983" s="3"/>
      <c r="B983" s="3"/>
      <c r="C983" s="3"/>
      <c r="D983" s="3"/>
      <c r="E983" s="3"/>
      <c r="F983" s="3"/>
      <c r="G983" s="3"/>
      <c r="H983" s="3"/>
      <c r="I983" s="3"/>
      <c r="J983" s="3"/>
      <c r="K983" s="3"/>
      <c r="L983" s="3"/>
      <c r="M983" s="3"/>
      <c r="N983" s="3"/>
      <c r="O983" s="3"/>
    </row>
    <row r="984" spans="1:15" ht="13">
      <c r="A984" s="3"/>
      <c r="B984" s="3"/>
      <c r="C984" s="3"/>
      <c r="D984" s="3"/>
      <c r="E984" s="3"/>
      <c r="F984" s="3"/>
      <c r="G984" s="3"/>
      <c r="H984" s="3"/>
      <c r="I984" s="3"/>
      <c r="J984" s="3"/>
      <c r="K984" s="3"/>
      <c r="L984" s="3"/>
      <c r="M984" s="3"/>
      <c r="N984" s="3"/>
      <c r="O984" s="3"/>
    </row>
    <row r="985" spans="1:15" ht="13">
      <c r="A985" s="3"/>
      <c r="B985" s="3"/>
      <c r="C985" s="3"/>
      <c r="D985" s="3"/>
      <c r="E985" s="3"/>
      <c r="F985" s="3"/>
      <c r="G985" s="3"/>
      <c r="H985" s="3"/>
      <c r="I985" s="3"/>
      <c r="J985" s="3"/>
      <c r="K985" s="3"/>
      <c r="L985" s="3"/>
      <c r="M985" s="3"/>
      <c r="N985" s="3"/>
      <c r="O985" s="3"/>
    </row>
    <row r="986" spans="1:15" ht="13">
      <c r="A986" s="3"/>
      <c r="B986" s="3"/>
      <c r="C986" s="3"/>
      <c r="D986" s="3"/>
      <c r="E986" s="3"/>
      <c r="F986" s="3"/>
      <c r="G986" s="3"/>
      <c r="H986" s="3"/>
      <c r="I986" s="3"/>
      <c r="J986" s="3"/>
      <c r="K986" s="3"/>
      <c r="L986" s="3"/>
      <c r="M986" s="3"/>
      <c r="N986" s="3"/>
      <c r="O986" s="3"/>
    </row>
    <row r="987" spans="1:15" ht="13">
      <c r="A987" s="3"/>
      <c r="B987" s="3"/>
      <c r="C987" s="3"/>
      <c r="D987" s="3"/>
      <c r="E987" s="3"/>
      <c r="F987" s="3"/>
      <c r="G987" s="3"/>
      <c r="H987" s="3"/>
      <c r="I987" s="3"/>
      <c r="J987" s="3"/>
      <c r="K987" s="3"/>
      <c r="L987" s="3"/>
      <c r="M987" s="3"/>
      <c r="N987" s="3"/>
      <c r="O987" s="3"/>
    </row>
    <row r="988" spans="1:15" ht="13">
      <c r="A988" s="3"/>
      <c r="B988" s="3"/>
      <c r="C988" s="3"/>
      <c r="D988" s="3"/>
      <c r="E988" s="3"/>
      <c r="F988" s="3"/>
      <c r="G988" s="3"/>
      <c r="H988" s="3"/>
      <c r="I988" s="3"/>
      <c r="J988" s="3"/>
      <c r="K988" s="3"/>
      <c r="L988" s="3"/>
      <c r="M988" s="3"/>
      <c r="N988" s="3"/>
      <c r="O988" s="3"/>
    </row>
    <row r="989" spans="1:15" ht="13">
      <c r="A989" s="3"/>
      <c r="B989" s="3"/>
      <c r="C989" s="3"/>
      <c r="D989" s="3"/>
      <c r="E989" s="3"/>
      <c r="F989" s="3"/>
      <c r="G989" s="3"/>
      <c r="H989" s="3"/>
      <c r="I989" s="3"/>
      <c r="J989" s="3"/>
      <c r="K989" s="3"/>
      <c r="L989" s="3"/>
      <c r="M989" s="3"/>
      <c r="N989" s="3"/>
      <c r="O989" s="3"/>
    </row>
    <row r="990" spans="1:15" ht="13">
      <c r="A990" s="3"/>
      <c r="B990" s="3"/>
      <c r="C990" s="3"/>
      <c r="D990" s="3"/>
      <c r="E990" s="3"/>
      <c r="F990" s="3"/>
      <c r="G990" s="3"/>
      <c r="H990" s="3"/>
      <c r="I990" s="3"/>
      <c r="J990" s="3"/>
      <c r="K990" s="3"/>
      <c r="L990" s="3"/>
      <c r="M990" s="3"/>
      <c r="N990" s="3"/>
      <c r="O990" s="3"/>
    </row>
    <row r="991" spans="1:15" ht="13">
      <c r="A991" s="3"/>
      <c r="B991" s="3"/>
      <c r="C991" s="3"/>
      <c r="D991" s="3"/>
      <c r="E991" s="3"/>
      <c r="F991" s="3"/>
      <c r="G991" s="3"/>
      <c r="H991" s="3"/>
      <c r="I991" s="3"/>
      <c r="J991" s="3"/>
      <c r="K991" s="3"/>
      <c r="L991" s="3"/>
      <c r="M991" s="3"/>
      <c r="N991" s="3"/>
      <c r="O991" s="3"/>
    </row>
    <row r="992" spans="1:15" ht="13">
      <c r="A992" s="3"/>
      <c r="B992" s="3"/>
      <c r="C992" s="3"/>
      <c r="D992" s="3"/>
      <c r="E992" s="3"/>
      <c r="F992" s="3"/>
      <c r="G992" s="3"/>
      <c r="H992" s="3"/>
      <c r="I992" s="3"/>
      <c r="J992" s="3"/>
      <c r="K992" s="3"/>
      <c r="L992" s="3"/>
      <c r="M992" s="3"/>
      <c r="N992" s="3"/>
      <c r="O992" s="3"/>
    </row>
    <row r="993" spans="1:15" ht="13">
      <c r="A993" s="3"/>
      <c r="B993" s="3"/>
      <c r="C993" s="3"/>
      <c r="D993" s="3"/>
      <c r="E993" s="3"/>
      <c r="F993" s="3"/>
      <c r="G993" s="3"/>
      <c r="H993" s="3"/>
      <c r="I993" s="3"/>
      <c r="J993" s="3"/>
      <c r="K993" s="3"/>
      <c r="L993" s="3"/>
      <c r="M993" s="3"/>
      <c r="N993" s="3"/>
      <c r="O993" s="3"/>
    </row>
    <row r="994" spans="1:15" ht="13">
      <c r="A994" s="3"/>
      <c r="B994" s="3"/>
      <c r="C994" s="3"/>
      <c r="D994" s="3"/>
      <c r="E994" s="3"/>
      <c r="F994" s="3"/>
      <c r="G994" s="3"/>
      <c r="H994" s="3"/>
      <c r="I994" s="3"/>
      <c r="J994" s="3"/>
      <c r="K994" s="3"/>
      <c r="L994" s="3"/>
      <c r="M994" s="3"/>
      <c r="N994" s="3"/>
      <c r="O994" s="3"/>
    </row>
    <row r="995" spans="1:15" ht="13">
      <c r="A995" s="3"/>
      <c r="B995" s="3"/>
      <c r="C995" s="3"/>
      <c r="D995" s="3"/>
      <c r="E995" s="3"/>
      <c r="F995" s="3"/>
      <c r="G995" s="3"/>
      <c r="H995" s="3"/>
      <c r="I995" s="3"/>
      <c r="J995" s="3"/>
      <c r="K995" s="3"/>
      <c r="L995" s="3"/>
      <c r="M995" s="3"/>
      <c r="N995" s="3"/>
      <c r="O995" s="3"/>
    </row>
  </sheetData>
  <autoFilter ref="A1:AA370" xr:uid="{00000000-0009-0000-0000-000000000000}"/>
  <hyperlinks>
    <hyperlink ref="I2" r:id="rId1" display="https://bugzilla.mozilla.org/show_bug.cgi?id=1660100" xr:uid="{00000000-0004-0000-0000-000000000000}"/>
    <hyperlink ref="I3" r:id="rId2" display="https://bugzilla.mozilla.org/show_bug.cgi?id=1664588" xr:uid="{00000000-0004-0000-0000-000001000000}"/>
    <hyperlink ref="I4" r:id="rId3" display="https://bugzilla.mozilla.org/show_bug.cgi?id=1535459" xr:uid="{00000000-0004-0000-0000-000002000000}"/>
    <hyperlink ref="I5" r:id="rId4" display="https://bugzilla.mozilla.org/show_bug.cgi?id=1662287" xr:uid="{00000000-0004-0000-0000-000003000000}"/>
    <hyperlink ref="I6" r:id="rId5" display="https://bugzilla.mozilla.org/show_bug.cgi?id=1628660" xr:uid="{00000000-0004-0000-0000-000004000000}"/>
    <hyperlink ref="I7" r:id="rId6" display="https://bugzilla.mozilla.org/show_bug.cgi?id=1716588" xr:uid="{00000000-0004-0000-0000-000005000000}"/>
    <hyperlink ref="I8" r:id="rId7" display="https://bugzilla.mozilla.org/show_bug.cgi?id=1616113" xr:uid="{00000000-0004-0000-0000-000006000000}"/>
    <hyperlink ref="I9" r:id="rId8" display="https://bugzilla.mozilla.org/show_bug.cgi?id=1787167" xr:uid="{00000000-0004-0000-0000-000007000000}"/>
    <hyperlink ref="I10" r:id="rId9" display="https://bugzilla.mozilla.org/show_bug.cgi?id=1617371" xr:uid="{00000000-0004-0000-0000-000008000000}"/>
    <hyperlink ref="I11" r:id="rId10" display="https://bugzilla.mozilla.org/show_bug.cgi?id=1798863" xr:uid="{00000000-0004-0000-0000-000009000000}"/>
    <hyperlink ref="I12" r:id="rId11" display="https://bugzilla.mozilla.org/show_bug.cgi?id=1730738" xr:uid="{00000000-0004-0000-0000-00000A000000}"/>
    <hyperlink ref="I13" r:id="rId12" display="https://bugzilla.mozilla.org/show_bug.cgi?id=1620458" xr:uid="{00000000-0004-0000-0000-00000B000000}"/>
    <hyperlink ref="I14" r:id="rId13" display="https://bugzilla.mozilla.org/show_bug.cgi?id=1649458" xr:uid="{00000000-0004-0000-0000-00000C000000}"/>
    <hyperlink ref="I15" r:id="rId14" display="https://bugzilla.mozilla.org/show_bug.cgi?id=1667179" xr:uid="{00000000-0004-0000-0000-00000D000000}"/>
    <hyperlink ref="I16" r:id="rId15" display="https://bugzilla.mozilla.org/show_bug.cgi?id=1522950" xr:uid="{00000000-0004-0000-0000-00000E000000}"/>
    <hyperlink ref="I17" r:id="rId16" display="https://bugzilla.mozilla.org/show_bug.cgi?id=1657581" xr:uid="{00000000-0004-0000-0000-00000F000000}"/>
    <hyperlink ref="I19" r:id="rId17" display="https://bugzilla.mozilla.org/show_bug.cgi?id=1722890" xr:uid="{00000000-0004-0000-0000-000010000000}"/>
    <hyperlink ref="I20" r:id="rId18" display="https://bugzilla.mozilla.org/show_bug.cgi?id=1598841" xr:uid="{00000000-0004-0000-0000-000011000000}"/>
    <hyperlink ref="I21" r:id="rId19" display="https://bugzilla.mozilla.org/show_bug.cgi?id=1722958" xr:uid="{00000000-0004-0000-0000-000012000000}"/>
    <hyperlink ref="I22" r:id="rId20" display="https://bugzilla.mozilla.org/show_bug.cgi?id=1755569" xr:uid="{00000000-0004-0000-0000-000013000000}"/>
    <hyperlink ref="I23" r:id="rId21" display="https://bugzilla.mozilla.org/show_bug.cgi?id=1709678" xr:uid="{00000000-0004-0000-0000-000014000000}"/>
    <hyperlink ref="I24" r:id="rId22" display="https://bugzilla.mozilla.org/show_bug.cgi?id=1692677" xr:uid="{00000000-0004-0000-0000-000015000000}"/>
    <hyperlink ref="I25" r:id="rId23" display="https://bugzilla.mozilla.org/show_bug.cgi?id=1561450" xr:uid="{00000000-0004-0000-0000-000016000000}"/>
    <hyperlink ref="I26" r:id="rId24" display="https://bugzilla.mozilla.org/show_bug.cgi?id=1774125" xr:uid="{00000000-0004-0000-0000-000017000000}"/>
    <hyperlink ref="I27" r:id="rId25" display="https://bugzilla.mozilla.org/show_bug.cgi?id=1764725" xr:uid="{00000000-0004-0000-0000-000018000000}"/>
    <hyperlink ref="I28" r:id="rId26" display="https://bugzilla.mozilla.org/show_bug.cgi?id=1659973" xr:uid="{00000000-0004-0000-0000-000019000000}"/>
    <hyperlink ref="I29" r:id="rId27" display="https://bugzilla.mozilla.org/show_bug.cgi?id=1781747" xr:uid="{00000000-0004-0000-0000-00001A000000}"/>
    <hyperlink ref="I30" r:id="rId28" display="https://bugzilla.mozilla.org/show_bug.cgi?id=1464268" xr:uid="{00000000-0004-0000-0000-00001B000000}"/>
    <hyperlink ref="I31" r:id="rId29" display="https://bugzilla.mozilla.org/show_bug.cgi?id=1646707" xr:uid="{00000000-0004-0000-0000-00001C000000}"/>
    <hyperlink ref="I32" r:id="rId30" display="https://bugzilla.mozilla.org/show_bug.cgi?id=1646788" xr:uid="{00000000-0004-0000-0000-00001D000000}"/>
    <hyperlink ref="I33" r:id="rId31" display="https://bugzilla.mozilla.org/show_bug.cgi?id=1692975" xr:uid="{00000000-0004-0000-0000-00001E000000}"/>
    <hyperlink ref="I34" r:id="rId32" display="https://bugzilla.mozilla.org/show_bug.cgi?id=1605577" xr:uid="{00000000-0004-0000-0000-00001F000000}"/>
    <hyperlink ref="I35" r:id="rId33" display="https://bugzilla.mozilla.org/show_bug.cgi?id=1644798" xr:uid="{00000000-0004-0000-0000-000020000000}"/>
    <hyperlink ref="I36" r:id="rId34" display="https://bugzilla.mozilla.org/show_bug.cgi?id=1572116" xr:uid="{00000000-0004-0000-0000-000021000000}"/>
    <hyperlink ref="I37" r:id="rId35" display="https://bugzilla.mozilla.org/show_bug.cgi?id=1638148" xr:uid="{00000000-0004-0000-0000-000022000000}"/>
    <hyperlink ref="I38" r:id="rId36" display="https://bugzilla.mozilla.org/show_bug.cgi?id=1679472" xr:uid="{00000000-0004-0000-0000-000023000000}"/>
    <hyperlink ref="I39" r:id="rId37" display="https://bugzilla.mozilla.org/show_bug.cgi?id=1786128" xr:uid="{00000000-0004-0000-0000-000024000000}"/>
    <hyperlink ref="I40" r:id="rId38" display="https://bugzilla.mozilla.org/show_bug.cgi?id=1747345" xr:uid="{00000000-0004-0000-0000-000025000000}"/>
    <hyperlink ref="I42" r:id="rId39" display="https://bugzilla.mozilla.org/show_bug.cgi?id=1625218" xr:uid="{00000000-0004-0000-0000-000026000000}"/>
    <hyperlink ref="I43" r:id="rId40" display="https://bugzilla.mozilla.org/show_bug.cgi?id=1618122" xr:uid="{00000000-0004-0000-0000-000027000000}"/>
    <hyperlink ref="I44" r:id="rId41" display="https://bugzilla.mozilla.org/show_bug.cgi?id=1725458" xr:uid="{00000000-0004-0000-0000-000028000000}"/>
    <hyperlink ref="I45" r:id="rId42" display="https://bugzilla.mozilla.org/show_bug.cgi?id=1672505" xr:uid="{00000000-0004-0000-0000-000029000000}"/>
    <hyperlink ref="I46" r:id="rId43" display="https://bugzilla.mozilla.org/show_bug.cgi?id=1592791" xr:uid="{00000000-0004-0000-0000-00002A000000}"/>
    <hyperlink ref="I47" r:id="rId44" display="https://bugzilla.mozilla.org/show_bug.cgi?id=1659615" xr:uid="{00000000-0004-0000-0000-00002B000000}"/>
    <hyperlink ref="I48" r:id="rId45" display="https://bugzilla.mozilla.org/show_bug.cgi?id=1658084" xr:uid="{00000000-0004-0000-0000-00002C000000}"/>
    <hyperlink ref="I49" r:id="rId46" display="https://bugzilla.mozilla.org/show_bug.cgi?id=1675360" xr:uid="{00000000-0004-0000-0000-00002D000000}"/>
    <hyperlink ref="I50" r:id="rId47" display="https://bugzilla.mozilla.org/show_bug.cgi?id=1759325" xr:uid="{00000000-0004-0000-0000-00002E000000}"/>
    <hyperlink ref="I51" r:id="rId48" display="https://bugzilla.mozilla.org/show_bug.cgi?id=1658673" xr:uid="{00000000-0004-0000-0000-00002F000000}"/>
    <hyperlink ref="I52" r:id="rId49" display="https://bugzilla.mozilla.org/show_bug.cgi?id=1731529" xr:uid="{00000000-0004-0000-0000-000030000000}"/>
    <hyperlink ref="I53" r:id="rId50" display="https://bugzilla.mozilla.org/show_bug.cgi?id=1581802" xr:uid="{00000000-0004-0000-0000-000031000000}"/>
    <hyperlink ref="I54" r:id="rId51" display="https://bugzilla.mozilla.org/show_bug.cgi?id=1689934" xr:uid="{00000000-0004-0000-0000-000032000000}"/>
    <hyperlink ref="I55" r:id="rId52" display="https://bugzilla.mozilla.org/show_bug.cgi?id=1759432" xr:uid="{00000000-0004-0000-0000-000033000000}"/>
    <hyperlink ref="I56" r:id="rId53" display="https://bugzilla.mozilla.org/show_bug.cgi?id=1714276" xr:uid="{00000000-0004-0000-0000-000034000000}"/>
    <hyperlink ref="I58" r:id="rId54" display="https://bugzilla.mozilla.org/show_bug.cgi?id=1792253" xr:uid="{00000000-0004-0000-0000-000035000000}"/>
    <hyperlink ref="I59" r:id="rId55" display="https://bugzilla.mozilla.org/show_bug.cgi?id=1768428" xr:uid="{00000000-0004-0000-0000-000036000000}"/>
    <hyperlink ref="I60" r:id="rId56" display="https://bugzilla.mozilla.org/show_bug.cgi?id=1638675" xr:uid="{00000000-0004-0000-0000-000037000000}"/>
    <hyperlink ref="I61" r:id="rId57" display="https://bugzilla.mozilla.org/show_bug.cgi?id=1748577" xr:uid="{00000000-0004-0000-0000-000038000000}"/>
    <hyperlink ref="I63" r:id="rId58" display="https://bugzilla.mozilla.org/show_bug.cgi?id=1767128" xr:uid="{00000000-0004-0000-0000-000039000000}"/>
    <hyperlink ref="I64" r:id="rId59" display="https://bugzilla.mozilla.org/show_bug.cgi?id=1575797" xr:uid="{00000000-0004-0000-0000-00003A000000}"/>
    <hyperlink ref="I65" r:id="rId60" display="https://bugzilla.mozilla.org/show_bug.cgi?id=1745200" xr:uid="{00000000-0004-0000-0000-00003B000000}"/>
    <hyperlink ref="I67" r:id="rId61" display="https://bugzilla.mozilla.org/show_bug.cgi?id=1793323" xr:uid="{00000000-0004-0000-0000-00003C000000}"/>
    <hyperlink ref="I68" r:id="rId62" display="https://bugzilla.mozilla.org/show_bug.cgi?id=1623285" xr:uid="{00000000-0004-0000-0000-00003D000000}"/>
    <hyperlink ref="I69" r:id="rId63" display="https://bugzilla.mozilla.org/show_bug.cgi?id=1612723" xr:uid="{00000000-0004-0000-0000-00003E000000}"/>
    <hyperlink ref="I73" r:id="rId64" display="https://bugzilla.mozilla.org/show_bug.cgi?id=1731792" xr:uid="{00000000-0004-0000-0000-00003F000000}"/>
    <hyperlink ref="I74" r:id="rId65" display="https://bugzilla.mozilla.org/show_bug.cgi?id=1715036" xr:uid="{00000000-0004-0000-0000-000040000000}"/>
    <hyperlink ref="I75" r:id="rId66" display="https://bugzilla.mozilla.org/show_bug.cgi?id=1733325" xr:uid="{00000000-0004-0000-0000-000041000000}"/>
    <hyperlink ref="I76" r:id="rId67" display="https://bugzilla.mozilla.org/show_bug.cgi?id=1744944" xr:uid="{00000000-0004-0000-0000-000042000000}"/>
    <hyperlink ref="I77" r:id="rId68" display="https://bugzilla.mozilla.org/show_bug.cgi?id=1724899" xr:uid="{00000000-0004-0000-0000-000043000000}"/>
    <hyperlink ref="I78" r:id="rId69" display="https://bugzilla.mozilla.org/show_bug.cgi?id=1691466" xr:uid="{00000000-0004-0000-0000-000044000000}"/>
    <hyperlink ref="I79" r:id="rId70" display="https://bugzilla.mozilla.org/show_bug.cgi?id=1679705" xr:uid="{00000000-0004-0000-0000-000045000000}"/>
    <hyperlink ref="I80" r:id="rId71" display="https://bugzilla.mozilla.org/show_bug.cgi?id=1607658" xr:uid="{00000000-0004-0000-0000-000046000000}"/>
    <hyperlink ref="I81" r:id="rId72" display="https://bugzilla.mozilla.org/show_bug.cgi?id=1654984" xr:uid="{00000000-0004-0000-0000-000047000000}"/>
    <hyperlink ref="I82" r:id="rId73" display="https://bugzilla.mozilla.org/show_bug.cgi?id=1563241" xr:uid="{00000000-0004-0000-0000-000048000000}"/>
    <hyperlink ref="I83" r:id="rId74" display="https://bugzilla.mozilla.org/show_bug.cgi?id=1560193" xr:uid="{00000000-0004-0000-0000-000049000000}"/>
    <hyperlink ref="I84" r:id="rId75" display="https://bugzilla.mozilla.org/show_bug.cgi?id=1676503" xr:uid="{00000000-0004-0000-0000-00004A000000}"/>
    <hyperlink ref="I85" r:id="rId76" display="https://bugzilla.mozilla.org/show_bug.cgi?id=1618501" xr:uid="{00000000-0004-0000-0000-00004B000000}"/>
    <hyperlink ref="I86" r:id="rId77" display="https://bugzilla.mozilla.org/show_bug.cgi?id=1710312" xr:uid="{00000000-0004-0000-0000-00004C000000}"/>
    <hyperlink ref="I87" r:id="rId78" display="https://bugzilla.mozilla.org/show_bug.cgi?id=1589672" xr:uid="{00000000-0004-0000-0000-00004D000000}"/>
    <hyperlink ref="I88" r:id="rId79" display="https://bugzilla.mozilla.org/show_bug.cgi?id=1650462" xr:uid="{00000000-0004-0000-0000-00004E000000}"/>
    <hyperlink ref="I89" r:id="rId80" display="https://bugzilla.mozilla.org/show_bug.cgi?id=1719578" xr:uid="{00000000-0004-0000-0000-00004F000000}"/>
    <hyperlink ref="I90" r:id="rId81" display="https://bugzilla.mozilla.org/show_bug.cgi?id=1725896" xr:uid="{00000000-0004-0000-0000-000050000000}"/>
    <hyperlink ref="I91" r:id="rId82" display="https://bugzilla.mozilla.org/show_bug.cgi?id=1665577" xr:uid="{00000000-0004-0000-0000-000051000000}"/>
    <hyperlink ref="I92" r:id="rId83" display="https://bugzilla.mozilla.org/show_bug.cgi?id=1582857" xr:uid="{00000000-0004-0000-0000-000052000000}"/>
    <hyperlink ref="I94" r:id="rId84" display="https://bugzilla.mozilla.org/show_bug.cgi?id=1642303" xr:uid="{00000000-0004-0000-0000-000053000000}"/>
    <hyperlink ref="I96" r:id="rId85" display="https://bugzilla.mozilla.org/show_bug.cgi?id=1766430" xr:uid="{00000000-0004-0000-0000-000054000000}"/>
    <hyperlink ref="I97" r:id="rId86" display="https://bugzilla.mozilla.org/show_bug.cgi?id=1622751" xr:uid="{00000000-0004-0000-0000-000055000000}"/>
    <hyperlink ref="I98" r:id="rId87" display="https://bugzilla.mozilla.org/show_bug.cgi?id=1752593" xr:uid="{00000000-0004-0000-0000-000056000000}"/>
    <hyperlink ref="I101" r:id="rId88" display="https://bugzilla.mozilla.org/show_bug.cgi?id=1697836" xr:uid="{00000000-0004-0000-0000-000057000000}"/>
    <hyperlink ref="I102" r:id="rId89" display="https://bugzilla.mozilla.org/show_bug.cgi?id=1747269" xr:uid="{00000000-0004-0000-0000-000058000000}"/>
    <hyperlink ref="I103" r:id="rId90" display="https://bugzilla.mozilla.org/show_bug.cgi?id=1616620" xr:uid="{00000000-0004-0000-0000-000059000000}"/>
    <hyperlink ref="I104" r:id="rId91" display="https://bugzilla.mozilla.org/show_bug.cgi?id=1747910" xr:uid="{00000000-0004-0000-0000-00005A000000}"/>
    <hyperlink ref="I106" r:id="rId92" display="https://bugzilla.mozilla.org/show_bug.cgi?id=1782313" xr:uid="{00000000-0004-0000-0000-00005B000000}"/>
    <hyperlink ref="I107" r:id="rId93" display="https://bugzilla.mozilla.org/show_bug.cgi?id=1696691" xr:uid="{00000000-0004-0000-0000-00005C000000}"/>
    <hyperlink ref="I108" r:id="rId94" display="https://bugzilla.mozilla.org/show_bug.cgi?id=1740481" xr:uid="{00000000-0004-0000-0000-00005D000000}"/>
    <hyperlink ref="I109" r:id="rId95" display="https://bugzilla.mozilla.org/show_bug.cgi?id=1596696" xr:uid="{00000000-0004-0000-0000-00005E000000}"/>
    <hyperlink ref="I110" r:id="rId96" display="https://bugzilla.mozilla.org/show_bug.cgi?id=1680757" xr:uid="{00000000-0004-0000-0000-00005F000000}"/>
    <hyperlink ref="I111" r:id="rId97" display="https://bugzilla.mozilla.org/show_bug.cgi?id=1803542" xr:uid="{00000000-0004-0000-0000-000060000000}"/>
    <hyperlink ref="I112" r:id="rId98" display="https://bugzilla.mozilla.org/show_bug.cgi?id=1577987" xr:uid="{00000000-0004-0000-0000-000061000000}"/>
    <hyperlink ref="I113" r:id="rId99" display="https://bugzilla.mozilla.org/show_bug.cgi?id=1715155" xr:uid="{00000000-0004-0000-0000-000062000000}"/>
    <hyperlink ref="I114" r:id="rId100" display="https://bugzilla.mozilla.org/show_bug.cgi?id=1770872" xr:uid="{00000000-0004-0000-0000-000063000000}"/>
    <hyperlink ref="I115" r:id="rId101" display="https://bugzilla.mozilla.org/show_bug.cgi?id=1668097" xr:uid="{00000000-0004-0000-0000-000064000000}"/>
    <hyperlink ref="I116" r:id="rId102" display="https://bugzilla.mozilla.org/show_bug.cgi?id=1540123" xr:uid="{00000000-0004-0000-0000-000065000000}"/>
    <hyperlink ref="I117" r:id="rId103" display="https://bugzilla.mozilla.org/show_bug.cgi?id=1789278" xr:uid="{00000000-0004-0000-0000-000066000000}"/>
    <hyperlink ref="I118" r:id="rId104" display="https://bugzilla.mozilla.org/show_bug.cgi?id=1678352" xr:uid="{00000000-0004-0000-0000-000067000000}"/>
    <hyperlink ref="I119" r:id="rId105" display="https://bugzilla.mozilla.org/show_bug.cgi?id=1598628" xr:uid="{00000000-0004-0000-0000-000068000000}"/>
    <hyperlink ref="I120" r:id="rId106" display="https://bugzilla.mozilla.org/show_bug.cgi?id=1572923" xr:uid="{00000000-0004-0000-0000-000069000000}"/>
    <hyperlink ref="I121" r:id="rId107" display="https://bugzilla.mozilla.org/show_bug.cgi?id=1751882" xr:uid="{00000000-0004-0000-0000-00006A000000}"/>
    <hyperlink ref="I122" r:id="rId108" display="https://bugzilla.mozilla.org/show_bug.cgi?id=1576447" xr:uid="{00000000-0004-0000-0000-00006B000000}"/>
    <hyperlink ref="I123" r:id="rId109" display="https://bugzilla.mozilla.org/show_bug.cgi?id=1692351" xr:uid="{00000000-0004-0000-0000-00006C000000}"/>
    <hyperlink ref="I124" r:id="rId110" display="https://bugzilla.mozilla.org/show_bug.cgi?id=1653135" xr:uid="{00000000-0004-0000-0000-00006D000000}"/>
    <hyperlink ref="I125" r:id="rId111" display="https://bugzilla.mozilla.org/show_bug.cgi?id=1717808" xr:uid="{00000000-0004-0000-0000-00006E000000}"/>
    <hyperlink ref="I126" r:id="rId112" display="https://bugzilla.mozilla.org/show_bug.cgi?id=1762725" xr:uid="{00000000-0004-0000-0000-00006F000000}"/>
    <hyperlink ref="I128" r:id="rId113" display="https://bugzilla.mozilla.org/show_bug.cgi?id=1666095" xr:uid="{00000000-0004-0000-0000-000070000000}"/>
    <hyperlink ref="I129" r:id="rId114" display="https://bugzilla.mozilla.org/show_bug.cgi?id=1729338" xr:uid="{00000000-0004-0000-0000-000071000000}"/>
    <hyperlink ref="I131" r:id="rId115" display="https://bugzilla.mozilla.org/show_bug.cgi?id=1663862" xr:uid="{00000000-0004-0000-0000-000072000000}"/>
    <hyperlink ref="I132" r:id="rId116" display="https://bugzilla.mozilla.org/show_bug.cgi?id=1642480" xr:uid="{00000000-0004-0000-0000-000073000000}"/>
    <hyperlink ref="I135" r:id="rId117" display="https://bugzilla.mozilla.org/show_bug.cgi?id=1731540" xr:uid="{00000000-0004-0000-0000-000074000000}"/>
    <hyperlink ref="I138" r:id="rId118" display="https://bugzilla.mozilla.org/show_bug.cgi?id=1584746" xr:uid="{00000000-0004-0000-0000-000075000000}"/>
    <hyperlink ref="I139" r:id="rId119" display="https://bugzilla.mozilla.org/show_bug.cgi?id=1663731" xr:uid="{00000000-0004-0000-0000-000076000000}"/>
    <hyperlink ref="I141" r:id="rId120" display="https://bugzilla.mozilla.org/show_bug.cgi?id=1768237" xr:uid="{00000000-0004-0000-0000-000077000000}"/>
    <hyperlink ref="I143" r:id="rId121" display="https://bugzilla.mozilla.org/show_bug.cgi?id=1569281" xr:uid="{00000000-0004-0000-0000-000078000000}"/>
    <hyperlink ref="I144" r:id="rId122" display="https://bugzilla.mozilla.org/show_bug.cgi?id=1603402" xr:uid="{00000000-0004-0000-0000-000079000000}"/>
    <hyperlink ref="I145" r:id="rId123" display="https://bugzilla.mozilla.org/show_bug.cgi?id=1788895" xr:uid="{00000000-0004-0000-0000-00007A000000}"/>
    <hyperlink ref="I147" r:id="rId124" display="https://bugzilla.mozilla.org/show_bug.cgi?id=1759281" xr:uid="{00000000-0004-0000-0000-00007B000000}"/>
    <hyperlink ref="I148" r:id="rId125" display="https://bugzilla.mozilla.org/show_bug.cgi?id=1708217" xr:uid="{00000000-0004-0000-0000-00007C000000}"/>
    <hyperlink ref="I149" r:id="rId126" display="https://bugzilla.mozilla.org/show_bug.cgi?id=1684497" xr:uid="{00000000-0004-0000-0000-00007D000000}"/>
    <hyperlink ref="I151" r:id="rId127" display="https://bugzilla.mozilla.org/show_bug.cgi?id=1726532" xr:uid="{00000000-0004-0000-0000-00007E000000}"/>
    <hyperlink ref="I153" r:id="rId128" display="https://bugzilla.mozilla.org/show_bug.cgi?id=1720512" xr:uid="{00000000-0004-0000-0000-00007F000000}"/>
    <hyperlink ref="I155" r:id="rId129" display="https://bugzilla.mozilla.org/show_bug.cgi?id=1618206" xr:uid="{00000000-0004-0000-0000-000080000000}"/>
    <hyperlink ref="I156" r:id="rId130" display="https://bugzilla.mozilla.org/show_bug.cgi?id=1709311" xr:uid="{00000000-0004-0000-0000-000081000000}"/>
    <hyperlink ref="I157" r:id="rId131" display="https://bugzilla.mozilla.org/show_bug.cgi?id=1681948" xr:uid="{00000000-0004-0000-0000-000082000000}"/>
    <hyperlink ref="I158" r:id="rId132" display="https://bugzilla.mozilla.org/show_bug.cgi?id=1555936" xr:uid="{00000000-0004-0000-0000-000083000000}"/>
    <hyperlink ref="I159" r:id="rId133" display="https://bugzilla.mozilla.org/show_bug.cgi?id=1625396" xr:uid="{00000000-0004-0000-0000-000084000000}"/>
    <hyperlink ref="I160" r:id="rId134" display="https://bugzilla.mozilla.org/show_bug.cgi?id=1560736" xr:uid="{00000000-0004-0000-0000-000085000000}"/>
    <hyperlink ref="I161" r:id="rId135" display="https://bugzilla.mozilla.org/show_bug.cgi?id=1617512" xr:uid="{00000000-0004-0000-0000-000086000000}"/>
    <hyperlink ref="I162" r:id="rId136" display="https://bugzilla.mozilla.org/show_bug.cgi?id=1580317" xr:uid="{00000000-0004-0000-0000-000087000000}"/>
    <hyperlink ref="I164" r:id="rId137" display="https://bugzilla.mozilla.org/show_bug.cgi?id=1737865" xr:uid="{00000000-0004-0000-0000-000088000000}"/>
    <hyperlink ref="I165" r:id="rId138" display="https://bugzilla.mozilla.org/show_bug.cgi?id=1562947" xr:uid="{00000000-0004-0000-0000-000089000000}"/>
    <hyperlink ref="I166" r:id="rId139" display="https://bugzilla.mozilla.org/show_bug.cgi?id=1758536" xr:uid="{00000000-0004-0000-0000-00008A000000}"/>
    <hyperlink ref="I167" r:id="rId140" display="https://bugzilla.mozilla.org/show_bug.cgi?id=1746814" xr:uid="{00000000-0004-0000-0000-00008B000000}"/>
    <hyperlink ref="I168" r:id="rId141" display="https://bugzilla.mozilla.org/show_bug.cgi?id=1632881" xr:uid="{00000000-0004-0000-0000-00008C000000}"/>
    <hyperlink ref="I170" r:id="rId142" display="https://bugzilla.mozilla.org/show_bug.cgi?id=1764435" xr:uid="{00000000-0004-0000-0000-00008D000000}"/>
    <hyperlink ref="I171" r:id="rId143" display="https://bugzilla.mozilla.org/show_bug.cgi?id=1572421" xr:uid="{00000000-0004-0000-0000-00008E000000}"/>
    <hyperlink ref="I172" r:id="rId144" display="https://bugzilla.mozilla.org/show_bug.cgi?id=1783610" xr:uid="{00000000-0004-0000-0000-00008F000000}"/>
    <hyperlink ref="I173" r:id="rId145" display="https://bugzilla.mozilla.org/show_bug.cgi?id=1624384" xr:uid="{00000000-0004-0000-0000-000090000000}"/>
    <hyperlink ref="I174" r:id="rId146" display="https://bugzilla.mozilla.org/show_bug.cgi?id=1782562" xr:uid="{00000000-0004-0000-0000-000091000000}"/>
    <hyperlink ref="I175" r:id="rId147" display="https://bugzilla.mozilla.org/show_bug.cgi?id=1641153" xr:uid="{00000000-0004-0000-0000-000092000000}"/>
    <hyperlink ref="I176" r:id="rId148" display="https://bugzilla.mozilla.org/show_bug.cgi?id=1641598" xr:uid="{00000000-0004-0000-0000-000093000000}"/>
    <hyperlink ref="I177" r:id="rId149" display="https://bugzilla.mozilla.org/show_bug.cgi?id=1733625" xr:uid="{00000000-0004-0000-0000-000094000000}"/>
    <hyperlink ref="I178" r:id="rId150" display="https://bugzilla.mozilla.org/show_bug.cgi?id=1743807" xr:uid="{00000000-0004-0000-0000-000095000000}"/>
    <hyperlink ref="I179" r:id="rId151" display="https://bugzilla.mozilla.org/show_bug.cgi?id=1728063" xr:uid="{00000000-0004-0000-0000-000096000000}"/>
    <hyperlink ref="I180" r:id="rId152" display="https://bugzilla.mozilla.org/show_bug.cgi?id=1547237" xr:uid="{00000000-0004-0000-0000-000097000000}"/>
    <hyperlink ref="I181" r:id="rId153" display="https://bugzilla.mozilla.org/show_bug.cgi?id=1793766" xr:uid="{00000000-0004-0000-0000-000098000000}"/>
    <hyperlink ref="I182" r:id="rId154" display="https://bugzilla.mozilla.org/show_bug.cgi?id=1759631" xr:uid="{00000000-0004-0000-0000-000099000000}"/>
    <hyperlink ref="I183" r:id="rId155" display="https://bugzilla.mozilla.org/show_bug.cgi?id=1647735" xr:uid="{00000000-0004-0000-0000-00009A000000}"/>
    <hyperlink ref="I184" r:id="rId156" display="https://bugzilla.mozilla.org/show_bug.cgi?id=1676417" xr:uid="{00000000-0004-0000-0000-00009B000000}"/>
    <hyperlink ref="I185" r:id="rId157" display="https://bugzilla.mozilla.org/show_bug.cgi?id=1755242" xr:uid="{00000000-0004-0000-0000-00009C000000}"/>
    <hyperlink ref="I186" r:id="rId158" display="https://bugzilla.mozilla.org/show_bug.cgi?id=1783959" xr:uid="{00000000-0004-0000-0000-00009D000000}"/>
    <hyperlink ref="I187" r:id="rId159" display="https://bugzilla.mozilla.org/show_bug.cgi?id=1686750" xr:uid="{00000000-0004-0000-0000-00009E000000}"/>
    <hyperlink ref="I188" r:id="rId160" display="https://bugzilla.mozilla.org/show_bug.cgi?id=1603512" xr:uid="{00000000-0004-0000-0000-00009F000000}"/>
    <hyperlink ref="I189" r:id="rId161" display="https://bugzilla.mozilla.org/show_bug.cgi?id=1772523" xr:uid="{00000000-0004-0000-0000-0000A0000000}"/>
    <hyperlink ref="I190" r:id="rId162" display="https://bugzilla.mozilla.org/show_bug.cgi?id=1578951" xr:uid="{00000000-0004-0000-0000-0000A1000000}"/>
    <hyperlink ref="I191" r:id="rId163" display="https://bugzilla.mozilla.org/show_bug.cgi?id=1719963" xr:uid="{00000000-0004-0000-0000-0000A2000000}"/>
    <hyperlink ref="I192" r:id="rId164" display="https://bugzilla.mozilla.org/show_bug.cgi?id=1640051" xr:uid="{00000000-0004-0000-0000-0000A3000000}"/>
    <hyperlink ref="I193" r:id="rId165" display="https://bugzilla.mozilla.org/show_bug.cgi?id=1777952" xr:uid="{00000000-0004-0000-0000-0000A4000000}"/>
    <hyperlink ref="I194" r:id="rId166" display="https://bugzilla.mozilla.org/show_bug.cgi?id=1749013" xr:uid="{00000000-0004-0000-0000-0000A5000000}"/>
    <hyperlink ref="I195" r:id="rId167" display="https://bugzilla.mozilla.org/show_bug.cgi?id=1673164" xr:uid="{00000000-0004-0000-0000-0000A6000000}"/>
    <hyperlink ref="I196" r:id="rId168" display="https://bugzilla.mozilla.org/show_bug.cgi?id=1685773" xr:uid="{00000000-0004-0000-0000-0000A7000000}"/>
    <hyperlink ref="I197" r:id="rId169" display="https://bugzilla.mozilla.org/show_bug.cgi?id=1764690" xr:uid="{00000000-0004-0000-0000-0000A8000000}"/>
    <hyperlink ref="I198" r:id="rId170" display="https://bugzilla.mozilla.org/show_bug.cgi?id=1673341" xr:uid="{00000000-0004-0000-0000-0000A9000000}"/>
    <hyperlink ref="I199" r:id="rId171" display="https://bugzilla.mozilla.org/show_bug.cgi?id=1717833" xr:uid="{00000000-0004-0000-0000-0000AA000000}"/>
    <hyperlink ref="I200" r:id="rId172" display="https://bugzilla.mozilla.org/show_bug.cgi?id=1631276" xr:uid="{00000000-0004-0000-0000-0000AB000000}"/>
    <hyperlink ref="I201" r:id="rId173" display="https://bugzilla.mozilla.org/show_bug.cgi?id=1707595" xr:uid="{00000000-0004-0000-0000-0000AC000000}"/>
    <hyperlink ref="I202" r:id="rId174" display="https://bugzilla.mozilla.org/show_bug.cgi?id=1703625" xr:uid="{00000000-0004-0000-0000-0000AD000000}"/>
    <hyperlink ref="I203" r:id="rId175" display="https://bugzilla.mozilla.org/show_bug.cgi?id=1635783" xr:uid="{00000000-0004-0000-0000-0000AE000000}"/>
    <hyperlink ref="I204" r:id="rId176" display="https://bugzilla.mozilla.org/show_bug.cgi?id=1637973" xr:uid="{00000000-0004-0000-0000-0000AF000000}"/>
    <hyperlink ref="I205" r:id="rId177" display="https://bugzilla.mozilla.org/show_bug.cgi?id=1673680" xr:uid="{00000000-0004-0000-0000-0000B0000000}"/>
    <hyperlink ref="I206" r:id="rId178" display="https://bugzilla.mozilla.org/show_bug.cgi?id=1651928" xr:uid="{00000000-0004-0000-0000-0000B1000000}"/>
    <hyperlink ref="I207" r:id="rId179" display="https://bugzilla.mozilla.org/show_bug.cgi?id=1570684" xr:uid="{00000000-0004-0000-0000-0000B2000000}"/>
    <hyperlink ref="I208" r:id="rId180" display="https://bugzilla.mozilla.org/show_bug.cgi?id=1668265" xr:uid="{00000000-0004-0000-0000-0000B3000000}"/>
    <hyperlink ref="I209" r:id="rId181" display="https://bugzilla.mozilla.org/show_bug.cgi?id=1733707" xr:uid="{00000000-0004-0000-0000-0000B4000000}"/>
    <hyperlink ref="I210" r:id="rId182" display="https://bugzilla.mozilla.org/show_bug.cgi?id=1645377" xr:uid="{00000000-0004-0000-0000-0000B5000000}"/>
    <hyperlink ref="I211" r:id="rId183" display="https://bugzilla.mozilla.org/show_bug.cgi?id=1772489" xr:uid="{00000000-0004-0000-0000-0000B6000000}"/>
    <hyperlink ref="I212" r:id="rId184" display="https://bugzilla.mozilla.org/show_bug.cgi?id=1570816" xr:uid="{00000000-0004-0000-0000-0000B7000000}"/>
    <hyperlink ref="I213" r:id="rId185" display="https://bugzilla.mozilla.org/show_bug.cgi?id=1578750" xr:uid="{00000000-0004-0000-0000-0000B8000000}"/>
    <hyperlink ref="I214" r:id="rId186" display="https://bugzilla.mozilla.org/show_bug.cgi?id=1570786" xr:uid="{00000000-0004-0000-0000-0000B9000000}"/>
    <hyperlink ref="I215" r:id="rId187" display="https://bugzilla.mozilla.org/show_bug.cgi?id=1605347" xr:uid="{00000000-0004-0000-0000-0000BA000000}"/>
    <hyperlink ref="I216" r:id="rId188" display="https://bugzilla.mozilla.org/show_bug.cgi?id=1661454" xr:uid="{00000000-0004-0000-0000-0000BB000000}"/>
    <hyperlink ref="I217" r:id="rId189" display="https://bugzilla.mozilla.org/show_bug.cgi?id=1560720" xr:uid="{00000000-0004-0000-0000-0000BC000000}"/>
    <hyperlink ref="I218" r:id="rId190" display="https://bugzilla.mozilla.org/show_bug.cgi?id=1556360" xr:uid="{00000000-0004-0000-0000-0000BD000000}"/>
    <hyperlink ref="I219" r:id="rId191" display="https://bugzilla.mozilla.org/show_bug.cgi?id=1691901" xr:uid="{00000000-0004-0000-0000-0000BE000000}"/>
    <hyperlink ref="I220" r:id="rId192" display="https://bugzilla.mozilla.org/show_bug.cgi?id=1596761" xr:uid="{00000000-0004-0000-0000-0000BF000000}"/>
    <hyperlink ref="I221" r:id="rId193" display="https://bugzilla.mozilla.org/show_bug.cgi?id=1669096" xr:uid="{00000000-0004-0000-0000-0000C0000000}"/>
    <hyperlink ref="I222" r:id="rId194" display="https://bugzilla.mozilla.org/show_bug.cgi?id=1637837" xr:uid="{00000000-0004-0000-0000-0000C1000000}"/>
    <hyperlink ref="I223" r:id="rId195" display="https://bugzilla.mozilla.org/show_bug.cgi?id=1708729" xr:uid="{00000000-0004-0000-0000-0000C2000000}"/>
    <hyperlink ref="I224" r:id="rId196" display="https://bugzilla.mozilla.org/show_bug.cgi?id=1585158" xr:uid="{00000000-0004-0000-0000-0000C3000000}"/>
    <hyperlink ref="I225" r:id="rId197" display="https://bugzilla.mozilla.org/show_bug.cgi?id=1723198" xr:uid="{00000000-0004-0000-0000-0000C4000000}"/>
    <hyperlink ref="I226" r:id="rId198" display="https://bugzilla.mozilla.org/show_bug.cgi?id=1701785" xr:uid="{00000000-0004-0000-0000-0000C5000000}"/>
    <hyperlink ref="I227" r:id="rId199" display="https://bugzilla.mozilla.org/show_bug.cgi?id=1674756" xr:uid="{00000000-0004-0000-0000-0000C6000000}"/>
    <hyperlink ref="I228" r:id="rId200" display="https://bugzilla.mozilla.org/show_bug.cgi?id=1607895" xr:uid="{00000000-0004-0000-0000-0000C7000000}"/>
    <hyperlink ref="I229" r:id="rId201" display="https://bugzilla.mozilla.org/show_bug.cgi?id=1685744" xr:uid="{00000000-0004-0000-0000-0000C8000000}"/>
    <hyperlink ref="I230" r:id="rId202" display="https://bugzilla.mozilla.org/show_bug.cgi?id=1664065" xr:uid="{00000000-0004-0000-0000-0000C9000000}"/>
    <hyperlink ref="I231" r:id="rId203" display="https://bugzilla.mozilla.org/show_bug.cgi?id=1635481" xr:uid="{00000000-0004-0000-0000-0000CA000000}"/>
    <hyperlink ref="I232" r:id="rId204" display="https://bugzilla.mozilla.org/show_bug.cgi?id=1582963" xr:uid="{00000000-0004-0000-0000-0000CB000000}"/>
    <hyperlink ref="I233" r:id="rId205" display="https://bugzilla.mozilla.org/show_bug.cgi?id=1587794" xr:uid="{00000000-0004-0000-0000-0000CC000000}"/>
    <hyperlink ref="I234" r:id="rId206" display="https://bugzilla.mozilla.org/show_bug.cgi?id=1710598" xr:uid="{00000000-0004-0000-0000-0000CD000000}"/>
    <hyperlink ref="I235" r:id="rId207" display="https://bugzilla.mozilla.org/show_bug.cgi?id=1800323" xr:uid="{00000000-0004-0000-0000-0000CE000000}"/>
    <hyperlink ref="I236" r:id="rId208" display="https://bugzilla.mozilla.org/show_bug.cgi?id=1581934" xr:uid="{00000000-0004-0000-0000-0000CF000000}"/>
    <hyperlink ref="I237" r:id="rId209" display="https://bugzilla.mozilla.org/show_bug.cgi?id=1637564" xr:uid="{00000000-0004-0000-0000-0000D0000000}"/>
    <hyperlink ref="I238" r:id="rId210" display="https://bugzilla.mozilla.org/show_bug.cgi?id=1600445" xr:uid="{00000000-0004-0000-0000-0000D1000000}"/>
    <hyperlink ref="I239" r:id="rId211" display="https://bugzilla.mozilla.org/show_bug.cgi?id=1541660" xr:uid="{00000000-0004-0000-0000-0000D2000000}"/>
    <hyperlink ref="I240" r:id="rId212" display="https://bugzilla.mozilla.org/show_bug.cgi?id=1733957" xr:uid="{00000000-0004-0000-0000-0000D3000000}"/>
    <hyperlink ref="I241" r:id="rId213" display="https://bugzilla.mozilla.org/show_bug.cgi?id=1564241" xr:uid="{00000000-0004-0000-0000-0000D4000000}"/>
    <hyperlink ref="I242" r:id="rId214" display="https://bugzilla.mozilla.org/show_bug.cgi?id=1682919" xr:uid="{00000000-0004-0000-0000-0000D5000000}"/>
    <hyperlink ref="I243" r:id="rId215" display="https://bugzilla.mozilla.org/show_bug.cgi?id=1668706" xr:uid="{00000000-0004-0000-0000-0000D6000000}"/>
    <hyperlink ref="I244" r:id="rId216" display="https://bugzilla.mozilla.org/show_bug.cgi?id=1586603" xr:uid="{00000000-0004-0000-0000-0000D7000000}"/>
    <hyperlink ref="I245" r:id="rId217" display="https://bugzilla.mozilla.org/show_bug.cgi?id=1601905" xr:uid="{00000000-0004-0000-0000-0000D8000000}"/>
    <hyperlink ref="I246" r:id="rId218" display="https://bugzilla.mozilla.org/show_bug.cgi?id=1761691" xr:uid="{00000000-0004-0000-0000-0000D9000000}"/>
    <hyperlink ref="I247" r:id="rId219" display="https://bugzilla.mozilla.org/show_bug.cgi?id=1755006" xr:uid="{00000000-0004-0000-0000-0000DA000000}"/>
    <hyperlink ref="I248" r:id="rId220" display="https://bugzilla.mozilla.org/show_bug.cgi?id=1641510" xr:uid="{00000000-0004-0000-0000-0000DB000000}"/>
    <hyperlink ref="I249" r:id="rId221" display="https://bugzilla.mozilla.org/show_bug.cgi?id=1640906" xr:uid="{00000000-0004-0000-0000-0000DC000000}"/>
    <hyperlink ref="I250" r:id="rId222" display="https://bugzilla.mozilla.org/show_bug.cgi?id=1648577" xr:uid="{00000000-0004-0000-0000-0000DD000000}"/>
    <hyperlink ref="I251" r:id="rId223" display="https://bugzilla.mozilla.org/show_bug.cgi?id=1652232" xr:uid="{00000000-0004-0000-0000-0000DE000000}"/>
    <hyperlink ref="I252" r:id="rId224" display="https://bugzilla.mozilla.org/show_bug.cgi?id=1688999" xr:uid="{00000000-0004-0000-0000-0000DF000000}"/>
    <hyperlink ref="I253" r:id="rId225" display="https://bugzilla.mozilla.org/show_bug.cgi?id=1565370" xr:uid="{00000000-0004-0000-0000-0000E0000000}"/>
    <hyperlink ref="I254" r:id="rId226" display="https://bugzilla.mozilla.org/show_bug.cgi?id=1595284" xr:uid="{00000000-0004-0000-0000-0000E1000000}"/>
    <hyperlink ref="I255" r:id="rId227" display="https://bugzilla.mozilla.org/show_bug.cgi?id=1655544" xr:uid="{00000000-0004-0000-0000-0000E2000000}"/>
    <hyperlink ref="I256" r:id="rId228" display="https://bugzilla.mozilla.org/show_bug.cgi?id=1719391" xr:uid="{00000000-0004-0000-0000-0000E3000000}"/>
    <hyperlink ref="I257" r:id="rId229" display="https://bugzilla.mozilla.org/show_bug.cgi?id=1749500" xr:uid="{00000000-0004-0000-0000-0000E4000000}"/>
    <hyperlink ref="I258" r:id="rId230" display="https://bugzilla.mozilla.org/show_bug.cgi?id=1719189" xr:uid="{00000000-0004-0000-0000-0000E5000000}"/>
    <hyperlink ref="I259" r:id="rId231" display="https://bugzilla.mozilla.org/show_bug.cgi?id=1658550" xr:uid="{00000000-0004-0000-0000-0000E6000000}"/>
    <hyperlink ref="I260" r:id="rId232" display="https://bugzilla.mozilla.org/show_bug.cgi?id=1747941" xr:uid="{00000000-0004-0000-0000-0000E7000000}"/>
    <hyperlink ref="I261" r:id="rId233" display="https://bugzilla.mozilla.org/show_bug.cgi?id=1721838" xr:uid="{00000000-0004-0000-0000-0000E8000000}"/>
    <hyperlink ref="I262" r:id="rId234" display="https://bugzilla.mozilla.org/show_bug.cgi?id=1639886" xr:uid="{00000000-0004-0000-0000-0000E9000000}"/>
    <hyperlink ref="I263" r:id="rId235" display="https://bugzilla.mozilla.org/show_bug.cgi?id=1611133" xr:uid="{00000000-0004-0000-0000-0000EA000000}"/>
    <hyperlink ref="I264" r:id="rId236" display="https://bugzilla.mozilla.org/show_bug.cgi?id=1567161" xr:uid="{00000000-0004-0000-0000-0000EB000000}"/>
    <hyperlink ref="I265" r:id="rId237" display="https://bugzilla.mozilla.org/show_bug.cgi?id=1642863" xr:uid="{00000000-0004-0000-0000-0000EC000000}"/>
    <hyperlink ref="I266" r:id="rId238" display="https://bugzilla.mozilla.org/show_bug.cgi?id=1593995" xr:uid="{00000000-0004-0000-0000-0000ED000000}"/>
    <hyperlink ref="I269" r:id="rId239" display="https://bugzilla.mozilla.org/show_bug.cgi?id=1709130" xr:uid="{00000000-0004-0000-0000-0000EE000000}"/>
    <hyperlink ref="I270" r:id="rId240" display="https://bugzilla.mozilla.org/show_bug.cgi?id=1673530" xr:uid="{00000000-0004-0000-0000-0000EF000000}"/>
    <hyperlink ref="I272" r:id="rId241" display="https://bugzilla.mozilla.org/show_bug.cgi?id=1595425" xr:uid="{00000000-0004-0000-0000-0000F0000000}"/>
    <hyperlink ref="I275" r:id="rId242" display="https://bugzilla.mozilla.org/show_bug.cgi?id=1698640" xr:uid="{00000000-0004-0000-0000-0000F1000000}"/>
    <hyperlink ref="I276" r:id="rId243" display="https://bugzilla.mozilla.org/show_bug.cgi?id=1545256" xr:uid="{00000000-0004-0000-0000-0000F2000000}"/>
    <hyperlink ref="I278" r:id="rId244" display="https://bugzilla.mozilla.org/show_bug.cgi?id=1589089" xr:uid="{00000000-0004-0000-0000-0000F3000000}"/>
    <hyperlink ref="I279" r:id="rId245" display="https://bugzilla.mozilla.org/show_bug.cgi?id=1591577" xr:uid="{00000000-0004-0000-0000-0000F4000000}"/>
    <hyperlink ref="I280" r:id="rId246" display="https://bugzilla.mozilla.org/show_bug.cgi?id=1798519" xr:uid="{00000000-0004-0000-0000-0000F5000000}"/>
    <hyperlink ref="I281" r:id="rId247" display="https://bugzilla.mozilla.org/show_bug.cgi?id=1712084" xr:uid="{00000000-0004-0000-0000-0000F6000000}"/>
    <hyperlink ref="I282" r:id="rId248" display="https://bugzilla.mozilla.org/show_bug.cgi?id=1567210" xr:uid="{00000000-0004-0000-0000-0000F7000000}"/>
    <hyperlink ref="I283" r:id="rId249" display="https://bugzilla.mozilla.org/show_bug.cgi?id=1575253" xr:uid="{00000000-0004-0000-0000-0000F8000000}"/>
    <hyperlink ref="I284" r:id="rId250" display="https://bugzilla.mozilla.org/show_bug.cgi?id=1806780" xr:uid="{00000000-0004-0000-0000-0000F9000000}"/>
    <hyperlink ref="I285" r:id="rId251" display="https://bugzilla.mozilla.org/show_bug.cgi?id=1561327" xr:uid="{00000000-0004-0000-0000-0000FA000000}"/>
    <hyperlink ref="I286" r:id="rId252" display="https://bugzilla.mozilla.org/show_bug.cgi?id=1747196" xr:uid="{00000000-0004-0000-0000-0000FB000000}"/>
    <hyperlink ref="I287" r:id="rId253" display="https://bugzilla.mozilla.org/show_bug.cgi?id=1762302" xr:uid="{00000000-0004-0000-0000-0000FC000000}"/>
    <hyperlink ref="I288" r:id="rId254" display="https://bugzilla.mozilla.org/show_bug.cgi?id=1733279" xr:uid="{00000000-0004-0000-0000-0000FD000000}"/>
    <hyperlink ref="I289" r:id="rId255" display="https://bugzilla.mozilla.org/show_bug.cgi?id=1656027" xr:uid="{00000000-0004-0000-0000-0000FE000000}"/>
    <hyperlink ref="I290" r:id="rId256" display="https://bugzilla.mozilla.org/show_bug.cgi?id=1655973" xr:uid="{00000000-0004-0000-0000-0000FF000000}"/>
    <hyperlink ref="I291" r:id="rId257" display="https://bugzilla.mozilla.org/show_bug.cgi?id=1569131" xr:uid="{00000000-0004-0000-0000-000000010000}"/>
    <hyperlink ref="I292" r:id="rId258" display="https://bugzilla.mozilla.org/show_bug.cgi?id=1570594" xr:uid="{00000000-0004-0000-0000-000001010000}"/>
    <hyperlink ref="I293" r:id="rId259" display="https://bugzilla.mozilla.org/show_bug.cgi?id=1661628" xr:uid="{00000000-0004-0000-0000-000002010000}"/>
    <hyperlink ref="I295" r:id="rId260" display="https://bugzilla.mozilla.org/show_bug.cgi?id=1661920" xr:uid="{00000000-0004-0000-0000-000003010000}"/>
    <hyperlink ref="I296" r:id="rId261" display="https://bugzilla.mozilla.org/show_bug.cgi?id=1661173" xr:uid="{00000000-0004-0000-0000-000004010000}"/>
    <hyperlink ref="I297" r:id="rId262" display="https://bugzilla.mozilla.org/show_bug.cgi?id=1609466" xr:uid="{00000000-0004-0000-0000-000005010000}"/>
    <hyperlink ref="I298" r:id="rId263" display="https://bugzilla.mozilla.org/show_bug.cgi?id=1784462" xr:uid="{00000000-0004-0000-0000-000006010000}"/>
    <hyperlink ref="I299" r:id="rId264" display="https://bugzilla.mozilla.org/show_bug.cgi?id=1608584" xr:uid="{00000000-0004-0000-0000-000007010000}"/>
    <hyperlink ref="I300" r:id="rId265" display="https://bugzilla.mozilla.org/show_bug.cgi?id=1722422" xr:uid="{00000000-0004-0000-0000-000008010000}"/>
    <hyperlink ref="I301" r:id="rId266" display="https://bugzilla.mozilla.org/show_bug.cgi?id=1799540" xr:uid="{00000000-0004-0000-0000-000009010000}"/>
    <hyperlink ref="I302" r:id="rId267" display="https://bugzilla.mozilla.org/show_bug.cgi?id=1771650" xr:uid="{00000000-0004-0000-0000-00000A010000}"/>
    <hyperlink ref="I303" r:id="rId268" display="https://bugzilla.mozilla.org/show_bug.cgi?id=1742603" xr:uid="{00000000-0004-0000-0000-00000B010000}"/>
    <hyperlink ref="I305" r:id="rId269" display="https://bugzilla.mozilla.org/show_bug.cgi?id=1695725" xr:uid="{00000000-0004-0000-0000-00000C010000}"/>
    <hyperlink ref="I306" r:id="rId270" display="https://bugzilla.mozilla.org/show_bug.cgi?id=1798587" xr:uid="{00000000-0004-0000-0000-00000D010000}"/>
    <hyperlink ref="I307" r:id="rId271" display="https://bugzilla.mozilla.org/show_bug.cgi?id=1730341" xr:uid="{00000000-0004-0000-0000-00000E010000}"/>
    <hyperlink ref="I308" r:id="rId272" display="https://bugzilla.mozilla.org/show_bug.cgi?id=1565839" xr:uid="{00000000-0004-0000-0000-00000F010000}"/>
    <hyperlink ref="I309" r:id="rId273" display="https://bugzilla.mozilla.org/show_bug.cgi?id=1726537" xr:uid="{00000000-0004-0000-0000-000010010000}"/>
    <hyperlink ref="I310" r:id="rId274" display="https://bugzilla.mozilla.org/show_bug.cgi?id=1659717" xr:uid="{00000000-0004-0000-0000-000011010000}"/>
    <hyperlink ref="I311" r:id="rId275" display="https://bugzilla.mozilla.org/show_bug.cgi?id=1768475" xr:uid="{00000000-0004-0000-0000-000012010000}"/>
    <hyperlink ref="I312" r:id="rId276" display="https://bugzilla.mozilla.org/show_bug.cgi?id=1613482" xr:uid="{00000000-0004-0000-0000-000013010000}"/>
    <hyperlink ref="I313" r:id="rId277" display="https://bugzilla.mozilla.org/show_bug.cgi?id=1704660" xr:uid="{00000000-0004-0000-0000-000014010000}"/>
    <hyperlink ref="I314" r:id="rId278" display="https://bugzilla.mozilla.org/show_bug.cgi?id=1799704" xr:uid="{00000000-0004-0000-0000-000015010000}"/>
    <hyperlink ref="I315" r:id="rId279" display="https://bugzilla.mozilla.org/show_bug.cgi?id=1669554" xr:uid="{00000000-0004-0000-0000-000016010000}"/>
    <hyperlink ref="I316" r:id="rId280" display="https://bugzilla.mozilla.org/show_bug.cgi?id=1667942" xr:uid="{00000000-0004-0000-0000-000017010000}"/>
    <hyperlink ref="I317" r:id="rId281" display="https://bugzilla.mozilla.org/show_bug.cgi?id=1747839" xr:uid="{00000000-0004-0000-0000-000018010000}"/>
    <hyperlink ref="I318" r:id="rId282" display="https://bugzilla.mozilla.org/show_bug.cgi?id=1593979" xr:uid="{00000000-0004-0000-0000-000019010000}"/>
    <hyperlink ref="I319" r:id="rId283" display="https://bugzilla.mozilla.org/show_bug.cgi?id=1703592" xr:uid="{00000000-0004-0000-0000-00001A010000}"/>
    <hyperlink ref="I320" r:id="rId284" display="https://bugzilla.mozilla.org/show_bug.cgi?id=1618555" xr:uid="{00000000-0004-0000-0000-00001B010000}"/>
    <hyperlink ref="I321" r:id="rId285" display="https://bugzilla.mozilla.org/show_bug.cgi?id=1568806" xr:uid="{00000000-0004-0000-0000-00001C010000}"/>
    <hyperlink ref="I322" r:id="rId286" display="https://bugzilla.mozilla.org/show_bug.cgi?id=1754126" xr:uid="{00000000-0004-0000-0000-00001D010000}"/>
    <hyperlink ref="I323" r:id="rId287" display="https://bugzilla.mozilla.org/show_bug.cgi?id=1552964" xr:uid="{00000000-0004-0000-0000-00001E010000}"/>
    <hyperlink ref="I324" r:id="rId288" display="https://bugzilla.mozilla.org/show_bug.cgi?id=1546022" xr:uid="{00000000-0004-0000-0000-00001F010000}"/>
    <hyperlink ref="I325" r:id="rId289" display="https://bugzilla.mozilla.org/show_bug.cgi?id=1638297" xr:uid="{00000000-0004-0000-0000-000020010000}"/>
    <hyperlink ref="I326" r:id="rId290" display="https://bugzilla.mozilla.org/show_bug.cgi?id=1641577" xr:uid="{00000000-0004-0000-0000-000021010000}"/>
    <hyperlink ref="I327" r:id="rId291" display="https://bugzilla.mozilla.org/show_bug.cgi?id=1552193" xr:uid="{00000000-0004-0000-0000-000022010000}"/>
    <hyperlink ref="I328" r:id="rId292" display="https://bugzilla.mozilla.org/show_bug.cgi?id=1692083" xr:uid="{00000000-0004-0000-0000-000023010000}"/>
    <hyperlink ref="I329" r:id="rId293" display="https://bugzilla.mozilla.org/show_bug.cgi?id=1539414" xr:uid="{00000000-0004-0000-0000-000024010000}"/>
    <hyperlink ref="I330" r:id="rId294" display="https://bugzilla.mozilla.org/show_bug.cgi?id=1631838" xr:uid="{00000000-0004-0000-0000-000025010000}"/>
    <hyperlink ref="I331" r:id="rId295" display="https://bugzilla.mozilla.org/show_bug.cgi?id=1625749" xr:uid="{00000000-0004-0000-0000-000026010000}"/>
    <hyperlink ref="I332" r:id="rId296" display="https://bugzilla.mozilla.org/show_bug.cgi?id=1776184" xr:uid="{00000000-0004-0000-0000-000027010000}"/>
    <hyperlink ref="I333" r:id="rId297" display="https://bugzilla.mozilla.org/show_bug.cgi?id=1722960" xr:uid="{00000000-0004-0000-0000-000028010000}"/>
    <hyperlink ref="I334" r:id="rId298" display="https://bugzilla.mozilla.org/show_bug.cgi?id=1642506" xr:uid="{00000000-0004-0000-0000-000029010000}"/>
    <hyperlink ref="I335" r:id="rId299" display="https://bugzilla.mozilla.org/show_bug.cgi?id=1622444" xr:uid="{00000000-0004-0000-0000-00002A010000}"/>
    <hyperlink ref="I336" r:id="rId300" display="https://bugzilla.mozilla.org/show_bug.cgi?id=1665447" xr:uid="{00000000-0004-0000-0000-00002B010000}"/>
    <hyperlink ref="I337" r:id="rId301" display="https://bugzilla.mozilla.org/show_bug.cgi?id=1579437" xr:uid="{00000000-0004-0000-0000-00002C010000}"/>
    <hyperlink ref="I338" r:id="rId302" display="https://bugzilla.mozilla.org/show_bug.cgi?id=1633430" xr:uid="{00000000-0004-0000-0000-00002D010000}"/>
    <hyperlink ref="I339" r:id="rId303" display="https://bugzilla.mozilla.org/show_bug.cgi?id=1719567" xr:uid="{00000000-0004-0000-0000-00002E010000}"/>
    <hyperlink ref="I340" r:id="rId304" display="https://bugzilla.mozilla.org/show_bug.cgi?id=1772359" xr:uid="{00000000-0004-0000-0000-00002F010000}"/>
    <hyperlink ref="I341" r:id="rId305" display="https://bugzilla.mozilla.org/show_bug.cgi?id=1556812" xr:uid="{00000000-0004-0000-0000-000030010000}"/>
    <hyperlink ref="I342" r:id="rId306" display="https://bugzilla.mozilla.org/show_bug.cgi?id=1745730" xr:uid="{00000000-0004-0000-0000-000031010000}"/>
    <hyperlink ref="I343" r:id="rId307" display="https://bugzilla.mozilla.org/show_bug.cgi?id=1570926" xr:uid="{00000000-0004-0000-0000-000032010000}"/>
    <hyperlink ref="I344" r:id="rId308" display="https://bugzilla.mozilla.org/show_bug.cgi?id=1802298" xr:uid="{00000000-0004-0000-0000-000033010000}"/>
    <hyperlink ref="I345" r:id="rId309" display="https://bugzilla.mozilla.org/show_bug.cgi?id=1709887" xr:uid="{00000000-0004-0000-0000-000034010000}"/>
    <hyperlink ref="I346" r:id="rId310" display="https://bugzilla.mozilla.org/show_bug.cgi?id=1738793" xr:uid="{00000000-0004-0000-0000-000035010000}"/>
    <hyperlink ref="I347" r:id="rId311" display="https://bugzilla.mozilla.org/show_bug.cgi?id=1752954" xr:uid="{00000000-0004-0000-0000-000036010000}"/>
    <hyperlink ref="I348" r:id="rId312" display="https://bugzilla.mozilla.org/show_bug.cgi?id=1664632" xr:uid="{00000000-0004-0000-0000-000037010000}"/>
    <hyperlink ref="I349" r:id="rId313" display="https://bugzilla.mozilla.org/show_bug.cgi?id=1638806" xr:uid="{00000000-0004-0000-0000-000038010000}"/>
    <hyperlink ref="I350" r:id="rId314" display="https://bugzilla.mozilla.org/show_bug.cgi?id=1743162" xr:uid="{00000000-0004-0000-0000-000039010000}"/>
    <hyperlink ref="I351" r:id="rId315" display="https://bugzilla.mozilla.org/show_bug.cgi?id=1764535" xr:uid="{00000000-0004-0000-0000-00003A010000}"/>
    <hyperlink ref="I352" r:id="rId316" display="https://bugzilla.mozilla.org/show_bug.cgi?id=1529220" xr:uid="{00000000-0004-0000-0000-00003B010000}"/>
    <hyperlink ref="I353" r:id="rId317" display="https://bugzilla.mozilla.org/show_bug.cgi?id=1740116" xr:uid="{00000000-0004-0000-0000-00003C010000}"/>
    <hyperlink ref="I354" r:id="rId318" display="https://bugzilla.mozilla.org/show_bug.cgi?id=1793686" xr:uid="{00000000-0004-0000-0000-00003D010000}"/>
    <hyperlink ref="I355" r:id="rId319" display="https://bugzilla.mozilla.org/show_bug.cgi?id=1606935" xr:uid="{00000000-0004-0000-0000-00003E010000}"/>
    <hyperlink ref="I356" r:id="rId320" display="https://bugzilla.mozilla.org/show_bug.cgi?id=1659729" xr:uid="{00000000-0004-0000-0000-00003F010000}"/>
    <hyperlink ref="I357" r:id="rId321" display="https://bugzilla.mozilla.org/show_bug.cgi?id=1744027" xr:uid="{00000000-0004-0000-0000-000040010000}"/>
    <hyperlink ref="I358" r:id="rId322" display="https://bugzilla.mozilla.org/show_bug.cgi?id=1630095" xr:uid="{00000000-0004-0000-0000-000041010000}"/>
    <hyperlink ref="I359" r:id="rId323" display="https://bugzilla.mozilla.org/show_bug.cgi?id=1538246" xr:uid="{00000000-0004-0000-0000-000042010000}"/>
    <hyperlink ref="I360" r:id="rId324" display="https://bugzilla.mozilla.org/show_bug.cgi?id=1662483" xr:uid="{00000000-0004-0000-0000-000043010000}"/>
    <hyperlink ref="I361" r:id="rId325" display="https://bugzilla.mozilla.org/show_bug.cgi?id=1686938" xr:uid="{00000000-0004-0000-0000-000044010000}"/>
    <hyperlink ref="I362" r:id="rId326" display="https://bugzilla.mozilla.org/show_bug.cgi?id=1582733" xr:uid="{00000000-0004-0000-0000-000045010000}"/>
    <hyperlink ref="I363" r:id="rId327" display="https://bugzilla.mozilla.org/show_bug.cgi?id=1560323" xr:uid="{00000000-0004-0000-0000-000046010000}"/>
    <hyperlink ref="I364" r:id="rId328" display="https://bugzilla.mozilla.org/show_bug.cgi?id=1768961" xr:uid="{00000000-0004-0000-0000-000047010000}"/>
    <hyperlink ref="I365" r:id="rId329" display="https://bugzilla.mozilla.org/show_bug.cgi?id=1623940" xr:uid="{00000000-0004-0000-0000-000048010000}"/>
    <hyperlink ref="I366" r:id="rId330" display="https://bugzilla.mozilla.org/show_bug.cgi?id=1712214" xr:uid="{00000000-0004-0000-0000-000049010000}"/>
    <hyperlink ref="I367" r:id="rId331" display="https://bugzilla.mozilla.org/show_bug.cgi?id=1763343" xr:uid="{00000000-0004-0000-0000-00004A010000}"/>
    <hyperlink ref="I368" r:id="rId332" display="https://bugzilla.mozilla.org/show_bug.cgi?id=1606617" xr:uid="{00000000-0004-0000-0000-00004B010000}"/>
    <hyperlink ref="I369" r:id="rId333" display="https://bugzilla.mozilla.org/show_bug.cgi?id=1659369" xr:uid="{00000000-0004-0000-0000-00004C010000}"/>
    <hyperlink ref="I370" r:id="rId334" display="https://bugzilla.mozilla.org/show_bug.cgi?id=1628399" xr:uid="{00000000-0004-0000-0000-00004D01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00"/>
  <sheetViews>
    <sheetView workbookViewId="0"/>
  </sheetViews>
  <sheetFormatPr baseColWidth="10" defaultColWidth="12.6640625" defaultRowHeight="15.75" customHeight="1"/>
  <cols>
    <col min="1" max="2" width="36.33203125" customWidth="1"/>
    <col min="9" max="9" width="15.5" customWidth="1"/>
  </cols>
  <sheetData>
    <row r="1" spans="1:27" ht="15.75" customHeight="1">
      <c r="C1" s="6" t="s">
        <v>2</v>
      </c>
      <c r="D1" s="6" t="s">
        <v>3</v>
      </c>
      <c r="E1" s="6" t="s">
        <v>4</v>
      </c>
      <c r="F1" s="6" t="s">
        <v>1</v>
      </c>
      <c r="J1" s="6" t="s">
        <v>2</v>
      </c>
      <c r="K1" s="6" t="s">
        <v>3</v>
      </c>
      <c r="L1" s="6" t="s">
        <v>4</v>
      </c>
      <c r="M1" s="6" t="s">
        <v>1</v>
      </c>
    </row>
    <row r="2" spans="1:27" ht="15.75" customHeight="1">
      <c r="A2" s="7" t="s">
        <v>5</v>
      </c>
      <c r="B2" s="7" t="s">
        <v>6</v>
      </c>
      <c r="C2" s="6">
        <v>1</v>
      </c>
      <c r="D2" s="6">
        <v>1</v>
      </c>
      <c r="E2" s="6">
        <v>1</v>
      </c>
      <c r="F2" s="6"/>
      <c r="I2" s="7" t="s">
        <v>6</v>
      </c>
      <c r="J2" s="7">
        <f t="shared" ref="J2:M2" si="0">SUM(C2,C14,C15,C34)</f>
        <v>2</v>
      </c>
      <c r="K2" s="7">
        <f t="shared" si="0"/>
        <v>7</v>
      </c>
      <c r="L2" s="7">
        <f t="shared" si="0"/>
        <v>3</v>
      </c>
      <c r="M2" s="7">
        <f t="shared" si="0"/>
        <v>7</v>
      </c>
    </row>
    <row r="3" spans="1:27" ht="15.75" customHeight="1">
      <c r="B3" s="7" t="s">
        <v>7</v>
      </c>
      <c r="C3" s="6"/>
      <c r="D3" s="6">
        <v>1</v>
      </c>
      <c r="E3" s="6"/>
      <c r="F3" s="6">
        <v>1</v>
      </c>
      <c r="I3" s="7" t="s">
        <v>7</v>
      </c>
      <c r="J3" s="7">
        <f t="shared" ref="J3:M3" si="1">SUM(C3,C16,C35,C52)</f>
        <v>0</v>
      </c>
      <c r="K3" s="7">
        <f t="shared" si="1"/>
        <v>9</v>
      </c>
      <c r="L3" s="7">
        <f t="shared" si="1"/>
        <v>3</v>
      </c>
      <c r="M3" s="7">
        <f t="shared" si="1"/>
        <v>5</v>
      </c>
    </row>
    <row r="4" spans="1:27" ht="15.75" customHeight="1">
      <c r="B4" s="7" t="s">
        <v>8</v>
      </c>
      <c r="C4" s="6">
        <v>13</v>
      </c>
      <c r="D4" s="6">
        <v>7</v>
      </c>
      <c r="E4" s="6">
        <v>49</v>
      </c>
      <c r="F4" s="6">
        <v>14</v>
      </c>
    </row>
    <row r="5" spans="1:27" ht="15.75" customHeight="1">
      <c r="B5" s="7" t="s">
        <v>9</v>
      </c>
      <c r="C5" s="6">
        <v>1</v>
      </c>
      <c r="D5" s="6"/>
      <c r="E5" s="6"/>
      <c r="F5" s="6"/>
    </row>
    <row r="6" spans="1:27" ht="15.75" customHeight="1">
      <c r="B6" s="7" t="s">
        <v>10</v>
      </c>
      <c r="C6" s="6">
        <v>2</v>
      </c>
      <c r="D6" s="6"/>
      <c r="E6" s="6">
        <v>6</v>
      </c>
      <c r="F6" s="6"/>
    </row>
    <row r="7" spans="1:27" ht="15.75" customHeight="1">
      <c r="B7" s="7" t="s">
        <v>11</v>
      </c>
      <c r="C7" s="6"/>
      <c r="D7" s="6"/>
      <c r="E7" s="6">
        <v>1</v>
      </c>
      <c r="F7" s="6"/>
    </row>
    <row r="8" spans="1:27" ht="15.75" customHeight="1">
      <c r="B8" s="7" t="s">
        <v>12</v>
      </c>
      <c r="C8" s="6">
        <v>1</v>
      </c>
      <c r="D8" s="6">
        <v>1</v>
      </c>
      <c r="E8" s="6">
        <v>2</v>
      </c>
      <c r="F8" s="6">
        <v>23</v>
      </c>
    </row>
    <row r="9" spans="1:27" ht="15.75" customHeight="1">
      <c r="B9" s="7" t="s">
        <v>13</v>
      </c>
      <c r="C9" s="6"/>
      <c r="D9" s="6"/>
      <c r="E9" s="6"/>
      <c r="F9" s="6">
        <v>6</v>
      </c>
    </row>
    <row r="10" spans="1:27" ht="15.75" customHeight="1">
      <c r="B10" s="7" t="s">
        <v>14</v>
      </c>
      <c r="C10" s="6"/>
      <c r="D10" s="6"/>
      <c r="E10" s="6"/>
      <c r="F10" s="6">
        <v>1</v>
      </c>
    </row>
    <row r="11" spans="1:27" ht="15.75" customHeight="1">
      <c r="B11" s="7" t="s">
        <v>15</v>
      </c>
      <c r="C11" s="6">
        <v>3</v>
      </c>
      <c r="D11" s="6">
        <v>1</v>
      </c>
      <c r="E11" s="6">
        <v>3</v>
      </c>
      <c r="F11" s="6">
        <v>9</v>
      </c>
    </row>
    <row r="12" spans="1:27" ht="15.75" customHeight="1">
      <c r="B12" s="7" t="s">
        <v>16</v>
      </c>
      <c r="C12" s="6">
        <v>16</v>
      </c>
      <c r="D12" s="6">
        <v>37</v>
      </c>
      <c r="E12" s="6">
        <v>111</v>
      </c>
      <c r="F12" s="6">
        <v>57</v>
      </c>
    </row>
    <row r="13" spans="1:27" ht="15.75" customHeight="1">
      <c r="A13" s="8"/>
      <c r="B13" s="8"/>
      <c r="C13" s="9"/>
      <c r="D13" s="9"/>
      <c r="E13" s="9"/>
      <c r="F13" s="9"/>
      <c r="G13" s="8"/>
      <c r="H13" s="8"/>
      <c r="I13" s="8"/>
      <c r="J13" s="8"/>
      <c r="K13" s="8"/>
      <c r="L13" s="8"/>
      <c r="M13" s="8"/>
      <c r="N13" s="8"/>
      <c r="O13" s="8"/>
      <c r="P13" s="8"/>
      <c r="Q13" s="8"/>
      <c r="R13" s="8"/>
      <c r="S13" s="8"/>
      <c r="T13" s="8"/>
      <c r="U13" s="8"/>
      <c r="V13" s="8"/>
      <c r="W13" s="8"/>
      <c r="X13" s="8"/>
      <c r="Y13" s="8"/>
      <c r="Z13" s="8"/>
      <c r="AA13" s="8"/>
    </row>
    <row r="14" spans="1:27" ht="15.75" customHeight="1">
      <c r="A14" s="7" t="s">
        <v>17</v>
      </c>
      <c r="B14" s="7" t="s">
        <v>6</v>
      </c>
      <c r="C14" s="6"/>
      <c r="D14" s="6">
        <v>5</v>
      </c>
      <c r="E14" s="6">
        <v>2</v>
      </c>
      <c r="F14" s="6">
        <v>4</v>
      </c>
    </row>
    <row r="15" spans="1:27" ht="15.75" customHeight="1">
      <c r="B15" s="7" t="s">
        <v>18</v>
      </c>
      <c r="C15" s="6"/>
      <c r="D15" s="6"/>
      <c r="E15" s="6"/>
      <c r="F15" s="6">
        <v>1</v>
      </c>
    </row>
    <row r="16" spans="1:27" ht="15.75" customHeight="1">
      <c r="B16" s="7" t="s">
        <v>7</v>
      </c>
      <c r="C16" s="6"/>
      <c r="D16" s="6">
        <v>3</v>
      </c>
      <c r="E16" s="6">
        <v>2</v>
      </c>
      <c r="F16" s="6">
        <v>4</v>
      </c>
    </row>
    <row r="17" spans="2:6" ht="15.75" customHeight="1">
      <c r="B17" s="7" t="s">
        <v>8</v>
      </c>
      <c r="C17" s="6">
        <v>7</v>
      </c>
      <c r="D17" s="6">
        <v>5</v>
      </c>
      <c r="E17" s="6">
        <v>16</v>
      </c>
      <c r="F17" s="6">
        <v>7</v>
      </c>
    </row>
    <row r="18" spans="2:6" ht="15.75" customHeight="1">
      <c r="B18" s="7" t="s">
        <v>19</v>
      </c>
      <c r="C18" s="6"/>
      <c r="D18" s="6"/>
      <c r="E18" s="6">
        <v>1</v>
      </c>
      <c r="F18" s="6"/>
    </row>
    <row r="19" spans="2:6" ht="15.75" customHeight="1">
      <c r="B19" s="7" t="s">
        <v>20</v>
      </c>
      <c r="C19" s="6"/>
      <c r="D19" s="6"/>
      <c r="E19" s="6"/>
      <c r="F19" s="6">
        <v>1</v>
      </c>
    </row>
    <row r="20" spans="2:6" ht="15.75" customHeight="1">
      <c r="B20" s="7" t="s">
        <v>21</v>
      </c>
      <c r="C20" s="6"/>
      <c r="D20" s="6"/>
      <c r="E20" s="6"/>
      <c r="F20" s="6">
        <v>1</v>
      </c>
    </row>
    <row r="21" spans="2:6" ht="15.75" customHeight="1">
      <c r="B21" s="7" t="s">
        <v>22</v>
      </c>
      <c r="C21" s="6"/>
      <c r="D21" s="6"/>
      <c r="E21" s="6"/>
      <c r="F21" s="6">
        <v>1</v>
      </c>
    </row>
    <row r="22" spans="2:6" ht="15.75" customHeight="1">
      <c r="B22" s="7" t="s">
        <v>23</v>
      </c>
      <c r="C22" s="6"/>
      <c r="D22" s="6"/>
      <c r="E22" s="6"/>
      <c r="F22" s="6">
        <v>1</v>
      </c>
    </row>
    <row r="23" spans="2:6" ht="15.75" customHeight="1">
      <c r="B23" s="7" t="s">
        <v>9</v>
      </c>
      <c r="C23" s="6">
        <v>2</v>
      </c>
      <c r="D23" s="6"/>
      <c r="E23" s="6">
        <v>4</v>
      </c>
      <c r="F23" s="6"/>
    </row>
    <row r="24" spans="2:6" ht="15.75" customHeight="1">
      <c r="B24" s="7" t="s">
        <v>24</v>
      </c>
      <c r="C24" s="6">
        <v>3</v>
      </c>
      <c r="D24" s="6">
        <v>12</v>
      </c>
      <c r="E24" s="6">
        <v>26</v>
      </c>
      <c r="F24" s="6"/>
    </row>
    <row r="25" spans="2:6" ht="15.75" customHeight="1">
      <c r="B25" s="7" t="s">
        <v>10</v>
      </c>
      <c r="C25" s="6">
        <v>3</v>
      </c>
      <c r="D25" s="6">
        <v>7</v>
      </c>
      <c r="E25" s="6">
        <v>33</v>
      </c>
      <c r="F25" s="6">
        <v>1</v>
      </c>
    </row>
    <row r="26" spans="2:6" ht="15.75" customHeight="1">
      <c r="B26" s="7" t="s">
        <v>12</v>
      </c>
      <c r="C26" s="6">
        <v>2</v>
      </c>
      <c r="D26" s="6">
        <v>3</v>
      </c>
      <c r="E26" s="6">
        <v>1</v>
      </c>
      <c r="F26" s="6">
        <v>6</v>
      </c>
    </row>
    <row r="27" spans="2:6" ht="15.75" customHeight="1">
      <c r="B27" s="7" t="s">
        <v>25</v>
      </c>
      <c r="C27" s="6"/>
      <c r="D27" s="6">
        <v>1</v>
      </c>
      <c r="E27" s="6"/>
      <c r="F27" s="6">
        <v>5</v>
      </c>
    </row>
    <row r="28" spans="2:6" ht="15.75" customHeight="1">
      <c r="B28" s="7" t="s">
        <v>13</v>
      </c>
      <c r="C28" s="6">
        <v>1</v>
      </c>
      <c r="D28" s="6">
        <v>1</v>
      </c>
      <c r="E28" s="6">
        <v>3</v>
      </c>
      <c r="F28" s="6">
        <v>4</v>
      </c>
    </row>
    <row r="29" spans="2:6" ht="15.75" customHeight="1">
      <c r="B29" s="7" t="s">
        <v>26</v>
      </c>
      <c r="C29" s="6"/>
      <c r="D29" s="6"/>
      <c r="E29" s="6"/>
      <c r="F29" s="6">
        <v>7</v>
      </c>
    </row>
    <row r="30" spans="2:6" ht="15.75" customHeight="1">
      <c r="B30" s="7" t="s">
        <v>14</v>
      </c>
      <c r="C30" s="6"/>
      <c r="D30" s="6"/>
      <c r="E30" s="6">
        <v>2</v>
      </c>
      <c r="F30" s="6">
        <v>1</v>
      </c>
    </row>
    <row r="31" spans="2:6" ht="15.75" customHeight="1">
      <c r="B31" s="7" t="s">
        <v>27</v>
      </c>
      <c r="C31" s="6">
        <v>1</v>
      </c>
      <c r="D31" s="6">
        <v>2</v>
      </c>
      <c r="E31" s="6">
        <v>10</v>
      </c>
      <c r="F31" s="6">
        <v>6</v>
      </c>
    </row>
    <row r="32" spans="2:6" ht="15.75" customHeight="1">
      <c r="B32" s="7" t="s">
        <v>16</v>
      </c>
      <c r="C32" s="6">
        <v>3</v>
      </c>
      <c r="D32" s="6">
        <v>1</v>
      </c>
      <c r="E32" s="6">
        <v>6</v>
      </c>
      <c r="F32" s="6">
        <v>7</v>
      </c>
    </row>
    <row r="33" spans="1:27" ht="15.75" customHeight="1">
      <c r="A33" s="8"/>
      <c r="B33" s="8"/>
      <c r="C33" s="9"/>
      <c r="D33" s="9"/>
      <c r="E33" s="9"/>
      <c r="F33" s="9"/>
      <c r="G33" s="8"/>
      <c r="H33" s="8"/>
      <c r="I33" s="8"/>
      <c r="J33" s="8"/>
      <c r="K33" s="8"/>
      <c r="L33" s="8"/>
      <c r="M33" s="8"/>
      <c r="N33" s="8"/>
      <c r="O33" s="8"/>
      <c r="P33" s="8"/>
      <c r="Q33" s="8"/>
      <c r="R33" s="8"/>
      <c r="S33" s="8"/>
      <c r="T33" s="8"/>
      <c r="U33" s="8"/>
      <c r="V33" s="8"/>
      <c r="W33" s="8"/>
      <c r="X33" s="8"/>
      <c r="Y33" s="8"/>
      <c r="Z33" s="8"/>
      <c r="AA33" s="8"/>
    </row>
    <row r="34" spans="1:27" ht="15.75" customHeight="1">
      <c r="A34" s="7" t="s">
        <v>28</v>
      </c>
      <c r="B34" s="7" t="s">
        <v>6</v>
      </c>
      <c r="C34" s="6">
        <v>1</v>
      </c>
      <c r="D34" s="6">
        <v>1</v>
      </c>
      <c r="E34" s="6"/>
      <c r="F34" s="6">
        <v>2</v>
      </c>
    </row>
    <row r="35" spans="1:27" ht="15.75" customHeight="1">
      <c r="B35" s="7" t="s">
        <v>29</v>
      </c>
      <c r="C35" s="6"/>
      <c r="D35" s="6">
        <v>3</v>
      </c>
      <c r="E35" s="6"/>
      <c r="F35" s="6"/>
    </row>
    <row r="36" spans="1:27" ht="15.75" customHeight="1">
      <c r="B36" s="7" t="s">
        <v>8</v>
      </c>
      <c r="C36" s="6">
        <v>1</v>
      </c>
      <c r="D36" s="6">
        <v>1</v>
      </c>
      <c r="E36" s="6">
        <v>7</v>
      </c>
      <c r="F36" s="6"/>
    </row>
    <row r="37" spans="1:27" ht="15.75" customHeight="1">
      <c r="B37" s="7" t="s">
        <v>30</v>
      </c>
      <c r="C37" s="6"/>
      <c r="D37" s="6"/>
      <c r="E37" s="6">
        <v>1</v>
      </c>
      <c r="F37" s="6">
        <v>1</v>
      </c>
    </row>
    <row r="38" spans="1:27" ht="15.75" customHeight="1">
      <c r="B38" s="7" t="s">
        <v>31</v>
      </c>
      <c r="C38" s="6"/>
      <c r="D38" s="6"/>
      <c r="E38" s="6"/>
      <c r="F38" s="6">
        <v>3</v>
      </c>
    </row>
    <row r="39" spans="1:27" ht="15.75" customHeight="1">
      <c r="B39" s="7" t="s">
        <v>9</v>
      </c>
      <c r="C39" s="6"/>
      <c r="D39" s="6"/>
      <c r="E39" s="6">
        <v>1</v>
      </c>
      <c r="F39" s="6"/>
    </row>
    <row r="40" spans="1:27" ht="15.75" customHeight="1">
      <c r="B40" s="7" t="s">
        <v>24</v>
      </c>
      <c r="C40" s="6">
        <v>1</v>
      </c>
      <c r="D40" s="6">
        <v>1</v>
      </c>
      <c r="E40" s="6">
        <v>1</v>
      </c>
      <c r="F40" s="6"/>
    </row>
    <row r="41" spans="1:27" ht="15.75" customHeight="1">
      <c r="B41" s="7" t="s">
        <v>10</v>
      </c>
      <c r="C41" s="6">
        <v>2</v>
      </c>
      <c r="D41" s="6">
        <v>1</v>
      </c>
      <c r="E41" s="6">
        <v>6</v>
      </c>
      <c r="F41" s="6"/>
    </row>
    <row r="42" spans="1:27" ht="15.75" customHeight="1">
      <c r="B42" s="7" t="s">
        <v>12</v>
      </c>
      <c r="C42" s="6"/>
      <c r="D42" s="6">
        <v>1</v>
      </c>
      <c r="E42" s="6">
        <v>6</v>
      </c>
      <c r="F42" s="6"/>
    </row>
    <row r="43" spans="1:27" ht="15.75" customHeight="1">
      <c r="B43" s="7" t="s">
        <v>25</v>
      </c>
      <c r="C43" s="6"/>
      <c r="D43" s="6"/>
      <c r="E43" s="6"/>
      <c r="F43" s="6">
        <v>1</v>
      </c>
    </row>
    <row r="44" spans="1:27" ht="15.75" customHeight="1">
      <c r="B44" s="7" t="s">
        <v>13</v>
      </c>
      <c r="C44" s="6">
        <v>1</v>
      </c>
      <c r="D44" s="6">
        <v>2</v>
      </c>
      <c r="E44" s="6"/>
      <c r="F44" s="6"/>
    </row>
    <row r="45" spans="1:27" ht="15.75" customHeight="1">
      <c r="B45" s="7" t="s">
        <v>26</v>
      </c>
      <c r="C45" s="6"/>
      <c r="D45" s="6"/>
      <c r="E45" s="6"/>
      <c r="F45" s="6">
        <v>5</v>
      </c>
    </row>
    <row r="46" spans="1:27" ht="15.75" customHeight="1">
      <c r="B46" s="7" t="s">
        <v>32</v>
      </c>
      <c r="C46" s="6"/>
      <c r="D46" s="6">
        <v>1</v>
      </c>
      <c r="E46" s="6">
        <v>1</v>
      </c>
      <c r="F46" s="6"/>
    </row>
    <row r="47" spans="1:27" ht="15.75" customHeight="1">
      <c r="B47" s="7" t="s">
        <v>33</v>
      </c>
      <c r="C47" s="6"/>
      <c r="D47" s="6"/>
      <c r="E47" s="6"/>
      <c r="F47" s="6">
        <v>1</v>
      </c>
    </row>
    <row r="48" spans="1:27" ht="15.75" customHeight="1">
      <c r="B48" s="7" t="s">
        <v>15</v>
      </c>
      <c r="C48" s="6"/>
      <c r="D48" s="6">
        <v>2</v>
      </c>
      <c r="E48" s="6">
        <v>6</v>
      </c>
      <c r="F48" s="6">
        <v>4</v>
      </c>
    </row>
    <row r="49" spans="1:27" ht="15.75" customHeight="1">
      <c r="B49" s="7" t="s">
        <v>16</v>
      </c>
      <c r="C49" s="6"/>
      <c r="D49" s="6"/>
      <c r="E49" s="6">
        <v>1</v>
      </c>
      <c r="F49" s="6"/>
    </row>
    <row r="50" spans="1:27" ht="15.75" customHeight="1">
      <c r="A50" s="8"/>
      <c r="B50" s="8"/>
      <c r="C50" s="9"/>
      <c r="D50" s="9"/>
      <c r="E50" s="9"/>
      <c r="F50" s="9"/>
      <c r="G50" s="8"/>
      <c r="H50" s="8"/>
      <c r="I50" s="8"/>
      <c r="J50" s="8"/>
      <c r="K50" s="8"/>
      <c r="L50" s="8"/>
      <c r="M50" s="8"/>
      <c r="N50" s="8"/>
      <c r="O50" s="8"/>
      <c r="P50" s="8"/>
      <c r="Q50" s="8"/>
      <c r="R50" s="8"/>
      <c r="S50" s="8"/>
      <c r="T50" s="8"/>
      <c r="U50" s="8"/>
      <c r="V50" s="8"/>
      <c r="W50" s="8"/>
      <c r="X50" s="8"/>
      <c r="Y50" s="8"/>
      <c r="Z50" s="8"/>
      <c r="AA50" s="8"/>
    </row>
    <row r="51" spans="1:27" ht="15.75" customHeight="1">
      <c r="A51" s="7" t="s">
        <v>34</v>
      </c>
      <c r="B51" s="7" t="s">
        <v>35</v>
      </c>
      <c r="C51" s="6"/>
      <c r="D51" s="6"/>
      <c r="E51" s="6"/>
      <c r="F51" s="6">
        <v>1</v>
      </c>
    </row>
    <row r="52" spans="1:27" ht="15.75" customHeight="1">
      <c r="B52" s="7" t="s">
        <v>29</v>
      </c>
      <c r="C52" s="6"/>
      <c r="D52" s="6">
        <v>2</v>
      </c>
      <c r="E52" s="6">
        <v>1</v>
      </c>
      <c r="F52" s="6"/>
    </row>
    <row r="53" spans="1:27" ht="15.75" customHeight="1">
      <c r="B53" s="7" t="s">
        <v>19</v>
      </c>
      <c r="C53" s="6"/>
      <c r="D53" s="6"/>
      <c r="E53" s="6">
        <v>1</v>
      </c>
      <c r="F53" s="6"/>
    </row>
    <row r="54" spans="1:27" ht="15.75" customHeight="1">
      <c r="B54" s="7" t="s">
        <v>30</v>
      </c>
      <c r="C54" s="6"/>
      <c r="D54" s="6"/>
      <c r="E54" s="6"/>
      <c r="F54" s="6">
        <v>4</v>
      </c>
    </row>
    <row r="55" spans="1:27" ht="15.75" customHeight="1">
      <c r="B55" s="7" t="s">
        <v>10</v>
      </c>
      <c r="C55" s="6">
        <v>1</v>
      </c>
      <c r="D55" s="6"/>
      <c r="E55" s="6">
        <v>1</v>
      </c>
      <c r="F55" s="6"/>
    </row>
    <row r="56" spans="1:27" ht="15.75" customHeight="1">
      <c r="B56" s="7" t="s">
        <v>15</v>
      </c>
      <c r="C56" s="6"/>
      <c r="D56" s="6"/>
      <c r="E56" s="6">
        <v>2</v>
      </c>
      <c r="F56" s="6"/>
    </row>
    <row r="57" spans="1:27" ht="15.75" customHeight="1">
      <c r="B57" s="7" t="s">
        <v>36</v>
      </c>
      <c r="C57" s="6"/>
      <c r="D57" s="6">
        <v>1</v>
      </c>
      <c r="E57" s="6"/>
      <c r="F57" s="6"/>
    </row>
    <row r="58" spans="1:27" ht="15.75" customHeight="1">
      <c r="C58" s="6"/>
      <c r="D58" s="6"/>
      <c r="E58" s="6"/>
      <c r="F58" s="6"/>
    </row>
    <row r="59" spans="1:27" ht="15.75" customHeight="1">
      <c r="C59" s="6"/>
      <c r="D59" s="6"/>
      <c r="E59" s="6"/>
      <c r="F59" s="6"/>
    </row>
    <row r="60" spans="1:27" ht="15.75" customHeight="1">
      <c r="C60" s="6"/>
      <c r="D60" s="6"/>
      <c r="E60" s="6"/>
      <c r="F60" s="6"/>
    </row>
    <row r="61" spans="1:27" ht="15.75" customHeight="1">
      <c r="C61" s="6"/>
      <c r="D61" s="6"/>
      <c r="E61" s="6"/>
      <c r="F61" s="6"/>
    </row>
    <row r="62" spans="1:27" ht="15.75" customHeight="1">
      <c r="C62" s="6"/>
      <c r="D62" s="6"/>
      <c r="E62" s="6"/>
      <c r="F62" s="6"/>
    </row>
    <row r="63" spans="1:27" ht="15.75" customHeight="1">
      <c r="C63" s="6"/>
      <c r="D63" s="6"/>
      <c r="E63" s="6"/>
      <c r="F63" s="6"/>
    </row>
    <row r="64" spans="1:27" ht="15.75" customHeight="1">
      <c r="C64" s="6"/>
      <c r="D64" s="6"/>
      <c r="E64" s="6"/>
      <c r="F64" s="6"/>
    </row>
    <row r="65" spans="3:6" ht="13">
      <c r="C65" s="6"/>
      <c r="D65" s="6"/>
      <c r="E65" s="6"/>
      <c r="F65" s="6"/>
    </row>
    <row r="66" spans="3:6" ht="13">
      <c r="C66" s="6"/>
      <c r="D66" s="6"/>
      <c r="E66" s="6"/>
      <c r="F66" s="6"/>
    </row>
    <row r="67" spans="3:6" ht="13">
      <c r="C67" s="6"/>
      <c r="D67" s="6"/>
      <c r="E67" s="6"/>
      <c r="F67" s="6"/>
    </row>
    <row r="68" spans="3:6" ht="13">
      <c r="C68" s="6"/>
      <c r="D68" s="6"/>
      <c r="E68" s="6"/>
      <c r="F68" s="6"/>
    </row>
    <row r="69" spans="3:6" ht="13">
      <c r="C69" s="6"/>
      <c r="D69" s="6"/>
      <c r="E69" s="6"/>
      <c r="F69" s="6"/>
    </row>
    <row r="70" spans="3:6" ht="13">
      <c r="C70" s="6"/>
      <c r="D70" s="6"/>
      <c r="E70" s="6"/>
      <c r="F70" s="6"/>
    </row>
    <row r="71" spans="3:6" ht="13">
      <c r="C71" s="6"/>
      <c r="D71" s="6"/>
      <c r="E71" s="6"/>
      <c r="F71" s="6"/>
    </row>
    <row r="72" spans="3:6" ht="13">
      <c r="C72" s="6"/>
      <c r="D72" s="6"/>
      <c r="E72" s="6"/>
      <c r="F72" s="6"/>
    </row>
    <row r="73" spans="3:6" ht="13">
      <c r="C73" s="6"/>
      <c r="D73" s="6"/>
      <c r="E73" s="6"/>
      <c r="F73" s="6"/>
    </row>
    <row r="74" spans="3:6" ht="13">
      <c r="C74" s="6"/>
      <c r="D74" s="6"/>
      <c r="E74" s="6"/>
      <c r="F74" s="6"/>
    </row>
    <row r="75" spans="3:6" ht="13">
      <c r="C75" s="6"/>
      <c r="D75" s="6"/>
      <c r="E75" s="6"/>
      <c r="F75" s="6"/>
    </row>
    <row r="76" spans="3:6" ht="13">
      <c r="C76" s="6"/>
      <c r="D76" s="6"/>
      <c r="E76" s="6"/>
      <c r="F76" s="6"/>
    </row>
    <row r="77" spans="3:6" ht="13">
      <c r="C77" s="6"/>
      <c r="D77" s="6"/>
      <c r="E77" s="6"/>
      <c r="F77" s="6"/>
    </row>
    <row r="78" spans="3:6" ht="13">
      <c r="C78" s="6"/>
      <c r="D78" s="6"/>
      <c r="E78" s="6"/>
      <c r="F78" s="6"/>
    </row>
    <row r="79" spans="3:6" ht="13">
      <c r="C79" s="6"/>
      <c r="D79" s="6"/>
      <c r="E79" s="6"/>
      <c r="F79" s="6"/>
    </row>
    <row r="80" spans="3:6" ht="13">
      <c r="C80" s="6"/>
      <c r="D80" s="6"/>
      <c r="E80" s="6"/>
      <c r="F80" s="6"/>
    </row>
    <row r="81" spans="3:6" ht="13">
      <c r="C81" s="6"/>
      <c r="D81" s="6"/>
      <c r="E81" s="6"/>
      <c r="F81" s="6"/>
    </row>
    <row r="82" spans="3:6" ht="13">
      <c r="C82" s="6"/>
      <c r="D82" s="6"/>
      <c r="E82" s="6"/>
      <c r="F82" s="6"/>
    </row>
    <row r="83" spans="3:6" ht="13">
      <c r="C83" s="6"/>
      <c r="D83" s="6"/>
      <c r="E83" s="6"/>
      <c r="F83" s="6"/>
    </row>
    <row r="84" spans="3:6" ht="13">
      <c r="C84" s="6"/>
      <c r="D84" s="6"/>
      <c r="E84" s="6"/>
      <c r="F84" s="6"/>
    </row>
    <row r="85" spans="3:6" ht="13">
      <c r="C85" s="6"/>
      <c r="D85" s="6"/>
      <c r="E85" s="6"/>
      <c r="F85" s="6"/>
    </row>
    <row r="86" spans="3:6" ht="13">
      <c r="C86" s="6"/>
      <c r="D86" s="6"/>
      <c r="E86" s="6"/>
      <c r="F86" s="6"/>
    </row>
    <row r="87" spans="3:6" ht="13">
      <c r="C87" s="6"/>
      <c r="D87" s="6"/>
      <c r="E87" s="6"/>
      <c r="F87" s="6"/>
    </row>
    <row r="88" spans="3:6" ht="13">
      <c r="C88" s="6"/>
      <c r="D88" s="6"/>
      <c r="E88" s="6"/>
      <c r="F88" s="6"/>
    </row>
    <row r="89" spans="3:6" ht="13">
      <c r="C89" s="6"/>
      <c r="D89" s="6"/>
      <c r="E89" s="6"/>
      <c r="F89" s="6"/>
    </row>
    <row r="90" spans="3:6" ht="13">
      <c r="C90" s="6"/>
      <c r="D90" s="6"/>
      <c r="E90" s="6"/>
      <c r="F90" s="6"/>
    </row>
    <row r="91" spans="3:6" ht="13">
      <c r="C91" s="6"/>
      <c r="D91" s="6"/>
      <c r="E91" s="6"/>
      <c r="F91" s="6"/>
    </row>
    <row r="92" spans="3:6" ht="13">
      <c r="C92" s="6"/>
      <c r="D92" s="6"/>
      <c r="E92" s="6"/>
      <c r="F92" s="6"/>
    </row>
    <row r="93" spans="3:6" ht="13">
      <c r="C93" s="6"/>
      <c r="D93" s="6"/>
      <c r="E93" s="6"/>
      <c r="F93" s="6"/>
    </row>
    <row r="94" spans="3:6" ht="13">
      <c r="C94" s="6"/>
      <c r="D94" s="6"/>
      <c r="E94" s="6"/>
      <c r="F94" s="6"/>
    </row>
    <row r="95" spans="3:6" ht="13">
      <c r="C95" s="6"/>
      <c r="D95" s="6"/>
      <c r="E95" s="6"/>
      <c r="F95" s="6"/>
    </row>
    <row r="96" spans="3:6" ht="13">
      <c r="C96" s="6"/>
      <c r="D96" s="6"/>
      <c r="E96" s="6"/>
      <c r="F96" s="6"/>
    </row>
    <row r="97" spans="3:6" ht="13">
      <c r="C97" s="6"/>
      <c r="D97" s="6"/>
      <c r="E97" s="6"/>
      <c r="F97" s="6"/>
    </row>
    <row r="98" spans="3:6" ht="13">
      <c r="C98" s="6"/>
      <c r="D98" s="6"/>
      <c r="E98" s="6"/>
      <c r="F98" s="6"/>
    </row>
    <row r="99" spans="3:6" ht="13">
      <c r="C99" s="6"/>
      <c r="D99" s="6"/>
      <c r="E99" s="6"/>
      <c r="F99" s="6"/>
    </row>
    <row r="100" spans="3:6" ht="13">
      <c r="C100" s="6"/>
      <c r="D100" s="6"/>
      <c r="E100" s="6"/>
      <c r="F100" s="6"/>
    </row>
    <row r="101" spans="3:6" ht="13">
      <c r="C101" s="6"/>
      <c r="D101" s="6"/>
      <c r="E101" s="6"/>
      <c r="F101" s="6"/>
    </row>
    <row r="102" spans="3:6" ht="13">
      <c r="C102" s="6"/>
      <c r="D102" s="6"/>
      <c r="E102" s="6"/>
      <c r="F102" s="6"/>
    </row>
    <row r="103" spans="3:6" ht="13">
      <c r="C103" s="6"/>
      <c r="D103" s="6"/>
      <c r="E103" s="6"/>
      <c r="F103" s="6"/>
    </row>
    <row r="104" spans="3:6" ht="13">
      <c r="C104" s="6"/>
      <c r="D104" s="6"/>
      <c r="E104" s="6"/>
      <c r="F104" s="6"/>
    </row>
    <row r="105" spans="3:6" ht="13">
      <c r="C105" s="6"/>
      <c r="D105" s="6"/>
      <c r="E105" s="6"/>
      <c r="F105" s="6"/>
    </row>
    <row r="106" spans="3:6" ht="13">
      <c r="C106" s="6"/>
      <c r="D106" s="6"/>
      <c r="E106" s="6"/>
      <c r="F106" s="6"/>
    </row>
    <row r="107" spans="3:6" ht="13">
      <c r="C107" s="6"/>
      <c r="D107" s="6"/>
      <c r="E107" s="6"/>
      <c r="F107" s="6"/>
    </row>
    <row r="108" spans="3:6" ht="13">
      <c r="C108" s="6"/>
      <c r="D108" s="6"/>
      <c r="E108" s="6"/>
      <c r="F108" s="6"/>
    </row>
    <row r="109" spans="3:6" ht="13">
      <c r="C109" s="6"/>
      <c r="D109" s="6"/>
      <c r="E109" s="6"/>
      <c r="F109" s="6"/>
    </row>
    <row r="110" spans="3:6" ht="13">
      <c r="C110" s="6"/>
      <c r="D110" s="6"/>
      <c r="E110" s="6"/>
      <c r="F110" s="6"/>
    </row>
    <row r="111" spans="3:6" ht="13">
      <c r="C111" s="6"/>
      <c r="D111" s="6"/>
      <c r="E111" s="6"/>
      <c r="F111" s="6"/>
    </row>
    <row r="112" spans="3:6" ht="13">
      <c r="C112" s="6"/>
      <c r="D112" s="6"/>
      <c r="E112" s="6"/>
      <c r="F112" s="6"/>
    </row>
    <row r="113" spans="3:6" ht="13">
      <c r="C113" s="6"/>
      <c r="D113" s="6"/>
      <c r="E113" s="6"/>
      <c r="F113" s="6"/>
    </row>
    <row r="114" spans="3:6" ht="13">
      <c r="C114" s="6"/>
      <c r="D114" s="6"/>
      <c r="E114" s="6"/>
      <c r="F114" s="6"/>
    </row>
    <row r="115" spans="3:6" ht="13">
      <c r="C115" s="6"/>
      <c r="D115" s="6"/>
      <c r="E115" s="6"/>
      <c r="F115" s="6"/>
    </row>
    <row r="116" spans="3:6" ht="13">
      <c r="C116" s="6"/>
      <c r="D116" s="6"/>
      <c r="E116" s="6"/>
      <c r="F116" s="6"/>
    </row>
    <row r="117" spans="3:6" ht="13">
      <c r="C117" s="6"/>
      <c r="D117" s="6"/>
      <c r="E117" s="6"/>
      <c r="F117" s="6"/>
    </row>
    <row r="118" spans="3:6" ht="13">
      <c r="C118" s="6"/>
      <c r="D118" s="6"/>
      <c r="E118" s="6"/>
      <c r="F118" s="6"/>
    </row>
    <row r="119" spans="3:6" ht="13">
      <c r="C119" s="6"/>
      <c r="D119" s="6"/>
      <c r="E119" s="6"/>
      <c r="F119" s="6"/>
    </row>
    <row r="120" spans="3:6" ht="13">
      <c r="C120" s="6"/>
      <c r="D120" s="6"/>
      <c r="E120" s="6"/>
      <c r="F120" s="6"/>
    </row>
    <row r="121" spans="3:6" ht="13">
      <c r="C121" s="6"/>
      <c r="D121" s="6"/>
      <c r="E121" s="6"/>
      <c r="F121" s="6"/>
    </row>
    <row r="122" spans="3:6" ht="13">
      <c r="C122" s="6"/>
      <c r="D122" s="6"/>
      <c r="E122" s="6"/>
      <c r="F122" s="6"/>
    </row>
    <row r="123" spans="3:6" ht="13">
      <c r="C123" s="6"/>
      <c r="D123" s="6"/>
      <c r="E123" s="6"/>
      <c r="F123" s="6"/>
    </row>
    <row r="124" spans="3:6" ht="13">
      <c r="C124" s="6"/>
      <c r="D124" s="6"/>
      <c r="E124" s="6"/>
      <c r="F124" s="6"/>
    </row>
    <row r="125" spans="3:6" ht="13">
      <c r="C125" s="6"/>
      <c r="D125" s="6"/>
      <c r="E125" s="6"/>
      <c r="F125" s="6"/>
    </row>
    <row r="126" spans="3:6" ht="13">
      <c r="C126" s="6"/>
      <c r="D126" s="6"/>
      <c r="E126" s="6"/>
      <c r="F126" s="6"/>
    </row>
    <row r="127" spans="3:6" ht="13">
      <c r="C127" s="6"/>
      <c r="D127" s="6"/>
      <c r="E127" s="6"/>
      <c r="F127" s="6"/>
    </row>
    <row r="128" spans="3:6" ht="13">
      <c r="C128" s="6"/>
      <c r="D128" s="6"/>
      <c r="E128" s="6"/>
      <c r="F128" s="6"/>
    </row>
    <row r="129" spans="3:6" ht="13">
      <c r="C129" s="6"/>
      <c r="D129" s="6"/>
      <c r="E129" s="6"/>
      <c r="F129" s="6"/>
    </row>
    <row r="130" spans="3:6" ht="13">
      <c r="C130" s="6"/>
      <c r="D130" s="6"/>
      <c r="E130" s="6"/>
      <c r="F130" s="6"/>
    </row>
    <row r="131" spans="3:6" ht="13">
      <c r="C131" s="6"/>
      <c r="D131" s="6"/>
      <c r="E131" s="6"/>
      <c r="F131" s="6"/>
    </row>
    <row r="132" spans="3:6" ht="13">
      <c r="C132" s="6"/>
      <c r="D132" s="6"/>
      <c r="E132" s="6"/>
      <c r="F132" s="6"/>
    </row>
    <row r="133" spans="3:6" ht="13">
      <c r="C133" s="6"/>
      <c r="D133" s="6"/>
      <c r="E133" s="6"/>
      <c r="F133" s="6"/>
    </row>
    <row r="134" spans="3:6" ht="13">
      <c r="C134" s="6"/>
      <c r="D134" s="6"/>
      <c r="E134" s="6"/>
      <c r="F134" s="6"/>
    </row>
    <row r="135" spans="3:6" ht="13">
      <c r="C135" s="6"/>
      <c r="D135" s="6"/>
      <c r="E135" s="6"/>
      <c r="F135" s="6"/>
    </row>
    <row r="136" spans="3:6" ht="13">
      <c r="C136" s="6"/>
      <c r="D136" s="6"/>
      <c r="E136" s="6"/>
      <c r="F136" s="6"/>
    </row>
    <row r="137" spans="3:6" ht="13">
      <c r="C137" s="6"/>
      <c r="D137" s="6"/>
      <c r="E137" s="6"/>
      <c r="F137" s="6"/>
    </row>
    <row r="138" spans="3:6" ht="13">
      <c r="C138" s="6"/>
      <c r="D138" s="6"/>
      <c r="E138" s="6"/>
      <c r="F138" s="6"/>
    </row>
    <row r="139" spans="3:6" ht="13">
      <c r="C139" s="6"/>
      <c r="D139" s="6"/>
      <c r="E139" s="6"/>
      <c r="F139" s="6"/>
    </row>
    <row r="140" spans="3:6" ht="13">
      <c r="C140" s="6"/>
      <c r="D140" s="6"/>
      <c r="E140" s="6"/>
      <c r="F140" s="6"/>
    </row>
    <row r="141" spans="3:6" ht="13">
      <c r="C141" s="6"/>
      <c r="D141" s="6"/>
      <c r="E141" s="6"/>
      <c r="F141" s="6"/>
    </row>
    <row r="142" spans="3:6" ht="13">
      <c r="C142" s="6"/>
      <c r="D142" s="6"/>
      <c r="E142" s="6"/>
      <c r="F142" s="6"/>
    </row>
    <row r="143" spans="3:6" ht="13">
      <c r="C143" s="6"/>
      <c r="D143" s="6"/>
      <c r="E143" s="6"/>
      <c r="F143" s="6"/>
    </row>
    <row r="144" spans="3:6" ht="13">
      <c r="C144" s="6"/>
      <c r="D144" s="6"/>
      <c r="E144" s="6"/>
      <c r="F144" s="6"/>
    </row>
    <row r="145" spans="3:6" ht="13">
      <c r="C145" s="6"/>
      <c r="D145" s="6"/>
      <c r="E145" s="6"/>
      <c r="F145" s="6"/>
    </row>
    <row r="146" spans="3:6" ht="13">
      <c r="C146" s="6"/>
      <c r="D146" s="6"/>
      <c r="E146" s="6"/>
      <c r="F146" s="6"/>
    </row>
    <row r="147" spans="3:6" ht="13">
      <c r="C147" s="6"/>
      <c r="D147" s="6"/>
      <c r="E147" s="6"/>
      <c r="F147" s="6"/>
    </row>
    <row r="148" spans="3:6" ht="13">
      <c r="C148" s="6"/>
      <c r="D148" s="6"/>
      <c r="E148" s="6"/>
      <c r="F148" s="6"/>
    </row>
    <row r="149" spans="3:6" ht="13">
      <c r="C149" s="6"/>
      <c r="D149" s="6"/>
      <c r="E149" s="6"/>
      <c r="F149" s="6"/>
    </row>
    <row r="150" spans="3:6" ht="13">
      <c r="C150" s="6"/>
      <c r="D150" s="6"/>
      <c r="E150" s="6"/>
      <c r="F150" s="6"/>
    </row>
    <row r="151" spans="3:6" ht="13">
      <c r="C151" s="6"/>
      <c r="D151" s="6"/>
      <c r="E151" s="6"/>
      <c r="F151" s="6"/>
    </row>
    <row r="152" spans="3:6" ht="13">
      <c r="C152" s="6"/>
      <c r="D152" s="6"/>
      <c r="E152" s="6"/>
      <c r="F152" s="6"/>
    </row>
    <row r="153" spans="3:6" ht="13">
      <c r="C153" s="6"/>
      <c r="D153" s="6"/>
      <c r="E153" s="6"/>
      <c r="F153" s="6"/>
    </row>
    <row r="154" spans="3:6" ht="13">
      <c r="C154" s="6"/>
      <c r="D154" s="6"/>
      <c r="E154" s="6"/>
      <c r="F154" s="6"/>
    </row>
    <row r="155" spans="3:6" ht="13">
      <c r="C155" s="6"/>
      <c r="D155" s="6"/>
      <c r="E155" s="6"/>
      <c r="F155" s="6"/>
    </row>
    <row r="156" spans="3:6" ht="13">
      <c r="C156" s="6"/>
      <c r="D156" s="6"/>
      <c r="E156" s="6"/>
      <c r="F156" s="6"/>
    </row>
    <row r="157" spans="3:6" ht="13">
      <c r="C157" s="6"/>
      <c r="D157" s="6"/>
      <c r="E157" s="6"/>
      <c r="F157" s="6"/>
    </row>
    <row r="158" spans="3:6" ht="13">
      <c r="C158" s="6"/>
      <c r="D158" s="6"/>
      <c r="E158" s="6"/>
      <c r="F158" s="6"/>
    </row>
    <row r="159" spans="3:6" ht="13">
      <c r="C159" s="6"/>
      <c r="D159" s="6"/>
      <c r="E159" s="6"/>
      <c r="F159" s="6"/>
    </row>
    <row r="160" spans="3:6" ht="13">
      <c r="C160" s="6"/>
      <c r="D160" s="6"/>
      <c r="E160" s="6"/>
      <c r="F160" s="6"/>
    </row>
    <row r="161" spans="3:6" ht="13">
      <c r="C161" s="6"/>
      <c r="D161" s="6"/>
      <c r="E161" s="6"/>
      <c r="F161" s="6"/>
    </row>
    <row r="162" spans="3:6" ht="13">
      <c r="C162" s="6"/>
      <c r="D162" s="6"/>
      <c r="E162" s="6"/>
      <c r="F162" s="6"/>
    </row>
    <row r="163" spans="3:6" ht="13">
      <c r="C163" s="6"/>
      <c r="D163" s="6"/>
      <c r="E163" s="6"/>
      <c r="F163" s="6"/>
    </row>
    <row r="164" spans="3:6" ht="13">
      <c r="C164" s="6"/>
      <c r="D164" s="6"/>
      <c r="E164" s="6"/>
      <c r="F164" s="6"/>
    </row>
    <row r="165" spans="3:6" ht="13">
      <c r="C165" s="6"/>
      <c r="D165" s="6"/>
      <c r="E165" s="6"/>
      <c r="F165" s="6"/>
    </row>
    <row r="166" spans="3:6" ht="13">
      <c r="C166" s="6"/>
      <c r="D166" s="6"/>
      <c r="E166" s="6"/>
      <c r="F166" s="6"/>
    </row>
    <row r="167" spans="3:6" ht="13">
      <c r="C167" s="6"/>
      <c r="D167" s="6"/>
      <c r="E167" s="6"/>
      <c r="F167" s="6"/>
    </row>
    <row r="168" spans="3:6" ht="13">
      <c r="C168" s="6"/>
      <c r="D168" s="6"/>
      <c r="E168" s="6"/>
      <c r="F168" s="6"/>
    </row>
    <row r="169" spans="3:6" ht="13">
      <c r="C169" s="6"/>
      <c r="D169" s="6"/>
      <c r="E169" s="6"/>
      <c r="F169" s="6"/>
    </row>
    <row r="170" spans="3:6" ht="13">
      <c r="C170" s="6"/>
      <c r="D170" s="6"/>
      <c r="E170" s="6"/>
      <c r="F170" s="6"/>
    </row>
    <row r="171" spans="3:6" ht="13">
      <c r="C171" s="6"/>
      <c r="D171" s="6"/>
      <c r="E171" s="6"/>
      <c r="F171" s="6"/>
    </row>
    <row r="172" spans="3:6" ht="13">
      <c r="C172" s="6"/>
      <c r="D172" s="6"/>
      <c r="E172" s="6"/>
      <c r="F172" s="6"/>
    </row>
    <row r="173" spans="3:6" ht="13">
      <c r="C173" s="6"/>
      <c r="D173" s="6"/>
      <c r="E173" s="6"/>
      <c r="F173" s="6"/>
    </row>
    <row r="174" spans="3:6" ht="13">
      <c r="C174" s="6"/>
      <c r="D174" s="6"/>
      <c r="E174" s="6"/>
      <c r="F174" s="6"/>
    </row>
    <row r="175" spans="3:6" ht="13">
      <c r="C175" s="6"/>
      <c r="D175" s="6"/>
      <c r="E175" s="6"/>
      <c r="F175" s="6"/>
    </row>
    <row r="176" spans="3:6" ht="13">
      <c r="C176" s="6"/>
      <c r="D176" s="6"/>
      <c r="E176" s="6"/>
      <c r="F176" s="6"/>
    </row>
    <row r="177" spans="3:6" ht="13">
      <c r="C177" s="6"/>
      <c r="D177" s="6"/>
      <c r="E177" s="6"/>
      <c r="F177" s="6"/>
    </row>
    <row r="178" spans="3:6" ht="13">
      <c r="C178" s="6"/>
      <c r="D178" s="6"/>
      <c r="E178" s="6"/>
      <c r="F178" s="6"/>
    </row>
    <row r="179" spans="3:6" ht="13">
      <c r="C179" s="6"/>
      <c r="D179" s="6"/>
      <c r="E179" s="6"/>
      <c r="F179" s="6"/>
    </row>
    <row r="180" spans="3:6" ht="13">
      <c r="C180" s="6"/>
      <c r="D180" s="6"/>
      <c r="E180" s="6"/>
      <c r="F180" s="6"/>
    </row>
    <row r="181" spans="3:6" ht="13">
      <c r="C181" s="6"/>
      <c r="D181" s="6"/>
      <c r="E181" s="6"/>
      <c r="F181" s="6"/>
    </row>
    <row r="182" spans="3:6" ht="13">
      <c r="C182" s="6"/>
      <c r="D182" s="6"/>
      <c r="E182" s="6"/>
      <c r="F182" s="6"/>
    </row>
    <row r="183" spans="3:6" ht="13">
      <c r="C183" s="6"/>
      <c r="D183" s="6"/>
      <c r="E183" s="6"/>
      <c r="F183" s="6"/>
    </row>
    <row r="184" spans="3:6" ht="13">
      <c r="C184" s="6"/>
      <c r="D184" s="6"/>
      <c r="E184" s="6"/>
      <c r="F184" s="6"/>
    </row>
    <row r="185" spans="3:6" ht="13">
      <c r="C185" s="6"/>
      <c r="D185" s="6"/>
      <c r="E185" s="6"/>
      <c r="F185" s="6"/>
    </row>
    <row r="186" spans="3:6" ht="13">
      <c r="C186" s="6"/>
      <c r="D186" s="6"/>
      <c r="E186" s="6"/>
      <c r="F186" s="6"/>
    </row>
    <row r="187" spans="3:6" ht="13">
      <c r="C187" s="6"/>
      <c r="D187" s="6"/>
      <c r="E187" s="6"/>
      <c r="F187" s="6"/>
    </row>
    <row r="188" spans="3:6" ht="13">
      <c r="C188" s="6"/>
      <c r="D188" s="6"/>
      <c r="E188" s="6"/>
      <c r="F188" s="6"/>
    </row>
    <row r="189" spans="3:6" ht="13">
      <c r="C189" s="6"/>
      <c r="D189" s="6"/>
      <c r="E189" s="6"/>
      <c r="F189" s="6"/>
    </row>
    <row r="190" spans="3:6" ht="13">
      <c r="C190" s="6"/>
      <c r="D190" s="6"/>
      <c r="E190" s="6"/>
      <c r="F190" s="6"/>
    </row>
    <row r="191" spans="3:6" ht="13">
      <c r="C191" s="6"/>
      <c r="D191" s="6"/>
      <c r="E191" s="6"/>
      <c r="F191" s="6"/>
    </row>
    <row r="192" spans="3:6" ht="13">
      <c r="C192" s="6"/>
      <c r="D192" s="6"/>
      <c r="E192" s="6"/>
      <c r="F192" s="6"/>
    </row>
    <row r="193" spans="3:6" ht="13">
      <c r="C193" s="6"/>
      <c r="D193" s="6"/>
      <c r="E193" s="6"/>
      <c r="F193" s="6"/>
    </row>
    <row r="194" spans="3:6" ht="13">
      <c r="C194" s="6"/>
      <c r="D194" s="6"/>
      <c r="E194" s="6"/>
      <c r="F194" s="6"/>
    </row>
    <row r="195" spans="3:6" ht="13">
      <c r="C195" s="6"/>
      <c r="D195" s="6"/>
      <c r="E195" s="6"/>
      <c r="F195" s="6"/>
    </row>
    <row r="196" spans="3:6" ht="13">
      <c r="C196" s="6"/>
      <c r="D196" s="6"/>
      <c r="E196" s="6"/>
      <c r="F196" s="6"/>
    </row>
    <row r="197" spans="3:6" ht="13">
      <c r="C197" s="6"/>
      <c r="D197" s="6"/>
      <c r="E197" s="6"/>
      <c r="F197" s="6"/>
    </row>
    <row r="198" spans="3:6" ht="13">
      <c r="C198" s="6"/>
      <c r="D198" s="6"/>
      <c r="E198" s="6"/>
      <c r="F198" s="6"/>
    </row>
    <row r="199" spans="3:6" ht="13">
      <c r="C199" s="6"/>
      <c r="D199" s="6"/>
      <c r="E199" s="6"/>
      <c r="F199" s="6"/>
    </row>
    <row r="200" spans="3:6" ht="13">
      <c r="C200" s="6"/>
      <c r="D200" s="6"/>
      <c r="E200" s="6"/>
      <c r="F200" s="6"/>
    </row>
    <row r="201" spans="3:6" ht="13">
      <c r="C201" s="6"/>
      <c r="D201" s="6"/>
      <c r="E201" s="6"/>
      <c r="F201" s="6"/>
    </row>
    <row r="202" spans="3:6" ht="13">
      <c r="C202" s="6"/>
      <c r="D202" s="6"/>
      <c r="E202" s="6"/>
      <c r="F202" s="6"/>
    </row>
    <row r="203" spans="3:6" ht="13">
      <c r="C203" s="6"/>
      <c r="D203" s="6"/>
      <c r="E203" s="6"/>
      <c r="F203" s="6"/>
    </row>
    <row r="204" spans="3:6" ht="13">
      <c r="C204" s="6"/>
      <c r="D204" s="6"/>
      <c r="E204" s="6"/>
      <c r="F204" s="6"/>
    </row>
    <row r="205" spans="3:6" ht="13">
      <c r="C205" s="6"/>
      <c r="D205" s="6"/>
      <c r="E205" s="6"/>
      <c r="F205" s="6"/>
    </row>
    <row r="206" spans="3:6" ht="13">
      <c r="C206" s="6"/>
      <c r="D206" s="6"/>
      <c r="E206" s="6"/>
      <c r="F206" s="6"/>
    </row>
    <row r="207" spans="3:6" ht="13">
      <c r="C207" s="6"/>
      <c r="D207" s="6"/>
      <c r="E207" s="6"/>
      <c r="F207" s="6"/>
    </row>
    <row r="208" spans="3:6" ht="13">
      <c r="C208" s="6"/>
      <c r="D208" s="6"/>
      <c r="E208" s="6"/>
      <c r="F208" s="6"/>
    </row>
    <row r="209" spans="3:6" ht="13">
      <c r="C209" s="6"/>
      <c r="D209" s="6"/>
      <c r="E209" s="6"/>
      <c r="F209" s="6"/>
    </row>
    <row r="210" spans="3:6" ht="13">
      <c r="C210" s="6"/>
      <c r="D210" s="6"/>
      <c r="E210" s="6"/>
      <c r="F210" s="6"/>
    </row>
    <row r="211" spans="3:6" ht="13">
      <c r="C211" s="6"/>
      <c r="D211" s="6"/>
      <c r="E211" s="6"/>
      <c r="F211" s="6"/>
    </row>
    <row r="212" spans="3:6" ht="13">
      <c r="C212" s="6"/>
      <c r="D212" s="6"/>
      <c r="E212" s="6"/>
      <c r="F212" s="6"/>
    </row>
    <row r="213" spans="3:6" ht="13">
      <c r="C213" s="6"/>
      <c r="D213" s="6"/>
      <c r="E213" s="6"/>
      <c r="F213" s="6"/>
    </row>
    <row r="214" spans="3:6" ht="13">
      <c r="C214" s="6"/>
      <c r="D214" s="6"/>
      <c r="E214" s="6"/>
      <c r="F214" s="6"/>
    </row>
    <row r="215" spans="3:6" ht="13">
      <c r="C215" s="6"/>
      <c r="D215" s="6"/>
      <c r="E215" s="6"/>
      <c r="F215" s="6"/>
    </row>
    <row r="216" spans="3:6" ht="13">
      <c r="C216" s="6"/>
      <c r="D216" s="6"/>
      <c r="E216" s="6"/>
      <c r="F216" s="6"/>
    </row>
    <row r="217" spans="3:6" ht="13">
      <c r="C217" s="6"/>
      <c r="D217" s="6"/>
      <c r="E217" s="6"/>
      <c r="F217" s="6"/>
    </row>
    <row r="218" spans="3:6" ht="13">
      <c r="C218" s="6"/>
      <c r="D218" s="6"/>
      <c r="E218" s="6"/>
      <c r="F218" s="6"/>
    </row>
    <row r="219" spans="3:6" ht="13">
      <c r="C219" s="6"/>
      <c r="D219" s="6"/>
      <c r="E219" s="6"/>
      <c r="F219" s="6"/>
    </row>
    <row r="220" spans="3:6" ht="13">
      <c r="C220" s="6"/>
      <c r="D220" s="6"/>
      <c r="E220" s="6"/>
      <c r="F220" s="6"/>
    </row>
    <row r="221" spans="3:6" ht="13">
      <c r="C221" s="6"/>
      <c r="D221" s="6"/>
      <c r="E221" s="6"/>
      <c r="F221" s="6"/>
    </row>
    <row r="222" spans="3:6" ht="13">
      <c r="C222" s="6"/>
      <c r="D222" s="6"/>
      <c r="E222" s="6"/>
      <c r="F222" s="6"/>
    </row>
    <row r="223" spans="3:6" ht="13">
      <c r="C223" s="6"/>
      <c r="D223" s="6"/>
      <c r="E223" s="6"/>
      <c r="F223" s="6"/>
    </row>
    <row r="224" spans="3:6" ht="13">
      <c r="C224" s="6"/>
      <c r="D224" s="6"/>
      <c r="E224" s="6"/>
      <c r="F224" s="6"/>
    </row>
    <row r="225" spans="3:6" ht="13">
      <c r="C225" s="6"/>
      <c r="D225" s="6"/>
      <c r="E225" s="6"/>
      <c r="F225" s="6"/>
    </row>
    <row r="226" spans="3:6" ht="13">
      <c r="C226" s="6"/>
      <c r="D226" s="6"/>
      <c r="E226" s="6"/>
      <c r="F226" s="6"/>
    </row>
    <row r="227" spans="3:6" ht="13">
      <c r="C227" s="6"/>
      <c r="D227" s="6"/>
      <c r="E227" s="6"/>
      <c r="F227" s="6"/>
    </row>
    <row r="228" spans="3:6" ht="13">
      <c r="C228" s="6"/>
      <c r="D228" s="6"/>
      <c r="E228" s="6"/>
      <c r="F228" s="6"/>
    </row>
    <row r="229" spans="3:6" ht="13">
      <c r="C229" s="6"/>
      <c r="D229" s="6"/>
      <c r="E229" s="6"/>
      <c r="F229" s="6"/>
    </row>
    <row r="230" spans="3:6" ht="13">
      <c r="C230" s="6"/>
      <c r="D230" s="6"/>
      <c r="E230" s="6"/>
      <c r="F230" s="6"/>
    </row>
    <row r="231" spans="3:6" ht="13">
      <c r="C231" s="6"/>
      <c r="D231" s="6"/>
      <c r="E231" s="6"/>
      <c r="F231" s="6"/>
    </row>
    <row r="232" spans="3:6" ht="13">
      <c r="C232" s="6"/>
      <c r="D232" s="6"/>
      <c r="E232" s="6"/>
      <c r="F232" s="6"/>
    </row>
    <row r="233" spans="3:6" ht="13">
      <c r="C233" s="6"/>
      <c r="D233" s="6"/>
      <c r="E233" s="6"/>
      <c r="F233" s="6"/>
    </row>
    <row r="234" spans="3:6" ht="13">
      <c r="C234" s="6"/>
      <c r="D234" s="6"/>
      <c r="E234" s="6"/>
      <c r="F234" s="6"/>
    </row>
    <row r="235" spans="3:6" ht="13">
      <c r="C235" s="6"/>
      <c r="D235" s="6"/>
      <c r="E235" s="6"/>
      <c r="F235" s="6"/>
    </row>
    <row r="236" spans="3:6" ht="13">
      <c r="C236" s="6"/>
      <c r="D236" s="6"/>
      <c r="E236" s="6"/>
      <c r="F236" s="6"/>
    </row>
    <row r="237" spans="3:6" ht="13">
      <c r="C237" s="6"/>
      <c r="D237" s="6"/>
      <c r="E237" s="6"/>
      <c r="F237" s="6"/>
    </row>
    <row r="238" spans="3:6" ht="13">
      <c r="C238" s="6"/>
      <c r="D238" s="6"/>
      <c r="E238" s="6"/>
      <c r="F238" s="6"/>
    </row>
    <row r="239" spans="3:6" ht="13">
      <c r="C239" s="6"/>
      <c r="D239" s="6"/>
      <c r="E239" s="6"/>
      <c r="F239" s="6"/>
    </row>
    <row r="240" spans="3:6" ht="13">
      <c r="C240" s="6"/>
      <c r="D240" s="6"/>
      <c r="E240" s="6"/>
      <c r="F240" s="6"/>
    </row>
    <row r="241" spans="3:6" ht="13">
      <c r="C241" s="6"/>
      <c r="D241" s="6"/>
      <c r="E241" s="6"/>
      <c r="F241" s="6"/>
    </row>
    <row r="242" spans="3:6" ht="13">
      <c r="C242" s="6"/>
      <c r="D242" s="6"/>
      <c r="E242" s="6"/>
      <c r="F242" s="6"/>
    </row>
    <row r="243" spans="3:6" ht="13">
      <c r="C243" s="6"/>
      <c r="D243" s="6"/>
      <c r="E243" s="6"/>
      <c r="F243" s="6"/>
    </row>
    <row r="244" spans="3:6" ht="13">
      <c r="C244" s="6"/>
      <c r="D244" s="6"/>
      <c r="E244" s="6"/>
      <c r="F244" s="6"/>
    </row>
    <row r="245" spans="3:6" ht="13">
      <c r="C245" s="6"/>
      <c r="D245" s="6"/>
      <c r="E245" s="6"/>
      <c r="F245" s="6"/>
    </row>
    <row r="246" spans="3:6" ht="13">
      <c r="C246" s="6"/>
      <c r="D246" s="6"/>
      <c r="E246" s="6"/>
      <c r="F246" s="6"/>
    </row>
    <row r="247" spans="3:6" ht="13">
      <c r="C247" s="6"/>
      <c r="D247" s="6"/>
      <c r="E247" s="6"/>
      <c r="F247" s="6"/>
    </row>
    <row r="248" spans="3:6" ht="13">
      <c r="C248" s="6"/>
      <c r="D248" s="6"/>
      <c r="E248" s="6"/>
      <c r="F248" s="6"/>
    </row>
    <row r="249" spans="3:6" ht="13">
      <c r="C249" s="6"/>
      <c r="D249" s="6"/>
      <c r="E249" s="6"/>
      <c r="F249" s="6"/>
    </row>
    <row r="250" spans="3:6" ht="13">
      <c r="C250" s="6"/>
      <c r="D250" s="6"/>
      <c r="E250" s="6"/>
      <c r="F250" s="6"/>
    </row>
    <row r="251" spans="3:6" ht="13">
      <c r="C251" s="6"/>
      <c r="D251" s="6"/>
      <c r="E251" s="6"/>
      <c r="F251" s="6"/>
    </row>
    <row r="252" spans="3:6" ht="13">
      <c r="C252" s="6"/>
      <c r="D252" s="6"/>
      <c r="E252" s="6"/>
      <c r="F252" s="6"/>
    </row>
    <row r="253" spans="3:6" ht="13">
      <c r="C253" s="6"/>
      <c r="D253" s="6"/>
      <c r="E253" s="6"/>
      <c r="F253" s="6"/>
    </row>
    <row r="254" spans="3:6" ht="13">
      <c r="C254" s="6"/>
      <c r="D254" s="6"/>
      <c r="E254" s="6"/>
      <c r="F254" s="6"/>
    </row>
    <row r="255" spans="3:6" ht="13">
      <c r="C255" s="6"/>
      <c r="D255" s="6"/>
      <c r="E255" s="6"/>
      <c r="F255" s="6"/>
    </row>
    <row r="256" spans="3:6" ht="13">
      <c r="C256" s="6"/>
      <c r="D256" s="6"/>
      <c r="E256" s="6"/>
      <c r="F256" s="6"/>
    </row>
    <row r="257" spans="3:6" ht="13">
      <c r="C257" s="6"/>
      <c r="D257" s="6"/>
      <c r="E257" s="6"/>
      <c r="F257" s="6"/>
    </row>
    <row r="258" spans="3:6" ht="13">
      <c r="C258" s="6"/>
      <c r="D258" s="6"/>
      <c r="E258" s="6"/>
      <c r="F258" s="6"/>
    </row>
    <row r="259" spans="3:6" ht="13">
      <c r="C259" s="6"/>
      <c r="D259" s="6"/>
      <c r="E259" s="6"/>
      <c r="F259" s="6"/>
    </row>
    <row r="260" spans="3:6" ht="13">
      <c r="C260" s="6"/>
      <c r="D260" s="6"/>
      <c r="E260" s="6"/>
      <c r="F260" s="6"/>
    </row>
    <row r="261" spans="3:6" ht="13">
      <c r="C261" s="6"/>
      <c r="D261" s="6"/>
      <c r="E261" s="6"/>
      <c r="F261" s="6"/>
    </row>
    <row r="262" spans="3:6" ht="13">
      <c r="C262" s="6"/>
      <c r="D262" s="6"/>
      <c r="E262" s="6"/>
      <c r="F262" s="6"/>
    </row>
    <row r="263" spans="3:6" ht="13">
      <c r="C263" s="6"/>
      <c r="D263" s="6"/>
      <c r="E263" s="6"/>
      <c r="F263" s="6"/>
    </row>
    <row r="264" spans="3:6" ht="13">
      <c r="C264" s="6"/>
      <c r="D264" s="6"/>
      <c r="E264" s="6"/>
      <c r="F264" s="6"/>
    </row>
    <row r="265" spans="3:6" ht="13">
      <c r="C265" s="6"/>
      <c r="D265" s="6"/>
      <c r="E265" s="6"/>
      <c r="F265" s="6"/>
    </row>
    <row r="266" spans="3:6" ht="13">
      <c r="C266" s="6"/>
      <c r="D266" s="6"/>
      <c r="E266" s="6"/>
      <c r="F266" s="6"/>
    </row>
    <row r="267" spans="3:6" ht="13">
      <c r="C267" s="6"/>
      <c r="D267" s="6"/>
      <c r="E267" s="6"/>
      <c r="F267" s="6"/>
    </row>
    <row r="268" spans="3:6" ht="13">
      <c r="C268" s="6"/>
      <c r="D268" s="6"/>
      <c r="E268" s="6"/>
      <c r="F268" s="6"/>
    </row>
    <row r="269" spans="3:6" ht="13">
      <c r="C269" s="6"/>
      <c r="D269" s="6"/>
      <c r="E269" s="6"/>
      <c r="F269" s="6"/>
    </row>
    <row r="270" spans="3:6" ht="13">
      <c r="C270" s="6"/>
      <c r="D270" s="6"/>
      <c r="E270" s="6"/>
      <c r="F270" s="6"/>
    </row>
    <row r="271" spans="3:6" ht="13">
      <c r="C271" s="6"/>
      <c r="D271" s="6"/>
      <c r="E271" s="6"/>
      <c r="F271" s="6"/>
    </row>
    <row r="272" spans="3:6" ht="13">
      <c r="C272" s="6"/>
      <c r="D272" s="6"/>
      <c r="E272" s="6"/>
      <c r="F272" s="6"/>
    </row>
    <row r="273" spans="3:6" ht="13">
      <c r="C273" s="6"/>
      <c r="D273" s="6"/>
      <c r="E273" s="6"/>
      <c r="F273" s="6"/>
    </row>
    <row r="274" spans="3:6" ht="13">
      <c r="C274" s="6"/>
      <c r="D274" s="6"/>
      <c r="E274" s="6"/>
      <c r="F274" s="6"/>
    </row>
    <row r="275" spans="3:6" ht="13">
      <c r="C275" s="6"/>
      <c r="D275" s="6"/>
      <c r="E275" s="6"/>
      <c r="F275" s="6"/>
    </row>
    <row r="276" spans="3:6" ht="13">
      <c r="C276" s="6"/>
      <c r="D276" s="6"/>
      <c r="E276" s="6"/>
      <c r="F276" s="6"/>
    </row>
    <row r="277" spans="3:6" ht="13">
      <c r="C277" s="6"/>
      <c r="D277" s="6"/>
      <c r="E277" s="6"/>
      <c r="F277" s="6"/>
    </row>
    <row r="278" spans="3:6" ht="13">
      <c r="C278" s="6"/>
      <c r="D278" s="6"/>
      <c r="E278" s="6"/>
      <c r="F278" s="6"/>
    </row>
    <row r="279" spans="3:6" ht="13">
      <c r="C279" s="6"/>
      <c r="D279" s="6"/>
      <c r="E279" s="6"/>
      <c r="F279" s="6"/>
    </row>
    <row r="280" spans="3:6" ht="13">
      <c r="C280" s="6"/>
      <c r="D280" s="6"/>
      <c r="E280" s="6"/>
      <c r="F280" s="6"/>
    </row>
    <row r="281" spans="3:6" ht="13">
      <c r="C281" s="6"/>
      <c r="D281" s="6"/>
      <c r="E281" s="6"/>
      <c r="F281" s="6"/>
    </row>
    <row r="282" spans="3:6" ht="13">
      <c r="C282" s="6"/>
      <c r="D282" s="6"/>
      <c r="E282" s="6"/>
      <c r="F282" s="6"/>
    </row>
    <row r="283" spans="3:6" ht="13">
      <c r="C283" s="6"/>
      <c r="D283" s="6"/>
      <c r="E283" s="6"/>
      <c r="F283" s="6"/>
    </row>
    <row r="284" spans="3:6" ht="13">
      <c r="C284" s="6"/>
      <c r="D284" s="6"/>
      <c r="E284" s="6"/>
      <c r="F284" s="6"/>
    </row>
    <row r="285" spans="3:6" ht="13">
      <c r="C285" s="6"/>
      <c r="D285" s="6"/>
      <c r="E285" s="6"/>
      <c r="F285" s="6"/>
    </row>
    <row r="286" spans="3:6" ht="13">
      <c r="C286" s="6"/>
      <c r="D286" s="6"/>
      <c r="E286" s="6"/>
      <c r="F286" s="6"/>
    </row>
    <row r="287" spans="3:6" ht="13">
      <c r="C287" s="6"/>
      <c r="D287" s="6"/>
      <c r="E287" s="6"/>
      <c r="F287" s="6"/>
    </row>
    <row r="288" spans="3:6" ht="13">
      <c r="C288" s="6"/>
      <c r="D288" s="6"/>
      <c r="E288" s="6"/>
      <c r="F288" s="6"/>
    </row>
    <row r="289" spans="3:6" ht="13">
      <c r="C289" s="6"/>
      <c r="D289" s="6"/>
      <c r="E289" s="6"/>
      <c r="F289" s="6"/>
    </row>
    <row r="290" spans="3:6" ht="13">
      <c r="C290" s="6"/>
      <c r="D290" s="6"/>
      <c r="E290" s="6"/>
      <c r="F290" s="6"/>
    </row>
    <row r="291" spans="3:6" ht="13">
      <c r="C291" s="6"/>
      <c r="D291" s="6"/>
      <c r="E291" s="6"/>
      <c r="F291" s="6"/>
    </row>
    <row r="292" spans="3:6" ht="13">
      <c r="C292" s="6"/>
      <c r="D292" s="6"/>
      <c r="E292" s="6"/>
      <c r="F292" s="6"/>
    </row>
    <row r="293" spans="3:6" ht="13">
      <c r="C293" s="6"/>
      <c r="D293" s="6"/>
      <c r="E293" s="6"/>
      <c r="F293" s="6"/>
    </row>
    <row r="294" spans="3:6" ht="13">
      <c r="C294" s="6"/>
      <c r="D294" s="6"/>
      <c r="E294" s="6"/>
      <c r="F294" s="6"/>
    </row>
    <row r="295" spans="3:6" ht="13">
      <c r="C295" s="6"/>
      <c r="D295" s="6"/>
      <c r="E295" s="6"/>
      <c r="F295" s="6"/>
    </row>
    <row r="296" spans="3:6" ht="13">
      <c r="C296" s="6"/>
      <c r="D296" s="6"/>
      <c r="E296" s="6"/>
      <c r="F296" s="6"/>
    </row>
    <row r="297" spans="3:6" ht="13">
      <c r="C297" s="6"/>
      <c r="D297" s="6"/>
      <c r="E297" s="6"/>
      <c r="F297" s="6"/>
    </row>
    <row r="298" spans="3:6" ht="13">
      <c r="C298" s="6"/>
      <c r="D298" s="6"/>
      <c r="E298" s="6"/>
      <c r="F298" s="6"/>
    </row>
    <row r="299" spans="3:6" ht="13">
      <c r="C299" s="6"/>
      <c r="D299" s="6"/>
      <c r="E299" s="6"/>
      <c r="F299" s="6"/>
    </row>
    <row r="300" spans="3:6" ht="13">
      <c r="C300" s="6"/>
      <c r="D300" s="6"/>
      <c r="E300" s="6"/>
      <c r="F300" s="6"/>
    </row>
    <row r="301" spans="3:6" ht="13">
      <c r="C301" s="6"/>
      <c r="D301" s="6"/>
      <c r="E301" s="6"/>
      <c r="F301" s="6"/>
    </row>
    <row r="302" spans="3:6" ht="13">
      <c r="C302" s="6"/>
      <c r="D302" s="6"/>
      <c r="E302" s="6"/>
      <c r="F302" s="6"/>
    </row>
    <row r="303" spans="3:6" ht="13">
      <c r="C303" s="6"/>
      <c r="D303" s="6"/>
      <c r="E303" s="6"/>
      <c r="F303" s="6"/>
    </row>
    <row r="304" spans="3:6" ht="13">
      <c r="C304" s="6"/>
      <c r="D304" s="6"/>
      <c r="E304" s="6"/>
      <c r="F304" s="6"/>
    </row>
    <row r="305" spans="3:6" ht="13">
      <c r="C305" s="6"/>
      <c r="D305" s="6"/>
      <c r="E305" s="6"/>
      <c r="F305" s="6"/>
    </row>
    <row r="306" spans="3:6" ht="13">
      <c r="C306" s="6"/>
      <c r="D306" s="6"/>
      <c r="E306" s="6"/>
      <c r="F306" s="6"/>
    </row>
    <row r="307" spans="3:6" ht="13">
      <c r="C307" s="6"/>
      <c r="D307" s="6"/>
      <c r="E307" s="6"/>
      <c r="F307" s="6"/>
    </row>
    <row r="308" spans="3:6" ht="13">
      <c r="C308" s="6"/>
      <c r="D308" s="6"/>
      <c r="E308" s="6"/>
      <c r="F308" s="6"/>
    </row>
    <row r="309" spans="3:6" ht="13">
      <c r="C309" s="6"/>
      <c r="D309" s="6"/>
      <c r="E309" s="6"/>
      <c r="F309" s="6"/>
    </row>
    <row r="310" spans="3:6" ht="13">
      <c r="C310" s="6"/>
      <c r="D310" s="6"/>
      <c r="E310" s="6"/>
      <c r="F310" s="6"/>
    </row>
    <row r="311" spans="3:6" ht="13">
      <c r="C311" s="6"/>
      <c r="D311" s="6"/>
      <c r="E311" s="6"/>
      <c r="F311" s="6"/>
    </row>
    <row r="312" spans="3:6" ht="13">
      <c r="C312" s="6"/>
      <c r="D312" s="6"/>
      <c r="E312" s="6"/>
      <c r="F312" s="6"/>
    </row>
    <row r="313" spans="3:6" ht="13">
      <c r="C313" s="6"/>
      <c r="D313" s="6"/>
      <c r="E313" s="6"/>
      <c r="F313" s="6"/>
    </row>
    <row r="314" spans="3:6" ht="13">
      <c r="C314" s="6"/>
      <c r="D314" s="6"/>
      <c r="E314" s="6"/>
      <c r="F314" s="6"/>
    </row>
    <row r="315" spans="3:6" ht="13">
      <c r="C315" s="6"/>
      <c r="D315" s="6"/>
      <c r="E315" s="6"/>
      <c r="F315" s="6"/>
    </row>
    <row r="316" spans="3:6" ht="13">
      <c r="C316" s="6"/>
      <c r="D316" s="6"/>
      <c r="E316" s="6"/>
      <c r="F316" s="6"/>
    </row>
    <row r="317" spans="3:6" ht="13">
      <c r="C317" s="6"/>
      <c r="D317" s="6"/>
      <c r="E317" s="6"/>
      <c r="F317" s="6"/>
    </row>
    <row r="318" spans="3:6" ht="13">
      <c r="C318" s="6"/>
      <c r="D318" s="6"/>
      <c r="E318" s="6"/>
      <c r="F318" s="6"/>
    </row>
    <row r="319" spans="3:6" ht="13">
      <c r="C319" s="6"/>
      <c r="D319" s="6"/>
      <c r="E319" s="6"/>
      <c r="F319" s="6"/>
    </row>
    <row r="320" spans="3:6" ht="13">
      <c r="C320" s="6"/>
      <c r="D320" s="6"/>
      <c r="E320" s="6"/>
      <c r="F320" s="6"/>
    </row>
    <row r="321" spans="3:6" ht="13">
      <c r="C321" s="6"/>
      <c r="D321" s="6"/>
      <c r="E321" s="6"/>
      <c r="F321" s="6"/>
    </row>
    <row r="322" spans="3:6" ht="13">
      <c r="C322" s="6"/>
      <c r="D322" s="6"/>
      <c r="E322" s="6"/>
      <c r="F322" s="6"/>
    </row>
    <row r="323" spans="3:6" ht="13">
      <c r="C323" s="6"/>
      <c r="D323" s="6"/>
      <c r="E323" s="6"/>
      <c r="F323" s="6"/>
    </row>
    <row r="324" spans="3:6" ht="13">
      <c r="C324" s="6"/>
      <c r="D324" s="6"/>
      <c r="E324" s="6"/>
      <c r="F324" s="6"/>
    </row>
    <row r="325" spans="3:6" ht="13">
      <c r="C325" s="6"/>
      <c r="D325" s="6"/>
      <c r="E325" s="6"/>
      <c r="F325" s="6"/>
    </row>
    <row r="326" spans="3:6" ht="13">
      <c r="C326" s="6"/>
      <c r="D326" s="6"/>
      <c r="E326" s="6"/>
      <c r="F326" s="6"/>
    </row>
    <row r="327" spans="3:6" ht="13">
      <c r="C327" s="6"/>
      <c r="D327" s="6"/>
      <c r="E327" s="6"/>
      <c r="F327" s="6"/>
    </row>
    <row r="328" spans="3:6" ht="13">
      <c r="C328" s="6"/>
      <c r="D328" s="6"/>
      <c r="E328" s="6"/>
      <c r="F328" s="6"/>
    </row>
    <row r="329" spans="3:6" ht="13">
      <c r="C329" s="6"/>
      <c r="D329" s="6"/>
      <c r="E329" s="6"/>
      <c r="F329" s="6"/>
    </row>
    <row r="330" spans="3:6" ht="13">
      <c r="C330" s="6"/>
      <c r="D330" s="6"/>
      <c r="E330" s="6"/>
      <c r="F330" s="6"/>
    </row>
    <row r="331" spans="3:6" ht="13">
      <c r="C331" s="6"/>
      <c r="D331" s="6"/>
      <c r="E331" s="6"/>
      <c r="F331" s="6"/>
    </row>
    <row r="332" spans="3:6" ht="13">
      <c r="C332" s="6"/>
      <c r="D332" s="6"/>
      <c r="E332" s="6"/>
      <c r="F332" s="6"/>
    </row>
    <row r="333" spans="3:6" ht="13">
      <c r="C333" s="6"/>
      <c r="D333" s="6"/>
      <c r="E333" s="6"/>
      <c r="F333" s="6"/>
    </row>
    <row r="334" spans="3:6" ht="13">
      <c r="C334" s="6"/>
      <c r="D334" s="6"/>
      <c r="E334" s="6"/>
      <c r="F334" s="6"/>
    </row>
    <row r="335" spans="3:6" ht="13">
      <c r="C335" s="6"/>
      <c r="D335" s="6"/>
      <c r="E335" s="6"/>
      <c r="F335" s="6"/>
    </row>
    <row r="336" spans="3:6" ht="13">
      <c r="C336" s="6"/>
      <c r="D336" s="6"/>
      <c r="E336" s="6"/>
      <c r="F336" s="6"/>
    </row>
    <row r="337" spans="3:6" ht="13">
      <c r="C337" s="6"/>
      <c r="D337" s="6"/>
      <c r="E337" s="6"/>
      <c r="F337" s="6"/>
    </row>
    <row r="338" spans="3:6" ht="13">
      <c r="C338" s="6"/>
      <c r="D338" s="6"/>
      <c r="E338" s="6"/>
      <c r="F338" s="6"/>
    </row>
    <row r="339" spans="3:6" ht="13">
      <c r="C339" s="6"/>
      <c r="D339" s="6"/>
      <c r="E339" s="6"/>
      <c r="F339" s="6"/>
    </row>
    <row r="340" spans="3:6" ht="13">
      <c r="C340" s="6"/>
      <c r="D340" s="6"/>
      <c r="E340" s="6"/>
      <c r="F340" s="6"/>
    </row>
    <row r="341" spans="3:6" ht="13">
      <c r="C341" s="6"/>
      <c r="D341" s="6"/>
      <c r="E341" s="6"/>
      <c r="F341" s="6"/>
    </row>
    <row r="342" spans="3:6" ht="13">
      <c r="C342" s="6"/>
      <c r="D342" s="6"/>
      <c r="E342" s="6"/>
      <c r="F342" s="6"/>
    </row>
    <row r="343" spans="3:6" ht="13">
      <c r="C343" s="6"/>
      <c r="D343" s="6"/>
      <c r="E343" s="6"/>
      <c r="F343" s="6"/>
    </row>
    <row r="344" spans="3:6" ht="13">
      <c r="C344" s="6"/>
      <c r="D344" s="6"/>
      <c r="E344" s="6"/>
      <c r="F344" s="6"/>
    </row>
    <row r="345" spans="3:6" ht="13">
      <c r="C345" s="6"/>
      <c r="D345" s="6"/>
      <c r="E345" s="6"/>
      <c r="F345" s="6"/>
    </row>
    <row r="346" spans="3:6" ht="13">
      <c r="C346" s="6"/>
      <c r="D346" s="6"/>
      <c r="E346" s="6"/>
      <c r="F346" s="6"/>
    </row>
    <row r="347" spans="3:6" ht="13">
      <c r="C347" s="6"/>
      <c r="D347" s="6"/>
      <c r="E347" s="6"/>
      <c r="F347" s="6"/>
    </row>
    <row r="348" spans="3:6" ht="13">
      <c r="C348" s="6"/>
      <c r="D348" s="6"/>
      <c r="E348" s="6"/>
      <c r="F348" s="6"/>
    </row>
    <row r="349" spans="3:6" ht="13">
      <c r="C349" s="6"/>
      <c r="D349" s="6"/>
      <c r="E349" s="6"/>
      <c r="F349" s="6"/>
    </row>
    <row r="350" spans="3:6" ht="13">
      <c r="C350" s="6"/>
      <c r="D350" s="6"/>
      <c r="E350" s="6"/>
      <c r="F350" s="6"/>
    </row>
    <row r="351" spans="3:6" ht="13">
      <c r="C351" s="6"/>
      <c r="D351" s="6"/>
      <c r="E351" s="6"/>
      <c r="F351" s="6"/>
    </row>
    <row r="352" spans="3:6" ht="13">
      <c r="C352" s="6"/>
      <c r="D352" s="6"/>
      <c r="E352" s="6"/>
      <c r="F352" s="6"/>
    </row>
    <row r="353" spans="3:6" ht="13">
      <c r="C353" s="6"/>
      <c r="D353" s="6"/>
      <c r="E353" s="6"/>
      <c r="F353" s="6"/>
    </row>
    <row r="354" spans="3:6" ht="13">
      <c r="C354" s="6"/>
      <c r="D354" s="6"/>
      <c r="E354" s="6"/>
      <c r="F354" s="6"/>
    </row>
    <row r="355" spans="3:6" ht="13">
      <c r="C355" s="6"/>
      <c r="D355" s="6"/>
      <c r="E355" s="6"/>
      <c r="F355" s="6"/>
    </row>
    <row r="356" spans="3:6" ht="13">
      <c r="C356" s="6"/>
      <c r="D356" s="6"/>
      <c r="E356" s="6"/>
      <c r="F356" s="6"/>
    </row>
    <row r="357" spans="3:6" ht="13">
      <c r="C357" s="6"/>
      <c r="D357" s="6"/>
      <c r="E357" s="6"/>
      <c r="F357" s="6"/>
    </row>
    <row r="358" spans="3:6" ht="13">
      <c r="C358" s="6"/>
      <c r="D358" s="6"/>
      <c r="E358" s="6"/>
      <c r="F358" s="6"/>
    </row>
    <row r="359" spans="3:6" ht="13">
      <c r="C359" s="6"/>
      <c r="D359" s="6"/>
      <c r="E359" s="6"/>
      <c r="F359" s="6"/>
    </row>
    <row r="360" spans="3:6" ht="13">
      <c r="C360" s="6"/>
      <c r="D360" s="6"/>
      <c r="E360" s="6"/>
      <c r="F360" s="6"/>
    </row>
    <row r="361" spans="3:6" ht="13">
      <c r="C361" s="6"/>
      <c r="D361" s="6"/>
      <c r="E361" s="6"/>
      <c r="F361" s="6"/>
    </row>
    <row r="362" spans="3:6" ht="13">
      <c r="C362" s="6"/>
      <c r="D362" s="6"/>
      <c r="E362" s="6"/>
      <c r="F362" s="6"/>
    </row>
    <row r="363" spans="3:6" ht="13">
      <c r="C363" s="6"/>
      <c r="D363" s="6"/>
      <c r="E363" s="6"/>
      <c r="F363" s="6"/>
    </row>
    <row r="364" spans="3:6" ht="13">
      <c r="C364" s="6"/>
      <c r="D364" s="6"/>
      <c r="E364" s="6"/>
      <c r="F364" s="6"/>
    </row>
    <row r="365" spans="3:6" ht="13">
      <c r="C365" s="6"/>
      <c r="D365" s="6"/>
      <c r="E365" s="6"/>
      <c r="F365" s="6"/>
    </row>
    <row r="366" spans="3:6" ht="13">
      <c r="C366" s="6"/>
      <c r="D366" s="6"/>
      <c r="E366" s="6"/>
      <c r="F366" s="6"/>
    </row>
    <row r="367" spans="3:6" ht="13">
      <c r="C367" s="6"/>
      <c r="D367" s="6"/>
      <c r="E367" s="6"/>
      <c r="F367" s="6"/>
    </row>
    <row r="368" spans="3:6" ht="13">
      <c r="C368" s="6"/>
      <c r="D368" s="6"/>
      <c r="E368" s="6"/>
      <c r="F368" s="6"/>
    </row>
    <row r="369" spans="3:6" ht="13">
      <c r="C369" s="6"/>
      <c r="D369" s="6"/>
      <c r="E369" s="6"/>
      <c r="F369" s="6"/>
    </row>
    <row r="370" spans="3:6" ht="13">
      <c r="C370" s="6"/>
      <c r="D370" s="6"/>
      <c r="E370" s="6"/>
      <c r="F370" s="6"/>
    </row>
    <row r="371" spans="3:6" ht="13">
      <c r="C371" s="6"/>
      <c r="D371" s="6"/>
      <c r="E371" s="6"/>
      <c r="F371" s="6"/>
    </row>
    <row r="372" spans="3:6" ht="13">
      <c r="C372" s="6"/>
      <c r="D372" s="6"/>
      <c r="E372" s="6"/>
      <c r="F372" s="6"/>
    </row>
    <row r="373" spans="3:6" ht="13">
      <c r="C373" s="6"/>
      <c r="D373" s="6"/>
      <c r="E373" s="6"/>
      <c r="F373" s="6"/>
    </row>
    <row r="374" spans="3:6" ht="13">
      <c r="C374" s="6"/>
      <c r="D374" s="6"/>
      <c r="E374" s="6"/>
      <c r="F374" s="6"/>
    </row>
    <row r="375" spans="3:6" ht="13">
      <c r="C375" s="6"/>
      <c r="D375" s="6"/>
      <c r="E375" s="6"/>
      <c r="F375" s="6"/>
    </row>
    <row r="376" spans="3:6" ht="13">
      <c r="C376" s="6"/>
      <c r="D376" s="6"/>
      <c r="E376" s="6"/>
      <c r="F376" s="6"/>
    </row>
    <row r="377" spans="3:6" ht="13">
      <c r="C377" s="6"/>
      <c r="D377" s="6"/>
      <c r="E377" s="6"/>
      <c r="F377" s="6"/>
    </row>
    <row r="378" spans="3:6" ht="13">
      <c r="C378" s="6"/>
      <c r="D378" s="6"/>
      <c r="E378" s="6"/>
      <c r="F378" s="6"/>
    </row>
    <row r="379" spans="3:6" ht="13">
      <c r="C379" s="6"/>
      <c r="D379" s="6"/>
      <c r="E379" s="6"/>
      <c r="F379" s="6"/>
    </row>
    <row r="380" spans="3:6" ht="13">
      <c r="C380" s="6"/>
      <c r="D380" s="6"/>
      <c r="E380" s="6"/>
      <c r="F380" s="6"/>
    </row>
    <row r="381" spans="3:6" ht="13">
      <c r="C381" s="6"/>
      <c r="D381" s="6"/>
      <c r="E381" s="6"/>
      <c r="F381" s="6"/>
    </row>
    <row r="382" spans="3:6" ht="13">
      <c r="C382" s="6"/>
      <c r="D382" s="6"/>
      <c r="E382" s="6"/>
      <c r="F382" s="6"/>
    </row>
    <row r="383" spans="3:6" ht="13">
      <c r="C383" s="6"/>
      <c r="D383" s="6"/>
      <c r="E383" s="6"/>
      <c r="F383" s="6"/>
    </row>
    <row r="384" spans="3:6" ht="13">
      <c r="C384" s="6"/>
      <c r="D384" s="6"/>
      <c r="E384" s="6"/>
      <c r="F384" s="6"/>
    </row>
    <row r="385" spans="3:6" ht="13">
      <c r="C385" s="6"/>
      <c r="D385" s="6"/>
      <c r="E385" s="6"/>
      <c r="F385" s="6"/>
    </row>
    <row r="386" spans="3:6" ht="13">
      <c r="C386" s="6"/>
      <c r="D386" s="6"/>
      <c r="E386" s="6"/>
      <c r="F386" s="6"/>
    </row>
    <row r="387" spans="3:6" ht="13">
      <c r="C387" s="6"/>
      <c r="D387" s="6"/>
      <c r="E387" s="6"/>
      <c r="F387" s="6"/>
    </row>
    <row r="388" spans="3:6" ht="13">
      <c r="C388" s="6"/>
      <c r="D388" s="6"/>
      <c r="E388" s="6"/>
      <c r="F388" s="6"/>
    </row>
    <row r="389" spans="3:6" ht="13">
      <c r="C389" s="6"/>
      <c r="D389" s="6"/>
      <c r="E389" s="6"/>
      <c r="F389" s="6"/>
    </row>
    <row r="390" spans="3:6" ht="13">
      <c r="C390" s="6"/>
      <c r="D390" s="6"/>
      <c r="E390" s="6"/>
      <c r="F390" s="6"/>
    </row>
    <row r="391" spans="3:6" ht="13">
      <c r="C391" s="6"/>
      <c r="D391" s="6"/>
      <c r="E391" s="6"/>
      <c r="F391" s="6"/>
    </row>
    <row r="392" spans="3:6" ht="13">
      <c r="C392" s="6"/>
      <c r="D392" s="6"/>
      <c r="E392" s="6"/>
      <c r="F392" s="6"/>
    </row>
    <row r="393" spans="3:6" ht="13">
      <c r="C393" s="6"/>
      <c r="D393" s="6"/>
      <c r="E393" s="6"/>
      <c r="F393" s="6"/>
    </row>
    <row r="394" spans="3:6" ht="13">
      <c r="C394" s="6"/>
      <c r="D394" s="6"/>
      <c r="E394" s="6"/>
      <c r="F394" s="6"/>
    </row>
    <row r="395" spans="3:6" ht="13">
      <c r="C395" s="6"/>
      <c r="D395" s="6"/>
      <c r="E395" s="6"/>
      <c r="F395" s="6"/>
    </row>
    <row r="396" spans="3:6" ht="13">
      <c r="C396" s="6"/>
      <c r="D396" s="6"/>
      <c r="E396" s="6"/>
      <c r="F396" s="6"/>
    </row>
    <row r="397" spans="3:6" ht="13">
      <c r="C397" s="6"/>
      <c r="D397" s="6"/>
      <c r="E397" s="6"/>
      <c r="F397" s="6"/>
    </row>
    <row r="398" spans="3:6" ht="13">
      <c r="C398" s="6"/>
      <c r="D398" s="6"/>
      <c r="E398" s="6"/>
      <c r="F398" s="6"/>
    </row>
    <row r="399" spans="3:6" ht="13">
      <c r="C399" s="6"/>
      <c r="D399" s="6"/>
      <c r="E399" s="6"/>
      <c r="F399" s="6"/>
    </row>
    <row r="400" spans="3:6" ht="13">
      <c r="C400" s="6"/>
      <c r="D400" s="6"/>
      <c r="E400" s="6"/>
      <c r="F400" s="6"/>
    </row>
    <row r="401" spans="3:6" ht="13">
      <c r="C401" s="6"/>
      <c r="D401" s="6"/>
      <c r="E401" s="6"/>
      <c r="F401" s="6"/>
    </row>
    <row r="402" spans="3:6" ht="13">
      <c r="C402" s="6"/>
      <c r="D402" s="6"/>
      <c r="E402" s="6"/>
      <c r="F402" s="6"/>
    </row>
    <row r="403" spans="3:6" ht="13">
      <c r="C403" s="6"/>
      <c r="D403" s="6"/>
      <c r="E403" s="6"/>
      <c r="F403" s="6"/>
    </row>
    <row r="404" spans="3:6" ht="13">
      <c r="C404" s="6"/>
      <c r="D404" s="6"/>
      <c r="E404" s="6"/>
      <c r="F404" s="6"/>
    </row>
    <row r="405" spans="3:6" ht="13">
      <c r="C405" s="6"/>
      <c r="D405" s="6"/>
      <c r="E405" s="6"/>
      <c r="F405" s="6"/>
    </row>
    <row r="406" spans="3:6" ht="13">
      <c r="C406" s="6"/>
      <c r="D406" s="6"/>
      <c r="E406" s="6"/>
      <c r="F406" s="6"/>
    </row>
    <row r="407" spans="3:6" ht="13">
      <c r="C407" s="6"/>
      <c r="D407" s="6"/>
      <c r="E407" s="6"/>
      <c r="F407" s="6"/>
    </row>
    <row r="408" spans="3:6" ht="13">
      <c r="C408" s="6"/>
      <c r="D408" s="6"/>
      <c r="E408" s="6"/>
      <c r="F408" s="6"/>
    </row>
    <row r="409" spans="3:6" ht="13">
      <c r="C409" s="6"/>
      <c r="D409" s="6"/>
      <c r="E409" s="6"/>
      <c r="F409" s="6"/>
    </row>
    <row r="410" spans="3:6" ht="13">
      <c r="C410" s="6"/>
      <c r="D410" s="6"/>
      <c r="E410" s="6"/>
      <c r="F410" s="6"/>
    </row>
    <row r="411" spans="3:6" ht="13">
      <c r="C411" s="6"/>
      <c r="D411" s="6"/>
      <c r="E411" s="6"/>
      <c r="F411" s="6"/>
    </row>
    <row r="412" spans="3:6" ht="13">
      <c r="C412" s="6"/>
      <c r="D412" s="6"/>
      <c r="E412" s="6"/>
      <c r="F412" s="6"/>
    </row>
    <row r="413" spans="3:6" ht="13">
      <c r="C413" s="6"/>
      <c r="D413" s="6"/>
      <c r="E413" s="6"/>
      <c r="F413" s="6"/>
    </row>
    <row r="414" spans="3:6" ht="13">
      <c r="C414" s="6"/>
      <c r="D414" s="6"/>
      <c r="E414" s="6"/>
      <c r="F414" s="6"/>
    </row>
    <row r="415" spans="3:6" ht="13">
      <c r="C415" s="6"/>
      <c r="D415" s="6"/>
      <c r="E415" s="6"/>
      <c r="F415" s="6"/>
    </row>
    <row r="416" spans="3:6" ht="13">
      <c r="C416" s="6"/>
      <c r="D416" s="6"/>
      <c r="E416" s="6"/>
      <c r="F416" s="6"/>
    </row>
    <row r="417" spans="3:6" ht="13">
      <c r="C417" s="6"/>
      <c r="D417" s="6"/>
      <c r="E417" s="6"/>
      <c r="F417" s="6"/>
    </row>
    <row r="418" spans="3:6" ht="13">
      <c r="C418" s="6"/>
      <c r="D418" s="6"/>
      <c r="E418" s="6"/>
      <c r="F418" s="6"/>
    </row>
    <row r="419" spans="3:6" ht="13">
      <c r="C419" s="6"/>
      <c r="D419" s="6"/>
      <c r="E419" s="6"/>
      <c r="F419" s="6"/>
    </row>
    <row r="420" spans="3:6" ht="13">
      <c r="C420" s="6"/>
      <c r="D420" s="6"/>
      <c r="E420" s="6"/>
      <c r="F420" s="6"/>
    </row>
    <row r="421" spans="3:6" ht="13">
      <c r="C421" s="6"/>
      <c r="D421" s="6"/>
      <c r="E421" s="6"/>
      <c r="F421" s="6"/>
    </row>
    <row r="422" spans="3:6" ht="13">
      <c r="C422" s="6"/>
      <c r="D422" s="6"/>
      <c r="E422" s="6"/>
      <c r="F422" s="6"/>
    </row>
    <row r="423" spans="3:6" ht="13">
      <c r="C423" s="6"/>
      <c r="D423" s="6"/>
      <c r="E423" s="6"/>
      <c r="F423" s="6"/>
    </row>
    <row r="424" spans="3:6" ht="13">
      <c r="C424" s="6"/>
      <c r="D424" s="6"/>
      <c r="E424" s="6"/>
      <c r="F424" s="6"/>
    </row>
    <row r="425" spans="3:6" ht="13">
      <c r="C425" s="6"/>
      <c r="D425" s="6"/>
      <c r="E425" s="6"/>
      <c r="F425" s="6"/>
    </row>
    <row r="426" spans="3:6" ht="13">
      <c r="C426" s="6"/>
      <c r="D426" s="6"/>
      <c r="E426" s="6"/>
      <c r="F426" s="6"/>
    </row>
    <row r="427" spans="3:6" ht="13">
      <c r="C427" s="6"/>
      <c r="D427" s="6"/>
      <c r="E427" s="6"/>
      <c r="F427" s="6"/>
    </row>
    <row r="428" spans="3:6" ht="13">
      <c r="C428" s="6"/>
      <c r="D428" s="6"/>
      <c r="E428" s="6"/>
      <c r="F428" s="6"/>
    </row>
    <row r="429" spans="3:6" ht="13">
      <c r="C429" s="6"/>
      <c r="D429" s="6"/>
      <c r="E429" s="6"/>
      <c r="F429" s="6"/>
    </row>
    <row r="430" spans="3:6" ht="13">
      <c r="C430" s="6"/>
      <c r="D430" s="6"/>
      <c r="E430" s="6"/>
      <c r="F430" s="6"/>
    </row>
    <row r="431" spans="3:6" ht="13">
      <c r="C431" s="6"/>
      <c r="D431" s="6"/>
      <c r="E431" s="6"/>
      <c r="F431" s="6"/>
    </row>
    <row r="432" spans="3:6" ht="13">
      <c r="C432" s="6"/>
      <c r="D432" s="6"/>
      <c r="E432" s="6"/>
      <c r="F432" s="6"/>
    </row>
    <row r="433" spans="3:6" ht="13">
      <c r="C433" s="6"/>
      <c r="D433" s="6"/>
      <c r="E433" s="6"/>
      <c r="F433" s="6"/>
    </row>
    <row r="434" spans="3:6" ht="13">
      <c r="C434" s="6"/>
      <c r="D434" s="6"/>
      <c r="E434" s="6"/>
      <c r="F434" s="6"/>
    </row>
    <row r="435" spans="3:6" ht="13">
      <c r="C435" s="6"/>
      <c r="D435" s="6"/>
      <c r="E435" s="6"/>
      <c r="F435" s="6"/>
    </row>
    <row r="436" spans="3:6" ht="13">
      <c r="C436" s="6"/>
      <c r="D436" s="6"/>
      <c r="E436" s="6"/>
      <c r="F436" s="6"/>
    </row>
    <row r="437" spans="3:6" ht="13">
      <c r="C437" s="6"/>
      <c r="D437" s="6"/>
      <c r="E437" s="6"/>
      <c r="F437" s="6"/>
    </row>
    <row r="438" spans="3:6" ht="13">
      <c r="C438" s="6"/>
      <c r="D438" s="6"/>
      <c r="E438" s="6"/>
      <c r="F438" s="6"/>
    </row>
    <row r="439" spans="3:6" ht="13">
      <c r="C439" s="6"/>
      <c r="D439" s="6"/>
      <c r="E439" s="6"/>
      <c r="F439" s="6"/>
    </row>
    <row r="440" spans="3:6" ht="13">
      <c r="C440" s="6"/>
      <c r="D440" s="6"/>
      <c r="E440" s="6"/>
      <c r="F440" s="6"/>
    </row>
    <row r="441" spans="3:6" ht="13">
      <c r="C441" s="6"/>
      <c r="D441" s="6"/>
      <c r="E441" s="6"/>
      <c r="F441" s="6"/>
    </row>
    <row r="442" spans="3:6" ht="13">
      <c r="C442" s="6"/>
      <c r="D442" s="6"/>
      <c r="E442" s="6"/>
      <c r="F442" s="6"/>
    </row>
    <row r="443" spans="3:6" ht="13">
      <c r="C443" s="6"/>
      <c r="D443" s="6"/>
      <c r="E443" s="6"/>
      <c r="F443" s="6"/>
    </row>
    <row r="444" spans="3:6" ht="13">
      <c r="C444" s="6"/>
      <c r="D444" s="6"/>
      <c r="E444" s="6"/>
      <c r="F444" s="6"/>
    </row>
    <row r="445" spans="3:6" ht="13">
      <c r="C445" s="6"/>
      <c r="D445" s="6"/>
      <c r="E445" s="6"/>
      <c r="F445" s="6"/>
    </row>
    <row r="446" spans="3:6" ht="13">
      <c r="C446" s="6"/>
      <c r="D446" s="6"/>
      <c r="E446" s="6"/>
      <c r="F446" s="6"/>
    </row>
    <row r="447" spans="3:6" ht="13">
      <c r="C447" s="6"/>
      <c r="D447" s="6"/>
      <c r="E447" s="6"/>
      <c r="F447" s="6"/>
    </row>
    <row r="448" spans="3:6" ht="13">
      <c r="C448" s="6"/>
      <c r="D448" s="6"/>
      <c r="E448" s="6"/>
      <c r="F448" s="6"/>
    </row>
    <row r="449" spans="3:6" ht="13">
      <c r="C449" s="6"/>
      <c r="D449" s="6"/>
      <c r="E449" s="6"/>
      <c r="F449" s="6"/>
    </row>
    <row r="450" spans="3:6" ht="13">
      <c r="C450" s="6"/>
      <c r="D450" s="6"/>
      <c r="E450" s="6"/>
      <c r="F450" s="6"/>
    </row>
    <row r="451" spans="3:6" ht="13">
      <c r="C451" s="6"/>
      <c r="D451" s="6"/>
      <c r="E451" s="6"/>
      <c r="F451" s="6"/>
    </row>
    <row r="452" spans="3:6" ht="13">
      <c r="C452" s="6"/>
      <c r="D452" s="6"/>
      <c r="E452" s="6"/>
      <c r="F452" s="6"/>
    </row>
    <row r="453" spans="3:6" ht="13">
      <c r="C453" s="6"/>
      <c r="D453" s="6"/>
      <c r="E453" s="6"/>
      <c r="F453" s="6"/>
    </row>
    <row r="454" spans="3:6" ht="13">
      <c r="C454" s="6"/>
      <c r="D454" s="6"/>
      <c r="E454" s="6"/>
      <c r="F454" s="6"/>
    </row>
    <row r="455" spans="3:6" ht="13">
      <c r="C455" s="6"/>
      <c r="D455" s="6"/>
      <c r="E455" s="6"/>
      <c r="F455" s="6"/>
    </row>
    <row r="456" spans="3:6" ht="13">
      <c r="C456" s="6"/>
      <c r="D456" s="6"/>
      <c r="E456" s="6"/>
      <c r="F456" s="6"/>
    </row>
    <row r="457" spans="3:6" ht="13">
      <c r="C457" s="6"/>
      <c r="D457" s="6"/>
      <c r="E457" s="6"/>
      <c r="F457" s="6"/>
    </row>
    <row r="458" spans="3:6" ht="13">
      <c r="C458" s="6"/>
      <c r="D458" s="6"/>
      <c r="E458" s="6"/>
      <c r="F458" s="6"/>
    </row>
    <row r="459" spans="3:6" ht="13">
      <c r="C459" s="6"/>
      <c r="D459" s="6"/>
      <c r="E459" s="6"/>
      <c r="F459" s="6"/>
    </row>
    <row r="460" spans="3:6" ht="13">
      <c r="C460" s="6"/>
      <c r="D460" s="6"/>
      <c r="E460" s="6"/>
      <c r="F460" s="6"/>
    </row>
    <row r="461" spans="3:6" ht="13">
      <c r="C461" s="6"/>
      <c r="D461" s="6"/>
      <c r="E461" s="6"/>
      <c r="F461" s="6"/>
    </row>
    <row r="462" spans="3:6" ht="13">
      <c r="C462" s="6"/>
      <c r="D462" s="6"/>
      <c r="E462" s="6"/>
      <c r="F462" s="6"/>
    </row>
    <row r="463" spans="3:6" ht="13">
      <c r="C463" s="6"/>
      <c r="D463" s="6"/>
      <c r="E463" s="6"/>
      <c r="F463" s="6"/>
    </row>
    <row r="464" spans="3:6" ht="13">
      <c r="C464" s="6"/>
      <c r="D464" s="6"/>
      <c r="E464" s="6"/>
      <c r="F464" s="6"/>
    </row>
    <row r="465" spans="3:6" ht="13">
      <c r="C465" s="6"/>
      <c r="D465" s="6"/>
      <c r="E465" s="6"/>
      <c r="F465" s="6"/>
    </row>
    <row r="466" spans="3:6" ht="13">
      <c r="C466" s="6"/>
      <c r="D466" s="6"/>
      <c r="E466" s="6"/>
      <c r="F466" s="6"/>
    </row>
    <row r="467" spans="3:6" ht="13">
      <c r="C467" s="6"/>
      <c r="D467" s="6"/>
      <c r="E467" s="6"/>
      <c r="F467" s="6"/>
    </row>
    <row r="468" spans="3:6" ht="13">
      <c r="C468" s="6"/>
      <c r="D468" s="6"/>
      <c r="E468" s="6"/>
      <c r="F468" s="6"/>
    </row>
    <row r="469" spans="3:6" ht="13">
      <c r="C469" s="6"/>
      <c r="D469" s="6"/>
      <c r="E469" s="6"/>
      <c r="F469" s="6"/>
    </row>
    <row r="470" spans="3:6" ht="13">
      <c r="C470" s="6"/>
      <c r="D470" s="6"/>
      <c r="E470" s="6"/>
      <c r="F470" s="6"/>
    </row>
    <row r="471" spans="3:6" ht="13">
      <c r="C471" s="6"/>
      <c r="D471" s="6"/>
      <c r="E471" s="6"/>
      <c r="F471" s="6"/>
    </row>
    <row r="472" spans="3:6" ht="13">
      <c r="C472" s="6"/>
      <c r="D472" s="6"/>
      <c r="E472" s="6"/>
      <c r="F472" s="6"/>
    </row>
    <row r="473" spans="3:6" ht="13">
      <c r="C473" s="6"/>
      <c r="D473" s="6"/>
      <c r="E473" s="6"/>
      <c r="F473" s="6"/>
    </row>
    <row r="474" spans="3:6" ht="13">
      <c r="C474" s="6"/>
      <c r="D474" s="6"/>
      <c r="E474" s="6"/>
      <c r="F474" s="6"/>
    </row>
    <row r="475" spans="3:6" ht="13">
      <c r="C475" s="6"/>
      <c r="D475" s="6"/>
      <c r="E475" s="6"/>
      <c r="F475" s="6"/>
    </row>
    <row r="476" spans="3:6" ht="13">
      <c r="C476" s="6"/>
      <c r="D476" s="6"/>
      <c r="E476" s="6"/>
      <c r="F476" s="6"/>
    </row>
    <row r="477" spans="3:6" ht="13">
      <c r="C477" s="6"/>
      <c r="D477" s="6"/>
      <c r="E477" s="6"/>
      <c r="F477" s="6"/>
    </row>
    <row r="478" spans="3:6" ht="13">
      <c r="C478" s="6"/>
      <c r="D478" s="6"/>
      <c r="E478" s="6"/>
      <c r="F478" s="6"/>
    </row>
    <row r="479" spans="3:6" ht="13">
      <c r="C479" s="6"/>
      <c r="D479" s="6"/>
      <c r="E479" s="6"/>
      <c r="F479" s="6"/>
    </row>
    <row r="480" spans="3:6" ht="13">
      <c r="C480" s="6"/>
      <c r="D480" s="6"/>
      <c r="E480" s="6"/>
      <c r="F480" s="6"/>
    </row>
    <row r="481" spans="3:6" ht="13">
      <c r="C481" s="6"/>
      <c r="D481" s="6"/>
      <c r="E481" s="6"/>
      <c r="F481" s="6"/>
    </row>
    <row r="482" spans="3:6" ht="13">
      <c r="C482" s="6"/>
      <c r="D482" s="6"/>
      <c r="E482" s="6"/>
      <c r="F482" s="6"/>
    </row>
    <row r="483" spans="3:6" ht="13">
      <c r="C483" s="6"/>
      <c r="D483" s="6"/>
      <c r="E483" s="6"/>
      <c r="F483" s="6"/>
    </row>
    <row r="484" spans="3:6" ht="13">
      <c r="C484" s="6"/>
      <c r="D484" s="6"/>
      <c r="E484" s="6"/>
      <c r="F484" s="6"/>
    </row>
    <row r="485" spans="3:6" ht="13">
      <c r="C485" s="6"/>
      <c r="D485" s="6"/>
      <c r="E485" s="6"/>
      <c r="F485" s="6"/>
    </row>
    <row r="486" spans="3:6" ht="13">
      <c r="C486" s="6"/>
      <c r="D486" s="6"/>
      <c r="E486" s="6"/>
      <c r="F486" s="6"/>
    </row>
    <row r="487" spans="3:6" ht="13">
      <c r="C487" s="6"/>
      <c r="D487" s="6"/>
      <c r="E487" s="6"/>
      <c r="F487" s="6"/>
    </row>
    <row r="488" spans="3:6" ht="13">
      <c r="C488" s="6"/>
      <c r="D488" s="6"/>
      <c r="E488" s="6"/>
      <c r="F488" s="6"/>
    </row>
    <row r="489" spans="3:6" ht="13">
      <c r="C489" s="6"/>
      <c r="D489" s="6"/>
      <c r="E489" s="6"/>
      <c r="F489" s="6"/>
    </row>
    <row r="490" spans="3:6" ht="13">
      <c r="C490" s="6"/>
      <c r="D490" s="6"/>
      <c r="E490" s="6"/>
      <c r="F490" s="6"/>
    </row>
    <row r="491" spans="3:6" ht="13">
      <c r="C491" s="6"/>
      <c r="D491" s="6"/>
      <c r="E491" s="6"/>
      <c r="F491" s="6"/>
    </row>
    <row r="492" spans="3:6" ht="13">
      <c r="C492" s="6"/>
      <c r="D492" s="6"/>
      <c r="E492" s="6"/>
      <c r="F492" s="6"/>
    </row>
    <row r="493" spans="3:6" ht="13">
      <c r="C493" s="6"/>
      <c r="D493" s="6"/>
      <c r="E493" s="6"/>
      <c r="F493" s="6"/>
    </row>
    <row r="494" spans="3:6" ht="13">
      <c r="C494" s="6"/>
      <c r="D494" s="6"/>
      <c r="E494" s="6"/>
      <c r="F494" s="6"/>
    </row>
    <row r="495" spans="3:6" ht="13">
      <c r="C495" s="6"/>
      <c r="D495" s="6"/>
      <c r="E495" s="6"/>
      <c r="F495" s="6"/>
    </row>
    <row r="496" spans="3:6" ht="13">
      <c r="C496" s="6"/>
      <c r="D496" s="6"/>
      <c r="E496" s="6"/>
      <c r="F496" s="6"/>
    </row>
    <row r="497" spans="3:6" ht="13">
      <c r="C497" s="6"/>
      <c r="D497" s="6"/>
      <c r="E497" s="6"/>
      <c r="F497" s="6"/>
    </row>
    <row r="498" spans="3:6" ht="13">
      <c r="C498" s="6"/>
      <c r="D498" s="6"/>
      <c r="E498" s="6"/>
      <c r="F498" s="6"/>
    </row>
    <row r="499" spans="3:6" ht="13">
      <c r="C499" s="6"/>
      <c r="D499" s="6"/>
      <c r="E499" s="6"/>
      <c r="F499" s="6"/>
    </row>
    <row r="500" spans="3:6" ht="13">
      <c r="C500" s="6"/>
      <c r="D500" s="6"/>
      <c r="E500" s="6"/>
      <c r="F500" s="6"/>
    </row>
    <row r="501" spans="3:6" ht="13">
      <c r="C501" s="6"/>
      <c r="D501" s="6"/>
      <c r="E501" s="6"/>
      <c r="F501" s="6"/>
    </row>
    <row r="502" spans="3:6" ht="13">
      <c r="C502" s="6"/>
      <c r="D502" s="6"/>
      <c r="E502" s="6"/>
      <c r="F502" s="6"/>
    </row>
    <row r="503" spans="3:6" ht="13">
      <c r="C503" s="6"/>
      <c r="D503" s="6"/>
      <c r="E503" s="6"/>
      <c r="F503" s="6"/>
    </row>
    <row r="504" spans="3:6" ht="13">
      <c r="C504" s="6"/>
      <c r="D504" s="6"/>
      <c r="E504" s="6"/>
      <c r="F504" s="6"/>
    </row>
    <row r="505" spans="3:6" ht="13">
      <c r="C505" s="6"/>
      <c r="D505" s="6"/>
      <c r="E505" s="6"/>
      <c r="F505" s="6"/>
    </row>
    <row r="506" spans="3:6" ht="13">
      <c r="C506" s="6"/>
      <c r="D506" s="6"/>
      <c r="E506" s="6"/>
      <c r="F506" s="6"/>
    </row>
    <row r="507" spans="3:6" ht="13">
      <c r="C507" s="6"/>
      <c r="D507" s="6"/>
      <c r="E507" s="6"/>
      <c r="F507" s="6"/>
    </row>
    <row r="508" spans="3:6" ht="13">
      <c r="C508" s="6"/>
      <c r="D508" s="6"/>
      <c r="E508" s="6"/>
      <c r="F508" s="6"/>
    </row>
    <row r="509" spans="3:6" ht="13">
      <c r="C509" s="6"/>
      <c r="D509" s="6"/>
      <c r="E509" s="6"/>
      <c r="F509" s="6"/>
    </row>
    <row r="510" spans="3:6" ht="13">
      <c r="C510" s="6"/>
      <c r="D510" s="6"/>
      <c r="E510" s="6"/>
      <c r="F510" s="6"/>
    </row>
    <row r="511" spans="3:6" ht="13">
      <c r="C511" s="6"/>
      <c r="D511" s="6"/>
      <c r="E511" s="6"/>
      <c r="F511" s="6"/>
    </row>
    <row r="512" spans="3:6" ht="13">
      <c r="C512" s="6"/>
      <c r="D512" s="6"/>
      <c r="E512" s="6"/>
      <c r="F512" s="6"/>
    </row>
    <row r="513" spans="3:6" ht="13">
      <c r="C513" s="6"/>
      <c r="D513" s="6"/>
      <c r="E513" s="6"/>
      <c r="F513" s="6"/>
    </row>
    <row r="514" spans="3:6" ht="13">
      <c r="C514" s="6"/>
      <c r="D514" s="6"/>
      <c r="E514" s="6"/>
      <c r="F514" s="6"/>
    </row>
    <row r="515" spans="3:6" ht="13">
      <c r="C515" s="6"/>
      <c r="D515" s="6"/>
      <c r="E515" s="6"/>
      <c r="F515" s="6"/>
    </row>
    <row r="516" spans="3:6" ht="13">
      <c r="C516" s="6"/>
      <c r="D516" s="6"/>
      <c r="E516" s="6"/>
      <c r="F516" s="6"/>
    </row>
    <row r="517" spans="3:6" ht="13">
      <c r="C517" s="6"/>
      <c r="D517" s="6"/>
      <c r="E517" s="6"/>
      <c r="F517" s="6"/>
    </row>
    <row r="518" spans="3:6" ht="13">
      <c r="C518" s="6"/>
      <c r="D518" s="6"/>
      <c r="E518" s="6"/>
      <c r="F518" s="6"/>
    </row>
    <row r="519" spans="3:6" ht="13">
      <c r="C519" s="6"/>
      <c r="D519" s="6"/>
      <c r="E519" s="6"/>
      <c r="F519" s="6"/>
    </row>
    <row r="520" spans="3:6" ht="13">
      <c r="C520" s="6"/>
      <c r="D520" s="6"/>
      <c r="E520" s="6"/>
      <c r="F520" s="6"/>
    </row>
    <row r="521" spans="3:6" ht="13">
      <c r="C521" s="6"/>
      <c r="D521" s="6"/>
      <c r="E521" s="6"/>
      <c r="F521" s="6"/>
    </row>
    <row r="522" spans="3:6" ht="13">
      <c r="C522" s="6"/>
      <c r="D522" s="6"/>
      <c r="E522" s="6"/>
      <c r="F522" s="6"/>
    </row>
    <row r="523" spans="3:6" ht="13">
      <c r="C523" s="6"/>
      <c r="D523" s="6"/>
      <c r="E523" s="6"/>
      <c r="F523" s="6"/>
    </row>
    <row r="524" spans="3:6" ht="13">
      <c r="C524" s="6"/>
      <c r="D524" s="6"/>
      <c r="E524" s="6"/>
      <c r="F524" s="6"/>
    </row>
    <row r="525" spans="3:6" ht="13">
      <c r="C525" s="6"/>
      <c r="D525" s="6"/>
      <c r="E525" s="6"/>
      <c r="F525" s="6"/>
    </row>
    <row r="526" spans="3:6" ht="13">
      <c r="C526" s="6"/>
      <c r="D526" s="6"/>
      <c r="E526" s="6"/>
      <c r="F526" s="6"/>
    </row>
    <row r="527" spans="3:6" ht="13">
      <c r="C527" s="6"/>
      <c r="D527" s="6"/>
      <c r="E527" s="6"/>
      <c r="F527" s="6"/>
    </row>
    <row r="528" spans="3:6" ht="13">
      <c r="C528" s="6"/>
      <c r="D528" s="6"/>
      <c r="E528" s="6"/>
      <c r="F528" s="6"/>
    </row>
    <row r="529" spans="3:6" ht="13">
      <c r="C529" s="6"/>
      <c r="D529" s="6"/>
      <c r="E529" s="6"/>
      <c r="F529" s="6"/>
    </row>
    <row r="530" spans="3:6" ht="13">
      <c r="C530" s="6"/>
      <c r="D530" s="6"/>
      <c r="E530" s="6"/>
      <c r="F530" s="6"/>
    </row>
    <row r="531" spans="3:6" ht="13">
      <c r="C531" s="6"/>
      <c r="D531" s="6"/>
      <c r="E531" s="6"/>
      <c r="F531" s="6"/>
    </row>
    <row r="532" spans="3:6" ht="13">
      <c r="C532" s="6"/>
      <c r="D532" s="6"/>
      <c r="E532" s="6"/>
      <c r="F532" s="6"/>
    </row>
    <row r="533" spans="3:6" ht="13">
      <c r="C533" s="6"/>
      <c r="D533" s="6"/>
      <c r="E533" s="6"/>
      <c r="F533" s="6"/>
    </row>
    <row r="534" spans="3:6" ht="13">
      <c r="C534" s="6"/>
      <c r="D534" s="6"/>
      <c r="E534" s="6"/>
      <c r="F534" s="6"/>
    </row>
    <row r="535" spans="3:6" ht="13">
      <c r="C535" s="6"/>
      <c r="D535" s="6"/>
      <c r="E535" s="6"/>
      <c r="F535" s="6"/>
    </row>
    <row r="536" spans="3:6" ht="13">
      <c r="C536" s="6"/>
      <c r="D536" s="6"/>
      <c r="E536" s="6"/>
      <c r="F536" s="6"/>
    </row>
    <row r="537" spans="3:6" ht="13">
      <c r="C537" s="6"/>
      <c r="D537" s="6"/>
      <c r="E537" s="6"/>
      <c r="F537" s="6"/>
    </row>
    <row r="538" spans="3:6" ht="13">
      <c r="C538" s="6"/>
      <c r="D538" s="6"/>
      <c r="E538" s="6"/>
      <c r="F538" s="6"/>
    </row>
    <row r="539" spans="3:6" ht="13">
      <c r="C539" s="6"/>
      <c r="D539" s="6"/>
      <c r="E539" s="6"/>
      <c r="F539" s="6"/>
    </row>
    <row r="540" spans="3:6" ht="13">
      <c r="C540" s="6"/>
      <c r="D540" s="6"/>
      <c r="E540" s="6"/>
      <c r="F540" s="6"/>
    </row>
    <row r="541" spans="3:6" ht="13">
      <c r="C541" s="6"/>
      <c r="D541" s="6"/>
      <c r="E541" s="6"/>
      <c r="F541" s="6"/>
    </row>
    <row r="542" spans="3:6" ht="13">
      <c r="C542" s="6"/>
      <c r="D542" s="6"/>
      <c r="E542" s="6"/>
      <c r="F542" s="6"/>
    </row>
    <row r="543" spans="3:6" ht="13">
      <c r="C543" s="6"/>
      <c r="D543" s="6"/>
      <c r="E543" s="6"/>
      <c r="F543" s="6"/>
    </row>
    <row r="544" spans="3:6" ht="13">
      <c r="C544" s="6"/>
      <c r="D544" s="6"/>
      <c r="E544" s="6"/>
      <c r="F544" s="6"/>
    </row>
    <row r="545" spans="3:6" ht="13">
      <c r="C545" s="6"/>
      <c r="D545" s="6"/>
      <c r="E545" s="6"/>
      <c r="F545" s="6"/>
    </row>
    <row r="546" spans="3:6" ht="13">
      <c r="C546" s="6"/>
      <c r="D546" s="6"/>
      <c r="E546" s="6"/>
      <c r="F546" s="6"/>
    </row>
    <row r="547" spans="3:6" ht="13">
      <c r="C547" s="6"/>
      <c r="D547" s="6"/>
      <c r="E547" s="6"/>
      <c r="F547" s="6"/>
    </row>
    <row r="548" spans="3:6" ht="13">
      <c r="C548" s="6"/>
      <c r="D548" s="6"/>
      <c r="E548" s="6"/>
      <c r="F548" s="6"/>
    </row>
    <row r="549" spans="3:6" ht="13">
      <c r="C549" s="6"/>
      <c r="D549" s="6"/>
      <c r="E549" s="6"/>
      <c r="F549" s="6"/>
    </row>
    <row r="550" spans="3:6" ht="13">
      <c r="C550" s="6"/>
      <c r="D550" s="6"/>
      <c r="E550" s="6"/>
      <c r="F550" s="6"/>
    </row>
    <row r="551" spans="3:6" ht="13">
      <c r="C551" s="6"/>
      <c r="D551" s="6"/>
      <c r="E551" s="6"/>
      <c r="F551" s="6"/>
    </row>
    <row r="552" spans="3:6" ht="13">
      <c r="C552" s="6"/>
      <c r="D552" s="6"/>
      <c r="E552" s="6"/>
      <c r="F552" s="6"/>
    </row>
    <row r="553" spans="3:6" ht="13">
      <c r="C553" s="6"/>
      <c r="D553" s="6"/>
      <c r="E553" s="6"/>
      <c r="F553" s="6"/>
    </row>
    <row r="554" spans="3:6" ht="13">
      <c r="C554" s="6"/>
      <c r="D554" s="6"/>
      <c r="E554" s="6"/>
      <c r="F554" s="6"/>
    </row>
    <row r="555" spans="3:6" ht="13">
      <c r="C555" s="6"/>
      <c r="D555" s="6"/>
      <c r="E555" s="6"/>
      <c r="F555" s="6"/>
    </row>
    <row r="556" spans="3:6" ht="13">
      <c r="C556" s="6"/>
      <c r="D556" s="6"/>
      <c r="E556" s="6"/>
      <c r="F556" s="6"/>
    </row>
    <row r="557" spans="3:6" ht="13">
      <c r="C557" s="6"/>
      <c r="D557" s="6"/>
      <c r="E557" s="6"/>
      <c r="F557" s="6"/>
    </row>
    <row r="558" spans="3:6" ht="13">
      <c r="C558" s="6"/>
      <c r="D558" s="6"/>
      <c r="E558" s="6"/>
      <c r="F558" s="6"/>
    </row>
    <row r="559" spans="3:6" ht="13">
      <c r="C559" s="6"/>
      <c r="D559" s="6"/>
      <c r="E559" s="6"/>
      <c r="F559" s="6"/>
    </row>
    <row r="560" spans="3:6" ht="13">
      <c r="C560" s="6"/>
      <c r="D560" s="6"/>
      <c r="E560" s="6"/>
      <c r="F560" s="6"/>
    </row>
    <row r="561" spans="3:6" ht="13">
      <c r="C561" s="6"/>
      <c r="D561" s="6"/>
      <c r="E561" s="6"/>
      <c r="F561" s="6"/>
    </row>
    <row r="562" spans="3:6" ht="13">
      <c r="C562" s="6"/>
      <c r="D562" s="6"/>
      <c r="E562" s="6"/>
      <c r="F562" s="6"/>
    </row>
    <row r="563" spans="3:6" ht="13">
      <c r="C563" s="6"/>
      <c r="D563" s="6"/>
      <c r="E563" s="6"/>
      <c r="F563" s="6"/>
    </row>
    <row r="564" spans="3:6" ht="13">
      <c r="C564" s="6"/>
      <c r="D564" s="6"/>
      <c r="E564" s="6"/>
      <c r="F564" s="6"/>
    </row>
    <row r="565" spans="3:6" ht="13">
      <c r="C565" s="6"/>
      <c r="D565" s="6"/>
      <c r="E565" s="6"/>
      <c r="F565" s="6"/>
    </row>
    <row r="566" spans="3:6" ht="13">
      <c r="C566" s="6"/>
      <c r="D566" s="6"/>
      <c r="E566" s="6"/>
      <c r="F566" s="6"/>
    </row>
    <row r="567" spans="3:6" ht="13">
      <c r="C567" s="6"/>
      <c r="D567" s="6"/>
      <c r="E567" s="6"/>
      <c r="F567" s="6"/>
    </row>
    <row r="568" spans="3:6" ht="13">
      <c r="C568" s="6"/>
      <c r="D568" s="6"/>
      <c r="E568" s="6"/>
      <c r="F568" s="6"/>
    </row>
    <row r="569" spans="3:6" ht="13">
      <c r="C569" s="6"/>
      <c r="D569" s="6"/>
      <c r="E569" s="6"/>
      <c r="F569" s="6"/>
    </row>
    <row r="570" spans="3:6" ht="13">
      <c r="C570" s="6"/>
      <c r="D570" s="6"/>
      <c r="E570" s="6"/>
      <c r="F570" s="6"/>
    </row>
    <row r="571" spans="3:6" ht="13">
      <c r="C571" s="6"/>
      <c r="D571" s="6"/>
      <c r="E571" s="6"/>
      <c r="F571" s="6"/>
    </row>
    <row r="572" spans="3:6" ht="13">
      <c r="C572" s="6"/>
      <c r="D572" s="6"/>
      <c r="E572" s="6"/>
      <c r="F572" s="6"/>
    </row>
    <row r="573" spans="3:6" ht="13">
      <c r="C573" s="6"/>
      <c r="D573" s="6"/>
      <c r="E573" s="6"/>
      <c r="F573" s="6"/>
    </row>
    <row r="574" spans="3:6" ht="13">
      <c r="C574" s="6"/>
      <c r="D574" s="6"/>
      <c r="E574" s="6"/>
      <c r="F574" s="6"/>
    </row>
    <row r="575" spans="3:6" ht="13">
      <c r="C575" s="6"/>
      <c r="D575" s="6"/>
      <c r="E575" s="6"/>
      <c r="F575" s="6"/>
    </row>
    <row r="576" spans="3:6" ht="13">
      <c r="C576" s="6"/>
      <c r="D576" s="6"/>
      <c r="E576" s="6"/>
      <c r="F576" s="6"/>
    </row>
    <row r="577" spans="3:6" ht="13">
      <c r="C577" s="6"/>
      <c r="D577" s="6"/>
      <c r="E577" s="6"/>
      <c r="F577" s="6"/>
    </row>
    <row r="578" spans="3:6" ht="13">
      <c r="C578" s="6"/>
      <c r="D578" s="6"/>
      <c r="E578" s="6"/>
      <c r="F578" s="6"/>
    </row>
    <row r="579" spans="3:6" ht="13">
      <c r="C579" s="6"/>
      <c r="D579" s="6"/>
      <c r="E579" s="6"/>
      <c r="F579" s="6"/>
    </row>
    <row r="580" spans="3:6" ht="13">
      <c r="C580" s="6"/>
      <c r="D580" s="6"/>
      <c r="E580" s="6"/>
      <c r="F580" s="6"/>
    </row>
    <row r="581" spans="3:6" ht="13">
      <c r="C581" s="6"/>
      <c r="D581" s="6"/>
      <c r="E581" s="6"/>
      <c r="F581" s="6"/>
    </row>
    <row r="582" spans="3:6" ht="13">
      <c r="C582" s="6"/>
      <c r="D582" s="6"/>
      <c r="E582" s="6"/>
      <c r="F582" s="6"/>
    </row>
    <row r="583" spans="3:6" ht="13">
      <c r="C583" s="6"/>
      <c r="D583" s="6"/>
      <c r="E583" s="6"/>
      <c r="F583" s="6"/>
    </row>
    <row r="584" spans="3:6" ht="13">
      <c r="C584" s="6"/>
      <c r="D584" s="6"/>
      <c r="E584" s="6"/>
      <c r="F584" s="6"/>
    </row>
    <row r="585" spans="3:6" ht="13">
      <c r="C585" s="6"/>
      <c r="D585" s="6"/>
      <c r="E585" s="6"/>
      <c r="F585" s="6"/>
    </row>
    <row r="586" spans="3:6" ht="13">
      <c r="C586" s="6"/>
      <c r="D586" s="6"/>
      <c r="E586" s="6"/>
      <c r="F586" s="6"/>
    </row>
    <row r="587" spans="3:6" ht="13">
      <c r="C587" s="6"/>
      <c r="D587" s="6"/>
      <c r="E587" s="6"/>
      <c r="F587" s="6"/>
    </row>
    <row r="588" spans="3:6" ht="13">
      <c r="C588" s="6"/>
      <c r="D588" s="6"/>
      <c r="E588" s="6"/>
      <c r="F588" s="6"/>
    </row>
    <row r="589" spans="3:6" ht="13">
      <c r="C589" s="6"/>
      <c r="D589" s="6"/>
      <c r="E589" s="6"/>
      <c r="F589" s="6"/>
    </row>
    <row r="590" spans="3:6" ht="13">
      <c r="C590" s="6"/>
      <c r="D590" s="6"/>
      <c r="E590" s="6"/>
      <c r="F590" s="6"/>
    </row>
    <row r="591" spans="3:6" ht="13">
      <c r="C591" s="6"/>
      <c r="D591" s="6"/>
      <c r="E591" s="6"/>
      <c r="F591" s="6"/>
    </row>
    <row r="592" spans="3:6" ht="13">
      <c r="C592" s="6"/>
      <c r="D592" s="6"/>
      <c r="E592" s="6"/>
      <c r="F592" s="6"/>
    </row>
    <row r="593" spans="3:6" ht="13">
      <c r="C593" s="6"/>
      <c r="D593" s="6"/>
      <c r="E593" s="6"/>
      <c r="F593" s="6"/>
    </row>
    <row r="594" spans="3:6" ht="13">
      <c r="C594" s="6"/>
      <c r="D594" s="6"/>
      <c r="E594" s="6"/>
      <c r="F594" s="6"/>
    </row>
    <row r="595" spans="3:6" ht="13">
      <c r="C595" s="6"/>
      <c r="D595" s="6"/>
      <c r="E595" s="6"/>
      <c r="F595" s="6"/>
    </row>
    <row r="596" spans="3:6" ht="13">
      <c r="C596" s="6"/>
      <c r="D596" s="6"/>
      <c r="E596" s="6"/>
      <c r="F596" s="6"/>
    </row>
    <row r="597" spans="3:6" ht="13">
      <c r="C597" s="6"/>
      <c r="D597" s="6"/>
      <c r="E597" s="6"/>
      <c r="F597" s="6"/>
    </row>
    <row r="598" spans="3:6" ht="13">
      <c r="C598" s="6"/>
      <c r="D598" s="6"/>
      <c r="E598" s="6"/>
      <c r="F598" s="6"/>
    </row>
    <row r="599" spans="3:6" ht="13">
      <c r="C599" s="6"/>
      <c r="D599" s="6"/>
      <c r="E599" s="6"/>
      <c r="F599" s="6"/>
    </row>
    <row r="600" spans="3:6" ht="13">
      <c r="C600" s="6"/>
      <c r="D600" s="6"/>
      <c r="E600" s="6"/>
      <c r="F600" s="6"/>
    </row>
    <row r="601" spans="3:6" ht="13">
      <c r="C601" s="6"/>
      <c r="D601" s="6"/>
      <c r="E601" s="6"/>
      <c r="F601" s="6"/>
    </row>
    <row r="602" spans="3:6" ht="13">
      <c r="C602" s="6"/>
      <c r="D602" s="6"/>
      <c r="E602" s="6"/>
      <c r="F602" s="6"/>
    </row>
    <row r="603" spans="3:6" ht="13">
      <c r="C603" s="6"/>
      <c r="D603" s="6"/>
      <c r="E603" s="6"/>
      <c r="F603" s="6"/>
    </row>
    <row r="604" spans="3:6" ht="13">
      <c r="C604" s="6"/>
      <c r="D604" s="6"/>
      <c r="E604" s="6"/>
      <c r="F604" s="6"/>
    </row>
    <row r="605" spans="3:6" ht="13">
      <c r="C605" s="6"/>
      <c r="D605" s="6"/>
      <c r="E605" s="6"/>
      <c r="F605" s="6"/>
    </row>
    <row r="606" spans="3:6" ht="13">
      <c r="C606" s="6"/>
      <c r="D606" s="6"/>
      <c r="E606" s="6"/>
      <c r="F606" s="6"/>
    </row>
    <row r="607" spans="3:6" ht="13">
      <c r="C607" s="6"/>
      <c r="D607" s="6"/>
      <c r="E607" s="6"/>
      <c r="F607" s="6"/>
    </row>
    <row r="608" spans="3:6" ht="13">
      <c r="C608" s="6"/>
      <c r="D608" s="6"/>
      <c r="E608" s="6"/>
      <c r="F608" s="6"/>
    </row>
    <row r="609" spans="3:6" ht="13">
      <c r="C609" s="6"/>
      <c r="D609" s="6"/>
      <c r="E609" s="6"/>
      <c r="F609" s="6"/>
    </row>
    <row r="610" spans="3:6" ht="13">
      <c r="C610" s="6"/>
      <c r="D610" s="6"/>
      <c r="E610" s="6"/>
      <c r="F610" s="6"/>
    </row>
    <row r="611" spans="3:6" ht="13">
      <c r="C611" s="6"/>
      <c r="D611" s="6"/>
      <c r="E611" s="6"/>
      <c r="F611" s="6"/>
    </row>
    <row r="612" spans="3:6" ht="13">
      <c r="C612" s="6"/>
      <c r="D612" s="6"/>
      <c r="E612" s="6"/>
      <c r="F612" s="6"/>
    </row>
    <row r="613" spans="3:6" ht="13">
      <c r="C613" s="6"/>
      <c r="D613" s="6"/>
      <c r="E613" s="6"/>
      <c r="F613" s="6"/>
    </row>
    <row r="614" spans="3:6" ht="13">
      <c r="C614" s="6"/>
      <c r="D614" s="6"/>
      <c r="E614" s="6"/>
      <c r="F614" s="6"/>
    </row>
    <row r="615" spans="3:6" ht="13">
      <c r="C615" s="6"/>
      <c r="D615" s="6"/>
      <c r="E615" s="6"/>
      <c r="F615" s="6"/>
    </row>
    <row r="616" spans="3:6" ht="13">
      <c r="C616" s="6"/>
      <c r="D616" s="6"/>
      <c r="E616" s="6"/>
      <c r="F616" s="6"/>
    </row>
    <row r="617" spans="3:6" ht="13">
      <c r="C617" s="6"/>
      <c r="D617" s="6"/>
      <c r="E617" s="6"/>
      <c r="F617" s="6"/>
    </row>
    <row r="618" spans="3:6" ht="13">
      <c r="C618" s="6"/>
      <c r="D618" s="6"/>
      <c r="E618" s="6"/>
      <c r="F618" s="6"/>
    </row>
    <row r="619" spans="3:6" ht="13">
      <c r="C619" s="6"/>
      <c r="D619" s="6"/>
      <c r="E619" s="6"/>
      <c r="F619" s="6"/>
    </row>
    <row r="620" spans="3:6" ht="13">
      <c r="C620" s="6"/>
      <c r="D620" s="6"/>
      <c r="E620" s="6"/>
      <c r="F620" s="6"/>
    </row>
    <row r="621" spans="3:6" ht="13">
      <c r="C621" s="6"/>
      <c r="D621" s="6"/>
      <c r="E621" s="6"/>
      <c r="F621" s="6"/>
    </row>
    <row r="622" spans="3:6" ht="13">
      <c r="C622" s="6"/>
      <c r="D622" s="6"/>
      <c r="E622" s="6"/>
      <c r="F622" s="6"/>
    </row>
    <row r="623" spans="3:6" ht="13">
      <c r="C623" s="6"/>
      <c r="D623" s="6"/>
      <c r="E623" s="6"/>
      <c r="F623" s="6"/>
    </row>
    <row r="624" spans="3:6" ht="13">
      <c r="C624" s="6"/>
      <c r="D624" s="6"/>
      <c r="E624" s="6"/>
      <c r="F624" s="6"/>
    </row>
    <row r="625" spans="3:6" ht="13">
      <c r="C625" s="6"/>
      <c r="D625" s="6"/>
      <c r="E625" s="6"/>
      <c r="F625" s="6"/>
    </row>
    <row r="626" spans="3:6" ht="13">
      <c r="C626" s="6"/>
      <c r="D626" s="6"/>
      <c r="E626" s="6"/>
      <c r="F626" s="6"/>
    </row>
    <row r="627" spans="3:6" ht="13">
      <c r="C627" s="6"/>
      <c r="D627" s="6"/>
      <c r="E627" s="6"/>
      <c r="F627" s="6"/>
    </row>
    <row r="628" spans="3:6" ht="13">
      <c r="C628" s="6"/>
      <c r="D628" s="6"/>
      <c r="E628" s="6"/>
      <c r="F628" s="6"/>
    </row>
    <row r="629" spans="3:6" ht="13">
      <c r="C629" s="6"/>
      <c r="D629" s="6"/>
      <c r="E629" s="6"/>
      <c r="F629" s="6"/>
    </row>
    <row r="630" spans="3:6" ht="13">
      <c r="C630" s="6"/>
      <c r="D630" s="6"/>
      <c r="E630" s="6"/>
      <c r="F630" s="6"/>
    </row>
    <row r="631" spans="3:6" ht="13">
      <c r="C631" s="6"/>
      <c r="D631" s="6"/>
      <c r="E631" s="6"/>
      <c r="F631" s="6"/>
    </row>
    <row r="632" spans="3:6" ht="13">
      <c r="C632" s="6"/>
      <c r="D632" s="6"/>
      <c r="E632" s="6"/>
      <c r="F632" s="6"/>
    </row>
    <row r="633" spans="3:6" ht="13">
      <c r="C633" s="6"/>
      <c r="D633" s="6"/>
      <c r="E633" s="6"/>
      <c r="F633" s="6"/>
    </row>
    <row r="634" spans="3:6" ht="13">
      <c r="C634" s="6"/>
      <c r="D634" s="6"/>
      <c r="E634" s="6"/>
      <c r="F634" s="6"/>
    </row>
    <row r="635" spans="3:6" ht="13">
      <c r="C635" s="6"/>
      <c r="D635" s="6"/>
      <c r="E635" s="6"/>
      <c r="F635" s="6"/>
    </row>
    <row r="636" spans="3:6" ht="13">
      <c r="C636" s="6"/>
      <c r="D636" s="6"/>
      <c r="E636" s="6"/>
      <c r="F636" s="6"/>
    </row>
    <row r="637" spans="3:6" ht="13">
      <c r="C637" s="6"/>
      <c r="D637" s="6"/>
      <c r="E637" s="6"/>
      <c r="F637" s="6"/>
    </row>
    <row r="638" spans="3:6" ht="13">
      <c r="C638" s="6"/>
      <c r="D638" s="6"/>
      <c r="E638" s="6"/>
      <c r="F638" s="6"/>
    </row>
    <row r="639" spans="3:6" ht="13">
      <c r="C639" s="6"/>
      <c r="D639" s="6"/>
      <c r="E639" s="6"/>
      <c r="F639" s="6"/>
    </row>
    <row r="640" spans="3:6" ht="13">
      <c r="C640" s="6"/>
      <c r="D640" s="6"/>
      <c r="E640" s="6"/>
      <c r="F640" s="6"/>
    </row>
    <row r="641" spans="3:6" ht="13">
      <c r="C641" s="6"/>
      <c r="D641" s="6"/>
      <c r="E641" s="6"/>
      <c r="F641" s="6"/>
    </row>
    <row r="642" spans="3:6" ht="13">
      <c r="C642" s="6"/>
      <c r="D642" s="6"/>
      <c r="E642" s="6"/>
      <c r="F642" s="6"/>
    </row>
    <row r="643" spans="3:6" ht="13">
      <c r="C643" s="6"/>
      <c r="D643" s="6"/>
      <c r="E643" s="6"/>
      <c r="F643" s="6"/>
    </row>
    <row r="644" spans="3:6" ht="13">
      <c r="C644" s="6"/>
      <c r="D644" s="6"/>
      <c r="E644" s="6"/>
      <c r="F644" s="6"/>
    </row>
    <row r="645" spans="3:6" ht="13">
      <c r="C645" s="6"/>
      <c r="D645" s="6"/>
      <c r="E645" s="6"/>
      <c r="F645" s="6"/>
    </row>
    <row r="646" spans="3:6" ht="13">
      <c r="C646" s="6"/>
      <c r="D646" s="6"/>
      <c r="E646" s="6"/>
      <c r="F646" s="6"/>
    </row>
    <row r="647" spans="3:6" ht="13">
      <c r="C647" s="6"/>
      <c r="D647" s="6"/>
      <c r="E647" s="6"/>
      <c r="F647" s="6"/>
    </row>
    <row r="648" spans="3:6" ht="13">
      <c r="C648" s="6"/>
      <c r="D648" s="6"/>
      <c r="E648" s="6"/>
      <c r="F648" s="6"/>
    </row>
    <row r="649" spans="3:6" ht="13">
      <c r="C649" s="6"/>
      <c r="D649" s="6"/>
      <c r="E649" s="6"/>
      <c r="F649" s="6"/>
    </row>
    <row r="650" spans="3:6" ht="13">
      <c r="C650" s="6"/>
      <c r="D650" s="6"/>
      <c r="E650" s="6"/>
      <c r="F650" s="6"/>
    </row>
    <row r="651" spans="3:6" ht="13">
      <c r="C651" s="6"/>
      <c r="D651" s="6"/>
      <c r="E651" s="6"/>
      <c r="F651" s="6"/>
    </row>
    <row r="652" spans="3:6" ht="13">
      <c r="C652" s="6"/>
      <c r="D652" s="6"/>
      <c r="E652" s="6"/>
      <c r="F652" s="6"/>
    </row>
    <row r="653" spans="3:6" ht="13">
      <c r="C653" s="6"/>
      <c r="D653" s="6"/>
      <c r="E653" s="6"/>
      <c r="F653" s="6"/>
    </row>
    <row r="654" spans="3:6" ht="13">
      <c r="C654" s="6"/>
      <c r="D654" s="6"/>
      <c r="E654" s="6"/>
      <c r="F654" s="6"/>
    </row>
    <row r="655" spans="3:6" ht="13">
      <c r="C655" s="6"/>
      <c r="D655" s="6"/>
      <c r="E655" s="6"/>
      <c r="F655" s="6"/>
    </row>
    <row r="656" spans="3:6" ht="13">
      <c r="C656" s="6"/>
      <c r="D656" s="6"/>
      <c r="E656" s="6"/>
      <c r="F656" s="6"/>
    </row>
    <row r="657" spans="3:6" ht="13">
      <c r="C657" s="6"/>
      <c r="D657" s="6"/>
      <c r="E657" s="6"/>
      <c r="F657" s="6"/>
    </row>
    <row r="658" spans="3:6" ht="13">
      <c r="C658" s="6"/>
      <c r="D658" s="6"/>
      <c r="E658" s="6"/>
      <c r="F658" s="6"/>
    </row>
    <row r="659" spans="3:6" ht="13">
      <c r="C659" s="6"/>
      <c r="D659" s="6"/>
      <c r="E659" s="6"/>
      <c r="F659" s="6"/>
    </row>
    <row r="660" spans="3:6" ht="13">
      <c r="C660" s="6"/>
      <c r="D660" s="6"/>
      <c r="E660" s="6"/>
      <c r="F660" s="6"/>
    </row>
    <row r="661" spans="3:6" ht="13">
      <c r="C661" s="6"/>
      <c r="D661" s="6"/>
      <c r="E661" s="6"/>
      <c r="F661" s="6"/>
    </row>
    <row r="662" spans="3:6" ht="13">
      <c r="C662" s="6"/>
      <c r="D662" s="6"/>
      <c r="E662" s="6"/>
      <c r="F662" s="6"/>
    </row>
    <row r="663" spans="3:6" ht="13">
      <c r="C663" s="6"/>
      <c r="D663" s="6"/>
      <c r="E663" s="6"/>
      <c r="F663" s="6"/>
    </row>
    <row r="664" spans="3:6" ht="13">
      <c r="C664" s="6"/>
      <c r="D664" s="6"/>
      <c r="E664" s="6"/>
      <c r="F664" s="6"/>
    </row>
    <row r="665" spans="3:6" ht="13">
      <c r="C665" s="6"/>
      <c r="D665" s="6"/>
      <c r="E665" s="6"/>
      <c r="F665" s="6"/>
    </row>
    <row r="666" spans="3:6" ht="13">
      <c r="C666" s="6"/>
      <c r="D666" s="6"/>
      <c r="E666" s="6"/>
      <c r="F666" s="6"/>
    </row>
    <row r="667" spans="3:6" ht="13">
      <c r="C667" s="6"/>
      <c r="D667" s="6"/>
      <c r="E667" s="6"/>
      <c r="F667" s="6"/>
    </row>
    <row r="668" spans="3:6" ht="13">
      <c r="C668" s="6"/>
      <c r="D668" s="6"/>
      <c r="E668" s="6"/>
      <c r="F668" s="6"/>
    </row>
    <row r="669" spans="3:6" ht="13">
      <c r="C669" s="6"/>
      <c r="D669" s="6"/>
      <c r="E669" s="6"/>
      <c r="F669" s="6"/>
    </row>
    <row r="670" spans="3:6" ht="13">
      <c r="C670" s="6"/>
      <c r="D670" s="6"/>
      <c r="E670" s="6"/>
      <c r="F670" s="6"/>
    </row>
    <row r="671" spans="3:6" ht="13">
      <c r="C671" s="6"/>
      <c r="D671" s="6"/>
      <c r="E671" s="6"/>
      <c r="F671" s="6"/>
    </row>
    <row r="672" spans="3:6" ht="13">
      <c r="C672" s="6"/>
      <c r="D672" s="6"/>
      <c r="E672" s="6"/>
      <c r="F672" s="6"/>
    </row>
    <row r="673" spans="3:6" ht="13">
      <c r="C673" s="6"/>
      <c r="D673" s="6"/>
      <c r="E673" s="6"/>
      <c r="F673" s="6"/>
    </row>
    <row r="674" spans="3:6" ht="13">
      <c r="C674" s="6"/>
      <c r="D674" s="6"/>
      <c r="E674" s="6"/>
      <c r="F674" s="6"/>
    </row>
    <row r="675" spans="3:6" ht="13">
      <c r="C675" s="6"/>
      <c r="D675" s="6"/>
      <c r="E675" s="6"/>
      <c r="F675" s="6"/>
    </row>
    <row r="676" spans="3:6" ht="13">
      <c r="C676" s="6"/>
      <c r="D676" s="6"/>
      <c r="E676" s="6"/>
      <c r="F676" s="6"/>
    </row>
    <row r="677" spans="3:6" ht="13">
      <c r="C677" s="6"/>
      <c r="D677" s="6"/>
      <c r="E677" s="6"/>
      <c r="F677" s="6"/>
    </row>
    <row r="678" spans="3:6" ht="13">
      <c r="C678" s="6"/>
      <c r="D678" s="6"/>
      <c r="E678" s="6"/>
      <c r="F678" s="6"/>
    </row>
    <row r="679" spans="3:6" ht="13">
      <c r="C679" s="6"/>
      <c r="D679" s="6"/>
      <c r="E679" s="6"/>
      <c r="F679" s="6"/>
    </row>
    <row r="680" spans="3:6" ht="13">
      <c r="C680" s="6"/>
      <c r="D680" s="6"/>
      <c r="E680" s="6"/>
      <c r="F680" s="6"/>
    </row>
    <row r="681" spans="3:6" ht="13">
      <c r="C681" s="6"/>
      <c r="D681" s="6"/>
      <c r="E681" s="6"/>
      <c r="F681" s="6"/>
    </row>
    <row r="682" spans="3:6" ht="13">
      <c r="C682" s="6"/>
      <c r="D682" s="6"/>
      <c r="E682" s="6"/>
      <c r="F682" s="6"/>
    </row>
    <row r="683" spans="3:6" ht="13">
      <c r="C683" s="6"/>
      <c r="D683" s="6"/>
      <c r="E683" s="6"/>
      <c r="F683" s="6"/>
    </row>
    <row r="684" spans="3:6" ht="13">
      <c r="C684" s="6"/>
      <c r="D684" s="6"/>
      <c r="E684" s="6"/>
      <c r="F684" s="6"/>
    </row>
    <row r="685" spans="3:6" ht="13">
      <c r="C685" s="6"/>
      <c r="D685" s="6"/>
      <c r="E685" s="6"/>
      <c r="F685" s="6"/>
    </row>
    <row r="686" spans="3:6" ht="13">
      <c r="C686" s="6"/>
      <c r="D686" s="6"/>
      <c r="E686" s="6"/>
      <c r="F686" s="6"/>
    </row>
    <row r="687" spans="3:6" ht="13">
      <c r="C687" s="6"/>
      <c r="D687" s="6"/>
      <c r="E687" s="6"/>
      <c r="F687" s="6"/>
    </row>
    <row r="688" spans="3:6" ht="13">
      <c r="C688" s="6"/>
      <c r="D688" s="6"/>
      <c r="E688" s="6"/>
      <c r="F688" s="6"/>
    </row>
    <row r="689" spans="3:6" ht="13">
      <c r="C689" s="6"/>
      <c r="D689" s="6"/>
      <c r="E689" s="6"/>
      <c r="F689" s="6"/>
    </row>
    <row r="690" spans="3:6" ht="13">
      <c r="C690" s="6"/>
      <c r="D690" s="6"/>
      <c r="E690" s="6"/>
      <c r="F690" s="6"/>
    </row>
    <row r="691" spans="3:6" ht="13">
      <c r="C691" s="6"/>
      <c r="D691" s="6"/>
      <c r="E691" s="6"/>
      <c r="F691" s="6"/>
    </row>
    <row r="692" spans="3:6" ht="13">
      <c r="C692" s="6"/>
      <c r="D692" s="6"/>
      <c r="E692" s="6"/>
      <c r="F692" s="6"/>
    </row>
    <row r="693" spans="3:6" ht="13">
      <c r="C693" s="6"/>
      <c r="D693" s="6"/>
      <c r="E693" s="6"/>
      <c r="F693" s="6"/>
    </row>
    <row r="694" spans="3:6" ht="13">
      <c r="C694" s="6"/>
      <c r="D694" s="6"/>
      <c r="E694" s="6"/>
      <c r="F694" s="6"/>
    </row>
    <row r="695" spans="3:6" ht="13">
      <c r="C695" s="6"/>
      <c r="D695" s="6"/>
      <c r="E695" s="6"/>
      <c r="F695" s="6"/>
    </row>
    <row r="696" spans="3:6" ht="13">
      <c r="C696" s="6"/>
      <c r="D696" s="6"/>
      <c r="E696" s="6"/>
      <c r="F696" s="6"/>
    </row>
    <row r="697" spans="3:6" ht="13">
      <c r="C697" s="6"/>
      <c r="D697" s="6"/>
      <c r="E697" s="6"/>
      <c r="F697" s="6"/>
    </row>
    <row r="698" spans="3:6" ht="13">
      <c r="C698" s="6"/>
      <c r="D698" s="6"/>
      <c r="E698" s="6"/>
      <c r="F698" s="6"/>
    </row>
    <row r="699" spans="3:6" ht="13">
      <c r="C699" s="6"/>
      <c r="D699" s="6"/>
      <c r="E699" s="6"/>
      <c r="F699" s="6"/>
    </row>
    <row r="700" spans="3:6" ht="13">
      <c r="C700" s="6"/>
      <c r="D700" s="6"/>
      <c r="E700" s="6"/>
      <c r="F700" s="6"/>
    </row>
    <row r="701" spans="3:6" ht="13">
      <c r="C701" s="6"/>
      <c r="D701" s="6"/>
      <c r="E701" s="6"/>
      <c r="F701" s="6"/>
    </row>
    <row r="702" spans="3:6" ht="13">
      <c r="C702" s="6"/>
      <c r="D702" s="6"/>
      <c r="E702" s="6"/>
      <c r="F702" s="6"/>
    </row>
    <row r="703" spans="3:6" ht="13">
      <c r="C703" s="6"/>
      <c r="D703" s="6"/>
      <c r="E703" s="6"/>
      <c r="F703" s="6"/>
    </row>
    <row r="704" spans="3:6" ht="13">
      <c r="C704" s="6"/>
      <c r="D704" s="6"/>
      <c r="E704" s="6"/>
      <c r="F704" s="6"/>
    </row>
    <row r="705" spans="3:6" ht="13">
      <c r="C705" s="6"/>
      <c r="D705" s="6"/>
      <c r="E705" s="6"/>
      <c r="F705" s="6"/>
    </row>
    <row r="706" spans="3:6" ht="13">
      <c r="C706" s="6"/>
      <c r="D706" s="6"/>
      <c r="E706" s="6"/>
      <c r="F706" s="6"/>
    </row>
    <row r="707" spans="3:6" ht="13">
      <c r="C707" s="6"/>
      <c r="D707" s="6"/>
      <c r="E707" s="6"/>
      <c r="F707" s="6"/>
    </row>
    <row r="708" spans="3:6" ht="13">
      <c r="C708" s="6"/>
      <c r="D708" s="6"/>
      <c r="E708" s="6"/>
      <c r="F708" s="6"/>
    </row>
    <row r="709" spans="3:6" ht="13">
      <c r="C709" s="6"/>
      <c r="D709" s="6"/>
      <c r="E709" s="6"/>
      <c r="F709" s="6"/>
    </row>
    <row r="710" spans="3:6" ht="13">
      <c r="C710" s="6"/>
      <c r="D710" s="6"/>
      <c r="E710" s="6"/>
      <c r="F710" s="6"/>
    </row>
    <row r="711" spans="3:6" ht="13">
      <c r="C711" s="6"/>
      <c r="D711" s="6"/>
      <c r="E711" s="6"/>
      <c r="F711" s="6"/>
    </row>
    <row r="712" spans="3:6" ht="13">
      <c r="C712" s="6"/>
      <c r="D712" s="6"/>
      <c r="E712" s="6"/>
      <c r="F712" s="6"/>
    </row>
    <row r="713" spans="3:6" ht="13">
      <c r="C713" s="6"/>
      <c r="D713" s="6"/>
      <c r="E713" s="6"/>
      <c r="F713" s="6"/>
    </row>
    <row r="714" spans="3:6" ht="13">
      <c r="C714" s="6"/>
      <c r="D714" s="6"/>
      <c r="E714" s="6"/>
      <c r="F714" s="6"/>
    </row>
    <row r="715" spans="3:6" ht="13">
      <c r="C715" s="6"/>
      <c r="D715" s="6"/>
      <c r="E715" s="6"/>
      <c r="F715" s="6"/>
    </row>
    <row r="716" spans="3:6" ht="13">
      <c r="C716" s="6"/>
      <c r="D716" s="6"/>
      <c r="E716" s="6"/>
      <c r="F716" s="6"/>
    </row>
    <row r="717" spans="3:6" ht="13">
      <c r="C717" s="6"/>
      <c r="D717" s="6"/>
      <c r="E717" s="6"/>
      <c r="F717" s="6"/>
    </row>
    <row r="718" spans="3:6" ht="13">
      <c r="C718" s="6"/>
      <c r="D718" s="6"/>
      <c r="E718" s="6"/>
      <c r="F718" s="6"/>
    </row>
    <row r="719" spans="3:6" ht="13">
      <c r="C719" s="6"/>
      <c r="D719" s="6"/>
      <c r="E719" s="6"/>
      <c r="F719" s="6"/>
    </row>
    <row r="720" spans="3:6" ht="13">
      <c r="C720" s="6"/>
      <c r="D720" s="6"/>
      <c r="E720" s="6"/>
      <c r="F720" s="6"/>
    </row>
    <row r="721" spans="3:6" ht="13">
      <c r="C721" s="6"/>
      <c r="D721" s="6"/>
      <c r="E721" s="6"/>
      <c r="F721" s="6"/>
    </row>
    <row r="722" spans="3:6" ht="13">
      <c r="C722" s="6"/>
      <c r="D722" s="6"/>
      <c r="E722" s="6"/>
      <c r="F722" s="6"/>
    </row>
    <row r="723" spans="3:6" ht="13">
      <c r="C723" s="6"/>
      <c r="D723" s="6"/>
      <c r="E723" s="6"/>
      <c r="F723" s="6"/>
    </row>
    <row r="724" spans="3:6" ht="13">
      <c r="C724" s="6"/>
      <c r="D724" s="6"/>
      <c r="E724" s="6"/>
      <c r="F724" s="6"/>
    </row>
    <row r="725" spans="3:6" ht="13">
      <c r="C725" s="6"/>
      <c r="D725" s="6"/>
      <c r="E725" s="6"/>
      <c r="F725" s="6"/>
    </row>
    <row r="726" spans="3:6" ht="13">
      <c r="C726" s="6"/>
      <c r="D726" s="6"/>
      <c r="E726" s="6"/>
      <c r="F726" s="6"/>
    </row>
    <row r="727" spans="3:6" ht="13">
      <c r="C727" s="6"/>
      <c r="D727" s="6"/>
      <c r="E727" s="6"/>
      <c r="F727" s="6"/>
    </row>
    <row r="728" spans="3:6" ht="13">
      <c r="C728" s="6"/>
      <c r="D728" s="6"/>
      <c r="E728" s="6"/>
      <c r="F728" s="6"/>
    </row>
    <row r="729" spans="3:6" ht="13">
      <c r="C729" s="6"/>
      <c r="D729" s="6"/>
      <c r="E729" s="6"/>
      <c r="F729" s="6"/>
    </row>
    <row r="730" spans="3:6" ht="13">
      <c r="C730" s="6"/>
      <c r="D730" s="6"/>
      <c r="E730" s="6"/>
      <c r="F730" s="6"/>
    </row>
    <row r="731" spans="3:6" ht="13">
      <c r="C731" s="6"/>
      <c r="D731" s="6"/>
      <c r="E731" s="6"/>
      <c r="F731" s="6"/>
    </row>
    <row r="732" spans="3:6" ht="13">
      <c r="C732" s="6"/>
      <c r="D732" s="6"/>
      <c r="E732" s="6"/>
      <c r="F732" s="6"/>
    </row>
    <row r="733" spans="3:6" ht="13">
      <c r="C733" s="6"/>
      <c r="D733" s="6"/>
      <c r="E733" s="6"/>
      <c r="F733" s="6"/>
    </row>
    <row r="734" spans="3:6" ht="13">
      <c r="C734" s="6"/>
      <c r="D734" s="6"/>
      <c r="E734" s="6"/>
      <c r="F734" s="6"/>
    </row>
    <row r="735" spans="3:6" ht="13">
      <c r="C735" s="6"/>
      <c r="D735" s="6"/>
      <c r="E735" s="6"/>
      <c r="F735" s="6"/>
    </row>
    <row r="736" spans="3:6" ht="13">
      <c r="C736" s="6"/>
      <c r="D736" s="6"/>
      <c r="E736" s="6"/>
      <c r="F736" s="6"/>
    </row>
    <row r="737" spans="3:6" ht="13">
      <c r="C737" s="6"/>
      <c r="D737" s="6"/>
      <c r="E737" s="6"/>
      <c r="F737" s="6"/>
    </row>
    <row r="738" spans="3:6" ht="13">
      <c r="C738" s="6"/>
      <c r="D738" s="6"/>
      <c r="E738" s="6"/>
      <c r="F738" s="6"/>
    </row>
    <row r="739" spans="3:6" ht="13">
      <c r="C739" s="6"/>
      <c r="D739" s="6"/>
      <c r="E739" s="6"/>
      <c r="F739" s="6"/>
    </row>
    <row r="740" spans="3:6" ht="13">
      <c r="C740" s="6"/>
      <c r="D740" s="6"/>
      <c r="E740" s="6"/>
      <c r="F740" s="6"/>
    </row>
    <row r="741" spans="3:6" ht="13">
      <c r="C741" s="6"/>
      <c r="D741" s="6"/>
      <c r="E741" s="6"/>
      <c r="F741" s="6"/>
    </row>
    <row r="742" spans="3:6" ht="13">
      <c r="C742" s="6"/>
      <c r="D742" s="6"/>
      <c r="E742" s="6"/>
      <c r="F742" s="6"/>
    </row>
    <row r="743" spans="3:6" ht="13">
      <c r="C743" s="6"/>
      <c r="D743" s="6"/>
      <c r="E743" s="6"/>
      <c r="F743" s="6"/>
    </row>
    <row r="744" spans="3:6" ht="13">
      <c r="C744" s="6"/>
      <c r="D744" s="6"/>
      <c r="E744" s="6"/>
      <c r="F744" s="6"/>
    </row>
    <row r="745" spans="3:6" ht="13">
      <c r="C745" s="6"/>
      <c r="D745" s="6"/>
      <c r="E745" s="6"/>
      <c r="F745" s="6"/>
    </row>
    <row r="746" spans="3:6" ht="13">
      <c r="C746" s="6"/>
      <c r="D746" s="6"/>
      <c r="E746" s="6"/>
      <c r="F746" s="6"/>
    </row>
    <row r="747" spans="3:6" ht="13">
      <c r="C747" s="6"/>
      <c r="D747" s="6"/>
      <c r="E747" s="6"/>
      <c r="F747" s="6"/>
    </row>
    <row r="748" spans="3:6" ht="13">
      <c r="C748" s="6"/>
      <c r="D748" s="6"/>
      <c r="E748" s="6"/>
      <c r="F748" s="6"/>
    </row>
    <row r="749" spans="3:6" ht="13">
      <c r="C749" s="6"/>
      <c r="D749" s="6"/>
      <c r="E749" s="6"/>
      <c r="F749" s="6"/>
    </row>
    <row r="750" spans="3:6" ht="13">
      <c r="C750" s="6"/>
      <c r="D750" s="6"/>
      <c r="E750" s="6"/>
      <c r="F750" s="6"/>
    </row>
    <row r="751" spans="3:6" ht="13">
      <c r="C751" s="6"/>
      <c r="D751" s="6"/>
      <c r="E751" s="6"/>
      <c r="F751" s="6"/>
    </row>
    <row r="752" spans="3:6" ht="13">
      <c r="C752" s="6"/>
      <c r="D752" s="6"/>
      <c r="E752" s="6"/>
      <c r="F752" s="6"/>
    </row>
    <row r="753" spans="3:6" ht="13">
      <c r="C753" s="6"/>
      <c r="D753" s="6"/>
      <c r="E753" s="6"/>
      <c r="F753" s="6"/>
    </row>
    <row r="754" spans="3:6" ht="13">
      <c r="C754" s="6"/>
      <c r="D754" s="6"/>
      <c r="E754" s="6"/>
      <c r="F754" s="6"/>
    </row>
    <row r="755" spans="3:6" ht="13">
      <c r="C755" s="6"/>
      <c r="D755" s="6"/>
      <c r="E755" s="6"/>
      <c r="F755" s="6"/>
    </row>
    <row r="756" spans="3:6" ht="13">
      <c r="C756" s="6"/>
      <c r="D756" s="6"/>
      <c r="E756" s="6"/>
      <c r="F756" s="6"/>
    </row>
    <row r="757" spans="3:6" ht="13">
      <c r="C757" s="6"/>
      <c r="D757" s="6"/>
      <c r="E757" s="6"/>
      <c r="F757" s="6"/>
    </row>
    <row r="758" spans="3:6" ht="13">
      <c r="C758" s="6"/>
      <c r="D758" s="6"/>
      <c r="E758" s="6"/>
      <c r="F758" s="6"/>
    </row>
    <row r="759" spans="3:6" ht="13">
      <c r="C759" s="6"/>
      <c r="D759" s="6"/>
      <c r="E759" s="6"/>
      <c r="F759" s="6"/>
    </row>
    <row r="760" spans="3:6" ht="13">
      <c r="C760" s="6"/>
      <c r="D760" s="6"/>
      <c r="E760" s="6"/>
      <c r="F760" s="6"/>
    </row>
    <row r="761" spans="3:6" ht="13">
      <c r="C761" s="6"/>
      <c r="D761" s="6"/>
      <c r="E761" s="6"/>
      <c r="F761" s="6"/>
    </row>
    <row r="762" spans="3:6" ht="13">
      <c r="C762" s="6"/>
      <c r="D762" s="6"/>
      <c r="E762" s="6"/>
      <c r="F762" s="6"/>
    </row>
    <row r="763" spans="3:6" ht="13">
      <c r="C763" s="6"/>
      <c r="D763" s="6"/>
      <c r="E763" s="6"/>
      <c r="F763" s="6"/>
    </row>
    <row r="764" spans="3:6" ht="13">
      <c r="C764" s="6"/>
      <c r="D764" s="6"/>
      <c r="E764" s="6"/>
      <c r="F764" s="6"/>
    </row>
    <row r="765" spans="3:6" ht="13">
      <c r="C765" s="6"/>
      <c r="D765" s="6"/>
      <c r="E765" s="6"/>
      <c r="F765" s="6"/>
    </row>
    <row r="766" spans="3:6" ht="13">
      <c r="C766" s="6"/>
      <c r="D766" s="6"/>
      <c r="E766" s="6"/>
      <c r="F766" s="6"/>
    </row>
    <row r="767" spans="3:6" ht="13">
      <c r="C767" s="6"/>
      <c r="D767" s="6"/>
      <c r="E767" s="6"/>
      <c r="F767" s="6"/>
    </row>
    <row r="768" spans="3:6" ht="13">
      <c r="C768" s="6"/>
      <c r="D768" s="6"/>
      <c r="E768" s="6"/>
      <c r="F768" s="6"/>
    </row>
    <row r="769" spans="3:6" ht="13">
      <c r="C769" s="6"/>
      <c r="D769" s="6"/>
      <c r="E769" s="6"/>
      <c r="F769" s="6"/>
    </row>
    <row r="770" spans="3:6" ht="13">
      <c r="C770" s="6"/>
      <c r="D770" s="6"/>
      <c r="E770" s="6"/>
      <c r="F770" s="6"/>
    </row>
    <row r="771" spans="3:6" ht="13">
      <c r="C771" s="6"/>
      <c r="D771" s="6"/>
      <c r="E771" s="6"/>
      <c r="F771" s="6"/>
    </row>
    <row r="772" spans="3:6" ht="13">
      <c r="C772" s="6"/>
      <c r="D772" s="6"/>
      <c r="E772" s="6"/>
      <c r="F772" s="6"/>
    </row>
    <row r="773" spans="3:6" ht="13">
      <c r="C773" s="6"/>
      <c r="D773" s="6"/>
      <c r="E773" s="6"/>
      <c r="F773" s="6"/>
    </row>
    <row r="774" spans="3:6" ht="13">
      <c r="C774" s="6"/>
      <c r="D774" s="6"/>
      <c r="E774" s="6"/>
      <c r="F774" s="6"/>
    </row>
    <row r="775" spans="3:6" ht="13">
      <c r="C775" s="6"/>
      <c r="D775" s="6"/>
      <c r="E775" s="6"/>
      <c r="F775" s="6"/>
    </row>
    <row r="776" spans="3:6" ht="13">
      <c r="C776" s="6"/>
      <c r="D776" s="6"/>
      <c r="E776" s="6"/>
      <c r="F776" s="6"/>
    </row>
    <row r="777" spans="3:6" ht="13">
      <c r="C777" s="6"/>
      <c r="D777" s="6"/>
      <c r="E777" s="6"/>
      <c r="F777" s="6"/>
    </row>
    <row r="778" spans="3:6" ht="13">
      <c r="C778" s="6"/>
      <c r="D778" s="6"/>
      <c r="E778" s="6"/>
      <c r="F778" s="6"/>
    </row>
    <row r="779" spans="3:6" ht="13">
      <c r="C779" s="6"/>
      <c r="D779" s="6"/>
      <c r="E779" s="6"/>
      <c r="F779" s="6"/>
    </row>
    <row r="780" spans="3:6" ht="13">
      <c r="C780" s="6"/>
      <c r="D780" s="6"/>
      <c r="E780" s="6"/>
      <c r="F780" s="6"/>
    </row>
    <row r="781" spans="3:6" ht="13">
      <c r="C781" s="6"/>
      <c r="D781" s="6"/>
      <c r="E781" s="6"/>
      <c r="F781" s="6"/>
    </row>
    <row r="782" spans="3:6" ht="13">
      <c r="C782" s="6"/>
      <c r="D782" s="6"/>
      <c r="E782" s="6"/>
      <c r="F782" s="6"/>
    </row>
    <row r="783" spans="3:6" ht="13">
      <c r="C783" s="6"/>
      <c r="D783" s="6"/>
      <c r="E783" s="6"/>
      <c r="F783" s="6"/>
    </row>
    <row r="784" spans="3:6" ht="13">
      <c r="C784" s="6"/>
      <c r="D784" s="6"/>
      <c r="E784" s="6"/>
      <c r="F784" s="6"/>
    </row>
    <row r="785" spans="3:6" ht="13">
      <c r="C785" s="6"/>
      <c r="D785" s="6"/>
      <c r="E785" s="6"/>
      <c r="F785" s="6"/>
    </row>
    <row r="786" spans="3:6" ht="13">
      <c r="C786" s="6"/>
      <c r="D786" s="6"/>
      <c r="E786" s="6"/>
      <c r="F786" s="6"/>
    </row>
    <row r="787" spans="3:6" ht="13">
      <c r="C787" s="6"/>
      <c r="D787" s="6"/>
      <c r="E787" s="6"/>
      <c r="F787" s="6"/>
    </row>
    <row r="788" spans="3:6" ht="13">
      <c r="C788" s="6"/>
      <c r="D788" s="6"/>
      <c r="E788" s="6"/>
      <c r="F788" s="6"/>
    </row>
    <row r="789" spans="3:6" ht="13">
      <c r="C789" s="6"/>
      <c r="D789" s="6"/>
      <c r="E789" s="6"/>
      <c r="F789" s="6"/>
    </row>
    <row r="790" spans="3:6" ht="13">
      <c r="C790" s="6"/>
      <c r="D790" s="6"/>
      <c r="E790" s="6"/>
      <c r="F790" s="6"/>
    </row>
    <row r="791" spans="3:6" ht="13">
      <c r="C791" s="6"/>
      <c r="D791" s="6"/>
      <c r="E791" s="6"/>
      <c r="F791" s="6"/>
    </row>
    <row r="792" spans="3:6" ht="13">
      <c r="C792" s="6"/>
      <c r="D792" s="6"/>
      <c r="E792" s="6"/>
      <c r="F792" s="6"/>
    </row>
    <row r="793" spans="3:6" ht="13">
      <c r="C793" s="6"/>
      <c r="D793" s="6"/>
      <c r="E793" s="6"/>
      <c r="F793" s="6"/>
    </row>
    <row r="794" spans="3:6" ht="13">
      <c r="C794" s="6"/>
      <c r="D794" s="6"/>
      <c r="E794" s="6"/>
      <c r="F794" s="6"/>
    </row>
    <row r="795" spans="3:6" ht="13">
      <c r="C795" s="6"/>
      <c r="D795" s="6"/>
      <c r="E795" s="6"/>
      <c r="F795" s="6"/>
    </row>
    <row r="796" spans="3:6" ht="13">
      <c r="C796" s="6"/>
      <c r="D796" s="6"/>
      <c r="E796" s="6"/>
      <c r="F796" s="6"/>
    </row>
    <row r="797" spans="3:6" ht="13">
      <c r="C797" s="6"/>
      <c r="D797" s="6"/>
      <c r="E797" s="6"/>
      <c r="F797" s="6"/>
    </row>
    <row r="798" spans="3:6" ht="13">
      <c r="C798" s="6"/>
      <c r="D798" s="6"/>
      <c r="E798" s="6"/>
      <c r="F798" s="6"/>
    </row>
    <row r="799" spans="3:6" ht="13">
      <c r="C799" s="6"/>
      <c r="D799" s="6"/>
      <c r="E799" s="6"/>
      <c r="F799" s="6"/>
    </row>
    <row r="800" spans="3:6" ht="13">
      <c r="C800" s="6"/>
      <c r="D800" s="6"/>
      <c r="E800" s="6"/>
      <c r="F800" s="6"/>
    </row>
    <row r="801" spans="3:6" ht="13">
      <c r="C801" s="6"/>
      <c r="D801" s="6"/>
      <c r="E801" s="6"/>
      <c r="F801" s="6"/>
    </row>
    <row r="802" spans="3:6" ht="13">
      <c r="C802" s="6"/>
      <c r="D802" s="6"/>
      <c r="E802" s="6"/>
      <c r="F802" s="6"/>
    </row>
    <row r="803" spans="3:6" ht="13">
      <c r="C803" s="6"/>
      <c r="D803" s="6"/>
      <c r="E803" s="6"/>
      <c r="F803" s="6"/>
    </row>
    <row r="804" spans="3:6" ht="13">
      <c r="C804" s="6"/>
      <c r="D804" s="6"/>
      <c r="E804" s="6"/>
      <c r="F804" s="6"/>
    </row>
    <row r="805" spans="3:6" ht="13">
      <c r="C805" s="6"/>
      <c r="D805" s="6"/>
      <c r="E805" s="6"/>
      <c r="F805" s="6"/>
    </row>
    <row r="806" spans="3:6" ht="13">
      <c r="C806" s="6"/>
      <c r="D806" s="6"/>
      <c r="E806" s="6"/>
      <c r="F806" s="6"/>
    </row>
    <row r="807" spans="3:6" ht="13">
      <c r="C807" s="6"/>
      <c r="D807" s="6"/>
      <c r="E807" s="6"/>
      <c r="F807" s="6"/>
    </row>
    <row r="808" spans="3:6" ht="13">
      <c r="C808" s="6"/>
      <c r="D808" s="6"/>
      <c r="E808" s="6"/>
      <c r="F808" s="6"/>
    </row>
    <row r="809" spans="3:6" ht="13">
      <c r="C809" s="6"/>
      <c r="D809" s="6"/>
      <c r="E809" s="6"/>
      <c r="F809" s="6"/>
    </row>
    <row r="810" spans="3:6" ht="13">
      <c r="C810" s="6"/>
      <c r="D810" s="6"/>
      <c r="E810" s="6"/>
      <c r="F810" s="6"/>
    </row>
    <row r="811" spans="3:6" ht="13">
      <c r="C811" s="6"/>
      <c r="D811" s="6"/>
      <c r="E811" s="6"/>
      <c r="F811" s="6"/>
    </row>
    <row r="812" spans="3:6" ht="13">
      <c r="C812" s="6"/>
      <c r="D812" s="6"/>
      <c r="E812" s="6"/>
      <c r="F812" s="6"/>
    </row>
    <row r="813" spans="3:6" ht="13">
      <c r="C813" s="6"/>
      <c r="D813" s="6"/>
      <c r="E813" s="6"/>
      <c r="F813" s="6"/>
    </row>
    <row r="814" spans="3:6" ht="13">
      <c r="C814" s="6"/>
      <c r="D814" s="6"/>
      <c r="E814" s="6"/>
      <c r="F814" s="6"/>
    </row>
    <row r="815" spans="3:6" ht="13">
      <c r="C815" s="6"/>
      <c r="D815" s="6"/>
      <c r="E815" s="6"/>
      <c r="F815" s="6"/>
    </row>
    <row r="816" spans="3:6" ht="13">
      <c r="C816" s="6"/>
      <c r="D816" s="6"/>
      <c r="E816" s="6"/>
      <c r="F816" s="6"/>
    </row>
    <row r="817" spans="3:6" ht="13">
      <c r="C817" s="6"/>
      <c r="D817" s="6"/>
      <c r="E817" s="6"/>
      <c r="F817" s="6"/>
    </row>
    <row r="818" spans="3:6" ht="13">
      <c r="C818" s="6"/>
      <c r="D818" s="6"/>
      <c r="E818" s="6"/>
      <c r="F818" s="6"/>
    </row>
    <row r="819" spans="3:6" ht="13">
      <c r="C819" s="6"/>
      <c r="D819" s="6"/>
      <c r="E819" s="6"/>
      <c r="F819" s="6"/>
    </row>
    <row r="820" spans="3:6" ht="13">
      <c r="C820" s="6"/>
      <c r="D820" s="6"/>
      <c r="E820" s="6"/>
      <c r="F820" s="6"/>
    </row>
    <row r="821" spans="3:6" ht="13">
      <c r="C821" s="6"/>
      <c r="D821" s="6"/>
      <c r="E821" s="6"/>
      <c r="F821" s="6"/>
    </row>
    <row r="822" spans="3:6" ht="13">
      <c r="C822" s="6"/>
      <c r="D822" s="6"/>
      <c r="E822" s="6"/>
      <c r="F822" s="6"/>
    </row>
    <row r="823" spans="3:6" ht="13">
      <c r="C823" s="6"/>
      <c r="D823" s="6"/>
      <c r="E823" s="6"/>
      <c r="F823" s="6"/>
    </row>
    <row r="824" spans="3:6" ht="13">
      <c r="C824" s="6"/>
      <c r="D824" s="6"/>
      <c r="E824" s="6"/>
      <c r="F824" s="6"/>
    </row>
    <row r="825" spans="3:6" ht="13">
      <c r="C825" s="6"/>
      <c r="D825" s="6"/>
      <c r="E825" s="6"/>
      <c r="F825" s="6"/>
    </row>
    <row r="826" spans="3:6" ht="13">
      <c r="C826" s="6"/>
      <c r="D826" s="6"/>
      <c r="E826" s="6"/>
      <c r="F826" s="6"/>
    </row>
    <row r="827" spans="3:6" ht="13">
      <c r="C827" s="6"/>
      <c r="D827" s="6"/>
      <c r="E827" s="6"/>
      <c r="F827" s="6"/>
    </row>
    <row r="828" spans="3:6" ht="13">
      <c r="C828" s="6"/>
      <c r="D828" s="6"/>
      <c r="E828" s="6"/>
      <c r="F828" s="6"/>
    </row>
    <row r="829" spans="3:6" ht="13">
      <c r="C829" s="6"/>
      <c r="D829" s="6"/>
      <c r="E829" s="6"/>
      <c r="F829" s="6"/>
    </row>
    <row r="830" spans="3:6" ht="13">
      <c r="C830" s="6"/>
      <c r="D830" s="6"/>
      <c r="E830" s="6"/>
      <c r="F830" s="6"/>
    </row>
    <row r="831" spans="3:6" ht="13">
      <c r="C831" s="6"/>
      <c r="D831" s="6"/>
      <c r="E831" s="6"/>
      <c r="F831" s="6"/>
    </row>
    <row r="832" spans="3:6" ht="13">
      <c r="C832" s="6"/>
      <c r="D832" s="6"/>
      <c r="E832" s="6"/>
      <c r="F832" s="6"/>
    </row>
    <row r="833" spans="3:6" ht="13">
      <c r="C833" s="6"/>
      <c r="D833" s="6"/>
      <c r="E833" s="6"/>
      <c r="F833" s="6"/>
    </row>
    <row r="834" spans="3:6" ht="13">
      <c r="C834" s="6"/>
      <c r="D834" s="6"/>
      <c r="E834" s="6"/>
      <c r="F834" s="6"/>
    </row>
    <row r="835" spans="3:6" ht="13">
      <c r="C835" s="6"/>
      <c r="D835" s="6"/>
      <c r="E835" s="6"/>
      <c r="F835" s="6"/>
    </row>
    <row r="836" spans="3:6" ht="13">
      <c r="C836" s="6"/>
      <c r="D836" s="6"/>
      <c r="E836" s="6"/>
      <c r="F836" s="6"/>
    </row>
    <row r="837" spans="3:6" ht="13">
      <c r="C837" s="6"/>
      <c r="D837" s="6"/>
      <c r="E837" s="6"/>
      <c r="F837" s="6"/>
    </row>
    <row r="838" spans="3:6" ht="13">
      <c r="C838" s="6"/>
      <c r="D838" s="6"/>
      <c r="E838" s="6"/>
      <c r="F838" s="6"/>
    </row>
    <row r="839" spans="3:6" ht="13">
      <c r="C839" s="6"/>
      <c r="D839" s="6"/>
      <c r="E839" s="6"/>
      <c r="F839" s="6"/>
    </row>
    <row r="840" spans="3:6" ht="13">
      <c r="C840" s="6"/>
      <c r="D840" s="6"/>
      <c r="E840" s="6"/>
      <c r="F840" s="6"/>
    </row>
    <row r="841" spans="3:6" ht="13">
      <c r="C841" s="6"/>
      <c r="D841" s="6"/>
      <c r="E841" s="6"/>
      <c r="F841" s="6"/>
    </row>
    <row r="842" spans="3:6" ht="13">
      <c r="C842" s="6"/>
      <c r="D842" s="6"/>
      <c r="E842" s="6"/>
      <c r="F842" s="6"/>
    </row>
    <row r="843" spans="3:6" ht="13">
      <c r="C843" s="6"/>
      <c r="D843" s="6"/>
      <c r="E843" s="6"/>
      <c r="F843" s="6"/>
    </row>
    <row r="844" spans="3:6" ht="13">
      <c r="C844" s="6"/>
      <c r="D844" s="6"/>
      <c r="E844" s="6"/>
      <c r="F844" s="6"/>
    </row>
    <row r="845" spans="3:6" ht="13">
      <c r="C845" s="6"/>
      <c r="D845" s="6"/>
      <c r="E845" s="6"/>
      <c r="F845" s="6"/>
    </row>
    <row r="846" spans="3:6" ht="13">
      <c r="C846" s="6"/>
      <c r="D846" s="6"/>
      <c r="E846" s="6"/>
      <c r="F846" s="6"/>
    </row>
    <row r="847" spans="3:6" ht="13">
      <c r="C847" s="6"/>
      <c r="D847" s="6"/>
      <c r="E847" s="6"/>
      <c r="F847" s="6"/>
    </row>
    <row r="848" spans="3:6" ht="13">
      <c r="C848" s="6"/>
      <c r="D848" s="6"/>
      <c r="E848" s="6"/>
      <c r="F848" s="6"/>
    </row>
    <row r="849" spans="3:6" ht="13">
      <c r="C849" s="6"/>
      <c r="D849" s="6"/>
      <c r="E849" s="6"/>
      <c r="F849" s="6"/>
    </row>
    <row r="850" spans="3:6" ht="13">
      <c r="C850" s="6"/>
      <c r="D850" s="6"/>
      <c r="E850" s="6"/>
      <c r="F850" s="6"/>
    </row>
    <row r="851" spans="3:6" ht="13">
      <c r="C851" s="6"/>
      <c r="D851" s="6"/>
      <c r="E851" s="6"/>
      <c r="F851" s="6"/>
    </row>
    <row r="852" spans="3:6" ht="13">
      <c r="C852" s="6"/>
      <c r="D852" s="6"/>
      <c r="E852" s="6"/>
      <c r="F852" s="6"/>
    </row>
    <row r="853" spans="3:6" ht="13">
      <c r="C853" s="6"/>
      <c r="D853" s="6"/>
      <c r="E853" s="6"/>
      <c r="F853" s="6"/>
    </row>
    <row r="854" spans="3:6" ht="13">
      <c r="C854" s="6"/>
      <c r="D854" s="6"/>
      <c r="E854" s="6"/>
      <c r="F854" s="6"/>
    </row>
    <row r="855" spans="3:6" ht="13">
      <c r="C855" s="6"/>
      <c r="D855" s="6"/>
      <c r="E855" s="6"/>
      <c r="F855" s="6"/>
    </row>
    <row r="856" spans="3:6" ht="13">
      <c r="C856" s="6"/>
      <c r="D856" s="6"/>
      <c r="E856" s="6"/>
      <c r="F856" s="6"/>
    </row>
    <row r="857" spans="3:6" ht="13">
      <c r="C857" s="6"/>
      <c r="D857" s="6"/>
      <c r="E857" s="6"/>
      <c r="F857" s="6"/>
    </row>
    <row r="858" spans="3:6" ht="13">
      <c r="C858" s="6"/>
      <c r="D858" s="6"/>
      <c r="E858" s="6"/>
      <c r="F858" s="6"/>
    </row>
    <row r="859" spans="3:6" ht="13">
      <c r="C859" s="6"/>
      <c r="D859" s="6"/>
      <c r="E859" s="6"/>
      <c r="F859" s="6"/>
    </row>
    <row r="860" spans="3:6" ht="13">
      <c r="C860" s="6"/>
      <c r="D860" s="6"/>
      <c r="E860" s="6"/>
      <c r="F860" s="6"/>
    </row>
    <row r="861" spans="3:6" ht="13">
      <c r="C861" s="6"/>
      <c r="D861" s="6"/>
      <c r="E861" s="6"/>
      <c r="F861" s="6"/>
    </row>
    <row r="862" spans="3:6" ht="13">
      <c r="C862" s="6"/>
      <c r="D862" s="6"/>
      <c r="E862" s="6"/>
      <c r="F862" s="6"/>
    </row>
    <row r="863" spans="3:6" ht="13">
      <c r="C863" s="6"/>
      <c r="D863" s="6"/>
      <c r="E863" s="6"/>
      <c r="F863" s="6"/>
    </row>
    <row r="864" spans="3:6" ht="13">
      <c r="C864" s="6"/>
      <c r="D864" s="6"/>
      <c r="E864" s="6"/>
      <c r="F864" s="6"/>
    </row>
    <row r="865" spans="3:6" ht="13">
      <c r="C865" s="6"/>
      <c r="D865" s="6"/>
      <c r="E865" s="6"/>
      <c r="F865" s="6"/>
    </row>
    <row r="866" spans="3:6" ht="13">
      <c r="C866" s="6"/>
      <c r="D866" s="6"/>
      <c r="E866" s="6"/>
      <c r="F866" s="6"/>
    </row>
    <row r="867" spans="3:6" ht="13">
      <c r="C867" s="6"/>
      <c r="D867" s="6"/>
      <c r="E867" s="6"/>
      <c r="F867" s="6"/>
    </row>
    <row r="868" spans="3:6" ht="13">
      <c r="C868" s="6"/>
      <c r="D868" s="6"/>
      <c r="E868" s="6"/>
      <c r="F868" s="6"/>
    </row>
    <row r="869" spans="3:6" ht="13">
      <c r="C869" s="6"/>
      <c r="D869" s="6"/>
      <c r="E869" s="6"/>
      <c r="F869" s="6"/>
    </row>
    <row r="870" spans="3:6" ht="13">
      <c r="C870" s="6"/>
      <c r="D870" s="6"/>
      <c r="E870" s="6"/>
      <c r="F870" s="6"/>
    </row>
    <row r="871" spans="3:6" ht="13">
      <c r="C871" s="6"/>
      <c r="D871" s="6"/>
      <c r="E871" s="6"/>
      <c r="F871" s="6"/>
    </row>
    <row r="872" spans="3:6" ht="13">
      <c r="C872" s="6"/>
      <c r="D872" s="6"/>
      <c r="E872" s="6"/>
      <c r="F872" s="6"/>
    </row>
    <row r="873" spans="3:6" ht="13">
      <c r="C873" s="6"/>
      <c r="D873" s="6"/>
      <c r="E873" s="6"/>
      <c r="F873" s="6"/>
    </row>
    <row r="874" spans="3:6" ht="13">
      <c r="C874" s="6"/>
      <c r="D874" s="6"/>
      <c r="E874" s="6"/>
      <c r="F874" s="6"/>
    </row>
    <row r="875" spans="3:6" ht="13">
      <c r="C875" s="6"/>
      <c r="D875" s="6"/>
      <c r="E875" s="6"/>
      <c r="F875" s="6"/>
    </row>
    <row r="876" spans="3:6" ht="13">
      <c r="C876" s="6"/>
      <c r="D876" s="6"/>
      <c r="E876" s="6"/>
      <c r="F876" s="6"/>
    </row>
    <row r="877" spans="3:6" ht="13">
      <c r="C877" s="6"/>
      <c r="D877" s="6"/>
      <c r="E877" s="6"/>
      <c r="F877" s="6"/>
    </row>
    <row r="878" spans="3:6" ht="13">
      <c r="C878" s="6"/>
      <c r="D878" s="6"/>
      <c r="E878" s="6"/>
      <c r="F878" s="6"/>
    </row>
    <row r="879" spans="3:6" ht="13">
      <c r="C879" s="6"/>
      <c r="D879" s="6"/>
      <c r="E879" s="6"/>
      <c r="F879" s="6"/>
    </row>
    <row r="880" spans="3:6" ht="13">
      <c r="C880" s="6"/>
      <c r="D880" s="6"/>
      <c r="E880" s="6"/>
      <c r="F880" s="6"/>
    </row>
    <row r="881" spans="3:6" ht="13">
      <c r="C881" s="6"/>
      <c r="D881" s="6"/>
      <c r="E881" s="6"/>
      <c r="F881" s="6"/>
    </row>
    <row r="882" spans="3:6" ht="13">
      <c r="C882" s="6"/>
      <c r="D882" s="6"/>
      <c r="E882" s="6"/>
      <c r="F882" s="6"/>
    </row>
    <row r="883" spans="3:6" ht="13">
      <c r="C883" s="6"/>
      <c r="D883" s="6"/>
      <c r="E883" s="6"/>
      <c r="F883" s="6"/>
    </row>
    <row r="884" spans="3:6" ht="13">
      <c r="C884" s="6"/>
      <c r="D884" s="6"/>
      <c r="E884" s="6"/>
      <c r="F884" s="6"/>
    </row>
    <row r="885" spans="3:6" ht="13">
      <c r="C885" s="6"/>
      <c r="D885" s="6"/>
      <c r="E885" s="6"/>
      <c r="F885" s="6"/>
    </row>
    <row r="886" spans="3:6" ht="13">
      <c r="C886" s="6"/>
      <c r="D886" s="6"/>
      <c r="E886" s="6"/>
      <c r="F886" s="6"/>
    </row>
    <row r="887" spans="3:6" ht="13">
      <c r="C887" s="6"/>
      <c r="D887" s="6"/>
      <c r="E887" s="6"/>
      <c r="F887" s="6"/>
    </row>
    <row r="888" spans="3:6" ht="13">
      <c r="C888" s="6"/>
      <c r="D888" s="6"/>
      <c r="E888" s="6"/>
      <c r="F888" s="6"/>
    </row>
    <row r="889" spans="3:6" ht="13">
      <c r="C889" s="6"/>
      <c r="D889" s="6"/>
      <c r="E889" s="6"/>
      <c r="F889" s="6"/>
    </row>
    <row r="890" spans="3:6" ht="13">
      <c r="C890" s="6"/>
      <c r="D890" s="6"/>
      <c r="E890" s="6"/>
      <c r="F890" s="6"/>
    </row>
    <row r="891" spans="3:6" ht="13">
      <c r="C891" s="6"/>
      <c r="D891" s="6"/>
      <c r="E891" s="6"/>
      <c r="F891" s="6"/>
    </row>
    <row r="892" spans="3:6" ht="13">
      <c r="C892" s="6"/>
      <c r="D892" s="6"/>
      <c r="E892" s="6"/>
      <c r="F892" s="6"/>
    </row>
    <row r="893" spans="3:6" ht="13">
      <c r="C893" s="6"/>
      <c r="D893" s="6"/>
      <c r="E893" s="6"/>
      <c r="F893" s="6"/>
    </row>
    <row r="894" spans="3:6" ht="13">
      <c r="C894" s="6"/>
      <c r="D894" s="6"/>
      <c r="E894" s="6"/>
      <c r="F894" s="6"/>
    </row>
    <row r="895" spans="3:6" ht="13">
      <c r="C895" s="6"/>
      <c r="D895" s="6"/>
      <c r="E895" s="6"/>
      <c r="F895" s="6"/>
    </row>
    <row r="896" spans="3:6" ht="13">
      <c r="C896" s="6"/>
      <c r="D896" s="6"/>
      <c r="E896" s="6"/>
      <c r="F896" s="6"/>
    </row>
    <row r="897" spans="3:6" ht="13">
      <c r="C897" s="6"/>
      <c r="D897" s="6"/>
      <c r="E897" s="6"/>
      <c r="F897" s="6"/>
    </row>
    <row r="898" spans="3:6" ht="13">
      <c r="C898" s="6"/>
      <c r="D898" s="6"/>
      <c r="E898" s="6"/>
      <c r="F898" s="6"/>
    </row>
    <row r="899" spans="3:6" ht="13">
      <c r="C899" s="6"/>
      <c r="D899" s="6"/>
      <c r="E899" s="6"/>
      <c r="F899" s="6"/>
    </row>
    <row r="900" spans="3:6" ht="13">
      <c r="C900" s="6"/>
      <c r="D900" s="6"/>
      <c r="E900" s="6"/>
      <c r="F900" s="6"/>
    </row>
    <row r="901" spans="3:6" ht="13">
      <c r="C901" s="6"/>
      <c r="D901" s="6"/>
      <c r="E901" s="6"/>
      <c r="F901" s="6"/>
    </row>
    <row r="902" spans="3:6" ht="13">
      <c r="C902" s="6"/>
      <c r="D902" s="6"/>
      <c r="E902" s="6"/>
      <c r="F902" s="6"/>
    </row>
    <row r="903" spans="3:6" ht="13">
      <c r="C903" s="6"/>
      <c r="D903" s="6"/>
      <c r="E903" s="6"/>
      <c r="F903" s="6"/>
    </row>
    <row r="904" spans="3:6" ht="13">
      <c r="C904" s="6"/>
      <c r="D904" s="6"/>
      <c r="E904" s="6"/>
      <c r="F904" s="6"/>
    </row>
    <row r="905" spans="3:6" ht="13">
      <c r="C905" s="6"/>
      <c r="D905" s="6"/>
      <c r="E905" s="6"/>
      <c r="F905" s="6"/>
    </row>
    <row r="906" spans="3:6" ht="13">
      <c r="C906" s="6"/>
      <c r="D906" s="6"/>
      <c r="E906" s="6"/>
      <c r="F906" s="6"/>
    </row>
    <row r="907" spans="3:6" ht="13">
      <c r="C907" s="6"/>
      <c r="D907" s="6"/>
      <c r="E907" s="6"/>
      <c r="F907" s="6"/>
    </row>
    <row r="908" spans="3:6" ht="13">
      <c r="C908" s="6"/>
      <c r="D908" s="6"/>
      <c r="E908" s="6"/>
      <c r="F908" s="6"/>
    </row>
    <row r="909" spans="3:6" ht="13">
      <c r="C909" s="6"/>
      <c r="D909" s="6"/>
      <c r="E909" s="6"/>
      <c r="F909" s="6"/>
    </row>
    <row r="910" spans="3:6" ht="13">
      <c r="C910" s="6"/>
      <c r="D910" s="6"/>
      <c r="E910" s="6"/>
      <c r="F910" s="6"/>
    </row>
    <row r="911" spans="3:6" ht="13">
      <c r="C911" s="6"/>
      <c r="D911" s="6"/>
      <c r="E911" s="6"/>
      <c r="F911" s="6"/>
    </row>
    <row r="912" spans="3:6" ht="13">
      <c r="C912" s="6"/>
      <c r="D912" s="6"/>
      <c r="E912" s="6"/>
      <c r="F912" s="6"/>
    </row>
    <row r="913" spans="3:6" ht="13">
      <c r="C913" s="6"/>
      <c r="D913" s="6"/>
      <c r="E913" s="6"/>
      <c r="F913" s="6"/>
    </row>
    <row r="914" spans="3:6" ht="13">
      <c r="C914" s="6"/>
      <c r="D914" s="6"/>
      <c r="E914" s="6"/>
      <c r="F914" s="6"/>
    </row>
    <row r="915" spans="3:6" ht="13">
      <c r="C915" s="6"/>
      <c r="D915" s="6"/>
      <c r="E915" s="6"/>
      <c r="F915" s="6"/>
    </row>
    <row r="916" spans="3:6" ht="13">
      <c r="C916" s="6"/>
      <c r="D916" s="6"/>
      <c r="E916" s="6"/>
      <c r="F916" s="6"/>
    </row>
    <row r="917" spans="3:6" ht="13">
      <c r="C917" s="6"/>
      <c r="D917" s="6"/>
      <c r="E917" s="6"/>
      <c r="F917" s="6"/>
    </row>
    <row r="918" spans="3:6" ht="13">
      <c r="C918" s="6"/>
      <c r="D918" s="6"/>
      <c r="E918" s="6"/>
      <c r="F918" s="6"/>
    </row>
    <row r="919" spans="3:6" ht="13">
      <c r="C919" s="6"/>
      <c r="D919" s="6"/>
      <c r="E919" s="6"/>
      <c r="F919" s="6"/>
    </row>
    <row r="920" spans="3:6" ht="13">
      <c r="C920" s="6"/>
      <c r="D920" s="6"/>
      <c r="E920" s="6"/>
      <c r="F920" s="6"/>
    </row>
    <row r="921" spans="3:6" ht="13">
      <c r="C921" s="6"/>
      <c r="D921" s="6"/>
      <c r="E921" s="6"/>
      <c r="F921" s="6"/>
    </row>
    <row r="922" spans="3:6" ht="13">
      <c r="C922" s="6"/>
      <c r="D922" s="6"/>
      <c r="E922" s="6"/>
      <c r="F922" s="6"/>
    </row>
    <row r="923" spans="3:6" ht="13">
      <c r="C923" s="6"/>
      <c r="D923" s="6"/>
      <c r="E923" s="6"/>
      <c r="F923" s="6"/>
    </row>
    <row r="924" spans="3:6" ht="13">
      <c r="C924" s="6"/>
      <c r="D924" s="6"/>
      <c r="E924" s="6"/>
      <c r="F924" s="6"/>
    </row>
    <row r="925" spans="3:6" ht="13">
      <c r="C925" s="6"/>
      <c r="D925" s="6"/>
      <c r="E925" s="6"/>
      <c r="F925" s="6"/>
    </row>
    <row r="926" spans="3:6" ht="13">
      <c r="C926" s="6"/>
      <c r="D926" s="6"/>
      <c r="E926" s="6"/>
      <c r="F926" s="6"/>
    </row>
    <row r="927" spans="3:6" ht="13">
      <c r="C927" s="6"/>
      <c r="D927" s="6"/>
      <c r="E927" s="6"/>
      <c r="F927" s="6"/>
    </row>
    <row r="928" spans="3:6" ht="13">
      <c r="C928" s="6"/>
      <c r="D928" s="6"/>
      <c r="E928" s="6"/>
      <c r="F928" s="6"/>
    </row>
    <row r="929" spans="3:6" ht="13">
      <c r="C929" s="6"/>
      <c r="D929" s="6"/>
      <c r="E929" s="6"/>
      <c r="F929" s="6"/>
    </row>
    <row r="930" spans="3:6" ht="13">
      <c r="C930" s="6"/>
      <c r="D930" s="6"/>
      <c r="E930" s="6"/>
      <c r="F930" s="6"/>
    </row>
    <row r="931" spans="3:6" ht="13">
      <c r="C931" s="6"/>
      <c r="D931" s="6"/>
      <c r="E931" s="6"/>
      <c r="F931" s="6"/>
    </row>
    <row r="932" spans="3:6" ht="13">
      <c r="C932" s="6"/>
      <c r="D932" s="6"/>
      <c r="E932" s="6"/>
      <c r="F932" s="6"/>
    </row>
    <row r="933" spans="3:6" ht="13">
      <c r="C933" s="6"/>
      <c r="D933" s="6"/>
      <c r="E933" s="6"/>
      <c r="F933" s="6"/>
    </row>
    <row r="934" spans="3:6" ht="13">
      <c r="C934" s="6"/>
      <c r="D934" s="6"/>
      <c r="E934" s="6"/>
      <c r="F934" s="6"/>
    </row>
    <row r="935" spans="3:6" ht="13">
      <c r="C935" s="6"/>
      <c r="D935" s="6"/>
      <c r="E935" s="6"/>
      <c r="F935" s="6"/>
    </row>
    <row r="936" spans="3:6" ht="13">
      <c r="C936" s="6"/>
      <c r="D936" s="6"/>
      <c r="E936" s="6"/>
      <c r="F936" s="6"/>
    </row>
    <row r="937" spans="3:6" ht="13">
      <c r="C937" s="6"/>
      <c r="D937" s="6"/>
      <c r="E937" s="6"/>
      <c r="F937" s="6"/>
    </row>
    <row r="938" spans="3:6" ht="13">
      <c r="C938" s="6"/>
      <c r="D938" s="6"/>
      <c r="E938" s="6"/>
      <c r="F938" s="6"/>
    </row>
    <row r="939" spans="3:6" ht="13">
      <c r="C939" s="6"/>
      <c r="D939" s="6"/>
      <c r="E939" s="6"/>
      <c r="F939" s="6"/>
    </row>
    <row r="940" spans="3:6" ht="13">
      <c r="C940" s="6"/>
      <c r="D940" s="6"/>
      <c r="E940" s="6"/>
      <c r="F940" s="6"/>
    </row>
    <row r="941" spans="3:6" ht="13">
      <c r="C941" s="6"/>
      <c r="D941" s="6"/>
      <c r="E941" s="6"/>
      <c r="F941" s="6"/>
    </row>
    <row r="942" spans="3:6" ht="13">
      <c r="C942" s="6"/>
      <c r="D942" s="6"/>
      <c r="E942" s="6"/>
      <c r="F942" s="6"/>
    </row>
    <row r="943" spans="3:6" ht="13">
      <c r="C943" s="6"/>
      <c r="D943" s="6"/>
      <c r="E943" s="6"/>
      <c r="F943" s="6"/>
    </row>
    <row r="944" spans="3:6" ht="13">
      <c r="C944" s="6"/>
      <c r="D944" s="6"/>
      <c r="E944" s="6"/>
      <c r="F944" s="6"/>
    </row>
    <row r="945" spans="3:6" ht="13">
      <c r="C945" s="6"/>
      <c r="D945" s="6"/>
      <c r="E945" s="6"/>
      <c r="F945" s="6"/>
    </row>
    <row r="946" spans="3:6" ht="13">
      <c r="C946" s="6"/>
      <c r="D946" s="6"/>
      <c r="E946" s="6"/>
      <c r="F946" s="6"/>
    </row>
    <row r="947" spans="3:6" ht="13">
      <c r="C947" s="6"/>
      <c r="D947" s="6"/>
      <c r="E947" s="6"/>
      <c r="F947" s="6"/>
    </row>
    <row r="948" spans="3:6" ht="13">
      <c r="C948" s="6"/>
      <c r="D948" s="6"/>
      <c r="E948" s="6"/>
      <c r="F948" s="6"/>
    </row>
    <row r="949" spans="3:6" ht="13">
      <c r="C949" s="6"/>
      <c r="D949" s="6"/>
      <c r="E949" s="6"/>
      <c r="F949" s="6"/>
    </row>
    <row r="950" spans="3:6" ht="13">
      <c r="C950" s="6"/>
      <c r="D950" s="6"/>
      <c r="E950" s="6"/>
      <c r="F950" s="6"/>
    </row>
    <row r="951" spans="3:6" ht="13">
      <c r="C951" s="6"/>
      <c r="D951" s="6"/>
      <c r="E951" s="6"/>
      <c r="F951" s="6"/>
    </row>
    <row r="952" spans="3:6" ht="13">
      <c r="C952" s="6"/>
      <c r="D952" s="6"/>
      <c r="E952" s="6"/>
      <c r="F952" s="6"/>
    </row>
    <row r="953" spans="3:6" ht="13">
      <c r="C953" s="6"/>
      <c r="D953" s="6"/>
      <c r="E953" s="6"/>
      <c r="F953" s="6"/>
    </row>
    <row r="954" spans="3:6" ht="13">
      <c r="C954" s="6"/>
      <c r="D954" s="6"/>
      <c r="E954" s="6"/>
      <c r="F954" s="6"/>
    </row>
    <row r="955" spans="3:6" ht="13">
      <c r="C955" s="6"/>
      <c r="D955" s="6"/>
      <c r="E955" s="6"/>
      <c r="F955" s="6"/>
    </row>
    <row r="956" spans="3:6" ht="13">
      <c r="C956" s="6"/>
      <c r="D956" s="6"/>
      <c r="E956" s="6"/>
      <c r="F956" s="6"/>
    </row>
    <row r="957" spans="3:6" ht="13">
      <c r="C957" s="6"/>
      <c r="D957" s="6"/>
      <c r="E957" s="6"/>
      <c r="F957" s="6"/>
    </row>
    <row r="958" spans="3:6" ht="13">
      <c r="C958" s="6"/>
      <c r="D958" s="6"/>
      <c r="E958" s="6"/>
      <c r="F958" s="6"/>
    </row>
    <row r="959" spans="3:6" ht="13">
      <c r="C959" s="6"/>
      <c r="D959" s="6"/>
      <c r="E959" s="6"/>
      <c r="F959" s="6"/>
    </row>
    <row r="960" spans="3:6" ht="13">
      <c r="C960" s="6"/>
      <c r="D960" s="6"/>
      <c r="E960" s="6"/>
      <c r="F960" s="6"/>
    </row>
    <row r="961" spans="3:6" ht="13">
      <c r="C961" s="6"/>
      <c r="D961" s="6"/>
      <c r="E961" s="6"/>
      <c r="F961" s="6"/>
    </row>
    <row r="962" spans="3:6" ht="13">
      <c r="C962" s="6"/>
      <c r="D962" s="6"/>
      <c r="E962" s="6"/>
      <c r="F962" s="6"/>
    </row>
    <row r="963" spans="3:6" ht="13">
      <c r="C963" s="6"/>
      <c r="D963" s="6"/>
      <c r="E963" s="6"/>
      <c r="F963" s="6"/>
    </row>
    <row r="964" spans="3:6" ht="13">
      <c r="C964" s="6"/>
      <c r="D964" s="6"/>
      <c r="E964" s="6"/>
      <c r="F964" s="6"/>
    </row>
    <row r="965" spans="3:6" ht="13">
      <c r="C965" s="6"/>
      <c r="D965" s="6"/>
      <c r="E965" s="6"/>
      <c r="F965" s="6"/>
    </row>
    <row r="966" spans="3:6" ht="13">
      <c r="C966" s="6"/>
      <c r="D966" s="6"/>
      <c r="E966" s="6"/>
      <c r="F966" s="6"/>
    </row>
    <row r="967" spans="3:6" ht="13">
      <c r="C967" s="6"/>
      <c r="D967" s="6"/>
      <c r="E967" s="6"/>
      <c r="F967" s="6"/>
    </row>
    <row r="968" spans="3:6" ht="13">
      <c r="C968" s="6"/>
      <c r="D968" s="6"/>
      <c r="E968" s="6"/>
      <c r="F968" s="6"/>
    </row>
    <row r="969" spans="3:6" ht="13">
      <c r="C969" s="6"/>
      <c r="D969" s="6"/>
      <c r="E969" s="6"/>
      <c r="F969" s="6"/>
    </row>
    <row r="970" spans="3:6" ht="13">
      <c r="C970" s="6"/>
      <c r="D970" s="6"/>
      <c r="E970" s="6"/>
      <c r="F970" s="6"/>
    </row>
    <row r="971" spans="3:6" ht="13">
      <c r="C971" s="6"/>
      <c r="D971" s="6"/>
      <c r="E971" s="6"/>
      <c r="F971" s="6"/>
    </row>
    <row r="972" spans="3:6" ht="13">
      <c r="C972" s="6"/>
      <c r="D972" s="6"/>
      <c r="E972" s="6"/>
      <c r="F972" s="6"/>
    </row>
    <row r="973" spans="3:6" ht="13">
      <c r="C973" s="6"/>
      <c r="D973" s="6"/>
      <c r="E973" s="6"/>
      <c r="F973" s="6"/>
    </row>
    <row r="974" spans="3:6" ht="13">
      <c r="C974" s="6"/>
      <c r="D974" s="6"/>
      <c r="E974" s="6"/>
      <c r="F974" s="6"/>
    </row>
    <row r="975" spans="3:6" ht="13">
      <c r="C975" s="6"/>
      <c r="D975" s="6"/>
      <c r="E975" s="6"/>
      <c r="F975" s="6"/>
    </row>
    <row r="976" spans="3:6" ht="13">
      <c r="C976" s="6"/>
      <c r="D976" s="6"/>
      <c r="E976" s="6"/>
      <c r="F976" s="6"/>
    </row>
    <row r="977" spans="3:6" ht="13">
      <c r="C977" s="6"/>
      <c r="D977" s="6"/>
      <c r="E977" s="6"/>
      <c r="F977" s="6"/>
    </row>
    <row r="978" spans="3:6" ht="13">
      <c r="C978" s="6"/>
      <c r="D978" s="6"/>
      <c r="E978" s="6"/>
      <c r="F978" s="6"/>
    </row>
    <row r="979" spans="3:6" ht="13">
      <c r="C979" s="6"/>
      <c r="D979" s="6"/>
      <c r="E979" s="6"/>
      <c r="F979" s="6"/>
    </row>
    <row r="980" spans="3:6" ht="13">
      <c r="C980" s="6"/>
      <c r="D980" s="6"/>
      <c r="E980" s="6"/>
      <c r="F980" s="6"/>
    </row>
    <row r="981" spans="3:6" ht="13">
      <c r="C981" s="6"/>
      <c r="D981" s="6"/>
      <c r="E981" s="6"/>
      <c r="F981" s="6"/>
    </row>
    <row r="982" spans="3:6" ht="13">
      <c r="C982" s="6"/>
      <c r="D982" s="6"/>
      <c r="E982" s="6"/>
      <c r="F982" s="6"/>
    </row>
    <row r="983" spans="3:6" ht="13">
      <c r="C983" s="6"/>
      <c r="D983" s="6"/>
      <c r="E983" s="6"/>
      <c r="F983" s="6"/>
    </row>
    <row r="984" spans="3:6" ht="13">
      <c r="C984" s="6"/>
      <c r="D984" s="6"/>
      <c r="E984" s="6"/>
      <c r="F984" s="6"/>
    </row>
    <row r="985" spans="3:6" ht="13">
      <c r="C985" s="6"/>
      <c r="D985" s="6"/>
      <c r="E985" s="6"/>
      <c r="F985" s="6"/>
    </row>
    <row r="986" spans="3:6" ht="13">
      <c r="C986" s="6"/>
      <c r="D986" s="6"/>
      <c r="E986" s="6"/>
      <c r="F986" s="6"/>
    </row>
    <row r="987" spans="3:6" ht="13">
      <c r="C987" s="6"/>
      <c r="D987" s="6"/>
      <c r="E987" s="6"/>
      <c r="F987" s="6"/>
    </row>
    <row r="988" spans="3:6" ht="13">
      <c r="C988" s="6"/>
      <c r="D988" s="6"/>
      <c r="E988" s="6"/>
      <c r="F988" s="6"/>
    </row>
    <row r="989" spans="3:6" ht="13">
      <c r="C989" s="6"/>
      <c r="D989" s="6"/>
      <c r="E989" s="6"/>
      <c r="F989" s="6"/>
    </row>
    <row r="990" spans="3:6" ht="13">
      <c r="C990" s="6"/>
      <c r="D990" s="6"/>
      <c r="E990" s="6"/>
      <c r="F990" s="6"/>
    </row>
    <row r="991" spans="3:6" ht="13">
      <c r="C991" s="6"/>
      <c r="D991" s="6"/>
      <c r="E991" s="6"/>
      <c r="F991" s="6"/>
    </row>
    <row r="992" spans="3:6" ht="13">
      <c r="C992" s="6"/>
      <c r="D992" s="6"/>
      <c r="E992" s="6"/>
      <c r="F992" s="6"/>
    </row>
    <row r="993" spans="3:6" ht="13">
      <c r="C993" s="6"/>
      <c r="D993" s="6"/>
      <c r="E993" s="6"/>
      <c r="F993" s="6"/>
    </row>
    <row r="994" spans="3:6" ht="13">
      <c r="C994" s="6"/>
      <c r="D994" s="6"/>
      <c r="E994" s="6"/>
      <c r="F994" s="6"/>
    </row>
    <row r="995" spans="3:6" ht="13">
      <c r="C995" s="6"/>
      <c r="D995" s="6"/>
      <c r="E995" s="6"/>
      <c r="F995" s="6"/>
    </row>
    <row r="996" spans="3:6" ht="13">
      <c r="C996" s="6"/>
      <c r="D996" s="6"/>
      <c r="E996" s="6"/>
      <c r="F996" s="6"/>
    </row>
    <row r="997" spans="3:6" ht="13">
      <c r="C997" s="6"/>
      <c r="D997" s="6"/>
      <c r="E997" s="6"/>
      <c r="F997" s="6"/>
    </row>
    <row r="998" spans="3:6" ht="13">
      <c r="C998" s="6"/>
      <c r="D998" s="6"/>
      <c r="E998" s="6"/>
      <c r="F998" s="6"/>
    </row>
    <row r="999" spans="3:6" ht="13">
      <c r="C999" s="6"/>
      <c r="D999" s="6"/>
      <c r="E999" s="6"/>
      <c r="F999" s="6"/>
    </row>
    <row r="1000" spans="3:6" ht="13">
      <c r="C1000" s="6"/>
      <c r="D1000" s="6"/>
      <c r="E1000" s="6"/>
      <c r="F1000"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5"/>
  <sheetViews>
    <sheetView showGridLines="0" workbookViewId="0"/>
  </sheetViews>
  <sheetFormatPr baseColWidth="10" defaultColWidth="12.6640625" defaultRowHeight="15.75" customHeight="1"/>
  <sheetData>
    <row r="1" spans="1:2" ht="15.75" customHeight="1">
      <c r="A1" s="19" t="s">
        <v>37</v>
      </c>
      <c r="B1" s="24" t="s">
        <v>38</v>
      </c>
    </row>
    <row r="2" spans="1:2" ht="15.75" customHeight="1">
      <c r="A2" s="22" t="s">
        <v>39</v>
      </c>
      <c r="B2" s="27">
        <v>270</v>
      </c>
    </row>
    <row r="3" spans="1:2" ht="15.75" customHeight="1">
      <c r="A3" s="28" t="s">
        <v>40</v>
      </c>
      <c r="B3" s="31">
        <v>19</v>
      </c>
    </row>
    <row r="4" spans="1:2" ht="15.75" customHeight="1">
      <c r="A4" s="28" t="s">
        <v>41</v>
      </c>
      <c r="B4" s="31">
        <v>80</v>
      </c>
    </row>
    <row r="5" spans="1:2" ht="15.75" customHeight="1">
      <c r="A5" s="36" t="s">
        <v>42</v>
      </c>
      <c r="B5" s="37">
        <v>369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159"/>
  <sheetViews>
    <sheetView workbookViewId="0"/>
  </sheetViews>
  <sheetFormatPr baseColWidth="10" defaultColWidth="12.6640625" defaultRowHeight="15.75" customHeight="1"/>
  <cols>
    <col min="1" max="1" width="51.6640625" customWidth="1"/>
  </cols>
  <sheetData>
    <row r="1" spans="1:3" ht="15.75" customHeight="1">
      <c r="A1" s="10" t="str">
        <f ca="1">IFERROR(__xludf.DUMMYFUNCTION("QUERY(Aggregated_Data!A2:O370, ""SELECT K, F, count(F) where F &lt;&gt; '' and K &lt;&gt; '' group by K,F"")"),"")</f>
        <v/>
      </c>
      <c r="B1" s="7" t="str">
        <f ca="1">IFERROR(__xludf.DUMMYFUNCTION("""COMPUTED_VALUE"""),"")</f>
        <v/>
      </c>
      <c r="C1" s="7" t="str">
        <f ca="1">IFERROR(__xludf.DUMMYFUNCTION("""COMPUTED_VALUE"""),"count ")</f>
        <v xml:space="preserve">count </v>
      </c>
    </row>
    <row r="2" spans="1:3" ht="15.75" customHeight="1">
      <c r="A2" s="7" t="str">
        <f ca="1">IFERROR(__xludf.DUMMYFUNCTION("""COMPUTED_VALUE"""),"Backout")</f>
        <v>Backout</v>
      </c>
      <c r="B2" s="7" t="str">
        <f ca="1">IFERROR(__xludf.DUMMYFUNCTION("""COMPUTED_VALUE"""),"BothRef")</f>
        <v>BothRef</v>
      </c>
      <c r="C2" s="7">
        <f ca="1">IFERROR(__xludf.DUMMYFUNCTION("""COMPUTED_VALUE"""),1)</f>
        <v>1</v>
      </c>
    </row>
    <row r="3" spans="1:3" ht="15.75" customHeight="1">
      <c r="A3" s="7" t="str">
        <f ca="1">IFERROR(__xludf.DUMMYFUNCTION("""COMPUTED_VALUE"""),"Backout")</f>
        <v>Backout</v>
      </c>
      <c r="B3" s="7" t="str">
        <f ca="1">IFERROR(__xludf.DUMMYFUNCTION("""COMPUTED_VALUE"""),"BugRef")</f>
        <v>BugRef</v>
      </c>
      <c r="C3" s="7">
        <f ca="1">IFERROR(__xludf.DUMMYFUNCTION("""COMPUTED_VALUE"""),1)</f>
        <v>1</v>
      </c>
    </row>
    <row r="4" spans="1:3" ht="15.75" customHeight="1">
      <c r="A4" s="7" t="str">
        <f ca="1">IFERROR(__xludf.DUMMYFUNCTION("""COMPUTED_VALUE"""),"Backout")</f>
        <v>Backout</v>
      </c>
      <c r="B4" s="7" t="str">
        <f ca="1">IFERROR(__xludf.DUMMYFUNCTION("""COMPUTED_VALUE"""),"FixRef")</f>
        <v>FixRef</v>
      </c>
      <c r="C4" s="7">
        <f ca="1">IFERROR(__xludf.DUMMYFUNCTION("""COMPUTED_VALUE"""),1)</f>
        <v>1</v>
      </c>
    </row>
    <row r="5" spans="1:3" ht="15.75" customHeight="1">
      <c r="A5" s="7" t="str">
        <f ca="1">IFERROR(__xludf.DUMMYFUNCTION("""COMPUTED_VALUE"""),"Bug Dependency")</f>
        <v>Bug Dependency</v>
      </c>
      <c r="B5" s="7" t="str">
        <f ca="1">IFERROR(__xludf.DUMMYFUNCTION("""COMPUTED_VALUE"""),"BugRef")</f>
        <v>BugRef</v>
      </c>
      <c r="C5" s="7">
        <f ca="1">IFERROR(__xludf.DUMMYFUNCTION("""COMPUTED_VALUE"""),1)</f>
        <v>1</v>
      </c>
    </row>
    <row r="6" spans="1:3" ht="15.75" customHeight="1">
      <c r="A6" s="7" t="str">
        <f ca="1">IFERROR(__xludf.DUMMYFUNCTION("""COMPUTED_VALUE"""),"Bug Dependency")</f>
        <v>Bug Dependency</v>
      </c>
      <c r="B6" s="7" t="str">
        <f ca="1">IFERROR(__xludf.DUMMYFUNCTION("""COMPUTED_VALUE"""),"NoRef")</f>
        <v>NoRef</v>
      </c>
      <c r="C6" s="7">
        <f ca="1">IFERROR(__xludf.DUMMYFUNCTION("""COMPUTED_VALUE"""),1)</f>
        <v>1</v>
      </c>
    </row>
    <row r="7" spans="1:3" ht="15.75" customHeight="1">
      <c r="A7" s="7" t="str">
        <f ca="1">IFERROR(__xludf.DUMMYFUNCTION("""COMPUTED_VALUE"""),"Bug Description")</f>
        <v>Bug Description</v>
      </c>
      <c r="B7" s="7" t="str">
        <f ca="1">IFERROR(__xludf.DUMMYFUNCTION("""COMPUTED_VALUE"""),"BothRef")</f>
        <v>BothRef</v>
      </c>
      <c r="C7" s="7">
        <f ca="1">IFERROR(__xludf.DUMMYFUNCTION("""COMPUTED_VALUE"""),49)</f>
        <v>49</v>
      </c>
    </row>
    <row r="8" spans="1:3" ht="15.75" customHeight="1">
      <c r="A8" s="7" t="str">
        <f ca="1">IFERROR(__xludf.DUMMYFUNCTION("""COMPUTED_VALUE"""),"Bug Description")</f>
        <v>Bug Description</v>
      </c>
      <c r="B8" s="7" t="str">
        <f ca="1">IFERROR(__xludf.DUMMYFUNCTION("""COMPUTED_VALUE"""),"BugRef")</f>
        <v>BugRef</v>
      </c>
      <c r="C8" s="7">
        <f ca="1">IFERROR(__xludf.DUMMYFUNCTION("""COMPUTED_VALUE"""),7)</f>
        <v>7</v>
      </c>
    </row>
    <row r="9" spans="1:3" ht="15.75" customHeight="1">
      <c r="A9" s="7" t="str">
        <f ca="1">IFERROR(__xludf.DUMMYFUNCTION("""COMPUTED_VALUE"""),"Bug Description")</f>
        <v>Bug Description</v>
      </c>
      <c r="B9" s="7" t="str">
        <f ca="1">IFERROR(__xludf.DUMMYFUNCTION("""COMPUTED_VALUE"""),"FixRef")</f>
        <v>FixRef</v>
      </c>
      <c r="C9" s="7">
        <f ca="1">IFERROR(__xludf.DUMMYFUNCTION("""COMPUTED_VALUE"""),13)</f>
        <v>13</v>
      </c>
    </row>
    <row r="10" spans="1:3" ht="15.75" customHeight="1">
      <c r="A10" s="7" t="str">
        <f ca="1">IFERROR(__xludf.DUMMYFUNCTION("""COMPUTED_VALUE"""),"Bug Description")</f>
        <v>Bug Description</v>
      </c>
      <c r="B10" s="7" t="str">
        <f ca="1">IFERROR(__xludf.DUMMYFUNCTION("""COMPUTED_VALUE"""),"NoRef")</f>
        <v>NoRef</v>
      </c>
      <c r="C10" s="7">
        <f ca="1">IFERROR(__xludf.DUMMYFUNCTION("""COMPUTED_VALUE"""),14)</f>
        <v>14</v>
      </c>
    </row>
    <row r="11" spans="1:3" ht="15.75" customHeight="1">
      <c r="A11" s="7" t="str">
        <f ca="1">IFERROR(__xludf.DUMMYFUNCTION("""COMPUTED_VALUE"""),"File names are part of attachment title or commit messages")</f>
        <v>File names are part of attachment title or commit messages</v>
      </c>
      <c r="B11" s="7" t="str">
        <f ca="1">IFERROR(__xludf.DUMMYFUNCTION("""COMPUTED_VALUE"""),"FixRef")</f>
        <v>FixRef</v>
      </c>
      <c r="C11" s="7">
        <f ca="1">IFERROR(__xludf.DUMMYFUNCTION("""COMPUTED_VALUE"""),1)</f>
        <v>1</v>
      </c>
    </row>
    <row r="12" spans="1:3" ht="15.75" customHeight="1">
      <c r="A12" s="7" t="str">
        <f ca="1">IFERROR(__xludf.DUMMYFUNCTION("""COMPUTED_VALUE"""),"File names are part of bug title, attachment title or commit messages")</f>
        <v>File names are part of bug title, attachment title or commit messages</v>
      </c>
      <c r="B12" s="7" t="str">
        <f ca="1">IFERROR(__xludf.DUMMYFUNCTION("""COMPUTED_VALUE"""),"BothRef")</f>
        <v>BothRef</v>
      </c>
      <c r="C12" s="7">
        <f ca="1">IFERROR(__xludf.DUMMYFUNCTION("""COMPUTED_VALUE"""),6)</f>
        <v>6</v>
      </c>
    </row>
    <row r="13" spans="1:3" ht="15.75" customHeight="1">
      <c r="A13" s="7" t="str">
        <f ca="1">IFERROR(__xludf.DUMMYFUNCTION("""COMPUTED_VALUE"""),"File names are part of bug title, attachment title or commit messages")</f>
        <v>File names are part of bug title, attachment title or commit messages</v>
      </c>
      <c r="B13" s="7" t="str">
        <f ca="1">IFERROR(__xludf.DUMMYFUNCTION("""COMPUTED_VALUE"""),"FixRef")</f>
        <v>FixRef</v>
      </c>
      <c r="C13" s="7">
        <f ca="1">IFERROR(__xludf.DUMMYFUNCTION("""COMPUTED_VALUE"""),2)</f>
        <v>2</v>
      </c>
    </row>
    <row r="14" spans="1:3" ht="15.75" customHeight="1">
      <c r="A14" s="7" t="str">
        <f ca="1">IFERROR(__xludf.DUMMYFUNCTION("""COMPUTED_VALUE"""),"File names are part of commit messages")</f>
        <v>File names are part of commit messages</v>
      </c>
      <c r="B14" s="7" t="str">
        <f ca="1">IFERROR(__xludf.DUMMYFUNCTION("""COMPUTED_VALUE"""),"BothRef")</f>
        <v>BothRef</v>
      </c>
      <c r="C14" s="7">
        <f ca="1">IFERROR(__xludf.DUMMYFUNCTION("""COMPUTED_VALUE"""),1)</f>
        <v>1</v>
      </c>
    </row>
    <row r="15" spans="1:3" ht="15.75" customHeight="1">
      <c r="A15" s="7" t="str">
        <f ca="1">IFERROR(__xludf.DUMMYFUNCTION("""COMPUTED_VALUE"""),"File to Reproduce the Bug")</f>
        <v>File to Reproduce the Bug</v>
      </c>
      <c r="B15" s="7" t="str">
        <f ca="1">IFERROR(__xludf.DUMMYFUNCTION("""COMPUTED_VALUE"""),"BothRef")</f>
        <v>BothRef</v>
      </c>
      <c r="C15" s="7">
        <f ca="1">IFERROR(__xludf.DUMMYFUNCTION("""COMPUTED_VALUE"""),2)</f>
        <v>2</v>
      </c>
    </row>
    <row r="16" spans="1:3" ht="15.75" customHeight="1">
      <c r="A16" s="7" t="str">
        <f ca="1">IFERROR(__xludf.DUMMYFUNCTION("""COMPUTED_VALUE"""),"File to Reproduce the Bug")</f>
        <v>File to Reproduce the Bug</v>
      </c>
      <c r="B16" s="7" t="str">
        <f ca="1">IFERROR(__xludf.DUMMYFUNCTION("""COMPUTED_VALUE"""),"FixRef")</f>
        <v>FixRef</v>
      </c>
      <c r="C16" s="7">
        <f ca="1">IFERROR(__xludf.DUMMYFUNCTION("""COMPUTED_VALUE"""),1)</f>
        <v>1</v>
      </c>
    </row>
    <row r="17" spans="1:3" ht="15.75" customHeight="1">
      <c r="A17" s="7" t="str">
        <f ca="1">IFERROR(__xludf.DUMMYFUNCTION("""COMPUTED_VALUE"""),"File to Reproduce the Bug")</f>
        <v>File to Reproduce the Bug</v>
      </c>
      <c r="B17" s="7" t="str">
        <f ca="1">IFERROR(__xludf.DUMMYFUNCTION("""COMPUTED_VALUE"""),"NoRef")</f>
        <v>NoRef</v>
      </c>
      <c r="C17" s="7">
        <f ca="1">IFERROR(__xludf.DUMMYFUNCTION("""COMPUTED_VALUE"""),23)</f>
        <v>23</v>
      </c>
    </row>
    <row r="18" spans="1:3" ht="15.75" customHeight="1">
      <c r="A18" s="7" t="str">
        <f ca="1">IFERROR(__xludf.DUMMYFUNCTION("""COMPUTED_VALUE"""),"File to Reproduce the bug")</f>
        <v>File to Reproduce the bug</v>
      </c>
      <c r="B18" s="7" t="str">
        <f ca="1">IFERROR(__xludf.DUMMYFUNCTION("""COMPUTED_VALUE"""),"BugRef")</f>
        <v>BugRef</v>
      </c>
      <c r="C18" s="7">
        <f ca="1">IFERROR(__xludf.DUMMYFUNCTION("""COMPUTED_VALUE"""),1)</f>
        <v>1</v>
      </c>
    </row>
    <row r="19" spans="1:3" ht="15.75" customHeight="1">
      <c r="A19" s="7" t="str">
        <f ca="1">IFERROR(__xludf.DUMMYFUNCTION("""COMPUTED_VALUE"""),"Links")</f>
        <v>Links</v>
      </c>
      <c r="B19" s="7" t="str">
        <f ca="1">IFERROR(__xludf.DUMMYFUNCTION("""COMPUTED_VALUE"""),"NoRef")</f>
        <v>NoRef</v>
      </c>
      <c r="C19" s="7">
        <f ca="1">IFERROR(__xludf.DUMMYFUNCTION("""COMPUTED_VALUE"""),6)</f>
        <v>6</v>
      </c>
    </row>
    <row r="20" spans="1:3" ht="15.75" customHeight="1">
      <c r="A20" s="7" t="str">
        <f ca="1">IFERROR(__xludf.DUMMYFUNCTION("""COMPUTED_VALUE"""),"Part of Code")</f>
        <v>Part of Code</v>
      </c>
      <c r="B20" s="7" t="str">
        <f ca="1">IFERROR(__xludf.DUMMYFUNCTION("""COMPUTED_VALUE"""),"NoRef")</f>
        <v>NoRef</v>
      </c>
      <c r="C20" s="7">
        <f ca="1">IFERROR(__xludf.DUMMYFUNCTION("""COMPUTED_VALUE"""),1)</f>
        <v>1</v>
      </c>
    </row>
    <row r="21" spans="1:3" ht="15.75" customHeight="1">
      <c r="A21" s="7" t="str">
        <f ca="1">IFERROR(__xludf.DUMMYFUNCTION("""COMPUTED_VALUE"""),"Solution Draft")</f>
        <v>Solution Draft</v>
      </c>
      <c r="B21" s="7" t="str">
        <f ca="1">IFERROR(__xludf.DUMMYFUNCTION("""COMPUTED_VALUE"""),"BothRef")</f>
        <v>BothRef</v>
      </c>
      <c r="C21" s="7">
        <f ca="1">IFERROR(__xludf.DUMMYFUNCTION("""COMPUTED_VALUE"""),3)</f>
        <v>3</v>
      </c>
    </row>
    <row r="22" spans="1:3" ht="15.75" customHeight="1">
      <c r="A22" s="7" t="str">
        <f ca="1">IFERROR(__xludf.DUMMYFUNCTION("""COMPUTED_VALUE"""),"Solution Draft")</f>
        <v>Solution Draft</v>
      </c>
      <c r="B22" s="7" t="str">
        <f ca="1">IFERROR(__xludf.DUMMYFUNCTION("""COMPUTED_VALUE"""),"BugRef")</f>
        <v>BugRef</v>
      </c>
      <c r="C22" s="7">
        <f ca="1">IFERROR(__xludf.DUMMYFUNCTION("""COMPUTED_VALUE"""),1)</f>
        <v>1</v>
      </c>
    </row>
    <row r="23" spans="1:3" ht="15.75" customHeight="1">
      <c r="A23" s="7" t="str">
        <f ca="1">IFERROR(__xludf.DUMMYFUNCTION("""COMPUTED_VALUE"""),"Solution Draft")</f>
        <v>Solution Draft</v>
      </c>
      <c r="B23" s="7" t="str">
        <f ca="1">IFERROR(__xludf.DUMMYFUNCTION("""COMPUTED_VALUE"""),"FixRef")</f>
        <v>FixRef</v>
      </c>
      <c r="C23" s="7">
        <f ca="1">IFERROR(__xludf.DUMMYFUNCTION("""COMPUTED_VALUE"""),3)</f>
        <v>3</v>
      </c>
    </row>
    <row r="24" spans="1:3" ht="15.75" customHeight="1">
      <c r="A24" s="7" t="str">
        <f ca="1">IFERROR(__xludf.DUMMYFUNCTION("""COMPUTED_VALUE"""),"Solution Draft")</f>
        <v>Solution Draft</v>
      </c>
      <c r="B24" s="7" t="str">
        <f ca="1">IFERROR(__xludf.DUMMYFUNCTION("""COMPUTED_VALUE"""),"NoRef")</f>
        <v>NoRef</v>
      </c>
      <c r="C24" s="7">
        <f ca="1">IFERROR(__xludf.DUMMYFUNCTION("""COMPUTED_VALUE"""),9)</f>
        <v>9</v>
      </c>
    </row>
    <row r="25" spans="1:3" ht="15.75" customHeight="1">
      <c r="A25" s="7" t="str">
        <f ca="1">IFERROR(__xludf.DUMMYFUNCTION("""COMPUTED_VALUE"""),"System Dumps")</f>
        <v>System Dumps</v>
      </c>
      <c r="B25" s="7" t="str">
        <f ca="1">IFERROR(__xludf.DUMMYFUNCTION("""COMPUTED_VALUE"""),"BothRef")</f>
        <v>BothRef</v>
      </c>
      <c r="C25" s="7">
        <f ca="1">IFERROR(__xludf.DUMMYFUNCTION("""COMPUTED_VALUE"""),111)</f>
        <v>111</v>
      </c>
    </row>
    <row r="26" spans="1:3" ht="15.75" customHeight="1">
      <c r="A26" s="7" t="str">
        <f ca="1">IFERROR(__xludf.DUMMYFUNCTION("""COMPUTED_VALUE"""),"System Dumps")</f>
        <v>System Dumps</v>
      </c>
      <c r="B26" s="7" t="str">
        <f ca="1">IFERROR(__xludf.DUMMYFUNCTION("""COMPUTED_VALUE"""),"BugRef")</f>
        <v>BugRef</v>
      </c>
      <c r="C26" s="7">
        <f ca="1">IFERROR(__xludf.DUMMYFUNCTION("""COMPUTED_VALUE"""),37)</f>
        <v>37</v>
      </c>
    </row>
    <row r="27" spans="1:3" ht="15.75" customHeight="1">
      <c r="A27" s="7" t="str">
        <f ca="1">IFERROR(__xludf.DUMMYFUNCTION("""COMPUTED_VALUE"""),"System Dumps")</f>
        <v>System Dumps</v>
      </c>
      <c r="B27" s="7" t="str">
        <f ca="1">IFERROR(__xludf.DUMMYFUNCTION("""COMPUTED_VALUE"""),"FixRef")</f>
        <v>FixRef</v>
      </c>
      <c r="C27" s="7">
        <f ca="1">IFERROR(__xludf.DUMMYFUNCTION("""COMPUTED_VALUE"""),16)</f>
        <v>16</v>
      </c>
    </row>
    <row r="28" spans="1:3" ht="15.75" customHeight="1">
      <c r="A28" s="7" t="str">
        <f ca="1">IFERROR(__xludf.DUMMYFUNCTION("""COMPUTED_VALUE"""),"System Dumps")</f>
        <v>System Dumps</v>
      </c>
      <c r="B28" s="7" t="str">
        <f ca="1">IFERROR(__xludf.DUMMYFUNCTION("""COMPUTED_VALUE"""),"NoRef")</f>
        <v>NoRef</v>
      </c>
      <c r="C28" s="7">
        <f ca="1">IFERROR(__xludf.DUMMYFUNCTION("""COMPUTED_VALUE"""),57)</f>
        <v>57</v>
      </c>
    </row>
    <row r="36" spans="1:3" ht="15.75" customHeight="1">
      <c r="A36" s="10"/>
    </row>
    <row r="42" spans="1:3" ht="15.75" customHeight="1">
      <c r="A42" s="10" t="str">
        <f ca="1">IFERROR(__xludf.DUMMYFUNCTION("QUERY(Aggregated_Data!A2:O370, ""SELECT L, F, count(F) where F &lt;&gt; '' and L &lt;&gt; '' group by L,F"")"),"")</f>
        <v/>
      </c>
      <c r="B42" s="7" t="str">
        <f ca="1">IFERROR(__xludf.DUMMYFUNCTION("""COMPUTED_VALUE"""),"")</f>
        <v/>
      </c>
      <c r="C42" s="7" t="str">
        <f ca="1">IFERROR(__xludf.DUMMYFUNCTION("""COMPUTED_VALUE"""),"count ")</f>
        <v xml:space="preserve">count </v>
      </c>
    </row>
    <row r="43" spans="1:3" ht="15.75" customHeight="1">
      <c r="A43" s="7" t="str">
        <f ca="1">IFERROR(__xludf.DUMMYFUNCTION("""COMPUTED_VALUE"""),"Backout")</f>
        <v>Backout</v>
      </c>
      <c r="B43" s="7" t="str">
        <f ca="1">IFERROR(__xludf.DUMMYFUNCTION("""COMPUTED_VALUE"""),"BothRef")</f>
        <v>BothRef</v>
      </c>
      <c r="C43" s="7">
        <f ca="1">IFERROR(__xludf.DUMMYFUNCTION("""COMPUTED_VALUE"""),2)</f>
        <v>2</v>
      </c>
    </row>
    <row r="44" spans="1:3" ht="15.75" customHeight="1">
      <c r="A44" s="7" t="str">
        <f ca="1">IFERROR(__xludf.DUMMYFUNCTION("""COMPUTED_VALUE"""),"Backout")</f>
        <v>Backout</v>
      </c>
      <c r="B44" s="7" t="str">
        <f ca="1">IFERROR(__xludf.DUMMYFUNCTION("""COMPUTED_VALUE"""),"BugRef")</f>
        <v>BugRef</v>
      </c>
      <c r="C44" s="7">
        <f ca="1">IFERROR(__xludf.DUMMYFUNCTION("""COMPUTED_VALUE"""),5)</f>
        <v>5</v>
      </c>
    </row>
    <row r="45" spans="1:3" ht="15.75" customHeight="1">
      <c r="A45" s="7" t="str">
        <f ca="1">IFERROR(__xludf.DUMMYFUNCTION("""COMPUTED_VALUE"""),"Backout")</f>
        <v>Backout</v>
      </c>
      <c r="B45" s="7" t="str">
        <f ca="1">IFERROR(__xludf.DUMMYFUNCTION("""COMPUTED_VALUE"""),"NoRef")</f>
        <v>NoRef</v>
      </c>
      <c r="C45" s="7">
        <f ca="1">IFERROR(__xludf.DUMMYFUNCTION("""COMPUTED_VALUE"""),5)</f>
        <v>5</v>
      </c>
    </row>
    <row r="46" spans="1:3" ht="15.75" customHeight="1">
      <c r="A46" s="7" t="str">
        <f ca="1">IFERROR(__xludf.DUMMYFUNCTION("""COMPUTED_VALUE"""),"Bug Dependency")</f>
        <v>Bug Dependency</v>
      </c>
      <c r="B46" s="7" t="str">
        <f ca="1">IFERROR(__xludf.DUMMYFUNCTION("""COMPUTED_VALUE"""),"BothRef")</f>
        <v>BothRef</v>
      </c>
      <c r="C46" s="7">
        <f ca="1">IFERROR(__xludf.DUMMYFUNCTION("""COMPUTED_VALUE"""),2)</f>
        <v>2</v>
      </c>
    </row>
    <row r="47" spans="1:3" ht="15.75" customHeight="1">
      <c r="A47" s="7" t="str">
        <f ca="1">IFERROR(__xludf.DUMMYFUNCTION("""COMPUTED_VALUE"""),"Bug Dependency")</f>
        <v>Bug Dependency</v>
      </c>
      <c r="B47" s="7" t="str">
        <f ca="1">IFERROR(__xludf.DUMMYFUNCTION("""COMPUTED_VALUE"""),"BugRef")</f>
        <v>BugRef</v>
      </c>
      <c r="C47" s="7">
        <f ca="1">IFERROR(__xludf.DUMMYFUNCTION("""COMPUTED_VALUE"""),3)</f>
        <v>3</v>
      </c>
    </row>
    <row r="48" spans="1:3" ht="15.75" customHeight="1">
      <c r="A48" s="7" t="str">
        <f ca="1">IFERROR(__xludf.DUMMYFUNCTION("""COMPUTED_VALUE"""),"Bug Dependency")</f>
        <v>Bug Dependency</v>
      </c>
      <c r="B48" s="7" t="str">
        <f ca="1">IFERROR(__xludf.DUMMYFUNCTION("""COMPUTED_VALUE"""),"NoRef")</f>
        <v>NoRef</v>
      </c>
      <c r="C48" s="7">
        <f ca="1">IFERROR(__xludf.DUMMYFUNCTION("""COMPUTED_VALUE"""),4)</f>
        <v>4</v>
      </c>
    </row>
    <row r="49" spans="1:3" ht="15.75" customHeight="1">
      <c r="A49" s="7" t="str">
        <f ca="1">IFERROR(__xludf.DUMMYFUNCTION("""COMPUTED_VALUE"""),"Bug Description")</f>
        <v>Bug Description</v>
      </c>
      <c r="B49" s="7" t="str">
        <f ca="1">IFERROR(__xludf.DUMMYFUNCTION("""COMPUTED_VALUE"""),"BothRef")</f>
        <v>BothRef</v>
      </c>
      <c r="C49" s="7">
        <f ca="1">IFERROR(__xludf.DUMMYFUNCTION("""COMPUTED_VALUE"""),16)</f>
        <v>16</v>
      </c>
    </row>
    <row r="50" spans="1:3" ht="15.75" customHeight="1">
      <c r="A50" s="7" t="str">
        <f ca="1">IFERROR(__xludf.DUMMYFUNCTION("""COMPUTED_VALUE"""),"Bug Description")</f>
        <v>Bug Description</v>
      </c>
      <c r="B50" s="7" t="str">
        <f ca="1">IFERROR(__xludf.DUMMYFUNCTION("""COMPUTED_VALUE"""),"BugRef")</f>
        <v>BugRef</v>
      </c>
      <c r="C50" s="7">
        <f ca="1">IFERROR(__xludf.DUMMYFUNCTION("""COMPUTED_VALUE"""),5)</f>
        <v>5</v>
      </c>
    </row>
    <row r="51" spans="1:3" ht="15.75" customHeight="1">
      <c r="A51" s="7" t="str">
        <f ca="1">IFERROR(__xludf.DUMMYFUNCTION("""COMPUTED_VALUE"""),"Bug Description")</f>
        <v>Bug Description</v>
      </c>
      <c r="B51" s="7" t="str">
        <f ca="1">IFERROR(__xludf.DUMMYFUNCTION("""COMPUTED_VALUE"""),"FixRef")</f>
        <v>FixRef</v>
      </c>
      <c r="C51" s="7">
        <f ca="1">IFERROR(__xludf.DUMMYFUNCTION("""COMPUTED_VALUE"""),7)</f>
        <v>7</v>
      </c>
    </row>
    <row r="52" spans="1:3" ht="15.75" customHeight="1">
      <c r="A52" s="7" t="str">
        <f ca="1">IFERROR(__xludf.DUMMYFUNCTION("""COMPUTED_VALUE"""),"Bug Description")</f>
        <v>Bug Description</v>
      </c>
      <c r="B52" s="7" t="str">
        <f ca="1">IFERROR(__xludf.DUMMYFUNCTION("""COMPUTED_VALUE"""),"NoRef")</f>
        <v>NoRef</v>
      </c>
      <c r="C52" s="7">
        <f ca="1">IFERROR(__xludf.DUMMYFUNCTION("""COMPUTED_VALUE"""),7)</f>
        <v>7</v>
      </c>
    </row>
    <row r="53" spans="1:3" ht="15.75" customHeight="1">
      <c r="A53" s="7" t="str">
        <f ca="1">IFERROR(__xludf.DUMMYFUNCTION("""COMPUTED_VALUE"""),"Bug Reproducibility")</f>
        <v>Bug Reproducibility</v>
      </c>
      <c r="B53" s="7" t="str">
        <f ca="1">IFERROR(__xludf.DUMMYFUNCTION("""COMPUTED_VALUE"""),"BothRef")</f>
        <v>BothRef</v>
      </c>
      <c r="C53" s="7">
        <f ca="1">IFERROR(__xludf.DUMMYFUNCTION("""COMPUTED_VALUE"""),1)</f>
        <v>1</v>
      </c>
    </row>
    <row r="54" spans="1:3" ht="15.75" customHeight="1">
      <c r="A54" s="7" t="str">
        <f ca="1">IFERROR(__xludf.DUMMYFUNCTION("""COMPUTED_VALUE"""),"Duplicate bug")</f>
        <v>Duplicate bug</v>
      </c>
      <c r="B54" s="7" t="str">
        <f ca="1">IFERROR(__xludf.DUMMYFUNCTION("""COMPUTED_VALUE"""),"NoRef")</f>
        <v>NoRef</v>
      </c>
      <c r="C54" s="7">
        <f ca="1">IFERROR(__xludf.DUMMYFUNCTION("""COMPUTED_VALUE"""),1)</f>
        <v>1</v>
      </c>
    </row>
    <row r="55" spans="1:3" ht="15.75" customHeight="1">
      <c r="A55" s="7" t="str">
        <f ca="1">IFERROR(__xludf.DUMMYFUNCTION("""COMPUTED_VALUE"""),"File contains the File to Reproduce the Bug that cause the failure ")</f>
        <v xml:space="preserve">File contains the File to Reproduce the Bug that cause the failure </v>
      </c>
      <c r="B55" s="7" t="str">
        <f ca="1">IFERROR(__xludf.DUMMYFUNCTION("""COMPUTED_VALUE"""),"NoRef")</f>
        <v>NoRef</v>
      </c>
      <c r="C55" s="7">
        <f ca="1">IFERROR(__xludf.DUMMYFUNCTION("""COMPUTED_VALUE"""),1)</f>
        <v>1</v>
      </c>
    </row>
    <row r="56" spans="1:3" ht="15.75" customHeight="1">
      <c r="A56" s="7" t="str">
        <f ca="1">IFERROR(__xludf.DUMMYFUNCTION("""COMPUTED_VALUE"""),"File name in bug title and the commit message")</f>
        <v>File name in bug title and the commit message</v>
      </c>
      <c r="B56" s="7" t="str">
        <f ca="1">IFERROR(__xludf.DUMMYFUNCTION("""COMPUTED_VALUE"""),"NoRef")</f>
        <v>NoRef</v>
      </c>
      <c r="C56" s="7">
        <f ca="1">IFERROR(__xludf.DUMMYFUNCTION("""COMPUTED_VALUE"""),1)</f>
        <v>1</v>
      </c>
    </row>
    <row r="57" spans="1:3" ht="15.75" customHeight="1">
      <c r="A57" s="7" t="str">
        <f ca="1">IFERROR(__xludf.DUMMYFUNCTION("""COMPUTED_VALUE"""),"File name is in a link")</f>
        <v>File name is in a link</v>
      </c>
      <c r="B57" s="7" t="str">
        <f ca="1">IFERROR(__xludf.DUMMYFUNCTION("""COMPUTED_VALUE"""),"NoRef")</f>
        <v>NoRef</v>
      </c>
      <c r="C57" s="7">
        <f ca="1">IFERROR(__xludf.DUMMYFUNCTION("""COMPUTED_VALUE"""),1)</f>
        <v>1</v>
      </c>
    </row>
    <row r="58" spans="1:3" ht="15.75" customHeight="1">
      <c r="A58" s="7" t="str">
        <f ca="1">IFERROR(__xludf.DUMMYFUNCTION("""COMPUTED_VALUE"""),"File names are part of attachment title or commit messages")</f>
        <v>File names are part of attachment title or commit messages</v>
      </c>
      <c r="B58" s="7" t="str">
        <f ca="1">IFERROR(__xludf.DUMMYFUNCTION("""COMPUTED_VALUE"""),"BothRef")</f>
        <v>BothRef</v>
      </c>
      <c r="C58" s="7">
        <f ca="1">IFERROR(__xludf.DUMMYFUNCTION("""COMPUTED_VALUE"""),4)</f>
        <v>4</v>
      </c>
    </row>
    <row r="59" spans="1:3" ht="15.75" customHeight="1">
      <c r="A59" s="7" t="str">
        <f ca="1">IFERROR(__xludf.DUMMYFUNCTION("""COMPUTED_VALUE"""),"File names are part of attachment title or commit messages")</f>
        <v>File names are part of attachment title or commit messages</v>
      </c>
      <c r="B59" s="7" t="str">
        <f ca="1">IFERROR(__xludf.DUMMYFUNCTION("""COMPUTED_VALUE"""),"FixRef")</f>
        <v>FixRef</v>
      </c>
      <c r="C59" s="7">
        <f ca="1">IFERROR(__xludf.DUMMYFUNCTION("""COMPUTED_VALUE"""),2)</f>
        <v>2</v>
      </c>
    </row>
    <row r="60" spans="1:3" ht="15.75" customHeight="1">
      <c r="A60" s="7" t="str">
        <f ca="1">IFERROR(__xludf.DUMMYFUNCTION("""COMPUTED_VALUE"""),"File names are part of bug title")</f>
        <v>File names are part of bug title</v>
      </c>
      <c r="B60" s="7" t="str">
        <f ca="1">IFERROR(__xludf.DUMMYFUNCTION("""COMPUTED_VALUE"""),"BothRef")</f>
        <v>BothRef</v>
      </c>
      <c r="C60" s="7">
        <f ca="1">IFERROR(__xludf.DUMMYFUNCTION("""COMPUTED_VALUE"""),26)</f>
        <v>26</v>
      </c>
    </row>
    <row r="61" spans="1:3" ht="15.75" customHeight="1">
      <c r="A61" s="7" t="str">
        <f ca="1">IFERROR(__xludf.DUMMYFUNCTION("""COMPUTED_VALUE"""),"File names are part of bug title")</f>
        <v>File names are part of bug title</v>
      </c>
      <c r="B61" s="7" t="str">
        <f ca="1">IFERROR(__xludf.DUMMYFUNCTION("""COMPUTED_VALUE"""),"BugRef")</f>
        <v>BugRef</v>
      </c>
      <c r="C61" s="7">
        <f ca="1">IFERROR(__xludf.DUMMYFUNCTION("""COMPUTED_VALUE"""),12)</f>
        <v>12</v>
      </c>
    </row>
    <row r="62" spans="1:3" ht="15.75" customHeight="1">
      <c r="A62" s="7" t="str">
        <f ca="1">IFERROR(__xludf.DUMMYFUNCTION("""COMPUTED_VALUE"""),"File names are part of bug title")</f>
        <v>File names are part of bug title</v>
      </c>
      <c r="B62" s="7" t="str">
        <f ca="1">IFERROR(__xludf.DUMMYFUNCTION("""COMPUTED_VALUE"""),"FixRef")</f>
        <v>FixRef</v>
      </c>
      <c r="C62" s="7">
        <f ca="1">IFERROR(__xludf.DUMMYFUNCTION("""COMPUTED_VALUE"""),3)</f>
        <v>3</v>
      </c>
    </row>
    <row r="63" spans="1:3" ht="15.75" customHeight="1">
      <c r="A63" s="7" t="str">
        <f ca="1">IFERROR(__xludf.DUMMYFUNCTION("""COMPUTED_VALUE"""),"File names are part of bug title, attachment title or commit messages")</f>
        <v>File names are part of bug title, attachment title or commit messages</v>
      </c>
      <c r="B63" s="7" t="str">
        <f ca="1">IFERROR(__xludf.DUMMYFUNCTION("""COMPUTED_VALUE"""),"BothRef")</f>
        <v>BothRef</v>
      </c>
      <c r="C63" s="7">
        <f ca="1">IFERROR(__xludf.DUMMYFUNCTION("""COMPUTED_VALUE"""),33)</f>
        <v>33</v>
      </c>
    </row>
    <row r="64" spans="1:3" ht="15.75" customHeight="1">
      <c r="A64" s="7" t="str">
        <f ca="1">IFERROR(__xludf.DUMMYFUNCTION("""COMPUTED_VALUE"""),"File names are part of bug title, attachment title or commit messages")</f>
        <v>File names are part of bug title, attachment title or commit messages</v>
      </c>
      <c r="B64" s="7" t="str">
        <f ca="1">IFERROR(__xludf.DUMMYFUNCTION("""COMPUTED_VALUE"""),"BugRef")</f>
        <v>BugRef</v>
      </c>
      <c r="C64" s="7">
        <f ca="1">IFERROR(__xludf.DUMMYFUNCTION("""COMPUTED_VALUE"""),7)</f>
        <v>7</v>
      </c>
    </row>
    <row r="65" spans="1:3" ht="13">
      <c r="A65" s="7" t="str">
        <f ca="1">IFERROR(__xludf.DUMMYFUNCTION("""COMPUTED_VALUE"""),"File names are part of bug title, attachment title or commit messages")</f>
        <v>File names are part of bug title, attachment title or commit messages</v>
      </c>
      <c r="B65" s="7" t="str">
        <f ca="1">IFERROR(__xludf.DUMMYFUNCTION("""COMPUTED_VALUE"""),"FixRef")</f>
        <v>FixRef</v>
      </c>
      <c r="C65" s="7">
        <f ca="1">IFERROR(__xludf.DUMMYFUNCTION("""COMPUTED_VALUE"""),3)</f>
        <v>3</v>
      </c>
    </row>
    <row r="66" spans="1:3" ht="13">
      <c r="A66" s="7" t="str">
        <f ca="1">IFERROR(__xludf.DUMMYFUNCTION("""COMPUTED_VALUE"""),"File names are part of bug title, attachment title or commit messages")</f>
        <v>File names are part of bug title, attachment title or commit messages</v>
      </c>
      <c r="B66" s="7" t="str">
        <f ca="1">IFERROR(__xludf.DUMMYFUNCTION("""COMPUTED_VALUE"""),"NoRef")</f>
        <v>NoRef</v>
      </c>
      <c r="C66" s="7">
        <f ca="1">IFERROR(__xludf.DUMMYFUNCTION("""COMPUTED_VALUE"""),1)</f>
        <v>1</v>
      </c>
    </row>
    <row r="67" spans="1:3" ht="13">
      <c r="A67" s="7" t="str">
        <f ca="1">IFERROR(__xludf.DUMMYFUNCTION("""COMPUTED_VALUE"""),"File to Reproduce the Bug")</f>
        <v>File to Reproduce the Bug</v>
      </c>
      <c r="B67" s="7" t="str">
        <f ca="1">IFERROR(__xludf.DUMMYFUNCTION("""COMPUTED_VALUE"""),"BothRef")</f>
        <v>BothRef</v>
      </c>
      <c r="C67" s="7">
        <f ca="1">IFERROR(__xludf.DUMMYFUNCTION("""COMPUTED_VALUE"""),1)</f>
        <v>1</v>
      </c>
    </row>
    <row r="68" spans="1:3" ht="13">
      <c r="A68" s="7" t="str">
        <f ca="1">IFERROR(__xludf.DUMMYFUNCTION("""COMPUTED_VALUE"""),"File to Reproduce the Bug")</f>
        <v>File to Reproduce the Bug</v>
      </c>
      <c r="B68" s="7" t="str">
        <f ca="1">IFERROR(__xludf.DUMMYFUNCTION("""COMPUTED_VALUE"""),"BugRef")</f>
        <v>BugRef</v>
      </c>
      <c r="C68" s="7">
        <f ca="1">IFERROR(__xludf.DUMMYFUNCTION("""COMPUTED_VALUE"""),3)</f>
        <v>3</v>
      </c>
    </row>
    <row r="69" spans="1:3" ht="13">
      <c r="A69" s="7" t="str">
        <f ca="1">IFERROR(__xludf.DUMMYFUNCTION("""COMPUTED_VALUE"""),"File to Reproduce the Bug")</f>
        <v>File to Reproduce the Bug</v>
      </c>
      <c r="B69" s="7" t="str">
        <f ca="1">IFERROR(__xludf.DUMMYFUNCTION("""COMPUTED_VALUE"""),"FixRef")</f>
        <v>FixRef</v>
      </c>
      <c r="C69" s="7">
        <f ca="1">IFERROR(__xludf.DUMMYFUNCTION("""COMPUTED_VALUE"""),2)</f>
        <v>2</v>
      </c>
    </row>
    <row r="70" spans="1:3" ht="13">
      <c r="A70" s="7" t="str">
        <f ca="1">IFERROR(__xludf.DUMMYFUNCTION("""COMPUTED_VALUE"""),"File to Reproduce the Bug")</f>
        <v>File to Reproduce the Bug</v>
      </c>
      <c r="B70" s="7" t="str">
        <f ca="1">IFERROR(__xludf.DUMMYFUNCTION("""COMPUTED_VALUE"""),"NoRef")</f>
        <v>NoRef</v>
      </c>
      <c r="C70" s="7">
        <f ca="1">IFERROR(__xludf.DUMMYFUNCTION("""COMPUTED_VALUE"""),6)</f>
        <v>6</v>
      </c>
    </row>
    <row r="71" spans="1:3" ht="13">
      <c r="A71" s="7" t="str">
        <f ca="1">IFERROR(__xludf.DUMMYFUNCTION("""COMPUTED_VALUE"""),"Incorrect filepath format")</f>
        <v>Incorrect filepath format</v>
      </c>
      <c r="B71" s="7" t="str">
        <f ca="1">IFERROR(__xludf.DUMMYFUNCTION("""COMPUTED_VALUE"""),"BugRef")</f>
        <v>BugRef</v>
      </c>
      <c r="C71" s="7">
        <f ca="1">IFERROR(__xludf.DUMMYFUNCTION("""COMPUTED_VALUE"""),1)</f>
        <v>1</v>
      </c>
    </row>
    <row r="72" spans="1:3" ht="13">
      <c r="A72" s="7" t="str">
        <f ca="1">IFERROR(__xludf.DUMMYFUNCTION("""COMPUTED_VALUE"""),"Incorrect filepath format")</f>
        <v>Incorrect filepath format</v>
      </c>
      <c r="B72" s="7" t="str">
        <f ca="1">IFERROR(__xludf.DUMMYFUNCTION("""COMPUTED_VALUE"""),"NoRef")</f>
        <v>NoRef</v>
      </c>
      <c r="C72" s="7">
        <f ca="1">IFERROR(__xludf.DUMMYFUNCTION("""COMPUTED_VALUE"""),5)</f>
        <v>5</v>
      </c>
    </row>
    <row r="73" spans="1:3" ht="13">
      <c r="A73" s="7" t="str">
        <f ca="1">IFERROR(__xludf.DUMMYFUNCTION("""COMPUTED_VALUE"""),"Links")</f>
        <v>Links</v>
      </c>
      <c r="B73" s="7" t="str">
        <f ca="1">IFERROR(__xludf.DUMMYFUNCTION("""COMPUTED_VALUE"""),"BothRef")</f>
        <v>BothRef</v>
      </c>
      <c r="C73" s="7">
        <f ca="1">IFERROR(__xludf.DUMMYFUNCTION("""COMPUTED_VALUE"""),3)</f>
        <v>3</v>
      </c>
    </row>
    <row r="74" spans="1:3" ht="13">
      <c r="A74" s="7" t="str">
        <f ca="1">IFERROR(__xludf.DUMMYFUNCTION("""COMPUTED_VALUE"""),"Links")</f>
        <v>Links</v>
      </c>
      <c r="B74" s="7" t="str">
        <f ca="1">IFERROR(__xludf.DUMMYFUNCTION("""COMPUTED_VALUE"""),"BugRef")</f>
        <v>BugRef</v>
      </c>
      <c r="C74" s="7">
        <f ca="1">IFERROR(__xludf.DUMMYFUNCTION("""COMPUTED_VALUE"""),1)</f>
        <v>1</v>
      </c>
    </row>
    <row r="75" spans="1:3" ht="13">
      <c r="A75" s="7" t="str">
        <f ca="1">IFERROR(__xludf.DUMMYFUNCTION("""COMPUTED_VALUE"""),"Links")</f>
        <v>Links</v>
      </c>
      <c r="B75" s="7" t="str">
        <f ca="1">IFERROR(__xludf.DUMMYFUNCTION("""COMPUTED_VALUE"""),"FixRef")</f>
        <v>FixRef</v>
      </c>
      <c r="C75" s="7">
        <f ca="1">IFERROR(__xludf.DUMMYFUNCTION("""COMPUTED_VALUE"""),1)</f>
        <v>1</v>
      </c>
    </row>
    <row r="76" spans="1:3" ht="13">
      <c r="A76" s="7" t="str">
        <f ca="1">IFERROR(__xludf.DUMMYFUNCTION("""COMPUTED_VALUE"""),"Links")</f>
        <v>Links</v>
      </c>
      <c r="B76" s="7" t="str">
        <f ca="1">IFERROR(__xludf.DUMMYFUNCTION("""COMPUTED_VALUE"""),"NoRef")</f>
        <v>NoRef</v>
      </c>
      <c r="C76" s="7">
        <f ca="1">IFERROR(__xludf.DUMMYFUNCTION("""COMPUTED_VALUE"""),4)</f>
        <v>4</v>
      </c>
    </row>
    <row r="77" spans="1:3" ht="13">
      <c r="A77" s="7" t="str">
        <f ca="1">IFERROR(__xludf.DUMMYFUNCTION("""COMPUTED_VALUE"""),"Missing Mapping")</f>
        <v>Missing Mapping</v>
      </c>
      <c r="B77" s="7" t="str">
        <f ca="1">IFERROR(__xludf.DUMMYFUNCTION("""COMPUTED_VALUE"""),"NoRef")</f>
        <v>NoRef</v>
      </c>
      <c r="C77" s="7">
        <f ca="1">IFERROR(__xludf.DUMMYFUNCTION("""COMPUTED_VALUE"""),7)</f>
        <v>7</v>
      </c>
    </row>
    <row r="78" spans="1:3" ht="13">
      <c r="A78" s="7" t="str">
        <f ca="1">IFERROR(__xludf.DUMMYFUNCTION("""COMPUTED_VALUE"""),"Part of Code")</f>
        <v>Part of Code</v>
      </c>
      <c r="B78" s="7" t="str">
        <f ca="1">IFERROR(__xludf.DUMMYFUNCTION("""COMPUTED_VALUE"""),"BothRef")</f>
        <v>BothRef</v>
      </c>
      <c r="C78" s="7">
        <f ca="1">IFERROR(__xludf.DUMMYFUNCTION("""COMPUTED_VALUE"""),2)</f>
        <v>2</v>
      </c>
    </row>
    <row r="79" spans="1:3" ht="13">
      <c r="A79" s="7" t="str">
        <f ca="1">IFERROR(__xludf.DUMMYFUNCTION("""COMPUTED_VALUE"""),"Part of Code")</f>
        <v>Part of Code</v>
      </c>
      <c r="B79" s="7" t="str">
        <f ca="1">IFERROR(__xludf.DUMMYFUNCTION("""COMPUTED_VALUE"""),"NoRef")</f>
        <v>NoRef</v>
      </c>
      <c r="C79" s="7">
        <f ca="1">IFERROR(__xludf.DUMMYFUNCTION("""COMPUTED_VALUE"""),1)</f>
        <v>1</v>
      </c>
    </row>
    <row r="80" spans="1:3" ht="13">
      <c r="A80" s="7" t="str">
        <f ca="1">IFERROR(__xludf.DUMMYFUNCTION("""COMPUTED_VALUE"""),"Solution Draft")</f>
        <v>Solution Draft</v>
      </c>
      <c r="B80" s="7" t="str">
        <f ca="1">IFERROR(__xludf.DUMMYFUNCTION("""COMPUTED_VALUE"""),"BothRef")</f>
        <v>BothRef</v>
      </c>
      <c r="C80" s="7">
        <f ca="1">IFERROR(__xludf.DUMMYFUNCTION("""COMPUTED_VALUE"""),10)</f>
        <v>10</v>
      </c>
    </row>
    <row r="81" spans="1:3" ht="13">
      <c r="A81" s="7" t="str">
        <f ca="1">IFERROR(__xludf.DUMMYFUNCTION("""COMPUTED_VALUE"""),"Solution Draft")</f>
        <v>Solution Draft</v>
      </c>
      <c r="B81" s="7" t="str">
        <f ca="1">IFERROR(__xludf.DUMMYFUNCTION("""COMPUTED_VALUE"""),"BugRef")</f>
        <v>BugRef</v>
      </c>
      <c r="C81" s="7">
        <f ca="1">IFERROR(__xludf.DUMMYFUNCTION("""COMPUTED_VALUE"""),2)</f>
        <v>2</v>
      </c>
    </row>
    <row r="82" spans="1:3" ht="13">
      <c r="A82" s="7" t="str">
        <f ca="1">IFERROR(__xludf.DUMMYFUNCTION("""COMPUTED_VALUE"""),"Solution Draft")</f>
        <v>Solution Draft</v>
      </c>
      <c r="B82" s="7" t="str">
        <f ca="1">IFERROR(__xludf.DUMMYFUNCTION("""COMPUTED_VALUE"""),"FixRef")</f>
        <v>FixRef</v>
      </c>
      <c r="C82" s="7">
        <f ca="1">IFERROR(__xludf.DUMMYFUNCTION("""COMPUTED_VALUE"""),1)</f>
        <v>1</v>
      </c>
    </row>
    <row r="83" spans="1:3" ht="13">
      <c r="A83" s="7" t="str">
        <f ca="1">IFERROR(__xludf.DUMMYFUNCTION("""COMPUTED_VALUE"""),"Solution Draft")</f>
        <v>Solution Draft</v>
      </c>
      <c r="B83" s="7" t="str">
        <f ca="1">IFERROR(__xludf.DUMMYFUNCTION("""COMPUTED_VALUE"""),"NoRef")</f>
        <v>NoRef</v>
      </c>
      <c r="C83" s="7">
        <f ca="1">IFERROR(__xludf.DUMMYFUNCTION("""COMPUTED_VALUE"""),6)</f>
        <v>6</v>
      </c>
    </row>
    <row r="84" spans="1:3" ht="13">
      <c r="A84" s="7" t="str">
        <f ca="1">IFERROR(__xludf.DUMMYFUNCTION("""COMPUTED_VALUE"""),"System Dumps")</f>
        <v>System Dumps</v>
      </c>
      <c r="B84" s="7" t="str">
        <f ca="1">IFERROR(__xludf.DUMMYFUNCTION("""COMPUTED_VALUE"""),"BothRef")</f>
        <v>BothRef</v>
      </c>
      <c r="C84" s="7">
        <f ca="1">IFERROR(__xludf.DUMMYFUNCTION("""COMPUTED_VALUE"""),6)</f>
        <v>6</v>
      </c>
    </row>
    <row r="85" spans="1:3" ht="13">
      <c r="A85" s="7" t="str">
        <f ca="1">IFERROR(__xludf.DUMMYFUNCTION("""COMPUTED_VALUE"""),"System Dumps")</f>
        <v>System Dumps</v>
      </c>
      <c r="B85" s="7" t="str">
        <f ca="1">IFERROR(__xludf.DUMMYFUNCTION("""COMPUTED_VALUE"""),"BugRef")</f>
        <v>BugRef</v>
      </c>
      <c r="C85" s="7">
        <f ca="1">IFERROR(__xludf.DUMMYFUNCTION("""COMPUTED_VALUE"""),1)</f>
        <v>1</v>
      </c>
    </row>
    <row r="86" spans="1:3" ht="13">
      <c r="A86" s="7" t="str">
        <f ca="1">IFERROR(__xludf.DUMMYFUNCTION("""COMPUTED_VALUE"""),"System Dumps")</f>
        <v>System Dumps</v>
      </c>
      <c r="B86" s="7" t="str">
        <f ca="1">IFERROR(__xludf.DUMMYFUNCTION("""COMPUTED_VALUE"""),"FixRef")</f>
        <v>FixRef</v>
      </c>
      <c r="C86" s="7">
        <f ca="1">IFERROR(__xludf.DUMMYFUNCTION("""COMPUTED_VALUE"""),3)</f>
        <v>3</v>
      </c>
    </row>
    <row r="87" spans="1:3" ht="13">
      <c r="A87" s="7" t="str">
        <f ca="1">IFERROR(__xludf.DUMMYFUNCTION("""COMPUTED_VALUE"""),"System Dumps")</f>
        <v>System Dumps</v>
      </c>
      <c r="B87" s="7" t="str">
        <f ca="1">IFERROR(__xludf.DUMMYFUNCTION("""COMPUTED_VALUE"""),"NoRef")</f>
        <v>NoRef</v>
      </c>
      <c r="C87" s="7">
        <f ca="1">IFERROR(__xludf.DUMMYFUNCTION("""COMPUTED_VALUE"""),7)</f>
        <v>7</v>
      </c>
    </row>
    <row r="117" spans="1:3" ht="13">
      <c r="A117" s="10" t="str">
        <f ca="1">IFERROR(__xludf.DUMMYFUNCTION("QUERY(Aggregated_Data!A2:O370, ""SELECT M, F, count(F) where F &lt;&gt; '' and M &lt;&gt; '' group by M,F"")"),"")</f>
        <v/>
      </c>
      <c r="B117" s="7" t="str">
        <f ca="1">IFERROR(__xludf.DUMMYFUNCTION("""COMPUTED_VALUE"""),"")</f>
        <v/>
      </c>
      <c r="C117" s="7" t="str">
        <f ca="1">IFERROR(__xludf.DUMMYFUNCTION("""COMPUTED_VALUE"""),"count ")</f>
        <v xml:space="preserve">count </v>
      </c>
    </row>
    <row r="118" spans="1:3" ht="13">
      <c r="A118" s="7" t="str">
        <f ca="1">IFERROR(__xludf.DUMMYFUNCTION("""COMPUTED_VALUE"""),"Backout")</f>
        <v>Backout</v>
      </c>
      <c r="B118" s="7" t="str">
        <f ca="1">IFERROR(__xludf.DUMMYFUNCTION("""COMPUTED_VALUE"""),"BugRef")</f>
        <v>BugRef</v>
      </c>
      <c r="C118" s="7">
        <f ca="1">IFERROR(__xludf.DUMMYFUNCTION("""COMPUTED_VALUE"""),1)</f>
        <v>1</v>
      </c>
    </row>
    <row r="119" spans="1:3" ht="13">
      <c r="A119" s="7" t="str">
        <f ca="1">IFERROR(__xludf.DUMMYFUNCTION("""COMPUTED_VALUE"""),"Backout")</f>
        <v>Backout</v>
      </c>
      <c r="B119" s="7" t="str">
        <f ca="1">IFERROR(__xludf.DUMMYFUNCTION("""COMPUTED_VALUE"""),"FixRef")</f>
        <v>FixRef</v>
      </c>
      <c r="C119" s="7">
        <f ca="1">IFERROR(__xludf.DUMMYFUNCTION("""COMPUTED_VALUE"""),1)</f>
        <v>1</v>
      </c>
    </row>
    <row r="120" spans="1:3" ht="13">
      <c r="A120" s="7" t="str">
        <f ca="1">IFERROR(__xludf.DUMMYFUNCTION("""COMPUTED_VALUE"""),"Backout")</f>
        <v>Backout</v>
      </c>
      <c r="B120" s="7" t="str">
        <f ca="1">IFERROR(__xludf.DUMMYFUNCTION("""COMPUTED_VALUE"""),"NoRef")</f>
        <v>NoRef</v>
      </c>
      <c r="C120" s="7">
        <f ca="1">IFERROR(__xludf.DUMMYFUNCTION("""COMPUTED_VALUE"""),2)</f>
        <v>2</v>
      </c>
    </row>
    <row r="121" spans="1:3" ht="13">
      <c r="A121" s="7" t="str">
        <f ca="1">IFERROR(__xludf.DUMMYFUNCTION("""COMPUTED_VALUE"""),"Bug Dependency")</f>
        <v>Bug Dependency</v>
      </c>
      <c r="B121" s="7" t="str">
        <f ca="1">IFERROR(__xludf.DUMMYFUNCTION("""COMPUTED_VALUE"""),"BugRef")</f>
        <v>BugRef</v>
      </c>
      <c r="C121" s="7">
        <f ca="1">IFERROR(__xludf.DUMMYFUNCTION("""COMPUTED_VALUE"""),3)</f>
        <v>3</v>
      </c>
    </row>
    <row r="122" spans="1:3" ht="13">
      <c r="A122" s="7" t="str">
        <f ca="1">IFERROR(__xludf.DUMMYFUNCTION("""COMPUTED_VALUE"""),"Bug Description")</f>
        <v>Bug Description</v>
      </c>
      <c r="B122" s="7" t="str">
        <f ca="1">IFERROR(__xludf.DUMMYFUNCTION("""COMPUTED_VALUE"""),"BothRef")</f>
        <v>BothRef</v>
      </c>
      <c r="C122" s="7">
        <f ca="1">IFERROR(__xludf.DUMMYFUNCTION("""COMPUTED_VALUE"""),7)</f>
        <v>7</v>
      </c>
    </row>
    <row r="123" spans="1:3" ht="13">
      <c r="A123" s="7" t="str">
        <f ca="1">IFERROR(__xludf.DUMMYFUNCTION("""COMPUTED_VALUE"""),"Bug Description")</f>
        <v>Bug Description</v>
      </c>
      <c r="B123" s="7" t="str">
        <f ca="1">IFERROR(__xludf.DUMMYFUNCTION("""COMPUTED_VALUE"""),"BugRef")</f>
        <v>BugRef</v>
      </c>
      <c r="C123" s="7">
        <f ca="1">IFERROR(__xludf.DUMMYFUNCTION("""COMPUTED_VALUE"""),1)</f>
        <v>1</v>
      </c>
    </row>
    <row r="124" spans="1:3" ht="13">
      <c r="A124" s="7" t="str">
        <f ca="1">IFERROR(__xludf.DUMMYFUNCTION("""COMPUTED_VALUE"""),"Bug Description")</f>
        <v>Bug Description</v>
      </c>
      <c r="B124" s="7" t="str">
        <f ca="1">IFERROR(__xludf.DUMMYFUNCTION("""COMPUTED_VALUE"""),"FixRef")</f>
        <v>FixRef</v>
      </c>
      <c r="C124" s="7">
        <f ca="1">IFERROR(__xludf.DUMMYFUNCTION("""COMPUTED_VALUE"""),1)</f>
        <v>1</v>
      </c>
    </row>
    <row r="125" spans="1:3" ht="13">
      <c r="A125" s="7" t="str">
        <f ca="1">IFERROR(__xludf.DUMMYFUNCTION("""COMPUTED_VALUE"""),"Code Review")</f>
        <v>Code Review</v>
      </c>
      <c r="B125" s="7" t="str">
        <f ca="1">IFERROR(__xludf.DUMMYFUNCTION("""COMPUTED_VALUE"""),"BothRef")</f>
        <v>BothRef</v>
      </c>
      <c r="C125" s="7">
        <f ca="1">IFERROR(__xludf.DUMMYFUNCTION("""COMPUTED_VALUE"""),1)</f>
        <v>1</v>
      </c>
    </row>
    <row r="126" spans="1:3" ht="13">
      <c r="A126" s="10" t="str">
        <f ca="1">IFERROR(__xludf.DUMMYFUNCTION("""COMPUTED_VALUE"""),"Code Review")</f>
        <v>Code Review</v>
      </c>
      <c r="B126" s="7" t="str">
        <f ca="1">IFERROR(__xludf.DUMMYFUNCTION("""COMPUTED_VALUE"""),"NoRef")</f>
        <v>NoRef</v>
      </c>
      <c r="C126" s="7">
        <f ca="1">IFERROR(__xludf.DUMMYFUNCTION("""COMPUTED_VALUE"""),1)</f>
        <v>1</v>
      </c>
    </row>
    <row r="127" spans="1:3" ht="13">
      <c r="A127" s="7" t="str">
        <f ca="1">IFERROR(__xludf.DUMMYFUNCTION("""COMPUTED_VALUE"""),"File name in bug title")</f>
        <v>File name in bug title</v>
      </c>
      <c r="B127" s="7" t="str">
        <f ca="1">IFERROR(__xludf.DUMMYFUNCTION("""COMPUTED_VALUE"""),"NoRef")</f>
        <v>NoRef</v>
      </c>
      <c r="C127" s="7">
        <f ca="1">IFERROR(__xludf.DUMMYFUNCTION("""COMPUTED_VALUE"""),3)</f>
        <v>3</v>
      </c>
    </row>
    <row r="128" spans="1:3" ht="13">
      <c r="A128" s="7" t="str">
        <f ca="1">IFERROR(__xludf.DUMMYFUNCTION("""COMPUTED_VALUE"""),"File name is in a link")</f>
        <v>File name is in a link</v>
      </c>
      <c r="B128" s="7" t="str">
        <f ca="1">IFERROR(__xludf.DUMMYFUNCTION("""COMPUTED_VALUE"""),"NoRef")</f>
        <v>NoRef</v>
      </c>
      <c r="C128" s="7">
        <f ca="1">IFERROR(__xludf.DUMMYFUNCTION("""COMPUTED_VALUE"""),1)</f>
        <v>1</v>
      </c>
    </row>
    <row r="129" spans="1:3" ht="13">
      <c r="A129" s="7" t="str">
        <f ca="1">IFERROR(__xludf.DUMMYFUNCTION("""COMPUTED_VALUE"""),"File names are part of attachment title or commit messages")</f>
        <v>File names are part of attachment title or commit messages</v>
      </c>
      <c r="B129" s="7" t="str">
        <f ca="1">IFERROR(__xludf.DUMMYFUNCTION("""COMPUTED_VALUE"""),"BothRef")</f>
        <v>BothRef</v>
      </c>
      <c r="C129" s="7">
        <f ca="1">IFERROR(__xludf.DUMMYFUNCTION("""COMPUTED_VALUE"""),1)</f>
        <v>1</v>
      </c>
    </row>
    <row r="130" spans="1:3" ht="13">
      <c r="A130" s="7" t="str">
        <f ca="1">IFERROR(__xludf.DUMMYFUNCTION("""COMPUTED_VALUE"""),"File names are part of bug title")</f>
        <v>File names are part of bug title</v>
      </c>
      <c r="B130" s="7" t="str">
        <f ca="1">IFERROR(__xludf.DUMMYFUNCTION("""COMPUTED_VALUE"""),"BothRef")</f>
        <v>BothRef</v>
      </c>
      <c r="C130" s="7">
        <f ca="1">IFERROR(__xludf.DUMMYFUNCTION("""COMPUTED_VALUE"""),1)</f>
        <v>1</v>
      </c>
    </row>
    <row r="131" spans="1:3" ht="13">
      <c r="A131" s="7" t="str">
        <f ca="1">IFERROR(__xludf.DUMMYFUNCTION("""COMPUTED_VALUE"""),"File names are part of bug title")</f>
        <v>File names are part of bug title</v>
      </c>
      <c r="B131" s="7" t="str">
        <f ca="1">IFERROR(__xludf.DUMMYFUNCTION("""COMPUTED_VALUE"""),"BugRef")</f>
        <v>BugRef</v>
      </c>
      <c r="C131" s="7">
        <f ca="1">IFERROR(__xludf.DUMMYFUNCTION("""COMPUTED_VALUE"""),1)</f>
        <v>1</v>
      </c>
    </row>
    <row r="132" spans="1:3" ht="13">
      <c r="A132" s="7" t="str">
        <f ca="1">IFERROR(__xludf.DUMMYFUNCTION("""COMPUTED_VALUE"""),"File names are part of bug title")</f>
        <v>File names are part of bug title</v>
      </c>
      <c r="B132" s="7" t="str">
        <f ca="1">IFERROR(__xludf.DUMMYFUNCTION("""COMPUTED_VALUE"""),"FixRef")</f>
        <v>FixRef</v>
      </c>
      <c r="C132" s="7">
        <f ca="1">IFERROR(__xludf.DUMMYFUNCTION("""COMPUTED_VALUE"""),1)</f>
        <v>1</v>
      </c>
    </row>
    <row r="133" spans="1:3" ht="13">
      <c r="A133" s="7" t="str">
        <f ca="1">IFERROR(__xludf.DUMMYFUNCTION("""COMPUTED_VALUE"""),"File names are part of bug title, attachment title or commit messages")</f>
        <v>File names are part of bug title, attachment title or commit messages</v>
      </c>
      <c r="B133" s="7" t="str">
        <f ca="1">IFERROR(__xludf.DUMMYFUNCTION("""COMPUTED_VALUE"""),"BothRef")</f>
        <v>BothRef</v>
      </c>
      <c r="C133" s="7">
        <f ca="1">IFERROR(__xludf.DUMMYFUNCTION("""COMPUTED_VALUE"""),6)</f>
        <v>6</v>
      </c>
    </row>
    <row r="134" spans="1:3" ht="13">
      <c r="A134" s="7" t="str">
        <f ca="1">IFERROR(__xludf.DUMMYFUNCTION("""COMPUTED_VALUE"""),"File names are part of bug title, attachment title or commit messages")</f>
        <v>File names are part of bug title, attachment title or commit messages</v>
      </c>
      <c r="B134" s="7" t="str">
        <f ca="1">IFERROR(__xludf.DUMMYFUNCTION("""COMPUTED_VALUE"""),"BugRef")</f>
        <v>BugRef</v>
      </c>
      <c r="C134" s="7">
        <f ca="1">IFERROR(__xludf.DUMMYFUNCTION("""COMPUTED_VALUE"""),1)</f>
        <v>1</v>
      </c>
    </row>
    <row r="135" spans="1:3" ht="13">
      <c r="A135" s="7" t="str">
        <f ca="1">IFERROR(__xludf.DUMMYFUNCTION("""COMPUTED_VALUE"""),"File names are part of bug title, attachment title or commit messages")</f>
        <v>File names are part of bug title, attachment title or commit messages</v>
      </c>
      <c r="B135" s="7" t="str">
        <f ca="1">IFERROR(__xludf.DUMMYFUNCTION("""COMPUTED_VALUE"""),"FixRef")</f>
        <v>FixRef</v>
      </c>
      <c r="C135" s="7">
        <f ca="1">IFERROR(__xludf.DUMMYFUNCTION("""COMPUTED_VALUE"""),2)</f>
        <v>2</v>
      </c>
    </row>
    <row r="136" spans="1:3" ht="13">
      <c r="A136" s="7" t="str">
        <f ca="1">IFERROR(__xludf.DUMMYFUNCTION("""COMPUTED_VALUE"""),"File to Reproduce the Bug")</f>
        <v>File to Reproduce the Bug</v>
      </c>
      <c r="B136" s="7" t="str">
        <f ca="1">IFERROR(__xludf.DUMMYFUNCTION("""COMPUTED_VALUE"""),"BothRef")</f>
        <v>BothRef</v>
      </c>
      <c r="C136" s="7">
        <f ca="1">IFERROR(__xludf.DUMMYFUNCTION("""COMPUTED_VALUE"""),6)</f>
        <v>6</v>
      </c>
    </row>
    <row r="137" spans="1:3" ht="13">
      <c r="A137" s="7" t="str">
        <f ca="1">IFERROR(__xludf.DUMMYFUNCTION("""COMPUTED_VALUE"""),"File to Reproduce the Bug")</f>
        <v>File to Reproduce the Bug</v>
      </c>
      <c r="B137" s="7" t="str">
        <f ca="1">IFERROR(__xludf.DUMMYFUNCTION("""COMPUTED_VALUE"""),"BugRef")</f>
        <v>BugRef</v>
      </c>
      <c r="C137" s="7">
        <f ca="1">IFERROR(__xludf.DUMMYFUNCTION("""COMPUTED_VALUE"""),1)</f>
        <v>1</v>
      </c>
    </row>
    <row r="138" spans="1:3" ht="13">
      <c r="A138" s="7" t="str">
        <f ca="1">IFERROR(__xludf.DUMMYFUNCTION("""COMPUTED_VALUE"""),"Incorrect filepath format")</f>
        <v>Incorrect filepath format</v>
      </c>
      <c r="B138" s="7" t="str">
        <f ca="1">IFERROR(__xludf.DUMMYFUNCTION("""COMPUTED_VALUE"""),"NoRef")</f>
        <v>NoRef</v>
      </c>
      <c r="C138" s="7">
        <f ca="1">IFERROR(__xludf.DUMMYFUNCTION("""COMPUTED_VALUE"""),1)</f>
        <v>1</v>
      </c>
    </row>
    <row r="139" spans="1:3" ht="13">
      <c r="A139" s="7" t="str">
        <f ca="1">IFERROR(__xludf.DUMMYFUNCTION("""COMPUTED_VALUE"""),"Links")</f>
        <v>Links</v>
      </c>
      <c r="B139" s="7" t="str">
        <f ca="1">IFERROR(__xludf.DUMMYFUNCTION("""COMPUTED_VALUE"""),"BugRef")</f>
        <v>BugRef</v>
      </c>
      <c r="C139" s="7">
        <f ca="1">IFERROR(__xludf.DUMMYFUNCTION("""COMPUTED_VALUE"""),2)</f>
        <v>2</v>
      </c>
    </row>
    <row r="140" spans="1:3" ht="13">
      <c r="A140" s="7" t="str">
        <f ca="1">IFERROR(__xludf.DUMMYFUNCTION("""COMPUTED_VALUE"""),"Links")</f>
        <v>Links</v>
      </c>
      <c r="B140" s="7" t="str">
        <f ca="1">IFERROR(__xludf.DUMMYFUNCTION("""COMPUTED_VALUE"""),"FixRef")</f>
        <v>FixRef</v>
      </c>
      <c r="C140" s="7">
        <f ca="1">IFERROR(__xludf.DUMMYFUNCTION("""COMPUTED_VALUE"""),1)</f>
        <v>1</v>
      </c>
    </row>
    <row r="141" spans="1:3" ht="13">
      <c r="A141" s="7" t="str">
        <f ca="1">IFERROR(__xludf.DUMMYFUNCTION("""COMPUTED_VALUE"""),"Missing Mapping")</f>
        <v>Missing Mapping</v>
      </c>
      <c r="B141" s="7" t="str">
        <f ca="1">IFERROR(__xludf.DUMMYFUNCTION("""COMPUTED_VALUE"""),"NoRef")</f>
        <v>NoRef</v>
      </c>
      <c r="C141" s="7">
        <f ca="1">IFERROR(__xludf.DUMMYFUNCTION("""COMPUTED_VALUE"""),5)</f>
        <v>5</v>
      </c>
    </row>
    <row r="142" spans="1:3" ht="13">
      <c r="A142" s="7" t="str">
        <f ca="1">IFERROR(__xludf.DUMMYFUNCTION("""COMPUTED_VALUE"""),"No Fix")</f>
        <v>No Fix</v>
      </c>
      <c r="B142" s="7" t="str">
        <f ca="1">IFERROR(__xludf.DUMMYFUNCTION("""COMPUTED_VALUE"""),"BothRef")</f>
        <v>BothRef</v>
      </c>
      <c r="C142" s="7">
        <f ca="1">IFERROR(__xludf.DUMMYFUNCTION("""COMPUTED_VALUE"""),1)</f>
        <v>1</v>
      </c>
    </row>
    <row r="143" spans="1:3" ht="13">
      <c r="A143" s="7" t="str">
        <f ca="1">IFERROR(__xludf.DUMMYFUNCTION("""COMPUTED_VALUE"""),"No Fix")</f>
        <v>No Fix</v>
      </c>
      <c r="B143" s="7" t="str">
        <f ca="1">IFERROR(__xludf.DUMMYFUNCTION("""COMPUTED_VALUE"""),"BugRef")</f>
        <v>BugRef</v>
      </c>
      <c r="C143" s="7">
        <f ca="1">IFERROR(__xludf.DUMMYFUNCTION("""COMPUTED_VALUE"""),1)</f>
        <v>1</v>
      </c>
    </row>
    <row r="144" spans="1:3" ht="13">
      <c r="A144" s="7" t="str">
        <f ca="1">IFERROR(__xludf.DUMMYFUNCTION("""COMPUTED_VALUE"""),"Related to another bug")</f>
        <v>Related to another bug</v>
      </c>
      <c r="B144" s="7" t="str">
        <f ca="1">IFERROR(__xludf.DUMMYFUNCTION("""COMPUTED_VALUE"""),"NoRef")</f>
        <v>NoRef</v>
      </c>
      <c r="C144" s="7">
        <f ca="1">IFERROR(__xludf.DUMMYFUNCTION("""COMPUTED_VALUE"""),1)</f>
        <v>1</v>
      </c>
    </row>
    <row r="145" spans="1:3" ht="13">
      <c r="A145" s="7" t="str">
        <f ca="1">IFERROR(__xludf.DUMMYFUNCTION("""COMPUTED_VALUE"""),"Solution Draft")</f>
        <v>Solution Draft</v>
      </c>
      <c r="B145" s="7" t="str">
        <f ca="1">IFERROR(__xludf.DUMMYFUNCTION("""COMPUTED_VALUE"""),"BothRef")</f>
        <v>BothRef</v>
      </c>
      <c r="C145" s="7">
        <f ca="1">IFERROR(__xludf.DUMMYFUNCTION("""COMPUTED_VALUE"""),6)</f>
        <v>6</v>
      </c>
    </row>
    <row r="146" spans="1:3" ht="13">
      <c r="A146" s="7" t="str">
        <f ca="1">IFERROR(__xludf.DUMMYFUNCTION("""COMPUTED_VALUE"""),"Solution Draft")</f>
        <v>Solution Draft</v>
      </c>
      <c r="B146" s="7" t="str">
        <f ca="1">IFERROR(__xludf.DUMMYFUNCTION("""COMPUTED_VALUE"""),"BugRef")</f>
        <v>BugRef</v>
      </c>
      <c r="C146" s="7">
        <f ca="1">IFERROR(__xludf.DUMMYFUNCTION("""COMPUTED_VALUE"""),2)</f>
        <v>2</v>
      </c>
    </row>
    <row r="147" spans="1:3" ht="13">
      <c r="A147" s="7" t="str">
        <f ca="1">IFERROR(__xludf.DUMMYFUNCTION("""COMPUTED_VALUE"""),"Solution Draft")</f>
        <v>Solution Draft</v>
      </c>
      <c r="B147" s="7" t="str">
        <f ca="1">IFERROR(__xludf.DUMMYFUNCTION("""COMPUTED_VALUE"""),"NoRef")</f>
        <v>NoRef</v>
      </c>
      <c r="C147" s="7">
        <f ca="1">IFERROR(__xludf.DUMMYFUNCTION("""COMPUTED_VALUE"""),4)</f>
        <v>4</v>
      </c>
    </row>
    <row r="148" spans="1:3" ht="13">
      <c r="A148" s="7" t="str">
        <f ca="1">IFERROR(__xludf.DUMMYFUNCTION("""COMPUTED_VALUE"""),"System Dumps")</f>
        <v>System Dumps</v>
      </c>
      <c r="B148" s="7" t="str">
        <f ca="1">IFERROR(__xludf.DUMMYFUNCTION("""COMPUTED_VALUE"""),"BothRef")</f>
        <v>BothRef</v>
      </c>
      <c r="C148" s="7">
        <f ca="1">IFERROR(__xludf.DUMMYFUNCTION("""COMPUTED_VALUE"""),1)</f>
        <v>1</v>
      </c>
    </row>
    <row r="149" spans="1:3" ht="13">
      <c r="A149" s="7" t="str">
        <f ca="1">IFERROR(__xludf.DUMMYFUNCTION("""COMPUTED_VALUE"""),"System Dumps")</f>
        <v>System Dumps</v>
      </c>
      <c r="B149" s="7" t="str">
        <f ca="1">IFERROR(__xludf.DUMMYFUNCTION("""COMPUTED_VALUE"""),"FixRef")</f>
        <v>FixRef</v>
      </c>
      <c r="C149" s="7">
        <f ca="1">IFERROR(__xludf.DUMMYFUNCTION("""COMPUTED_VALUE"""),1)</f>
        <v>1</v>
      </c>
    </row>
    <row r="150" spans="1:3" ht="13">
      <c r="A150" s="10" t="str">
        <f ca="1">IFERROR(__xludf.DUMMYFUNCTION("QUERY(Aggregated_Data!A2:O370, ""SELECT N, F, count(F) where F &lt;&gt; '' and N &lt;&gt; '' group by N,F"")"),"")</f>
        <v/>
      </c>
      <c r="B150" s="7" t="str">
        <f ca="1">IFERROR(__xludf.DUMMYFUNCTION("""COMPUTED_VALUE"""),"")</f>
        <v/>
      </c>
      <c r="C150" s="7" t="str">
        <f ca="1">IFERROR(__xludf.DUMMYFUNCTION("""COMPUTED_VALUE"""),"count ")</f>
        <v xml:space="preserve">count </v>
      </c>
    </row>
    <row r="151" spans="1:3" ht="13">
      <c r="A151" s="7" t="str">
        <f ca="1">IFERROR(__xludf.DUMMYFUNCTION("""COMPUTED_VALUE"""),"Another file that is broken due to the bug")</f>
        <v>Another file that is broken due to the bug</v>
      </c>
      <c r="B151" s="7" t="str">
        <f ca="1">IFERROR(__xludf.DUMMYFUNCTION("""COMPUTED_VALUE"""),"NoRef")</f>
        <v>NoRef</v>
      </c>
      <c r="C151" s="7">
        <f ca="1">IFERROR(__xludf.DUMMYFUNCTION("""COMPUTED_VALUE"""),1)</f>
        <v>1</v>
      </c>
    </row>
    <row r="152" spans="1:3" ht="13">
      <c r="A152" s="7" t="str">
        <f ca="1">IFERROR(__xludf.DUMMYFUNCTION("""COMPUTED_VALUE"""),"Bug Dependency")</f>
        <v>Bug Dependency</v>
      </c>
      <c r="B152" s="7" t="str">
        <f ca="1">IFERROR(__xludf.DUMMYFUNCTION("""COMPUTED_VALUE"""),"BothRef")</f>
        <v>BothRef</v>
      </c>
      <c r="C152" s="7">
        <f ca="1">IFERROR(__xludf.DUMMYFUNCTION("""COMPUTED_VALUE"""),1)</f>
        <v>1</v>
      </c>
    </row>
    <row r="153" spans="1:3" ht="13">
      <c r="A153" s="7" t="str">
        <f ca="1">IFERROR(__xludf.DUMMYFUNCTION("""COMPUTED_VALUE"""),"Bug Dependency")</f>
        <v>Bug Dependency</v>
      </c>
      <c r="B153" s="7" t="str">
        <f ca="1">IFERROR(__xludf.DUMMYFUNCTION("""COMPUTED_VALUE"""),"BugRef")</f>
        <v>BugRef</v>
      </c>
      <c r="C153" s="7">
        <f ca="1">IFERROR(__xludf.DUMMYFUNCTION("""COMPUTED_VALUE"""),2)</f>
        <v>2</v>
      </c>
    </row>
    <row r="154" spans="1:3" ht="13">
      <c r="A154" s="7" t="str">
        <f ca="1">IFERROR(__xludf.DUMMYFUNCTION("""COMPUTED_VALUE"""),"Bug Reproducibility")</f>
        <v>Bug Reproducibility</v>
      </c>
      <c r="B154" s="7" t="str">
        <f ca="1">IFERROR(__xludf.DUMMYFUNCTION("""COMPUTED_VALUE"""),"BothRef")</f>
        <v>BothRef</v>
      </c>
      <c r="C154" s="7">
        <f ca="1">IFERROR(__xludf.DUMMYFUNCTION("""COMPUTED_VALUE"""),1)</f>
        <v>1</v>
      </c>
    </row>
    <row r="155" spans="1:3" ht="13">
      <c r="A155" s="7" t="str">
        <f ca="1">IFERROR(__xludf.DUMMYFUNCTION("""COMPUTED_VALUE"""),"Code Review")</f>
        <v>Code Review</v>
      </c>
      <c r="B155" s="7" t="str">
        <f ca="1">IFERROR(__xludf.DUMMYFUNCTION("""COMPUTED_VALUE"""),"NoRef")</f>
        <v>NoRef</v>
      </c>
      <c r="C155" s="7">
        <f ca="1">IFERROR(__xludf.DUMMYFUNCTION("""COMPUTED_VALUE"""),4)</f>
        <v>4</v>
      </c>
    </row>
    <row r="156" spans="1:3" ht="13">
      <c r="A156" s="7" t="str">
        <f ca="1">IFERROR(__xludf.DUMMYFUNCTION("""COMPUTED_VALUE"""),"File names are part of bug title, attachment title or commit messages")</f>
        <v>File names are part of bug title, attachment title or commit messages</v>
      </c>
      <c r="B156" s="7" t="str">
        <f ca="1">IFERROR(__xludf.DUMMYFUNCTION("""COMPUTED_VALUE"""),"BothRef")</f>
        <v>BothRef</v>
      </c>
      <c r="C156" s="7">
        <f ca="1">IFERROR(__xludf.DUMMYFUNCTION("""COMPUTED_VALUE"""),1)</f>
        <v>1</v>
      </c>
    </row>
    <row r="157" spans="1:3" ht="13">
      <c r="A157" s="7" t="str">
        <f ca="1">IFERROR(__xludf.DUMMYFUNCTION("""COMPUTED_VALUE"""),"File names are part of bug title, attachment title or commit messages")</f>
        <v>File names are part of bug title, attachment title or commit messages</v>
      </c>
      <c r="B157" s="7" t="str">
        <f ca="1">IFERROR(__xludf.DUMMYFUNCTION("""COMPUTED_VALUE"""),"FixRef")</f>
        <v>FixRef</v>
      </c>
      <c r="C157" s="7">
        <f ca="1">IFERROR(__xludf.DUMMYFUNCTION("""COMPUTED_VALUE"""),1)</f>
        <v>1</v>
      </c>
    </row>
    <row r="158" spans="1:3" ht="13">
      <c r="A158" s="7" t="str">
        <f ca="1">IFERROR(__xludf.DUMMYFUNCTION("""COMPUTED_VALUE"""),"Solution Draft")</f>
        <v>Solution Draft</v>
      </c>
      <c r="B158" s="7" t="str">
        <f ca="1">IFERROR(__xludf.DUMMYFUNCTION("""COMPUTED_VALUE"""),"BothRef")</f>
        <v>BothRef</v>
      </c>
      <c r="C158" s="7">
        <f ca="1">IFERROR(__xludf.DUMMYFUNCTION("""COMPUTED_VALUE"""),2)</f>
        <v>2</v>
      </c>
    </row>
    <row r="159" spans="1:3" ht="13">
      <c r="A159" s="7" t="str">
        <f ca="1">IFERROR(__xludf.DUMMYFUNCTION("""COMPUTED_VALUE"""),"The issue was not reproduced")</f>
        <v>The issue was not reproduced</v>
      </c>
      <c r="B159" s="7" t="str">
        <f ca="1">IFERROR(__xludf.DUMMYFUNCTION("""COMPUTED_VALUE"""),"BugRef")</f>
        <v>BugRef</v>
      </c>
      <c r="C159" s="7">
        <f ca="1">IFERROR(__xludf.DUMMYFUNCTION("""COMPUTED_VALUE"""),1)</f>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57"/>
  <sheetViews>
    <sheetView workbookViewId="0">
      <pane ySplit="1" topLeftCell="A2" activePane="bottomLeft" state="frozen"/>
      <selection pane="bottomLeft" activeCell="B3" sqref="B3"/>
    </sheetView>
  </sheetViews>
  <sheetFormatPr baseColWidth="10" defaultColWidth="12.6640625" defaultRowHeight="15.75" customHeight="1"/>
  <cols>
    <col min="1" max="1" width="54.83203125" customWidth="1"/>
    <col min="6" max="6" width="51.33203125" customWidth="1"/>
  </cols>
  <sheetData>
    <row r="1" spans="1:26" ht="15.75" customHeight="1">
      <c r="A1" s="10" t="str">
        <f ca="1">IFERROR(__xludf.DUMMYFUNCTION("QUERY(Intermediate_Count!A2:C160, ""SELECT A, B, SUM(C) where A &lt;&gt; '' and B &lt;&gt; '' group by A, B label A 'Cause', B 'Sheet', SUM(C) 'Count'"")"),"Cause")</f>
        <v>Cause</v>
      </c>
      <c r="B1" s="7" t="str">
        <f ca="1">IFERROR(__xludf.DUMMYFUNCTION("""COMPUTED_VALUE"""),"Sheet")</f>
        <v>Sheet</v>
      </c>
      <c r="C1" s="7" t="str">
        <f ca="1">IFERROR(__xludf.DUMMYFUNCTION("""COMPUTED_VALUE"""),"Count")</f>
        <v>Count</v>
      </c>
      <c r="D1" s="7" t="s">
        <v>43</v>
      </c>
      <c r="E1" s="7" t="s">
        <v>43</v>
      </c>
      <c r="F1" s="7" t="s">
        <v>43</v>
      </c>
      <c r="G1" s="7" t="s">
        <v>43</v>
      </c>
      <c r="H1" s="7" t="s">
        <v>43</v>
      </c>
      <c r="I1" s="7" t="s">
        <v>43</v>
      </c>
      <c r="J1" s="7" t="s">
        <v>43</v>
      </c>
      <c r="K1" s="7" t="s">
        <v>43</v>
      </c>
      <c r="L1" s="7" t="s">
        <v>43</v>
      </c>
      <c r="M1" s="7" t="s">
        <v>43</v>
      </c>
      <c r="N1" s="7" t="s">
        <v>43</v>
      </c>
      <c r="O1" s="7" t="s">
        <v>43</v>
      </c>
      <c r="P1" s="7" t="s">
        <v>43</v>
      </c>
      <c r="Q1" s="7" t="s">
        <v>43</v>
      </c>
      <c r="R1" s="7" t="s">
        <v>43</v>
      </c>
      <c r="S1" s="7" t="s">
        <v>43</v>
      </c>
      <c r="T1" s="7" t="s">
        <v>43</v>
      </c>
      <c r="U1" s="7" t="s">
        <v>43</v>
      </c>
      <c r="V1" s="7" t="s">
        <v>43</v>
      </c>
      <c r="W1" s="7" t="s">
        <v>43</v>
      </c>
      <c r="X1" s="7" t="s">
        <v>43</v>
      </c>
      <c r="Y1" s="7" t="s">
        <v>43</v>
      </c>
      <c r="Z1" s="7" t="s">
        <v>43</v>
      </c>
    </row>
    <row r="2" spans="1:26" ht="15.75" customHeight="1">
      <c r="A2" s="7" t="str">
        <f ca="1">IFERROR(__xludf.DUMMYFUNCTION("""COMPUTED_VALUE"""),"Another file that is broken due to the bug")</f>
        <v>Another file that is broken due to the bug</v>
      </c>
      <c r="B2" s="7" t="str">
        <f ca="1">IFERROR(__xludf.DUMMYFUNCTION("""COMPUTED_VALUE"""),"NoRef")</f>
        <v>NoRef</v>
      </c>
      <c r="C2" s="7">
        <f ca="1">IFERROR(__xludf.DUMMYFUNCTION("""COMPUTED_VALUE"""),1)</f>
        <v>1</v>
      </c>
    </row>
    <row r="3" spans="1:26" ht="15.75" customHeight="1">
      <c r="A3" s="7" t="str">
        <f ca="1">IFERROR(__xludf.DUMMYFUNCTION("""COMPUTED_VALUE"""),"Backout")</f>
        <v>Backout</v>
      </c>
      <c r="B3" s="7" t="str">
        <f ca="1">IFERROR(__xludf.DUMMYFUNCTION("""COMPUTED_VALUE"""),"BothRef")</f>
        <v>BothRef</v>
      </c>
      <c r="C3" s="7">
        <f ca="1">IFERROR(__xludf.DUMMYFUNCTION("""COMPUTED_VALUE"""),3)</f>
        <v>3</v>
      </c>
    </row>
    <row r="4" spans="1:26" ht="15.75" customHeight="1">
      <c r="A4" s="7" t="str">
        <f ca="1">IFERROR(__xludf.DUMMYFUNCTION("""COMPUTED_VALUE"""),"Backout")</f>
        <v>Backout</v>
      </c>
      <c r="B4" s="7" t="str">
        <f ca="1">IFERROR(__xludf.DUMMYFUNCTION("""COMPUTED_VALUE"""),"BugRef")</f>
        <v>BugRef</v>
      </c>
      <c r="C4" s="7">
        <f ca="1">IFERROR(__xludf.DUMMYFUNCTION("""COMPUTED_VALUE"""),7)</f>
        <v>7</v>
      </c>
    </row>
    <row r="5" spans="1:26" ht="15.75" customHeight="1">
      <c r="A5" s="7" t="str">
        <f ca="1">IFERROR(__xludf.DUMMYFUNCTION("""COMPUTED_VALUE"""),"Backout")</f>
        <v>Backout</v>
      </c>
      <c r="B5" s="7" t="str">
        <f ca="1">IFERROR(__xludf.DUMMYFUNCTION("""COMPUTED_VALUE"""),"FixRef")</f>
        <v>FixRef</v>
      </c>
      <c r="C5" s="7">
        <f ca="1">IFERROR(__xludf.DUMMYFUNCTION("""COMPUTED_VALUE"""),2)</f>
        <v>2</v>
      </c>
    </row>
    <row r="6" spans="1:26" ht="15.75" customHeight="1">
      <c r="A6" s="7" t="str">
        <f ca="1">IFERROR(__xludf.DUMMYFUNCTION("""COMPUTED_VALUE"""),"Backout")</f>
        <v>Backout</v>
      </c>
      <c r="B6" s="7" t="str">
        <f ca="1">IFERROR(__xludf.DUMMYFUNCTION("""COMPUTED_VALUE"""),"NoRef")</f>
        <v>NoRef</v>
      </c>
      <c r="C6" s="7">
        <f ca="1">IFERROR(__xludf.DUMMYFUNCTION("""COMPUTED_VALUE"""),7)</f>
        <v>7</v>
      </c>
      <c r="F6" s="7" t="s">
        <v>44</v>
      </c>
    </row>
    <row r="7" spans="1:26" ht="15.75" customHeight="1">
      <c r="A7" s="7" t="str">
        <f ca="1">IFERROR(__xludf.DUMMYFUNCTION("""COMPUTED_VALUE"""),"Bug Dependency")</f>
        <v>Bug Dependency</v>
      </c>
      <c r="B7" s="7" t="str">
        <f ca="1">IFERROR(__xludf.DUMMYFUNCTION("""COMPUTED_VALUE"""),"BothRef")</f>
        <v>BothRef</v>
      </c>
      <c r="C7" s="7">
        <f ca="1">IFERROR(__xludf.DUMMYFUNCTION("""COMPUTED_VALUE"""),3)</f>
        <v>3</v>
      </c>
      <c r="F7" s="7" t="s">
        <v>45</v>
      </c>
    </row>
    <row r="8" spans="1:26" ht="15.75" customHeight="1">
      <c r="A8" s="7" t="str">
        <f ca="1">IFERROR(__xludf.DUMMYFUNCTION("""COMPUTED_VALUE"""),"Bug Dependency")</f>
        <v>Bug Dependency</v>
      </c>
      <c r="B8" s="7" t="str">
        <f ca="1">IFERROR(__xludf.DUMMYFUNCTION("""COMPUTED_VALUE"""),"BugRef")</f>
        <v>BugRef</v>
      </c>
      <c r="C8" s="7">
        <f ca="1">IFERROR(__xludf.DUMMYFUNCTION("""COMPUTED_VALUE"""),9)</f>
        <v>9</v>
      </c>
    </row>
    <row r="9" spans="1:26" ht="15.75" customHeight="1">
      <c r="A9" s="7" t="str">
        <f ca="1">IFERROR(__xludf.DUMMYFUNCTION("""COMPUTED_VALUE"""),"Bug Dependency")</f>
        <v>Bug Dependency</v>
      </c>
      <c r="B9" s="7" t="str">
        <f ca="1">IFERROR(__xludf.DUMMYFUNCTION("""COMPUTED_VALUE"""),"NoRef")</f>
        <v>NoRef</v>
      </c>
      <c r="C9" s="7">
        <f ca="1">IFERROR(__xludf.DUMMYFUNCTION("""COMPUTED_VALUE"""),5)</f>
        <v>5</v>
      </c>
    </row>
    <row r="10" spans="1:26" ht="15.75" customHeight="1">
      <c r="A10" s="7" t="str">
        <f ca="1">IFERROR(__xludf.DUMMYFUNCTION("""COMPUTED_VALUE"""),"Bug Description")</f>
        <v>Bug Description</v>
      </c>
      <c r="B10" s="7" t="str">
        <f ca="1">IFERROR(__xludf.DUMMYFUNCTION("""COMPUTED_VALUE"""),"BothRef")</f>
        <v>BothRef</v>
      </c>
      <c r="C10" s="7">
        <f ca="1">IFERROR(__xludf.DUMMYFUNCTION("""COMPUTED_VALUE"""),72)</f>
        <v>72</v>
      </c>
    </row>
    <row r="11" spans="1:26" ht="15.75" customHeight="1">
      <c r="A11" s="7" t="str">
        <f ca="1">IFERROR(__xludf.DUMMYFUNCTION("""COMPUTED_VALUE"""),"Bug Description")</f>
        <v>Bug Description</v>
      </c>
      <c r="B11" s="7" t="str">
        <f ca="1">IFERROR(__xludf.DUMMYFUNCTION("""COMPUTED_VALUE"""),"BugRef")</f>
        <v>BugRef</v>
      </c>
      <c r="C11" s="7">
        <f ca="1">IFERROR(__xludf.DUMMYFUNCTION("""COMPUTED_VALUE"""),13)</f>
        <v>13</v>
      </c>
    </row>
    <row r="12" spans="1:26" ht="15.75" customHeight="1">
      <c r="A12" s="7" t="str">
        <f ca="1">IFERROR(__xludf.DUMMYFUNCTION("""COMPUTED_VALUE"""),"Bug Description")</f>
        <v>Bug Description</v>
      </c>
      <c r="B12" s="7" t="str">
        <f ca="1">IFERROR(__xludf.DUMMYFUNCTION("""COMPUTED_VALUE"""),"FixRef")</f>
        <v>FixRef</v>
      </c>
      <c r="C12" s="7">
        <f ca="1">IFERROR(__xludf.DUMMYFUNCTION("""COMPUTED_VALUE"""),21)</f>
        <v>21</v>
      </c>
    </row>
    <row r="13" spans="1:26" ht="15.75" customHeight="1">
      <c r="A13" s="7" t="str">
        <f ca="1">IFERROR(__xludf.DUMMYFUNCTION("""COMPUTED_VALUE"""),"Bug Description")</f>
        <v>Bug Description</v>
      </c>
      <c r="B13" s="7" t="str">
        <f ca="1">IFERROR(__xludf.DUMMYFUNCTION("""COMPUTED_VALUE"""),"NoRef")</f>
        <v>NoRef</v>
      </c>
      <c r="C13" s="7">
        <f ca="1">IFERROR(__xludf.DUMMYFUNCTION("""COMPUTED_VALUE"""),21)</f>
        <v>21</v>
      </c>
    </row>
    <row r="14" spans="1:26" ht="15.75" customHeight="1">
      <c r="A14" s="7" t="str">
        <f ca="1">IFERROR(__xludf.DUMMYFUNCTION("""COMPUTED_VALUE"""),"Bug Reproducibility")</f>
        <v>Bug Reproducibility</v>
      </c>
      <c r="B14" s="7" t="str">
        <f ca="1">IFERROR(__xludf.DUMMYFUNCTION("""COMPUTED_VALUE"""),"BothRef")</f>
        <v>BothRef</v>
      </c>
      <c r="C14" s="7">
        <f ca="1">IFERROR(__xludf.DUMMYFUNCTION("""COMPUTED_VALUE"""),2)</f>
        <v>2</v>
      </c>
      <c r="F14" s="7" t="s">
        <v>46</v>
      </c>
    </row>
    <row r="15" spans="1:26" ht="15.75" customHeight="1">
      <c r="A15" s="7" t="str">
        <f ca="1">IFERROR(__xludf.DUMMYFUNCTION("""COMPUTED_VALUE"""),"Code Review")</f>
        <v>Code Review</v>
      </c>
      <c r="B15" s="7" t="str">
        <f ca="1">IFERROR(__xludf.DUMMYFUNCTION("""COMPUTED_VALUE"""),"BothRef")</f>
        <v>BothRef</v>
      </c>
      <c r="C15" s="7">
        <f ca="1">IFERROR(__xludf.DUMMYFUNCTION("""COMPUTED_VALUE"""),1)</f>
        <v>1</v>
      </c>
    </row>
    <row r="16" spans="1:26" ht="15.75" customHeight="1">
      <c r="A16" s="7" t="str">
        <f ca="1">IFERROR(__xludf.DUMMYFUNCTION("""COMPUTED_VALUE"""),"Code Review")</f>
        <v>Code Review</v>
      </c>
      <c r="B16" s="7" t="str">
        <f ca="1">IFERROR(__xludf.DUMMYFUNCTION("""COMPUTED_VALUE"""),"NoRef")</f>
        <v>NoRef</v>
      </c>
      <c r="C16" s="7">
        <f ca="1">IFERROR(__xludf.DUMMYFUNCTION("""COMPUTED_VALUE"""),5)</f>
        <v>5</v>
      </c>
    </row>
    <row r="17" spans="1:6" ht="15.75" customHeight="1">
      <c r="A17" s="7" t="str">
        <f ca="1">IFERROR(__xludf.DUMMYFUNCTION("""COMPUTED_VALUE"""),"Duplicate bug")</f>
        <v>Duplicate bug</v>
      </c>
      <c r="B17" s="7" t="str">
        <f ca="1">IFERROR(__xludf.DUMMYFUNCTION("""COMPUTED_VALUE"""),"NoRef")</f>
        <v>NoRef</v>
      </c>
      <c r="C17" s="7">
        <f ca="1">IFERROR(__xludf.DUMMYFUNCTION("""COMPUTED_VALUE"""),1)</f>
        <v>1</v>
      </c>
    </row>
    <row r="18" spans="1:6" ht="15.75" customHeight="1">
      <c r="A18" s="7" t="str">
        <f ca="1">IFERROR(__xludf.DUMMYFUNCTION("""COMPUTED_VALUE"""),"File contains the File to Reproduce the Bug that cause the failure ")</f>
        <v xml:space="preserve">File contains the File to Reproduce the Bug that cause the failure </v>
      </c>
      <c r="B18" s="7" t="str">
        <f ca="1">IFERROR(__xludf.DUMMYFUNCTION("""COMPUTED_VALUE"""),"NoRef")</f>
        <v>NoRef</v>
      </c>
      <c r="C18" s="7">
        <f ca="1">IFERROR(__xludf.DUMMYFUNCTION("""COMPUTED_VALUE"""),1)</f>
        <v>1</v>
      </c>
    </row>
    <row r="19" spans="1:6" ht="15.75" customHeight="1">
      <c r="A19" s="7" t="str">
        <f ca="1">IFERROR(__xludf.DUMMYFUNCTION("""COMPUTED_VALUE"""),"File name in bug title")</f>
        <v>File name in bug title</v>
      </c>
      <c r="B19" s="7" t="str">
        <f ca="1">IFERROR(__xludf.DUMMYFUNCTION("""COMPUTED_VALUE"""),"NoRef")</f>
        <v>NoRef</v>
      </c>
      <c r="C19" s="7">
        <f ca="1">IFERROR(__xludf.DUMMYFUNCTION("""COMPUTED_VALUE"""),3)</f>
        <v>3</v>
      </c>
      <c r="F19" s="7" t="s">
        <v>47</v>
      </c>
    </row>
    <row r="20" spans="1:6" ht="15.75" customHeight="1">
      <c r="A20" s="7" t="str">
        <f ca="1">IFERROR(__xludf.DUMMYFUNCTION("""COMPUTED_VALUE"""),"File name in bug title and the commit message")</f>
        <v>File name in bug title and the commit message</v>
      </c>
      <c r="B20" s="7" t="str">
        <f ca="1">IFERROR(__xludf.DUMMYFUNCTION("""COMPUTED_VALUE"""),"NoRef")</f>
        <v>NoRef</v>
      </c>
      <c r="C20" s="7">
        <f ca="1">IFERROR(__xludf.DUMMYFUNCTION("""COMPUTED_VALUE"""),1)</f>
        <v>1</v>
      </c>
      <c r="F20" s="7" t="s">
        <v>48</v>
      </c>
    </row>
    <row r="21" spans="1:6" ht="15.75" customHeight="1">
      <c r="A21" s="7" t="str">
        <f ca="1">IFERROR(__xludf.DUMMYFUNCTION("""COMPUTED_VALUE"""),"File name is in a link")</f>
        <v>File name is in a link</v>
      </c>
      <c r="B21" s="7" t="str">
        <f ca="1">IFERROR(__xludf.DUMMYFUNCTION("""COMPUTED_VALUE"""),"NoRef")</f>
        <v>NoRef</v>
      </c>
      <c r="C21" s="7">
        <f ca="1">IFERROR(__xludf.DUMMYFUNCTION("""COMPUTED_VALUE"""),2)</f>
        <v>2</v>
      </c>
      <c r="F21" s="7" t="s">
        <v>49</v>
      </c>
    </row>
    <row r="22" spans="1:6" ht="15.75" customHeight="1">
      <c r="A22" s="7" t="str">
        <f ca="1">IFERROR(__xludf.DUMMYFUNCTION("""COMPUTED_VALUE"""),"File names are part of attachment title or commit messages")</f>
        <v>File names are part of attachment title or commit messages</v>
      </c>
      <c r="B22" s="7" t="str">
        <f ca="1">IFERROR(__xludf.DUMMYFUNCTION("""COMPUTED_VALUE"""),"BothRef")</f>
        <v>BothRef</v>
      </c>
      <c r="C22" s="7">
        <f ca="1">IFERROR(__xludf.DUMMYFUNCTION("""COMPUTED_VALUE"""),5)</f>
        <v>5</v>
      </c>
      <c r="F22" s="7" t="s">
        <v>50</v>
      </c>
    </row>
    <row r="23" spans="1:6" ht="15.75" customHeight="1">
      <c r="A23" s="7" t="str">
        <f ca="1">IFERROR(__xludf.DUMMYFUNCTION("""COMPUTED_VALUE"""),"File names are part of attachment title or commit messages")</f>
        <v>File names are part of attachment title or commit messages</v>
      </c>
      <c r="B23" s="7" t="str">
        <f ca="1">IFERROR(__xludf.DUMMYFUNCTION("""COMPUTED_VALUE"""),"FixRef")</f>
        <v>FixRef</v>
      </c>
      <c r="C23" s="7">
        <f ca="1">IFERROR(__xludf.DUMMYFUNCTION("""COMPUTED_VALUE"""),3)</f>
        <v>3</v>
      </c>
      <c r="F23" s="7" t="s">
        <v>51</v>
      </c>
    </row>
    <row r="24" spans="1:6" ht="15.75" customHeight="1">
      <c r="A24" s="7" t="str">
        <f ca="1">IFERROR(__xludf.DUMMYFUNCTION("""COMPUTED_VALUE"""),"File names are part of bug title")</f>
        <v>File names are part of bug title</v>
      </c>
      <c r="B24" s="7" t="str">
        <f ca="1">IFERROR(__xludf.DUMMYFUNCTION("""COMPUTED_VALUE"""),"BothRef")</f>
        <v>BothRef</v>
      </c>
      <c r="C24" s="7">
        <f ca="1">IFERROR(__xludf.DUMMYFUNCTION("""COMPUTED_VALUE"""),27)</f>
        <v>27</v>
      </c>
      <c r="F24" s="7" t="s">
        <v>52</v>
      </c>
    </row>
    <row r="25" spans="1:6" ht="15.75" customHeight="1">
      <c r="A25" s="7" t="str">
        <f ca="1">IFERROR(__xludf.DUMMYFUNCTION("""COMPUTED_VALUE"""),"File names are part of bug title")</f>
        <v>File names are part of bug title</v>
      </c>
      <c r="B25" s="7" t="str">
        <f ca="1">IFERROR(__xludf.DUMMYFUNCTION("""COMPUTED_VALUE"""),"BugRef")</f>
        <v>BugRef</v>
      </c>
      <c r="C25" s="7">
        <f ca="1">IFERROR(__xludf.DUMMYFUNCTION("""COMPUTED_VALUE"""),13)</f>
        <v>13</v>
      </c>
      <c r="F25" s="7" t="s">
        <v>53</v>
      </c>
    </row>
    <row r="26" spans="1:6" ht="15.75" customHeight="1">
      <c r="A26" s="7" t="str">
        <f ca="1">IFERROR(__xludf.DUMMYFUNCTION("""COMPUTED_VALUE"""),"File names are part of bug title")</f>
        <v>File names are part of bug title</v>
      </c>
      <c r="B26" s="7" t="str">
        <f ca="1">IFERROR(__xludf.DUMMYFUNCTION("""COMPUTED_VALUE"""),"FixRef")</f>
        <v>FixRef</v>
      </c>
      <c r="C26" s="7">
        <f ca="1">IFERROR(__xludf.DUMMYFUNCTION("""COMPUTED_VALUE"""),4)</f>
        <v>4</v>
      </c>
    </row>
    <row r="27" spans="1:6" ht="15.75" customHeight="1">
      <c r="A27" s="7" t="str">
        <f ca="1">IFERROR(__xludf.DUMMYFUNCTION("""COMPUTED_VALUE"""),"File names are part of bug title, attachment title or commit messages")</f>
        <v>File names are part of bug title, attachment title or commit messages</v>
      </c>
      <c r="B27" s="7" t="str">
        <f ca="1">IFERROR(__xludf.DUMMYFUNCTION("""COMPUTED_VALUE"""),"BothRef")</f>
        <v>BothRef</v>
      </c>
      <c r="C27" s="7">
        <f ca="1">IFERROR(__xludf.DUMMYFUNCTION("""COMPUTED_VALUE"""),46)</f>
        <v>46</v>
      </c>
    </row>
    <row r="28" spans="1:6" ht="15.75" customHeight="1">
      <c r="A28" s="7" t="str">
        <f ca="1">IFERROR(__xludf.DUMMYFUNCTION("""COMPUTED_VALUE"""),"File names are part of bug title, attachment title or commit messages")</f>
        <v>File names are part of bug title, attachment title or commit messages</v>
      </c>
      <c r="B28" s="7" t="str">
        <f ca="1">IFERROR(__xludf.DUMMYFUNCTION("""COMPUTED_VALUE"""),"BugRef")</f>
        <v>BugRef</v>
      </c>
      <c r="C28" s="7">
        <f ca="1">IFERROR(__xludf.DUMMYFUNCTION("""COMPUTED_VALUE"""),8)</f>
        <v>8</v>
      </c>
    </row>
    <row r="29" spans="1:6" ht="15.75" customHeight="1">
      <c r="A29" s="7" t="str">
        <f ca="1">IFERROR(__xludf.DUMMYFUNCTION("""COMPUTED_VALUE"""),"File names are part of bug title, attachment title or commit messages")</f>
        <v>File names are part of bug title, attachment title or commit messages</v>
      </c>
      <c r="B29" s="7" t="str">
        <f ca="1">IFERROR(__xludf.DUMMYFUNCTION("""COMPUTED_VALUE"""),"FixRef")</f>
        <v>FixRef</v>
      </c>
      <c r="C29" s="7">
        <f ca="1">IFERROR(__xludf.DUMMYFUNCTION("""COMPUTED_VALUE"""),8)</f>
        <v>8</v>
      </c>
    </row>
    <row r="30" spans="1:6" ht="15.75" customHeight="1">
      <c r="A30" s="7" t="str">
        <f ca="1">IFERROR(__xludf.DUMMYFUNCTION("""COMPUTED_VALUE"""),"File names are part of bug title, attachment title or commit messages")</f>
        <v>File names are part of bug title, attachment title or commit messages</v>
      </c>
      <c r="B30" s="7" t="str">
        <f ca="1">IFERROR(__xludf.DUMMYFUNCTION("""COMPUTED_VALUE"""),"NoRef")</f>
        <v>NoRef</v>
      </c>
      <c r="C30" s="7">
        <f ca="1">IFERROR(__xludf.DUMMYFUNCTION("""COMPUTED_VALUE"""),1)</f>
        <v>1</v>
      </c>
    </row>
    <row r="31" spans="1:6" ht="15.75" customHeight="1">
      <c r="A31" s="7" t="str">
        <f ca="1">IFERROR(__xludf.DUMMYFUNCTION("""COMPUTED_VALUE"""),"File names are part of commit messages")</f>
        <v>File names are part of commit messages</v>
      </c>
      <c r="B31" s="7" t="str">
        <f ca="1">IFERROR(__xludf.DUMMYFUNCTION("""COMPUTED_VALUE"""),"BothRef")</f>
        <v>BothRef</v>
      </c>
      <c r="C31" s="7">
        <f ca="1">IFERROR(__xludf.DUMMYFUNCTION("""COMPUTED_VALUE"""),1)</f>
        <v>1</v>
      </c>
    </row>
    <row r="32" spans="1:6" ht="15.75" customHeight="1">
      <c r="A32" s="7" t="str">
        <f ca="1">IFERROR(__xludf.DUMMYFUNCTION("""COMPUTED_VALUE"""),"File to Reproduce the Bug")</f>
        <v>File to Reproduce the Bug</v>
      </c>
      <c r="B32" s="7" t="str">
        <f ca="1">IFERROR(__xludf.DUMMYFUNCTION("""COMPUTED_VALUE"""),"BothRef")</f>
        <v>BothRef</v>
      </c>
      <c r="C32" s="7">
        <f ca="1">IFERROR(__xludf.DUMMYFUNCTION("""COMPUTED_VALUE"""),9)</f>
        <v>9</v>
      </c>
    </row>
    <row r="33" spans="1:3" ht="15.75" customHeight="1">
      <c r="A33" s="7" t="str">
        <f ca="1">IFERROR(__xludf.DUMMYFUNCTION("""COMPUTED_VALUE"""),"File to Reproduce the Bug")</f>
        <v>File to Reproduce the Bug</v>
      </c>
      <c r="B33" s="7" t="str">
        <f ca="1">IFERROR(__xludf.DUMMYFUNCTION("""COMPUTED_VALUE"""),"BugRef")</f>
        <v>BugRef</v>
      </c>
      <c r="C33" s="7">
        <f ca="1">IFERROR(__xludf.DUMMYFUNCTION("""COMPUTED_VALUE"""),4)</f>
        <v>4</v>
      </c>
    </row>
    <row r="34" spans="1:3" ht="15.75" customHeight="1">
      <c r="A34" s="7" t="str">
        <f ca="1">IFERROR(__xludf.DUMMYFUNCTION("""COMPUTED_VALUE"""),"File to Reproduce the Bug")</f>
        <v>File to Reproduce the Bug</v>
      </c>
      <c r="B34" s="7" t="str">
        <f ca="1">IFERROR(__xludf.DUMMYFUNCTION("""COMPUTED_VALUE"""),"FixRef")</f>
        <v>FixRef</v>
      </c>
      <c r="C34" s="7">
        <f ca="1">IFERROR(__xludf.DUMMYFUNCTION("""COMPUTED_VALUE"""),3)</f>
        <v>3</v>
      </c>
    </row>
    <row r="35" spans="1:3" ht="15.75" customHeight="1">
      <c r="A35" s="7" t="str">
        <f ca="1">IFERROR(__xludf.DUMMYFUNCTION("""COMPUTED_VALUE"""),"File to Reproduce the Bug")</f>
        <v>File to Reproduce the Bug</v>
      </c>
      <c r="B35" s="7" t="str">
        <f ca="1">IFERROR(__xludf.DUMMYFUNCTION("""COMPUTED_VALUE"""),"NoRef")</f>
        <v>NoRef</v>
      </c>
      <c r="C35" s="7">
        <f ca="1">IFERROR(__xludf.DUMMYFUNCTION("""COMPUTED_VALUE"""),29)</f>
        <v>29</v>
      </c>
    </row>
    <row r="36" spans="1:3" ht="15.75" customHeight="1">
      <c r="A36" s="7" t="str">
        <f ca="1">IFERROR(__xludf.DUMMYFUNCTION("""COMPUTED_VALUE"""),"File to Reproduce the bug")</f>
        <v>File to Reproduce the bug</v>
      </c>
      <c r="B36" s="7" t="str">
        <f ca="1">IFERROR(__xludf.DUMMYFUNCTION("""COMPUTED_VALUE"""),"BugRef")</f>
        <v>BugRef</v>
      </c>
      <c r="C36" s="7">
        <f ca="1">IFERROR(__xludf.DUMMYFUNCTION("""COMPUTED_VALUE"""),1)</f>
        <v>1</v>
      </c>
    </row>
    <row r="37" spans="1:3" ht="15.75" customHeight="1">
      <c r="A37" s="7" t="str">
        <f ca="1">IFERROR(__xludf.DUMMYFUNCTION("""COMPUTED_VALUE"""),"Incorrect filepath format")</f>
        <v>Incorrect filepath format</v>
      </c>
      <c r="B37" s="7" t="str">
        <f ca="1">IFERROR(__xludf.DUMMYFUNCTION("""COMPUTED_VALUE"""),"BugRef")</f>
        <v>BugRef</v>
      </c>
      <c r="C37" s="7">
        <f ca="1">IFERROR(__xludf.DUMMYFUNCTION("""COMPUTED_VALUE"""),1)</f>
        <v>1</v>
      </c>
    </row>
    <row r="38" spans="1:3" ht="15.75" customHeight="1">
      <c r="A38" s="7" t="str">
        <f ca="1">IFERROR(__xludf.DUMMYFUNCTION("""COMPUTED_VALUE"""),"Incorrect filepath format")</f>
        <v>Incorrect filepath format</v>
      </c>
      <c r="B38" s="7" t="str">
        <f ca="1">IFERROR(__xludf.DUMMYFUNCTION("""COMPUTED_VALUE"""),"NoRef")</f>
        <v>NoRef</v>
      </c>
      <c r="C38" s="7">
        <f ca="1">IFERROR(__xludf.DUMMYFUNCTION("""COMPUTED_VALUE"""),6)</f>
        <v>6</v>
      </c>
    </row>
    <row r="39" spans="1:3" ht="15.75" customHeight="1">
      <c r="A39" s="7" t="str">
        <f ca="1">IFERROR(__xludf.DUMMYFUNCTION("""COMPUTED_VALUE"""),"Links")</f>
        <v>Links</v>
      </c>
      <c r="B39" s="7" t="str">
        <f ca="1">IFERROR(__xludf.DUMMYFUNCTION("""COMPUTED_VALUE"""),"BothRef")</f>
        <v>BothRef</v>
      </c>
      <c r="C39" s="7">
        <f ca="1">IFERROR(__xludf.DUMMYFUNCTION("""COMPUTED_VALUE"""),3)</f>
        <v>3</v>
      </c>
    </row>
    <row r="40" spans="1:3" ht="15.75" customHeight="1">
      <c r="A40" s="7" t="str">
        <f ca="1">IFERROR(__xludf.DUMMYFUNCTION("""COMPUTED_VALUE"""),"Links")</f>
        <v>Links</v>
      </c>
      <c r="B40" s="7" t="str">
        <f ca="1">IFERROR(__xludf.DUMMYFUNCTION("""COMPUTED_VALUE"""),"BugRef")</f>
        <v>BugRef</v>
      </c>
      <c r="C40" s="7">
        <f ca="1">IFERROR(__xludf.DUMMYFUNCTION("""COMPUTED_VALUE"""),3)</f>
        <v>3</v>
      </c>
    </row>
    <row r="41" spans="1:3" ht="15.75" customHeight="1">
      <c r="A41" s="7" t="str">
        <f ca="1">IFERROR(__xludf.DUMMYFUNCTION("""COMPUTED_VALUE"""),"Links")</f>
        <v>Links</v>
      </c>
      <c r="B41" s="7" t="str">
        <f ca="1">IFERROR(__xludf.DUMMYFUNCTION("""COMPUTED_VALUE"""),"FixRef")</f>
        <v>FixRef</v>
      </c>
      <c r="C41" s="7">
        <f ca="1">IFERROR(__xludf.DUMMYFUNCTION("""COMPUTED_VALUE"""),2)</f>
        <v>2</v>
      </c>
    </row>
    <row r="42" spans="1:3" ht="15.75" customHeight="1">
      <c r="A42" s="7" t="str">
        <f ca="1">IFERROR(__xludf.DUMMYFUNCTION("""COMPUTED_VALUE"""),"Links")</f>
        <v>Links</v>
      </c>
      <c r="B42" s="7" t="str">
        <f ca="1">IFERROR(__xludf.DUMMYFUNCTION("""COMPUTED_VALUE"""),"NoRef")</f>
        <v>NoRef</v>
      </c>
      <c r="C42" s="7">
        <f ca="1">IFERROR(__xludf.DUMMYFUNCTION("""COMPUTED_VALUE"""),10)</f>
        <v>10</v>
      </c>
    </row>
    <row r="43" spans="1:3" ht="15.75" customHeight="1">
      <c r="A43" s="7" t="str">
        <f ca="1">IFERROR(__xludf.DUMMYFUNCTION("""COMPUTED_VALUE"""),"Missing Mapping")</f>
        <v>Missing Mapping</v>
      </c>
      <c r="B43" s="7" t="str">
        <f ca="1">IFERROR(__xludf.DUMMYFUNCTION("""COMPUTED_VALUE"""),"NoRef")</f>
        <v>NoRef</v>
      </c>
      <c r="C43" s="7">
        <f ca="1">IFERROR(__xludf.DUMMYFUNCTION("""COMPUTED_VALUE"""),12)</f>
        <v>12</v>
      </c>
    </row>
    <row r="44" spans="1:3" ht="15.75" customHeight="1">
      <c r="A44" s="7" t="str">
        <f ca="1">IFERROR(__xludf.DUMMYFUNCTION("""COMPUTED_VALUE"""),"No Fix")</f>
        <v>No Fix</v>
      </c>
      <c r="B44" s="7" t="str">
        <f ca="1">IFERROR(__xludf.DUMMYFUNCTION("""COMPUTED_VALUE"""),"BothRef")</f>
        <v>BothRef</v>
      </c>
      <c r="C44" s="7">
        <f ca="1">IFERROR(__xludf.DUMMYFUNCTION("""COMPUTED_VALUE"""),1)</f>
        <v>1</v>
      </c>
    </row>
    <row r="45" spans="1:3" ht="15.75" customHeight="1">
      <c r="A45" s="7" t="str">
        <f ca="1">IFERROR(__xludf.DUMMYFUNCTION("""COMPUTED_VALUE"""),"No Fix")</f>
        <v>No Fix</v>
      </c>
      <c r="B45" s="7" t="str">
        <f ca="1">IFERROR(__xludf.DUMMYFUNCTION("""COMPUTED_VALUE"""),"BugRef")</f>
        <v>BugRef</v>
      </c>
      <c r="C45" s="7">
        <f ca="1">IFERROR(__xludf.DUMMYFUNCTION("""COMPUTED_VALUE"""),1)</f>
        <v>1</v>
      </c>
    </row>
    <row r="46" spans="1:3" ht="15.75" customHeight="1">
      <c r="A46" s="7" t="str">
        <f ca="1">IFERROR(__xludf.DUMMYFUNCTION("""COMPUTED_VALUE"""),"Part of Code")</f>
        <v>Part of Code</v>
      </c>
      <c r="B46" s="7" t="str">
        <f ca="1">IFERROR(__xludf.DUMMYFUNCTION("""COMPUTED_VALUE"""),"BothRef")</f>
        <v>BothRef</v>
      </c>
      <c r="C46" s="7">
        <f ca="1">IFERROR(__xludf.DUMMYFUNCTION("""COMPUTED_VALUE"""),2)</f>
        <v>2</v>
      </c>
    </row>
    <row r="47" spans="1:3" ht="15.75" customHeight="1">
      <c r="A47" s="7" t="str">
        <f ca="1">IFERROR(__xludf.DUMMYFUNCTION("""COMPUTED_VALUE"""),"Part of Code")</f>
        <v>Part of Code</v>
      </c>
      <c r="B47" s="7" t="str">
        <f ca="1">IFERROR(__xludf.DUMMYFUNCTION("""COMPUTED_VALUE"""),"NoRef")</f>
        <v>NoRef</v>
      </c>
      <c r="C47" s="7">
        <f ca="1">IFERROR(__xludf.DUMMYFUNCTION("""COMPUTED_VALUE"""),2)</f>
        <v>2</v>
      </c>
    </row>
    <row r="48" spans="1:3" ht="15.75" customHeight="1">
      <c r="A48" s="7" t="str">
        <f ca="1">IFERROR(__xludf.DUMMYFUNCTION("""COMPUTED_VALUE"""),"Related to another bug")</f>
        <v>Related to another bug</v>
      </c>
      <c r="B48" s="7" t="str">
        <f ca="1">IFERROR(__xludf.DUMMYFUNCTION("""COMPUTED_VALUE"""),"NoRef")</f>
        <v>NoRef</v>
      </c>
      <c r="C48" s="7">
        <f ca="1">IFERROR(__xludf.DUMMYFUNCTION("""COMPUTED_VALUE"""),1)</f>
        <v>1</v>
      </c>
    </row>
    <row r="49" spans="1:3" ht="15.75" customHeight="1">
      <c r="A49" s="7" t="str">
        <f ca="1">IFERROR(__xludf.DUMMYFUNCTION("""COMPUTED_VALUE"""),"Solution Draft")</f>
        <v>Solution Draft</v>
      </c>
      <c r="B49" s="7" t="str">
        <f ca="1">IFERROR(__xludf.DUMMYFUNCTION("""COMPUTED_VALUE"""),"BothRef")</f>
        <v>BothRef</v>
      </c>
      <c r="C49" s="7">
        <f ca="1">IFERROR(__xludf.DUMMYFUNCTION("""COMPUTED_VALUE"""),21)</f>
        <v>21</v>
      </c>
    </row>
    <row r="50" spans="1:3" ht="15.75" customHeight="1">
      <c r="A50" s="7" t="str">
        <f ca="1">IFERROR(__xludf.DUMMYFUNCTION("""COMPUTED_VALUE"""),"Solution Draft")</f>
        <v>Solution Draft</v>
      </c>
      <c r="B50" s="7" t="str">
        <f ca="1">IFERROR(__xludf.DUMMYFUNCTION("""COMPUTED_VALUE"""),"BugRef")</f>
        <v>BugRef</v>
      </c>
      <c r="C50" s="7">
        <f ca="1">IFERROR(__xludf.DUMMYFUNCTION("""COMPUTED_VALUE"""),5)</f>
        <v>5</v>
      </c>
    </row>
    <row r="51" spans="1:3" ht="15.75" customHeight="1">
      <c r="A51" s="7" t="str">
        <f ca="1">IFERROR(__xludf.DUMMYFUNCTION("""COMPUTED_VALUE"""),"Solution Draft")</f>
        <v>Solution Draft</v>
      </c>
      <c r="B51" s="7" t="str">
        <f ca="1">IFERROR(__xludf.DUMMYFUNCTION("""COMPUTED_VALUE"""),"FixRef")</f>
        <v>FixRef</v>
      </c>
      <c r="C51" s="7">
        <f ca="1">IFERROR(__xludf.DUMMYFUNCTION("""COMPUTED_VALUE"""),4)</f>
        <v>4</v>
      </c>
    </row>
    <row r="52" spans="1:3" ht="15.75" customHeight="1">
      <c r="A52" s="7" t="str">
        <f ca="1">IFERROR(__xludf.DUMMYFUNCTION("""COMPUTED_VALUE"""),"Solution Draft")</f>
        <v>Solution Draft</v>
      </c>
      <c r="B52" s="7" t="str">
        <f ca="1">IFERROR(__xludf.DUMMYFUNCTION("""COMPUTED_VALUE"""),"NoRef")</f>
        <v>NoRef</v>
      </c>
      <c r="C52" s="7">
        <f ca="1">IFERROR(__xludf.DUMMYFUNCTION("""COMPUTED_VALUE"""),19)</f>
        <v>19</v>
      </c>
    </row>
    <row r="53" spans="1:3" ht="15.75" customHeight="1">
      <c r="A53" s="7" t="str">
        <f ca="1">IFERROR(__xludf.DUMMYFUNCTION("""COMPUTED_VALUE"""),"System Dumps")</f>
        <v>System Dumps</v>
      </c>
      <c r="B53" s="7" t="str">
        <f ca="1">IFERROR(__xludf.DUMMYFUNCTION("""COMPUTED_VALUE"""),"BothRef")</f>
        <v>BothRef</v>
      </c>
      <c r="C53" s="7">
        <f ca="1">IFERROR(__xludf.DUMMYFUNCTION("""COMPUTED_VALUE"""),118)</f>
        <v>118</v>
      </c>
    </row>
    <row r="54" spans="1:3" ht="15.75" customHeight="1">
      <c r="A54" s="7" t="str">
        <f ca="1">IFERROR(__xludf.DUMMYFUNCTION("""COMPUTED_VALUE"""),"System Dumps")</f>
        <v>System Dumps</v>
      </c>
      <c r="B54" s="7" t="str">
        <f ca="1">IFERROR(__xludf.DUMMYFUNCTION("""COMPUTED_VALUE"""),"BugRef")</f>
        <v>BugRef</v>
      </c>
      <c r="C54" s="7">
        <f ca="1">IFERROR(__xludf.DUMMYFUNCTION("""COMPUTED_VALUE"""),38)</f>
        <v>38</v>
      </c>
    </row>
    <row r="55" spans="1:3" ht="15.75" customHeight="1">
      <c r="A55" s="7" t="str">
        <f ca="1">IFERROR(__xludf.DUMMYFUNCTION("""COMPUTED_VALUE"""),"System Dumps")</f>
        <v>System Dumps</v>
      </c>
      <c r="B55" s="7" t="str">
        <f ca="1">IFERROR(__xludf.DUMMYFUNCTION("""COMPUTED_VALUE"""),"FixRef")</f>
        <v>FixRef</v>
      </c>
      <c r="C55" s="7">
        <f ca="1">IFERROR(__xludf.DUMMYFUNCTION("""COMPUTED_VALUE"""),20)</f>
        <v>20</v>
      </c>
    </row>
    <row r="56" spans="1:3" ht="15.75" customHeight="1">
      <c r="A56" s="7" t="str">
        <f ca="1">IFERROR(__xludf.DUMMYFUNCTION("""COMPUTED_VALUE"""),"System Dumps")</f>
        <v>System Dumps</v>
      </c>
      <c r="B56" s="7" t="str">
        <f ca="1">IFERROR(__xludf.DUMMYFUNCTION("""COMPUTED_VALUE"""),"NoRef")</f>
        <v>NoRef</v>
      </c>
      <c r="C56" s="7">
        <f ca="1">IFERROR(__xludf.DUMMYFUNCTION("""COMPUTED_VALUE"""),64)</f>
        <v>64</v>
      </c>
    </row>
    <row r="57" spans="1:3" ht="15.75" customHeight="1">
      <c r="A57" s="7" t="str">
        <f ca="1">IFERROR(__xludf.DUMMYFUNCTION("""COMPUTED_VALUE"""),"The issue was not reproduced")</f>
        <v>The issue was not reproduced</v>
      </c>
      <c r="B57" s="7" t="str">
        <f ca="1">IFERROR(__xludf.DUMMYFUNCTION("""COMPUTED_VALUE"""),"BugRef")</f>
        <v>BugRef</v>
      </c>
      <c r="C57" s="7">
        <f ca="1">IFERROR(__xludf.DUMMYFUNCTION("""COMPUTED_VALUE"""),1)</f>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27"/>
  <sheetViews>
    <sheetView showGridLines="0" workbookViewId="0"/>
  </sheetViews>
  <sheetFormatPr baseColWidth="10" defaultColWidth="12.6640625" defaultRowHeight="15.75" customHeight="1"/>
  <cols>
    <col min="1" max="1" width="77.33203125" customWidth="1"/>
  </cols>
  <sheetData>
    <row r="1" spans="1:6" ht="15.75" customHeight="1">
      <c r="A1" s="19" t="s">
        <v>54</v>
      </c>
      <c r="B1" s="19" t="s">
        <v>0</v>
      </c>
      <c r="C1" s="20"/>
      <c r="D1" s="20"/>
      <c r="E1" s="20"/>
      <c r="F1" s="21"/>
    </row>
    <row r="2" spans="1:6" ht="15.75" customHeight="1">
      <c r="A2" s="19" t="s">
        <v>55</v>
      </c>
      <c r="B2" s="22" t="s">
        <v>4</v>
      </c>
      <c r="C2" s="23" t="s">
        <v>3</v>
      </c>
      <c r="D2" s="23" t="s">
        <v>2</v>
      </c>
      <c r="E2" s="23" t="s">
        <v>1</v>
      </c>
      <c r="F2" s="24" t="s">
        <v>42</v>
      </c>
    </row>
    <row r="3" spans="1:6" ht="15.75" customHeight="1">
      <c r="A3" s="22" t="s">
        <v>16</v>
      </c>
      <c r="B3" s="25">
        <v>118</v>
      </c>
      <c r="C3" s="26">
        <v>38</v>
      </c>
      <c r="D3" s="26">
        <v>20</v>
      </c>
      <c r="E3" s="26">
        <v>64</v>
      </c>
      <c r="F3" s="27">
        <v>240</v>
      </c>
    </row>
    <row r="4" spans="1:6" ht="15.75" customHeight="1">
      <c r="A4" s="28" t="s">
        <v>8</v>
      </c>
      <c r="B4" s="29">
        <v>72</v>
      </c>
      <c r="C4" s="30">
        <v>13</v>
      </c>
      <c r="D4" s="30">
        <v>21</v>
      </c>
      <c r="E4" s="30">
        <v>21</v>
      </c>
      <c r="F4" s="31">
        <v>127</v>
      </c>
    </row>
    <row r="5" spans="1:6" ht="15.75" customHeight="1">
      <c r="A5" s="28" t="s">
        <v>10</v>
      </c>
      <c r="B5" s="29">
        <v>46</v>
      </c>
      <c r="C5" s="30">
        <v>8</v>
      </c>
      <c r="D5" s="30">
        <v>8</v>
      </c>
      <c r="E5" s="30">
        <v>1</v>
      </c>
      <c r="F5" s="31">
        <v>63</v>
      </c>
    </row>
    <row r="6" spans="1:6" ht="15.75" customHeight="1">
      <c r="A6" s="28" t="s">
        <v>15</v>
      </c>
      <c r="B6" s="29">
        <v>21</v>
      </c>
      <c r="C6" s="30">
        <v>5</v>
      </c>
      <c r="D6" s="30">
        <v>4</v>
      </c>
      <c r="E6" s="30">
        <v>19</v>
      </c>
      <c r="F6" s="31">
        <v>49</v>
      </c>
    </row>
    <row r="7" spans="1:6" ht="15.75" customHeight="1">
      <c r="A7" s="28" t="s">
        <v>12</v>
      </c>
      <c r="B7" s="29">
        <v>9</v>
      </c>
      <c r="C7" s="30">
        <v>5</v>
      </c>
      <c r="D7" s="30">
        <v>3</v>
      </c>
      <c r="E7" s="30">
        <v>29</v>
      </c>
      <c r="F7" s="31">
        <v>46</v>
      </c>
    </row>
    <row r="8" spans="1:6" ht="15.75" customHeight="1">
      <c r="A8" s="28" t="s">
        <v>24</v>
      </c>
      <c r="B8" s="29">
        <v>27</v>
      </c>
      <c r="C8" s="30">
        <v>13</v>
      </c>
      <c r="D8" s="30">
        <v>4</v>
      </c>
      <c r="E8" s="30"/>
      <c r="F8" s="31">
        <v>44</v>
      </c>
    </row>
    <row r="9" spans="1:6" ht="15.75" customHeight="1">
      <c r="A9" s="28" t="s">
        <v>6</v>
      </c>
      <c r="B9" s="29">
        <v>3</v>
      </c>
      <c r="C9" s="30">
        <v>7</v>
      </c>
      <c r="D9" s="30">
        <v>2</v>
      </c>
      <c r="E9" s="30">
        <v>7</v>
      </c>
      <c r="F9" s="31">
        <v>19</v>
      </c>
    </row>
    <row r="10" spans="1:6" ht="15.75" customHeight="1">
      <c r="A10" s="28" t="s">
        <v>13</v>
      </c>
      <c r="B10" s="29">
        <v>3</v>
      </c>
      <c r="C10" s="30">
        <v>3</v>
      </c>
      <c r="D10" s="30">
        <v>2</v>
      </c>
      <c r="E10" s="30">
        <v>10</v>
      </c>
      <c r="F10" s="31">
        <v>18</v>
      </c>
    </row>
    <row r="11" spans="1:6" ht="15.75" customHeight="1">
      <c r="A11" s="28" t="s">
        <v>7</v>
      </c>
      <c r="B11" s="29">
        <v>3</v>
      </c>
      <c r="C11" s="30">
        <v>9</v>
      </c>
      <c r="D11" s="30"/>
      <c r="E11" s="30">
        <v>5</v>
      </c>
      <c r="F11" s="31">
        <v>17</v>
      </c>
    </row>
    <row r="12" spans="1:6" ht="15.75" customHeight="1">
      <c r="A12" s="28" t="s">
        <v>26</v>
      </c>
      <c r="B12" s="29"/>
      <c r="C12" s="30"/>
      <c r="D12" s="30"/>
      <c r="E12" s="30">
        <v>12</v>
      </c>
      <c r="F12" s="31">
        <v>12</v>
      </c>
    </row>
    <row r="13" spans="1:6" ht="15.75" customHeight="1">
      <c r="A13" s="28" t="s">
        <v>9</v>
      </c>
      <c r="B13" s="29">
        <v>5</v>
      </c>
      <c r="C13" s="30"/>
      <c r="D13" s="30">
        <v>3</v>
      </c>
      <c r="E13" s="30"/>
      <c r="F13" s="31">
        <v>8</v>
      </c>
    </row>
    <row r="14" spans="1:6" ht="15.75" customHeight="1">
      <c r="A14" s="28" t="s">
        <v>25</v>
      </c>
      <c r="B14" s="29"/>
      <c r="C14" s="30">
        <v>1</v>
      </c>
      <c r="D14" s="30"/>
      <c r="E14" s="30">
        <v>6</v>
      </c>
      <c r="F14" s="31">
        <v>7</v>
      </c>
    </row>
    <row r="15" spans="1:6" ht="15.75" customHeight="1">
      <c r="A15" s="28" t="s">
        <v>30</v>
      </c>
      <c r="B15" s="29">
        <v>1</v>
      </c>
      <c r="C15" s="30"/>
      <c r="D15" s="30"/>
      <c r="E15" s="30">
        <v>5</v>
      </c>
      <c r="F15" s="31">
        <v>6</v>
      </c>
    </row>
    <row r="16" spans="1:6" ht="15.75" customHeight="1">
      <c r="A16" s="28" t="s">
        <v>14</v>
      </c>
      <c r="B16" s="29">
        <v>2</v>
      </c>
      <c r="C16" s="30"/>
      <c r="D16" s="30"/>
      <c r="E16" s="30">
        <v>2</v>
      </c>
      <c r="F16" s="31">
        <v>4</v>
      </c>
    </row>
    <row r="17" spans="1:6" ht="15.75" customHeight="1">
      <c r="A17" s="28" t="s">
        <v>31</v>
      </c>
      <c r="B17" s="29"/>
      <c r="C17" s="30"/>
      <c r="D17" s="30"/>
      <c r="E17" s="30">
        <v>3</v>
      </c>
      <c r="F17" s="31">
        <v>3</v>
      </c>
    </row>
    <row r="18" spans="1:6" ht="15.75" customHeight="1">
      <c r="A18" s="28" t="s">
        <v>32</v>
      </c>
      <c r="B18" s="29">
        <v>1</v>
      </c>
      <c r="C18" s="30">
        <v>1</v>
      </c>
      <c r="D18" s="30"/>
      <c r="E18" s="30"/>
      <c r="F18" s="31">
        <v>2</v>
      </c>
    </row>
    <row r="19" spans="1:6" ht="15.75" customHeight="1">
      <c r="A19" s="28" t="s">
        <v>19</v>
      </c>
      <c r="B19" s="29">
        <v>2</v>
      </c>
      <c r="C19" s="30"/>
      <c r="D19" s="30"/>
      <c r="E19" s="30"/>
      <c r="F19" s="31">
        <v>2</v>
      </c>
    </row>
    <row r="20" spans="1:6" ht="15.75" customHeight="1">
      <c r="A20" s="28" t="s">
        <v>23</v>
      </c>
      <c r="B20" s="29"/>
      <c r="C20" s="30"/>
      <c r="D20" s="30"/>
      <c r="E20" s="30">
        <v>2</v>
      </c>
      <c r="F20" s="31">
        <v>2</v>
      </c>
    </row>
    <row r="21" spans="1:6" ht="15.75" customHeight="1">
      <c r="A21" s="28" t="s">
        <v>36</v>
      </c>
      <c r="B21" s="29"/>
      <c r="C21" s="30">
        <v>1</v>
      </c>
      <c r="D21" s="30"/>
      <c r="E21" s="30"/>
      <c r="F21" s="31">
        <v>1</v>
      </c>
    </row>
    <row r="22" spans="1:6" ht="15.75" customHeight="1">
      <c r="A22" s="28" t="s">
        <v>33</v>
      </c>
      <c r="B22" s="29"/>
      <c r="C22" s="30"/>
      <c r="D22" s="30"/>
      <c r="E22" s="30">
        <v>1</v>
      </c>
      <c r="F22" s="31">
        <v>1</v>
      </c>
    </row>
    <row r="23" spans="1:6" ht="15.75" customHeight="1">
      <c r="A23" s="28" t="s">
        <v>22</v>
      </c>
      <c r="B23" s="29"/>
      <c r="C23" s="30"/>
      <c r="D23" s="30"/>
      <c r="E23" s="30">
        <v>1</v>
      </c>
      <c r="F23" s="31">
        <v>1</v>
      </c>
    </row>
    <row r="24" spans="1:6" ht="15.75" customHeight="1">
      <c r="A24" s="28" t="s">
        <v>35</v>
      </c>
      <c r="B24" s="29"/>
      <c r="C24" s="30"/>
      <c r="D24" s="30"/>
      <c r="E24" s="30">
        <v>1</v>
      </c>
      <c r="F24" s="31">
        <v>1</v>
      </c>
    </row>
    <row r="25" spans="1:6" ht="15.75" customHeight="1">
      <c r="A25" s="28" t="s">
        <v>11</v>
      </c>
      <c r="B25" s="29">
        <v>1</v>
      </c>
      <c r="C25" s="30"/>
      <c r="D25" s="30"/>
      <c r="E25" s="30"/>
      <c r="F25" s="31">
        <v>1</v>
      </c>
    </row>
    <row r="26" spans="1:6" ht="15.75" customHeight="1">
      <c r="A26" s="28" t="s">
        <v>21</v>
      </c>
      <c r="B26" s="29"/>
      <c r="C26" s="30"/>
      <c r="D26" s="30"/>
      <c r="E26" s="30">
        <v>1</v>
      </c>
      <c r="F26" s="31">
        <v>1</v>
      </c>
    </row>
    <row r="27" spans="1:6" ht="15.75" customHeight="1">
      <c r="A27" s="32" t="s">
        <v>20</v>
      </c>
      <c r="B27" s="33"/>
      <c r="C27" s="34"/>
      <c r="D27" s="34"/>
      <c r="E27" s="34">
        <v>1</v>
      </c>
      <c r="F27" s="35">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1002"/>
  <sheetViews>
    <sheetView workbookViewId="0"/>
  </sheetViews>
  <sheetFormatPr baseColWidth="10" defaultColWidth="12.6640625" defaultRowHeight="15.75" customHeight="1"/>
  <cols>
    <col min="1" max="1" width="24.1640625" customWidth="1"/>
    <col min="9" max="9" width="51.83203125" customWidth="1"/>
  </cols>
  <sheetData>
    <row r="1" spans="1:26" ht="15.75" customHeight="1">
      <c r="A1" s="11"/>
      <c r="B1" s="12" t="s">
        <v>56</v>
      </c>
      <c r="C1" s="12" t="s">
        <v>57</v>
      </c>
      <c r="D1" s="12" t="s">
        <v>58</v>
      </c>
      <c r="E1" s="12" t="s">
        <v>59</v>
      </c>
      <c r="F1" s="12"/>
      <c r="G1" s="13"/>
      <c r="H1" s="14"/>
      <c r="I1" s="14"/>
      <c r="J1" s="12"/>
      <c r="K1" s="12"/>
      <c r="L1" s="12"/>
      <c r="M1" s="12"/>
      <c r="N1" s="12"/>
      <c r="O1" s="15"/>
      <c r="P1" s="15"/>
      <c r="Q1" s="15"/>
      <c r="R1" s="15"/>
      <c r="S1" s="15"/>
      <c r="T1" s="15"/>
      <c r="U1" s="15"/>
      <c r="V1" s="15"/>
      <c r="W1" s="15"/>
      <c r="X1" s="15"/>
      <c r="Y1" s="15"/>
      <c r="Z1" s="15"/>
    </row>
    <row r="2" spans="1:26" ht="15.75" customHeight="1">
      <c r="A2" s="11" t="s">
        <v>55</v>
      </c>
      <c r="B2" s="12" t="s">
        <v>2</v>
      </c>
      <c r="C2" s="12" t="s">
        <v>3</v>
      </c>
      <c r="D2" s="12" t="s">
        <v>4</v>
      </c>
      <c r="E2" s="12" t="s">
        <v>1</v>
      </c>
      <c r="F2" s="12" t="s">
        <v>42</v>
      </c>
      <c r="G2" s="13"/>
      <c r="H2" s="14"/>
      <c r="I2" s="14"/>
      <c r="J2" s="12" t="s">
        <v>2</v>
      </c>
      <c r="K2" s="12" t="s">
        <v>3</v>
      </c>
      <c r="L2" s="12" t="s">
        <v>4</v>
      </c>
      <c r="M2" s="12" t="s">
        <v>1</v>
      </c>
      <c r="N2" s="12" t="s">
        <v>42</v>
      </c>
      <c r="O2" s="15"/>
      <c r="P2" s="15"/>
      <c r="Q2" s="15"/>
      <c r="R2" s="15"/>
      <c r="S2" s="15"/>
      <c r="T2" s="15"/>
      <c r="U2" s="15"/>
      <c r="V2" s="15"/>
      <c r="W2" s="15"/>
      <c r="X2" s="15"/>
      <c r="Y2" s="15"/>
      <c r="Z2" s="15"/>
    </row>
    <row r="3" spans="1:26" ht="15.75" customHeight="1">
      <c r="A3" s="16" t="s">
        <v>16</v>
      </c>
      <c r="B3" s="6">
        <v>19</v>
      </c>
      <c r="C3" s="6">
        <v>38</v>
      </c>
      <c r="D3" s="6">
        <v>118</v>
      </c>
      <c r="E3" s="6">
        <v>64</v>
      </c>
      <c r="F3" s="6">
        <v>239</v>
      </c>
      <c r="G3" s="6"/>
      <c r="H3" s="16"/>
      <c r="I3" s="16"/>
      <c r="J3" s="6"/>
      <c r="K3" s="6"/>
      <c r="L3" s="6"/>
      <c r="M3" s="6"/>
    </row>
    <row r="4" spans="1:26" ht="15.75" customHeight="1">
      <c r="A4" s="16" t="s">
        <v>8</v>
      </c>
      <c r="B4" s="6">
        <v>21</v>
      </c>
      <c r="C4" s="6">
        <v>13</v>
      </c>
      <c r="D4" s="6">
        <v>72</v>
      </c>
      <c r="E4" s="6">
        <v>21</v>
      </c>
      <c r="F4" s="6">
        <v>127</v>
      </c>
      <c r="G4" s="6"/>
      <c r="H4" s="16"/>
      <c r="I4" s="16"/>
      <c r="J4" s="6"/>
      <c r="K4" s="6"/>
      <c r="L4" s="6"/>
      <c r="M4" s="6"/>
    </row>
    <row r="5" spans="1:26" ht="15.75" customHeight="1">
      <c r="A5" s="17" t="s">
        <v>60</v>
      </c>
      <c r="B5" s="6">
        <f t="shared" ref="B5:F5" si="0">SUM(J5:J10)</f>
        <v>15</v>
      </c>
      <c r="C5" s="6">
        <f t="shared" si="0"/>
        <v>21</v>
      </c>
      <c r="D5" s="6">
        <f t="shared" si="0"/>
        <v>79</v>
      </c>
      <c r="E5" s="6">
        <f t="shared" si="0"/>
        <v>5</v>
      </c>
      <c r="F5" s="6">
        <f t="shared" si="0"/>
        <v>120</v>
      </c>
      <c r="G5" s="6"/>
      <c r="H5" s="16" t="s">
        <v>60</v>
      </c>
      <c r="I5" s="16" t="s">
        <v>10</v>
      </c>
      <c r="J5" s="6">
        <v>8</v>
      </c>
      <c r="K5" s="6">
        <v>8</v>
      </c>
      <c r="L5" s="6">
        <v>46</v>
      </c>
      <c r="M5" s="6">
        <v>1</v>
      </c>
      <c r="N5" s="6">
        <v>63</v>
      </c>
    </row>
    <row r="6" spans="1:26" ht="15.75" customHeight="1">
      <c r="A6" s="16" t="s">
        <v>19</v>
      </c>
      <c r="B6" s="6">
        <f t="shared" ref="B6:F6" si="1">J21</f>
        <v>3</v>
      </c>
      <c r="C6" s="6">
        <f t="shared" si="1"/>
        <v>5</v>
      </c>
      <c r="D6" s="6">
        <f t="shared" si="1"/>
        <v>11</v>
      </c>
      <c r="E6" s="6">
        <f t="shared" si="1"/>
        <v>30</v>
      </c>
      <c r="F6" s="6">
        <f t="shared" si="1"/>
        <v>49</v>
      </c>
      <c r="G6" s="6"/>
      <c r="H6" s="16"/>
      <c r="I6" s="16" t="s">
        <v>24</v>
      </c>
      <c r="J6" s="6">
        <v>4</v>
      </c>
      <c r="K6" s="6">
        <v>13</v>
      </c>
      <c r="L6" s="6">
        <v>27</v>
      </c>
      <c r="M6" s="6"/>
      <c r="N6" s="6">
        <v>44</v>
      </c>
    </row>
    <row r="7" spans="1:26" ht="15.75" customHeight="1">
      <c r="A7" s="16" t="s">
        <v>15</v>
      </c>
      <c r="B7" s="6">
        <v>4</v>
      </c>
      <c r="C7" s="6">
        <v>5</v>
      </c>
      <c r="D7" s="6">
        <v>21</v>
      </c>
      <c r="E7" s="6">
        <v>19</v>
      </c>
      <c r="F7" s="6">
        <v>49</v>
      </c>
      <c r="G7" s="6"/>
      <c r="H7" s="16"/>
      <c r="I7" s="16" t="s">
        <v>9</v>
      </c>
      <c r="J7" s="6">
        <v>3</v>
      </c>
      <c r="K7" s="6"/>
      <c r="L7" s="6">
        <v>5</v>
      </c>
      <c r="M7" s="6"/>
      <c r="N7" s="6">
        <v>8</v>
      </c>
    </row>
    <row r="8" spans="1:26" ht="15.75" customHeight="1">
      <c r="A8" s="7" t="s">
        <v>61</v>
      </c>
      <c r="B8" s="6">
        <f t="shared" ref="B8:F8" si="2">J29</f>
        <v>2</v>
      </c>
      <c r="C8" s="6">
        <f t="shared" si="2"/>
        <v>10</v>
      </c>
      <c r="D8" s="6">
        <f t="shared" si="2"/>
        <v>4</v>
      </c>
      <c r="E8" s="6">
        <f t="shared" si="2"/>
        <v>25</v>
      </c>
      <c r="F8" s="6">
        <f t="shared" si="2"/>
        <v>41</v>
      </c>
      <c r="G8" s="6"/>
      <c r="H8" s="16"/>
      <c r="I8" s="16" t="s">
        <v>31</v>
      </c>
      <c r="J8" s="6"/>
      <c r="K8" s="6"/>
      <c r="L8" s="6"/>
      <c r="M8" s="6">
        <v>3</v>
      </c>
      <c r="N8" s="6">
        <v>3</v>
      </c>
    </row>
    <row r="9" spans="1:26" ht="15.75" customHeight="1">
      <c r="A9" s="16" t="s">
        <v>62</v>
      </c>
      <c r="B9" s="6">
        <f t="shared" ref="B9:F9" si="3">J34</f>
        <v>2</v>
      </c>
      <c r="C9" s="6">
        <f t="shared" si="3"/>
        <v>3</v>
      </c>
      <c r="D9" s="6">
        <f t="shared" si="3"/>
        <v>3</v>
      </c>
      <c r="E9" s="6">
        <f t="shared" si="3"/>
        <v>11</v>
      </c>
      <c r="F9" s="6">
        <f t="shared" si="3"/>
        <v>19</v>
      </c>
      <c r="G9" s="6"/>
      <c r="H9" s="16"/>
      <c r="I9" s="16" t="s">
        <v>11</v>
      </c>
      <c r="J9" s="6"/>
      <c r="K9" s="6"/>
      <c r="L9" s="6">
        <v>1</v>
      </c>
      <c r="M9" s="6"/>
      <c r="N9" s="6">
        <v>1</v>
      </c>
    </row>
    <row r="10" spans="1:26" ht="15.75" customHeight="1">
      <c r="A10" s="16" t="s">
        <v>7</v>
      </c>
      <c r="B10" s="6">
        <f t="shared" ref="B10:F10" si="4">J39</f>
        <v>0</v>
      </c>
      <c r="C10" s="6">
        <f t="shared" si="4"/>
        <v>9</v>
      </c>
      <c r="D10" s="6">
        <f t="shared" si="4"/>
        <v>3</v>
      </c>
      <c r="E10" s="6">
        <f t="shared" si="4"/>
        <v>6</v>
      </c>
      <c r="F10" s="6">
        <f t="shared" si="4"/>
        <v>18</v>
      </c>
      <c r="G10" s="6"/>
      <c r="H10" s="16"/>
      <c r="I10" s="16" t="s">
        <v>22</v>
      </c>
      <c r="J10" s="6"/>
      <c r="K10" s="6"/>
      <c r="L10" s="6"/>
      <c r="M10" s="6">
        <v>1</v>
      </c>
      <c r="N10" s="6">
        <v>1</v>
      </c>
    </row>
    <row r="11" spans="1:26" ht="15.75" customHeight="1">
      <c r="A11" s="16" t="s">
        <v>30</v>
      </c>
      <c r="B11" s="6"/>
      <c r="C11" s="6"/>
      <c r="D11" s="6">
        <v>1</v>
      </c>
      <c r="E11" s="6">
        <v>5</v>
      </c>
      <c r="F11" s="6">
        <v>6</v>
      </c>
      <c r="G11" s="6"/>
      <c r="H11" s="16"/>
      <c r="I11" s="16"/>
      <c r="J11" s="6">
        <f t="shared" ref="J11:N11" si="5">SUM(J5:J10)</f>
        <v>15</v>
      </c>
      <c r="K11" s="6">
        <f t="shared" si="5"/>
        <v>21</v>
      </c>
      <c r="L11" s="6">
        <f t="shared" si="5"/>
        <v>79</v>
      </c>
      <c r="M11" s="6">
        <f t="shared" si="5"/>
        <v>5</v>
      </c>
      <c r="N11" s="7">
        <f t="shared" si="5"/>
        <v>120</v>
      </c>
    </row>
    <row r="12" spans="1:26" ht="15.75" customHeight="1">
      <c r="A12" s="16" t="s">
        <v>14</v>
      </c>
      <c r="B12" s="6"/>
      <c r="C12" s="6"/>
      <c r="D12" s="6">
        <v>2</v>
      </c>
      <c r="E12" s="6">
        <v>2</v>
      </c>
      <c r="F12" s="6">
        <v>4</v>
      </c>
      <c r="G12" s="6"/>
    </row>
    <row r="13" spans="1:26" ht="15.75" customHeight="1">
      <c r="A13" s="16"/>
      <c r="B13" s="6">
        <f t="shared" ref="B13:F13" si="6">SUM(B3:B12)</f>
        <v>66</v>
      </c>
      <c r="C13" s="6">
        <f t="shared" si="6"/>
        <v>104</v>
      </c>
      <c r="D13" s="6">
        <f t="shared" si="6"/>
        <v>314</v>
      </c>
      <c r="E13" s="6">
        <f t="shared" si="6"/>
        <v>188</v>
      </c>
      <c r="F13" s="6">
        <f t="shared" si="6"/>
        <v>672</v>
      </c>
      <c r="G13" s="6"/>
      <c r="H13" s="16"/>
      <c r="I13" s="16"/>
      <c r="J13" s="6"/>
      <c r="K13" s="6"/>
      <c r="L13" s="6"/>
      <c r="M13" s="6"/>
    </row>
    <row r="14" spans="1:26" ht="15.75" customHeight="1">
      <c r="A14" s="16"/>
      <c r="B14" s="6"/>
      <c r="C14" s="6"/>
      <c r="D14" s="6"/>
      <c r="E14" s="6"/>
      <c r="F14" s="6"/>
      <c r="G14" s="6"/>
      <c r="H14" s="16"/>
      <c r="I14" s="16" t="s">
        <v>20</v>
      </c>
      <c r="J14" s="6"/>
      <c r="K14" s="6"/>
      <c r="L14" s="6"/>
      <c r="M14" s="6">
        <v>1</v>
      </c>
      <c r="N14" s="6">
        <v>1</v>
      </c>
    </row>
    <row r="15" spans="1:26" ht="15.75" customHeight="1">
      <c r="A15" s="16"/>
      <c r="B15" s="18">
        <f t="shared" ref="B15:B25" si="7">(B3*100)/$B$13</f>
        <v>28.787878787878789</v>
      </c>
      <c r="C15" s="18">
        <f t="shared" ref="C15:C25" si="8">(C3*100)/$C$13</f>
        <v>36.53846153846154</v>
      </c>
      <c r="D15" s="18">
        <f t="shared" ref="D15:D25" si="9">(D3*100)/$D$13</f>
        <v>37.579617834394902</v>
      </c>
      <c r="E15" s="18">
        <f t="shared" ref="E15:E25" si="10">(E3*100)/$E$13</f>
        <v>34.042553191489361</v>
      </c>
      <c r="F15" s="18">
        <f t="shared" ref="F15:F25" si="11">(F3*100)/$F$13</f>
        <v>35.56547619047619</v>
      </c>
      <c r="G15" s="6"/>
      <c r="H15" s="16"/>
      <c r="I15" s="16" t="s">
        <v>35</v>
      </c>
      <c r="J15" s="6"/>
      <c r="K15" s="6"/>
      <c r="L15" s="6"/>
      <c r="M15" s="6">
        <v>1</v>
      </c>
      <c r="N15" s="6">
        <v>1</v>
      </c>
    </row>
    <row r="16" spans="1:26" ht="15.75" customHeight="1">
      <c r="B16" s="18">
        <f t="shared" si="7"/>
        <v>31.818181818181817</v>
      </c>
      <c r="C16" s="18">
        <f t="shared" si="8"/>
        <v>12.5</v>
      </c>
      <c r="D16" s="18">
        <f t="shared" si="9"/>
        <v>22.929936305732483</v>
      </c>
      <c r="E16" s="18">
        <f t="shared" si="10"/>
        <v>11.170212765957446</v>
      </c>
      <c r="F16" s="18">
        <f t="shared" si="11"/>
        <v>18.898809523809526</v>
      </c>
      <c r="G16" s="6"/>
      <c r="H16" s="16"/>
      <c r="I16" s="16"/>
      <c r="J16" s="6"/>
      <c r="K16" s="6"/>
      <c r="L16" s="6"/>
      <c r="M16" s="6"/>
    </row>
    <row r="17" spans="1:14" ht="15.75" customHeight="1">
      <c r="B17" s="18">
        <f t="shared" si="7"/>
        <v>22.727272727272727</v>
      </c>
      <c r="C17" s="18">
        <f t="shared" si="8"/>
        <v>20.192307692307693</v>
      </c>
      <c r="D17" s="18">
        <f t="shared" si="9"/>
        <v>25.159235668789808</v>
      </c>
      <c r="E17" s="18">
        <f t="shared" si="10"/>
        <v>2.6595744680851063</v>
      </c>
      <c r="F17" s="18">
        <f t="shared" si="11"/>
        <v>17.857142857142858</v>
      </c>
      <c r="G17" s="6"/>
      <c r="H17" s="16"/>
      <c r="I17" s="16"/>
      <c r="J17" s="6"/>
      <c r="K17" s="6"/>
      <c r="L17" s="6"/>
      <c r="M17" s="6"/>
    </row>
    <row r="18" spans="1:14" ht="15.75" customHeight="1">
      <c r="A18" s="16"/>
      <c r="B18" s="18">
        <f t="shared" si="7"/>
        <v>4.5454545454545459</v>
      </c>
      <c r="C18" s="18">
        <f t="shared" si="8"/>
        <v>4.8076923076923075</v>
      </c>
      <c r="D18" s="18">
        <f t="shared" si="9"/>
        <v>3.5031847133757963</v>
      </c>
      <c r="E18" s="18">
        <f t="shared" si="10"/>
        <v>15.957446808510639</v>
      </c>
      <c r="F18" s="18">
        <f t="shared" si="11"/>
        <v>7.291666666666667</v>
      </c>
      <c r="G18" s="6"/>
      <c r="H18" s="16" t="s">
        <v>19</v>
      </c>
      <c r="I18" s="16" t="s">
        <v>19</v>
      </c>
      <c r="J18" s="6"/>
      <c r="K18" s="6"/>
      <c r="L18" s="6">
        <v>2</v>
      </c>
      <c r="M18" s="6"/>
      <c r="N18" s="6">
        <v>2</v>
      </c>
    </row>
    <row r="19" spans="1:14" ht="15.75" customHeight="1">
      <c r="A19" s="16"/>
      <c r="B19" s="18">
        <f t="shared" si="7"/>
        <v>6.0606060606060606</v>
      </c>
      <c r="C19" s="18">
        <f t="shared" si="8"/>
        <v>4.8076923076923075</v>
      </c>
      <c r="D19" s="18">
        <f t="shared" si="9"/>
        <v>6.6878980891719744</v>
      </c>
      <c r="E19" s="18">
        <f t="shared" si="10"/>
        <v>10.106382978723405</v>
      </c>
      <c r="F19" s="18">
        <f t="shared" si="11"/>
        <v>7.291666666666667</v>
      </c>
      <c r="G19" s="6"/>
      <c r="H19" s="16"/>
      <c r="I19" s="16" t="s">
        <v>21</v>
      </c>
      <c r="J19" s="6"/>
      <c r="K19" s="6"/>
      <c r="L19" s="6"/>
      <c r="M19" s="6">
        <v>1</v>
      </c>
      <c r="N19" s="6">
        <v>1</v>
      </c>
    </row>
    <row r="20" spans="1:14" ht="15.75" customHeight="1">
      <c r="A20" s="16"/>
      <c r="B20" s="18">
        <f t="shared" si="7"/>
        <v>3.0303030303030303</v>
      </c>
      <c r="C20" s="18">
        <f t="shared" si="8"/>
        <v>9.615384615384615</v>
      </c>
      <c r="D20" s="18">
        <f t="shared" si="9"/>
        <v>1.2738853503184713</v>
      </c>
      <c r="E20" s="18">
        <f t="shared" si="10"/>
        <v>13.297872340425531</v>
      </c>
      <c r="F20" s="18">
        <f t="shared" si="11"/>
        <v>6.1011904761904763</v>
      </c>
      <c r="G20" s="6"/>
      <c r="H20" s="16"/>
      <c r="I20" s="16" t="s">
        <v>12</v>
      </c>
      <c r="J20" s="6">
        <v>3</v>
      </c>
      <c r="K20" s="6">
        <v>5</v>
      </c>
      <c r="L20" s="6">
        <v>9</v>
      </c>
      <c r="M20" s="6">
        <v>29</v>
      </c>
      <c r="N20" s="6">
        <v>46</v>
      </c>
    </row>
    <row r="21" spans="1:14" ht="15.75" customHeight="1">
      <c r="A21" s="16"/>
      <c r="B21" s="18">
        <f t="shared" si="7"/>
        <v>3.0303030303030303</v>
      </c>
      <c r="C21" s="18">
        <f t="shared" si="8"/>
        <v>2.8846153846153846</v>
      </c>
      <c r="D21" s="18">
        <f t="shared" si="9"/>
        <v>0.95541401273885351</v>
      </c>
      <c r="E21" s="18">
        <f t="shared" si="10"/>
        <v>5.8510638297872344</v>
      </c>
      <c r="F21" s="18">
        <f t="shared" si="11"/>
        <v>2.8273809523809526</v>
      </c>
      <c r="G21" s="6"/>
      <c r="H21" s="16"/>
      <c r="I21" s="16"/>
      <c r="J21" s="6">
        <f t="shared" ref="J21:N21" si="12">SUM(J18:J20)</f>
        <v>3</v>
      </c>
      <c r="K21" s="6">
        <f t="shared" si="12"/>
        <v>5</v>
      </c>
      <c r="L21" s="6">
        <f t="shared" si="12"/>
        <v>11</v>
      </c>
      <c r="M21" s="6">
        <f t="shared" si="12"/>
        <v>30</v>
      </c>
      <c r="N21" s="7">
        <f t="shared" si="12"/>
        <v>49</v>
      </c>
    </row>
    <row r="22" spans="1:14" ht="15.75" customHeight="1">
      <c r="A22" s="16"/>
      <c r="B22" s="18">
        <f t="shared" si="7"/>
        <v>0</v>
      </c>
      <c r="C22" s="18">
        <f t="shared" si="8"/>
        <v>8.6538461538461533</v>
      </c>
      <c r="D22" s="18">
        <f t="shared" si="9"/>
        <v>0.95541401273885351</v>
      </c>
      <c r="E22" s="18">
        <f t="shared" si="10"/>
        <v>3.1914893617021276</v>
      </c>
      <c r="F22" s="18">
        <f t="shared" si="11"/>
        <v>2.6785714285714284</v>
      </c>
      <c r="G22" s="6"/>
      <c r="H22" s="16"/>
      <c r="I22" s="16"/>
      <c r="J22" s="6"/>
      <c r="K22" s="6"/>
      <c r="L22" s="6"/>
      <c r="M22" s="6"/>
    </row>
    <row r="23" spans="1:14" ht="15.75" customHeight="1">
      <c r="A23" s="16"/>
      <c r="B23" s="18">
        <f t="shared" si="7"/>
        <v>0</v>
      </c>
      <c r="C23" s="18">
        <f t="shared" si="8"/>
        <v>0</v>
      </c>
      <c r="D23" s="18">
        <f t="shared" si="9"/>
        <v>0.31847133757961782</v>
      </c>
      <c r="E23" s="18">
        <f t="shared" si="10"/>
        <v>2.6595744680851063</v>
      </c>
      <c r="F23" s="18">
        <f t="shared" si="11"/>
        <v>0.8928571428571429</v>
      </c>
      <c r="G23" s="6"/>
      <c r="H23" s="16"/>
      <c r="I23" s="16"/>
      <c r="J23" s="6"/>
      <c r="K23" s="6"/>
      <c r="L23" s="6"/>
      <c r="M23" s="6"/>
    </row>
    <row r="24" spans="1:14" ht="15.75" customHeight="1">
      <c r="A24" s="16"/>
      <c r="B24" s="18">
        <f t="shared" si="7"/>
        <v>0</v>
      </c>
      <c r="C24" s="18">
        <f t="shared" si="8"/>
        <v>0</v>
      </c>
      <c r="D24" s="18">
        <f t="shared" si="9"/>
        <v>0.63694267515923564</v>
      </c>
      <c r="E24" s="18">
        <f t="shared" si="10"/>
        <v>1.0638297872340425</v>
      </c>
      <c r="F24" s="18">
        <f t="shared" si="11"/>
        <v>0.59523809523809523</v>
      </c>
      <c r="G24" s="6"/>
      <c r="H24" s="16" t="s">
        <v>61</v>
      </c>
      <c r="I24" s="16" t="s">
        <v>26</v>
      </c>
      <c r="J24" s="6"/>
      <c r="K24" s="6"/>
      <c r="L24" s="6"/>
      <c r="M24" s="6">
        <v>12</v>
      </c>
      <c r="N24" s="6">
        <v>12</v>
      </c>
    </row>
    <row r="25" spans="1:14" ht="15.75" customHeight="1">
      <c r="A25" s="16"/>
      <c r="B25" s="18">
        <f t="shared" si="7"/>
        <v>100</v>
      </c>
      <c r="C25" s="18">
        <f t="shared" si="8"/>
        <v>100</v>
      </c>
      <c r="D25" s="18">
        <f t="shared" si="9"/>
        <v>100</v>
      </c>
      <c r="E25" s="18">
        <f t="shared" si="10"/>
        <v>100</v>
      </c>
      <c r="F25" s="18">
        <f t="shared" si="11"/>
        <v>100</v>
      </c>
      <c r="G25" s="6"/>
      <c r="H25" s="16"/>
      <c r="I25" s="16" t="s">
        <v>6</v>
      </c>
      <c r="J25" s="6">
        <v>2</v>
      </c>
      <c r="K25" s="6">
        <v>7</v>
      </c>
      <c r="L25" s="6">
        <v>3</v>
      </c>
      <c r="M25" s="6">
        <v>7</v>
      </c>
      <c r="N25" s="6">
        <v>19</v>
      </c>
    </row>
    <row r="26" spans="1:14" ht="15.75" customHeight="1">
      <c r="A26" s="16"/>
      <c r="B26" s="6"/>
      <c r="C26" s="6"/>
      <c r="D26" s="6"/>
      <c r="E26" s="6"/>
      <c r="F26" s="6"/>
      <c r="G26" s="6"/>
      <c r="H26" s="16"/>
      <c r="I26" s="16" t="s">
        <v>32</v>
      </c>
      <c r="J26" s="6"/>
      <c r="K26" s="6">
        <v>1</v>
      </c>
      <c r="L26" s="6">
        <v>1</v>
      </c>
      <c r="M26" s="6"/>
      <c r="N26" s="6">
        <v>2</v>
      </c>
    </row>
    <row r="27" spans="1:14" ht="15.75" customHeight="1">
      <c r="B27" s="6">
        <f t="shared" ref="B27:F27" si="13">(B3*100)/$F3</f>
        <v>7.9497907949790791</v>
      </c>
      <c r="C27" s="6">
        <f t="shared" si="13"/>
        <v>15.899581589958158</v>
      </c>
      <c r="D27" s="6">
        <f t="shared" si="13"/>
        <v>49.372384937238493</v>
      </c>
      <c r="E27" s="6">
        <f t="shared" si="13"/>
        <v>26.778242677824267</v>
      </c>
      <c r="F27" s="6">
        <f t="shared" si="13"/>
        <v>100</v>
      </c>
      <c r="G27" s="6"/>
      <c r="H27" s="16"/>
      <c r="I27" s="16" t="s">
        <v>36</v>
      </c>
      <c r="J27" s="6"/>
      <c r="K27" s="6">
        <v>1</v>
      </c>
      <c r="L27" s="6"/>
      <c r="M27" s="6"/>
      <c r="N27" s="6">
        <v>1</v>
      </c>
    </row>
    <row r="28" spans="1:14" ht="15.75" customHeight="1">
      <c r="B28" s="6">
        <f t="shared" ref="B28:F28" si="14">(B4*100)/$F4</f>
        <v>16.535433070866141</v>
      </c>
      <c r="C28" s="6">
        <f t="shared" si="14"/>
        <v>10.236220472440944</v>
      </c>
      <c r="D28" s="6">
        <f t="shared" si="14"/>
        <v>56.69291338582677</v>
      </c>
      <c r="E28" s="6">
        <f t="shared" si="14"/>
        <v>16.535433070866141</v>
      </c>
      <c r="F28" s="6">
        <f t="shared" si="14"/>
        <v>100</v>
      </c>
      <c r="G28" s="6"/>
      <c r="H28" s="16"/>
      <c r="I28" s="16" t="s">
        <v>25</v>
      </c>
      <c r="J28" s="6"/>
      <c r="K28" s="6">
        <v>1</v>
      </c>
      <c r="L28" s="6"/>
      <c r="M28" s="6">
        <v>6</v>
      </c>
      <c r="N28" s="6">
        <v>7</v>
      </c>
    </row>
    <row r="29" spans="1:14" ht="15.75" customHeight="1">
      <c r="A29" s="16"/>
      <c r="B29" s="6">
        <f t="shared" ref="B29:F29" si="15">(B5*100)/$F5</f>
        <v>12.5</v>
      </c>
      <c r="C29" s="6">
        <f t="shared" si="15"/>
        <v>17.5</v>
      </c>
      <c r="D29" s="6">
        <f t="shared" si="15"/>
        <v>65.833333333333329</v>
      </c>
      <c r="E29" s="6">
        <f t="shared" si="15"/>
        <v>4.166666666666667</v>
      </c>
      <c r="F29" s="6">
        <f t="shared" si="15"/>
        <v>100</v>
      </c>
      <c r="G29" s="6"/>
      <c r="H29" s="16"/>
      <c r="I29" s="16"/>
      <c r="J29" s="6">
        <f t="shared" ref="J29:N29" si="16">SUM(J24:J28)</f>
        <v>2</v>
      </c>
      <c r="K29" s="6">
        <f t="shared" si="16"/>
        <v>10</v>
      </c>
      <c r="L29" s="6">
        <f t="shared" si="16"/>
        <v>4</v>
      </c>
      <c r="M29" s="6">
        <f t="shared" si="16"/>
        <v>25</v>
      </c>
      <c r="N29" s="7">
        <f t="shared" si="16"/>
        <v>41</v>
      </c>
    </row>
    <row r="30" spans="1:14" ht="15.75" customHeight="1">
      <c r="A30" s="16"/>
      <c r="B30" s="6">
        <f t="shared" ref="B30:F30" si="17">(B6*100)/$F6</f>
        <v>6.1224489795918364</v>
      </c>
      <c r="C30" s="6">
        <f t="shared" si="17"/>
        <v>10.204081632653061</v>
      </c>
      <c r="D30" s="6">
        <f t="shared" si="17"/>
        <v>22.448979591836736</v>
      </c>
      <c r="E30" s="6">
        <f t="shared" si="17"/>
        <v>61.224489795918366</v>
      </c>
      <c r="F30" s="6">
        <f t="shared" si="17"/>
        <v>100</v>
      </c>
      <c r="G30" s="6"/>
      <c r="H30" s="16"/>
      <c r="I30" s="16"/>
      <c r="J30" s="6"/>
      <c r="K30" s="6"/>
      <c r="L30" s="6"/>
      <c r="M30" s="6"/>
    </row>
    <row r="31" spans="1:14" ht="15.75" customHeight="1">
      <c r="A31" s="16"/>
      <c r="B31" s="6">
        <f t="shared" ref="B31:F31" si="18">(B7*100)/$F7</f>
        <v>8.1632653061224492</v>
      </c>
      <c r="C31" s="6">
        <f t="shared" si="18"/>
        <v>10.204081632653061</v>
      </c>
      <c r="D31" s="6">
        <f t="shared" si="18"/>
        <v>42.857142857142854</v>
      </c>
      <c r="E31" s="6">
        <f t="shared" si="18"/>
        <v>38.775510204081634</v>
      </c>
      <c r="F31" s="6">
        <f t="shared" si="18"/>
        <v>100</v>
      </c>
      <c r="G31" s="6"/>
      <c r="H31" s="16"/>
      <c r="I31" s="16"/>
      <c r="J31" s="6"/>
      <c r="K31" s="6"/>
      <c r="L31" s="6"/>
      <c r="M31" s="6"/>
    </row>
    <row r="32" spans="1:14" ht="15.75" customHeight="1">
      <c r="A32" s="16"/>
      <c r="B32" s="6">
        <f t="shared" ref="B32:F32" si="19">(B8*100)/$F8</f>
        <v>4.8780487804878048</v>
      </c>
      <c r="C32" s="6">
        <f t="shared" si="19"/>
        <v>24.390243902439025</v>
      </c>
      <c r="D32" s="6">
        <f t="shared" si="19"/>
        <v>9.7560975609756095</v>
      </c>
      <c r="E32" s="6">
        <f t="shared" si="19"/>
        <v>60.975609756097562</v>
      </c>
      <c r="F32" s="6">
        <f t="shared" si="19"/>
        <v>100</v>
      </c>
      <c r="G32" s="6"/>
      <c r="H32" s="16" t="s">
        <v>62</v>
      </c>
      <c r="I32" s="16" t="s">
        <v>13</v>
      </c>
      <c r="J32" s="6">
        <v>2</v>
      </c>
      <c r="K32" s="6">
        <v>3</v>
      </c>
      <c r="L32" s="6">
        <v>3</v>
      </c>
      <c r="M32" s="6">
        <v>10</v>
      </c>
      <c r="N32" s="6">
        <v>18</v>
      </c>
    </row>
    <row r="33" spans="1:14" ht="15.75" customHeight="1">
      <c r="A33" s="16"/>
      <c r="B33" s="6">
        <f t="shared" ref="B33:F33" si="20">(B9*100)/$F9</f>
        <v>10.526315789473685</v>
      </c>
      <c r="C33" s="6">
        <f t="shared" si="20"/>
        <v>15.789473684210526</v>
      </c>
      <c r="D33" s="6">
        <f t="shared" si="20"/>
        <v>15.789473684210526</v>
      </c>
      <c r="E33" s="6">
        <f t="shared" si="20"/>
        <v>57.89473684210526</v>
      </c>
      <c r="F33" s="6">
        <f t="shared" si="20"/>
        <v>100</v>
      </c>
      <c r="G33" s="6"/>
      <c r="H33" s="16"/>
      <c r="I33" s="16" t="s">
        <v>23</v>
      </c>
      <c r="J33" s="6"/>
      <c r="K33" s="6"/>
      <c r="L33" s="6"/>
      <c r="M33" s="6">
        <v>1</v>
      </c>
      <c r="N33" s="6">
        <v>1</v>
      </c>
    </row>
    <row r="34" spans="1:14" ht="15.75" customHeight="1">
      <c r="A34" s="16"/>
      <c r="B34" s="6">
        <f t="shared" ref="B34:F34" si="21">(B10*100)/$F10</f>
        <v>0</v>
      </c>
      <c r="C34" s="6">
        <f t="shared" si="21"/>
        <v>50</v>
      </c>
      <c r="D34" s="6">
        <f t="shared" si="21"/>
        <v>16.666666666666668</v>
      </c>
      <c r="E34" s="6">
        <f t="shared" si="21"/>
        <v>33.333333333333336</v>
      </c>
      <c r="F34" s="6">
        <f t="shared" si="21"/>
        <v>100</v>
      </c>
      <c r="G34" s="6"/>
      <c r="H34" s="16"/>
      <c r="I34" s="16"/>
      <c r="J34" s="6">
        <f t="shared" ref="J34:N34" si="22">SUM(J32:J33)</f>
        <v>2</v>
      </c>
      <c r="K34" s="6">
        <f t="shared" si="22"/>
        <v>3</v>
      </c>
      <c r="L34" s="6">
        <f t="shared" si="22"/>
        <v>3</v>
      </c>
      <c r="M34" s="6">
        <f t="shared" si="22"/>
        <v>11</v>
      </c>
      <c r="N34" s="6">
        <f t="shared" si="22"/>
        <v>19</v>
      </c>
    </row>
    <row r="35" spans="1:14" ht="15.75" customHeight="1">
      <c r="A35" s="16"/>
      <c r="B35" s="6">
        <f t="shared" ref="B35:F35" si="23">(B11*100)/$F11</f>
        <v>0</v>
      </c>
      <c r="C35" s="6">
        <f t="shared" si="23"/>
        <v>0</v>
      </c>
      <c r="D35" s="6">
        <f t="shared" si="23"/>
        <v>16.666666666666668</v>
      </c>
      <c r="E35" s="6">
        <f t="shared" si="23"/>
        <v>83.333333333333329</v>
      </c>
      <c r="F35" s="6">
        <f t="shared" si="23"/>
        <v>100</v>
      </c>
      <c r="G35" s="6"/>
    </row>
    <row r="36" spans="1:14" ht="15.75" customHeight="1">
      <c r="A36" s="16"/>
      <c r="B36" s="6">
        <f t="shared" ref="B36:F36" si="24">(B12*100)/$F12</f>
        <v>0</v>
      </c>
      <c r="C36" s="6">
        <f t="shared" si="24"/>
        <v>0</v>
      </c>
      <c r="D36" s="6">
        <f t="shared" si="24"/>
        <v>50</v>
      </c>
      <c r="E36" s="6">
        <f t="shared" si="24"/>
        <v>50</v>
      </c>
      <c r="F36" s="6">
        <f t="shared" si="24"/>
        <v>100</v>
      </c>
      <c r="G36" s="6"/>
    </row>
    <row r="37" spans="1:14" ht="15.75" customHeight="1">
      <c r="A37" s="16"/>
      <c r="B37" s="6">
        <f t="shared" ref="B37:F37" si="25">(B13*100)/$F13</f>
        <v>9.8214285714285712</v>
      </c>
      <c r="C37" s="6">
        <f t="shared" si="25"/>
        <v>15.476190476190476</v>
      </c>
      <c r="D37" s="6">
        <f t="shared" si="25"/>
        <v>46.726190476190474</v>
      </c>
      <c r="E37" s="6">
        <f t="shared" si="25"/>
        <v>27.976190476190474</v>
      </c>
      <c r="F37" s="6">
        <f t="shared" si="25"/>
        <v>100</v>
      </c>
      <c r="G37" s="6"/>
      <c r="H37" s="16" t="s">
        <v>7</v>
      </c>
      <c r="I37" s="16" t="s">
        <v>33</v>
      </c>
      <c r="J37" s="6"/>
      <c r="K37" s="6"/>
      <c r="L37" s="6"/>
      <c r="M37" s="6">
        <v>1</v>
      </c>
      <c r="N37" s="7">
        <v>1</v>
      </c>
    </row>
    <row r="38" spans="1:14" ht="15.75" customHeight="1">
      <c r="A38" s="16"/>
      <c r="B38" s="6"/>
      <c r="C38" s="6"/>
      <c r="D38" s="6"/>
      <c r="E38" s="6"/>
      <c r="F38" s="6"/>
      <c r="G38" s="6"/>
      <c r="H38" s="16"/>
      <c r="I38" s="16" t="s">
        <v>7</v>
      </c>
      <c r="J38" s="6"/>
      <c r="K38" s="6">
        <v>9</v>
      </c>
      <c r="L38" s="6">
        <v>3</v>
      </c>
      <c r="M38" s="6">
        <v>5</v>
      </c>
      <c r="N38" s="7">
        <v>17</v>
      </c>
    </row>
    <row r="39" spans="1:14" ht="15.75" customHeight="1">
      <c r="A39" s="16"/>
      <c r="B39" s="6"/>
      <c r="C39" s="6"/>
      <c r="D39" s="6"/>
      <c r="E39" s="6"/>
      <c r="F39" s="6"/>
      <c r="G39" s="6"/>
      <c r="H39" s="16"/>
      <c r="I39" s="16"/>
      <c r="J39" s="6">
        <f t="shared" ref="J39:N39" si="26">SUM(J37:J38)</f>
        <v>0</v>
      </c>
      <c r="K39" s="6">
        <f t="shared" si="26"/>
        <v>9</v>
      </c>
      <c r="L39" s="6">
        <f t="shared" si="26"/>
        <v>3</v>
      </c>
      <c r="M39" s="6">
        <f t="shared" si="26"/>
        <v>6</v>
      </c>
      <c r="N39" s="7">
        <f t="shared" si="26"/>
        <v>18</v>
      </c>
    </row>
    <row r="40" spans="1:14" ht="15.75" customHeight="1">
      <c r="A40" s="16"/>
      <c r="B40" s="6"/>
      <c r="C40" s="6"/>
      <c r="D40" s="6"/>
      <c r="E40" s="6"/>
      <c r="F40" s="6"/>
      <c r="G40" s="6"/>
      <c r="H40" s="16"/>
      <c r="I40" s="16"/>
      <c r="J40" s="6"/>
      <c r="K40" s="6"/>
      <c r="L40" s="6"/>
      <c r="M40" s="6"/>
    </row>
    <row r="41" spans="1:14" ht="15.75" customHeight="1">
      <c r="A41" s="16"/>
      <c r="B41" s="6"/>
      <c r="C41" s="6"/>
      <c r="D41" s="6"/>
      <c r="E41" s="6"/>
      <c r="F41" s="6"/>
      <c r="G41" s="6"/>
      <c r="H41" s="16"/>
      <c r="I41" s="16"/>
      <c r="J41" s="6"/>
      <c r="K41" s="6"/>
      <c r="L41" s="6"/>
      <c r="M41" s="6"/>
    </row>
    <row r="42" spans="1:14" ht="15.75" customHeight="1">
      <c r="A42" s="16"/>
      <c r="B42" s="6"/>
      <c r="C42" s="6"/>
      <c r="D42" s="6"/>
      <c r="E42" s="6"/>
      <c r="F42" s="6"/>
      <c r="G42" s="6"/>
      <c r="H42" s="16"/>
      <c r="I42" s="16"/>
      <c r="J42" s="6"/>
      <c r="K42" s="6"/>
      <c r="L42" s="6"/>
      <c r="M42" s="6"/>
    </row>
    <row r="43" spans="1:14" ht="15.75" customHeight="1">
      <c r="A43" s="16"/>
      <c r="B43" s="6"/>
      <c r="C43" s="6"/>
      <c r="D43" s="6"/>
      <c r="E43" s="6"/>
      <c r="F43" s="6"/>
      <c r="G43" s="6"/>
      <c r="H43" s="16"/>
      <c r="I43" s="16"/>
      <c r="J43" s="6"/>
      <c r="K43" s="6"/>
      <c r="L43" s="6"/>
      <c r="M43" s="6"/>
    </row>
    <row r="44" spans="1:14" ht="15.75" customHeight="1">
      <c r="A44" s="16"/>
      <c r="B44" s="6"/>
      <c r="C44" s="6"/>
      <c r="D44" s="6"/>
      <c r="E44" s="6"/>
      <c r="F44" s="6"/>
      <c r="G44" s="6"/>
      <c r="H44" s="16"/>
      <c r="I44" s="16"/>
      <c r="J44" s="6"/>
      <c r="K44" s="6"/>
      <c r="L44" s="6"/>
      <c r="M44" s="6"/>
    </row>
    <row r="45" spans="1:14" ht="15.75" customHeight="1">
      <c r="A45" s="16"/>
      <c r="B45" s="6"/>
      <c r="C45" s="6"/>
      <c r="D45" s="6"/>
      <c r="E45" s="6"/>
      <c r="F45" s="6"/>
      <c r="G45" s="6"/>
      <c r="H45" s="16"/>
      <c r="I45" s="16"/>
      <c r="J45" s="6"/>
      <c r="K45" s="6"/>
      <c r="L45" s="6"/>
      <c r="M45" s="6"/>
    </row>
    <row r="46" spans="1:14" ht="15.75" customHeight="1">
      <c r="A46" s="16"/>
      <c r="B46" s="6"/>
      <c r="C46" s="6"/>
      <c r="D46" s="6"/>
      <c r="E46" s="6"/>
      <c r="F46" s="6"/>
      <c r="G46" s="6"/>
      <c r="H46" s="16"/>
      <c r="I46" s="16"/>
      <c r="J46" s="6"/>
      <c r="K46" s="6"/>
      <c r="L46" s="6"/>
      <c r="M46" s="6"/>
    </row>
    <row r="47" spans="1:14" ht="15.75" customHeight="1">
      <c r="A47" s="16"/>
      <c r="B47" s="6"/>
      <c r="C47" s="6"/>
      <c r="D47" s="6"/>
      <c r="E47" s="6"/>
      <c r="F47" s="6"/>
      <c r="G47" s="6"/>
      <c r="H47" s="16"/>
      <c r="I47" s="16"/>
      <c r="J47" s="6"/>
      <c r="K47" s="6"/>
      <c r="L47" s="6"/>
      <c r="M47" s="6"/>
    </row>
    <row r="48" spans="1:14" ht="15.75" customHeight="1">
      <c r="A48" s="16"/>
      <c r="B48" s="6"/>
      <c r="C48" s="6"/>
      <c r="D48" s="6"/>
      <c r="E48" s="6"/>
      <c r="F48" s="6"/>
      <c r="G48" s="6"/>
      <c r="H48" s="16"/>
      <c r="I48" s="16"/>
      <c r="J48" s="6"/>
      <c r="K48" s="6"/>
      <c r="L48" s="6"/>
      <c r="M48" s="6"/>
    </row>
    <row r="49" spans="1:13" ht="15.75" customHeight="1">
      <c r="A49" s="16"/>
      <c r="B49" s="6"/>
      <c r="C49" s="6"/>
      <c r="D49" s="6"/>
      <c r="E49" s="6"/>
      <c r="F49" s="6"/>
      <c r="G49" s="6"/>
      <c r="H49" s="16"/>
      <c r="I49" s="16"/>
      <c r="J49" s="6"/>
      <c r="K49" s="6"/>
      <c r="L49" s="6"/>
      <c r="M49" s="6"/>
    </row>
    <row r="50" spans="1:13" ht="15.75" customHeight="1">
      <c r="A50" s="16"/>
      <c r="B50" s="6"/>
      <c r="C50" s="6"/>
      <c r="D50" s="6"/>
      <c r="E50" s="6"/>
      <c r="F50" s="6"/>
      <c r="G50" s="6"/>
      <c r="H50" s="16"/>
      <c r="I50" s="16"/>
      <c r="J50" s="6"/>
      <c r="K50" s="6"/>
      <c r="L50" s="6"/>
      <c r="M50" s="6"/>
    </row>
    <row r="51" spans="1:13" ht="15.75" customHeight="1">
      <c r="A51" s="16"/>
      <c r="B51" s="6"/>
      <c r="C51" s="6"/>
      <c r="D51" s="6"/>
      <c r="E51" s="6"/>
      <c r="F51" s="6"/>
      <c r="G51" s="6"/>
      <c r="H51" s="16"/>
      <c r="I51" s="16"/>
      <c r="J51" s="6"/>
      <c r="K51" s="6"/>
      <c r="L51" s="6"/>
      <c r="M51" s="6"/>
    </row>
    <row r="52" spans="1:13" ht="15.75" customHeight="1">
      <c r="A52" s="16"/>
      <c r="B52" s="6"/>
      <c r="C52" s="6"/>
      <c r="D52" s="6"/>
      <c r="E52" s="6"/>
      <c r="F52" s="6"/>
      <c r="G52" s="6"/>
      <c r="H52" s="16"/>
      <c r="I52" s="16"/>
      <c r="J52" s="6"/>
      <c r="K52" s="6"/>
      <c r="L52" s="6"/>
      <c r="M52" s="6"/>
    </row>
    <row r="53" spans="1:13" ht="15.75" customHeight="1">
      <c r="A53" s="16"/>
      <c r="B53" s="6"/>
      <c r="C53" s="6"/>
      <c r="D53" s="6"/>
      <c r="E53" s="6"/>
      <c r="F53" s="6"/>
      <c r="G53" s="6"/>
      <c r="H53" s="16"/>
      <c r="I53" s="16"/>
      <c r="J53" s="6"/>
      <c r="K53" s="6"/>
      <c r="L53" s="6"/>
      <c r="M53" s="6"/>
    </row>
    <row r="54" spans="1:13" ht="15.75" customHeight="1">
      <c r="A54" s="16"/>
      <c r="B54" s="6"/>
      <c r="C54" s="6"/>
      <c r="D54" s="6"/>
      <c r="E54" s="6"/>
      <c r="F54" s="6"/>
      <c r="G54" s="6"/>
      <c r="H54" s="16"/>
      <c r="I54" s="16"/>
      <c r="J54" s="6"/>
      <c r="K54" s="6"/>
      <c r="L54" s="6"/>
      <c r="M54" s="6"/>
    </row>
    <row r="55" spans="1:13" ht="15.75" customHeight="1">
      <c r="A55" s="16"/>
      <c r="B55" s="6"/>
      <c r="C55" s="6"/>
      <c r="D55" s="6"/>
      <c r="E55" s="6"/>
      <c r="F55" s="6"/>
      <c r="G55" s="6"/>
      <c r="H55" s="16"/>
      <c r="I55" s="16"/>
      <c r="J55" s="6"/>
      <c r="K55" s="6"/>
      <c r="L55" s="6"/>
      <c r="M55" s="6"/>
    </row>
    <row r="56" spans="1:13" ht="15.75" customHeight="1">
      <c r="A56" s="16"/>
      <c r="B56" s="6"/>
      <c r="C56" s="6"/>
      <c r="D56" s="6"/>
      <c r="E56" s="6"/>
      <c r="F56" s="6"/>
      <c r="G56" s="6"/>
      <c r="H56" s="16"/>
      <c r="I56" s="16"/>
      <c r="J56" s="6"/>
      <c r="K56" s="6"/>
      <c r="L56" s="6"/>
      <c r="M56" s="6"/>
    </row>
    <row r="57" spans="1:13" ht="15.75" customHeight="1">
      <c r="A57" s="16"/>
      <c r="B57" s="6"/>
      <c r="C57" s="6"/>
      <c r="D57" s="6"/>
      <c r="E57" s="6"/>
      <c r="F57" s="6"/>
      <c r="G57" s="6"/>
      <c r="H57" s="16"/>
      <c r="I57" s="16"/>
      <c r="J57" s="6"/>
      <c r="K57" s="6"/>
      <c r="L57" s="6"/>
      <c r="M57" s="6"/>
    </row>
    <row r="58" spans="1:13" ht="15.75" customHeight="1">
      <c r="A58" s="16"/>
      <c r="B58" s="6"/>
      <c r="C58" s="6"/>
      <c r="D58" s="6"/>
      <c r="E58" s="6"/>
      <c r="F58" s="6"/>
      <c r="G58" s="6"/>
      <c r="H58" s="16"/>
      <c r="I58" s="16"/>
      <c r="J58" s="6"/>
      <c r="K58" s="6"/>
      <c r="L58" s="6"/>
      <c r="M58" s="6"/>
    </row>
    <row r="59" spans="1:13" ht="15.75" customHeight="1">
      <c r="A59" s="16"/>
      <c r="B59" s="6"/>
      <c r="C59" s="6"/>
      <c r="D59" s="6"/>
      <c r="E59" s="6"/>
      <c r="F59" s="6"/>
      <c r="G59" s="6"/>
      <c r="H59" s="16"/>
      <c r="I59" s="16"/>
      <c r="J59" s="6"/>
      <c r="K59" s="6"/>
      <c r="L59" s="6"/>
      <c r="M59" s="6"/>
    </row>
    <row r="60" spans="1:13" ht="15.75" customHeight="1">
      <c r="A60" s="16"/>
      <c r="B60" s="6"/>
      <c r="C60" s="6"/>
      <c r="D60" s="6"/>
      <c r="E60" s="6"/>
      <c r="F60" s="6"/>
      <c r="G60" s="6"/>
      <c r="H60" s="16"/>
      <c r="I60" s="16"/>
      <c r="J60" s="6"/>
      <c r="K60" s="6"/>
      <c r="L60" s="6"/>
      <c r="M60" s="6"/>
    </row>
    <row r="61" spans="1:13" ht="15.75" customHeight="1">
      <c r="A61" s="16"/>
      <c r="B61" s="6"/>
      <c r="C61" s="6"/>
      <c r="D61" s="6"/>
      <c r="E61" s="6"/>
      <c r="F61" s="6"/>
      <c r="G61" s="6"/>
      <c r="H61" s="16"/>
      <c r="I61" s="16"/>
      <c r="J61" s="6"/>
      <c r="K61" s="6"/>
      <c r="L61" s="6"/>
      <c r="M61" s="6"/>
    </row>
    <row r="62" spans="1:13" ht="15.75" customHeight="1">
      <c r="A62" s="16"/>
      <c r="B62" s="6"/>
      <c r="C62" s="6"/>
      <c r="D62" s="6"/>
      <c r="E62" s="6"/>
      <c r="F62" s="6"/>
      <c r="G62" s="6"/>
      <c r="H62" s="16"/>
      <c r="I62" s="16"/>
      <c r="J62" s="6"/>
      <c r="K62" s="6"/>
      <c r="L62" s="6"/>
      <c r="M62" s="6"/>
    </row>
    <row r="63" spans="1:13" ht="15.75" customHeight="1">
      <c r="A63" s="16"/>
      <c r="B63" s="6"/>
      <c r="C63" s="6"/>
      <c r="D63" s="6"/>
      <c r="E63" s="6"/>
      <c r="F63" s="6"/>
      <c r="G63" s="6"/>
      <c r="H63" s="16"/>
      <c r="I63" s="16"/>
      <c r="J63" s="6"/>
      <c r="K63" s="6"/>
      <c r="L63" s="6"/>
      <c r="M63" s="6"/>
    </row>
    <row r="64" spans="1:13" ht="15.75" customHeight="1">
      <c r="A64" s="16"/>
      <c r="B64" s="6"/>
      <c r="C64" s="6"/>
      <c r="D64" s="6"/>
      <c r="E64" s="6"/>
      <c r="F64" s="6"/>
      <c r="G64" s="6"/>
      <c r="H64" s="16"/>
      <c r="I64" s="16"/>
      <c r="J64" s="6"/>
      <c r="K64" s="6"/>
      <c r="L64" s="6"/>
      <c r="M64" s="6"/>
    </row>
    <row r="65" spans="1:13" ht="13">
      <c r="A65" s="16"/>
      <c r="B65" s="6"/>
      <c r="C65" s="6"/>
      <c r="D65" s="6"/>
      <c r="E65" s="6"/>
      <c r="F65" s="6"/>
      <c r="G65" s="6"/>
      <c r="H65" s="16"/>
      <c r="I65" s="16"/>
      <c r="J65" s="6"/>
      <c r="K65" s="6"/>
      <c r="L65" s="6"/>
      <c r="M65" s="6"/>
    </row>
    <row r="66" spans="1:13" ht="13">
      <c r="A66" s="16"/>
      <c r="B66" s="6"/>
      <c r="C66" s="6"/>
      <c r="D66" s="6"/>
      <c r="E66" s="6"/>
      <c r="F66" s="6"/>
      <c r="G66" s="6"/>
      <c r="H66" s="16"/>
      <c r="I66" s="16"/>
      <c r="J66" s="6"/>
      <c r="K66" s="6"/>
      <c r="L66" s="6"/>
      <c r="M66" s="6"/>
    </row>
    <row r="67" spans="1:13" ht="13">
      <c r="A67" s="16"/>
      <c r="B67" s="6"/>
      <c r="C67" s="6"/>
      <c r="D67" s="6"/>
      <c r="E67" s="6"/>
      <c r="F67" s="6"/>
      <c r="G67" s="6"/>
      <c r="H67" s="16"/>
      <c r="I67" s="16"/>
      <c r="J67" s="6"/>
      <c r="K67" s="6"/>
      <c r="L67" s="6"/>
      <c r="M67" s="6"/>
    </row>
    <row r="68" spans="1:13" ht="13">
      <c r="A68" s="16"/>
      <c r="B68" s="6"/>
      <c r="C68" s="6"/>
      <c r="D68" s="6"/>
      <c r="E68" s="6"/>
      <c r="F68" s="6"/>
      <c r="G68" s="6"/>
      <c r="H68" s="16"/>
      <c r="I68" s="16"/>
      <c r="J68" s="6"/>
      <c r="K68" s="6"/>
      <c r="L68" s="6"/>
      <c r="M68" s="6"/>
    </row>
    <row r="69" spans="1:13" ht="13">
      <c r="A69" s="16"/>
      <c r="B69" s="6"/>
      <c r="C69" s="6"/>
      <c r="D69" s="6"/>
      <c r="E69" s="6"/>
      <c r="F69" s="6"/>
      <c r="G69" s="6"/>
      <c r="H69" s="16"/>
      <c r="I69" s="16"/>
      <c r="J69" s="6"/>
      <c r="K69" s="6"/>
      <c r="L69" s="6"/>
      <c r="M69" s="6"/>
    </row>
    <row r="70" spans="1:13" ht="13">
      <c r="A70" s="16"/>
      <c r="B70" s="6"/>
      <c r="C70" s="6"/>
      <c r="D70" s="6"/>
      <c r="E70" s="6"/>
      <c r="F70" s="6"/>
      <c r="G70" s="6"/>
      <c r="H70" s="16"/>
      <c r="I70" s="16"/>
      <c r="J70" s="6"/>
      <c r="K70" s="6"/>
      <c r="L70" s="6"/>
      <c r="M70" s="6"/>
    </row>
    <row r="71" spans="1:13" ht="13">
      <c r="A71" s="16"/>
      <c r="B71" s="6"/>
      <c r="C71" s="6"/>
      <c r="D71" s="6"/>
      <c r="E71" s="6"/>
      <c r="F71" s="6"/>
      <c r="G71" s="6"/>
      <c r="H71" s="16"/>
      <c r="I71" s="16"/>
      <c r="J71" s="6"/>
      <c r="K71" s="6"/>
      <c r="L71" s="6"/>
      <c r="M71" s="6"/>
    </row>
    <row r="72" spans="1:13" ht="13">
      <c r="A72" s="16"/>
      <c r="B72" s="6"/>
      <c r="C72" s="6"/>
      <c r="D72" s="6"/>
      <c r="E72" s="6"/>
      <c r="F72" s="6"/>
      <c r="G72" s="6"/>
      <c r="H72" s="16"/>
      <c r="I72" s="16"/>
      <c r="J72" s="6"/>
      <c r="K72" s="6"/>
      <c r="L72" s="6"/>
      <c r="M72" s="6"/>
    </row>
    <row r="73" spans="1:13" ht="13">
      <c r="A73" s="16"/>
      <c r="B73" s="6"/>
      <c r="C73" s="6"/>
      <c r="D73" s="6"/>
      <c r="E73" s="6"/>
      <c r="F73" s="6"/>
      <c r="G73" s="6"/>
      <c r="H73" s="16"/>
      <c r="I73" s="16"/>
      <c r="J73" s="6"/>
      <c r="K73" s="6"/>
      <c r="L73" s="6"/>
      <c r="M73" s="6"/>
    </row>
    <row r="74" spans="1:13" ht="13">
      <c r="A74" s="16"/>
      <c r="B74" s="6"/>
      <c r="C74" s="6"/>
      <c r="D74" s="6"/>
      <c r="E74" s="6"/>
      <c r="F74" s="6"/>
      <c r="G74" s="6"/>
      <c r="H74" s="16"/>
      <c r="I74" s="16"/>
      <c r="J74" s="6"/>
      <c r="K74" s="6"/>
      <c r="L74" s="6"/>
      <c r="M74" s="6"/>
    </row>
    <row r="75" spans="1:13" ht="13">
      <c r="A75" s="16"/>
      <c r="B75" s="6"/>
      <c r="C75" s="6"/>
      <c r="D75" s="6"/>
      <c r="E75" s="6"/>
      <c r="F75" s="6"/>
      <c r="G75" s="6"/>
      <c r="H75" s="16"/>
      <c r="I75" s="16"/>
      <c r="J75" s="6"/>
      <c r="K75" s="6"/>
      <c r="L75" s="6"/>
      <c r="M75" s="6"/>
    </row>
    <row r="76" spans="1:13" ht="13">
      <c r="A76" s="16"/>
      <c r="B76" s="6"/>
      <c r="C76" s="6"/>
      <c r="D76" s="6"/>
      <c r="E76" s="6"/>
      <c r="F76" s="6"/>
      <c r="G76" s="6"/>
      <c r="H76" s="16"/>
      <c r="I76" s="16"/>
      <c r="J76" s="6"/>
      <c r="K76" s="6"/>
      <c r="L76" s="6"/>
      <c r="M76" s="6"/>
    </row>
    <row r="77" spans="1:13" ht="13">
      <c r="A77" s="16"/>
      <c r="B77" s="6"/>
      <c r="C77" s="6"/>
      <c r="D77" s="6"/>
      <c r="E77" s="6"/>
      <c r="F77" s="6"/>
      <c r="G77" s="6"/>
      <c r="H77" s="16"/>
      <c r="I77" s="16"/>
      <c r="J77" s="6"/>
      <c r="K77" s="6"/>
      <c r="L77" s="6"/>
      <c r="M77" s="6"/>
    </row>
    <row r="78" spans="1:13" ht="13">
      <c r="A78" s="16"/>
      <c r="B78" s="6"/>
      <c r="C78" s="6"/>
      <c r="D78" s="6"/>
      <c r="E78" s="6"/>
      <c r="F78" s="6"/>
      <c r="G78" s="6"/>
      <c r="H78" s="16"/>
      <c r="I78" s="16"/>
      <c r="J78" s="6"/>
      <c r="K78" s="6"/>
      <c r="L78" s="6"/>
      <c r="M78" s="6"/>
    </row>
    <row r="79" spans="1:13" ht="13">
      <c r="A79" s="16"/>
      <c r="B79" s="6"/>
      <c r="C79" s="6"/>
      <c r="D79" s="6"/>
      <c r="E79" s="6"/>
      <c r="F79" s="6"/>
      <c r="G79" s="6"/>
      <c r="H79" s="16"/>
      <c r="I79" s="16"/>
      <c r="J79" s="6"/>
      <c r="K79" s="6"/>
      <c r="L79" s="6"/>
      <c r="M79" s="6"/>
    </row>
    <row r="80" spans="1:13" ht="13">
      <c r="A80" s="16"/>
      <c r="B80" s="6"/>
      <c r="C80" s="6"/>
      <c r="D80" s="6"/>
      <c r="E80" s="6"/>
      <c r="F80" s="6"/>
      <c r="G80" s="6"/>
      <c r="H80" s="16"/>
      <c r="I80" s="16"/>
      <c r="J80" s="6"/>
      <c r="K80" s="6"/>
      <c r="L80" s="6"/>
      <c r="M80" s="6"/>
    </row>
    <row r="81" spans="1:13" ht="13">
      <c r="A81" s="16"/>
      <c r="B81" s="6"/>
      <c r="C81" s="6"/>
      <c r="D81" s="6"/>
      <c r="E81" s="6"/>
      <c r="F81" s="6"/>
      <c r="G81" s="6"/>
      <c r="H81" s="16"/>
      <c r="I81" s="16"/>
      <c r="J81" s="6"/>
      <c r="K81" s="6"/>
      <c r="L81" s="6"/>
      <c r="M81" s="6"/>
    </row>
    <row r="82" spans="1:13" ht="13">
      <c r="A82" s="16"/>
      <c r="B82" s="6"/>
      <c r="C82" s="6"/>
      <c r="D82" s="6"/>
      <c r="E82" s="6"/>
      <c r="F82" s="6"/>
      <c r="G82" s="6"/>
      <c r="H82" s="16"/>
      <c r="I82" s="16"/>
      <c r="J82" s="6"/>
      <c r="K82" s="6"/>
      <c r="L82" s="6"/>
      <c r="M82" s="6"/>
    </row>
    <row r="83" spans="1:13" ht="13">
      <c r="A83" s="16"/>
      <c r="B83" s="6"/>
      <c r="C83" s="6"/>
      <c r="D83" s="6"/>
      <c r="E83" s="6"/>
      <c r="F83" s="6"/>
      <c r="G83" s="6"/>
      <c r="H83" s="16"/>
      <c r="I83" s="16"/>
      <c r="J83" s="6"/>
      <c r="K83" s="6"/>
      <c r="L83" s="6"/>
      <c r="M83" s="6"/>
    </row>
    <row r="84" spans="1:13" ht="13">
      <c r="A84" s="16"/>
      <c r="B84" s="6"/>
      <c r="C84" s="6"/>
      <c r="D84" s="6"/>
      <c r="E84" s="6"/>
      <c r="F84" s="6"/>
      <c r="G84" s="6"/>
      <c r="H84" s="16"/>
      <c r="I84" s="16"/>
      <c r="J84" s="6"/>
      <c r="K84" s="6"/>
      <c r="L84" s="6"/>
      <c r="M84" s="6"/>
    </row>
    <row r="85" spans="1:13" ht="13">
      <c r="A85" s="16"/>
      <c r="B85" s="6"/>
      <c r="C85" s="6"/>
      <c r="D85" s="6"/>
      <c r="E85" s="6"/>
      <c r="F85" s="6"/>
      <c r="G85" s="6"/>
      <c r="H85" s="16"/>
      <c r="I85" s="16"/>
      <c r="J85" s="6"/>
      <c r="K85" s="6"/>
      <c r="L85" s="6"/>
      <c r="M85" s="6"/>
    </row>
    <row r="86" spans="1:13" ht="13">
      <c r="A86" s="16"/>
      <c r="B86" s="6"/>
      <c r="C86" s="6"/>
      <c r="D86" s="6"/>
      <c r="E86" s="6"/>
      <c r="F86" s="6"/>
      <c r="G86" s="6"/>
      <c r="H86" s="16"/>
      <c r="I86" s="16"/>
      <c r="J86" s="6"/>
      <c r="K86" s="6"/>
      <c r="L86" s="6"/>
      <c r="M86" s="6"/>
    </row>
    <row r="87" spans="1:13" ht="13">
      <c r="A87" s="16"/>
      <c r="B87" s="6"/>
      <c r="C87" s="6"/>
      <c r="D87" s="6"/>
      <c r="E87" s="6"/>
      <c r="F87" s="6"/>
      <c r="G87" s="6"/>
      <c r="H87" s="16"/>
      <c r="I87" s="16"/>
      <c r="J87" s="6"/>
      <c r="K87" s="6"/>
      <c r="L87" s="6"/>
      <c r="M87" s="6"/>
    </row>
    <row r="88" spans="1:13" ht="13">
      <c r="A88" s="16"/>
      <c r="B88" s="6"/>
      <c r="C88" s="6"/>
      <c r="D88" s="6"/>
      <c r="E88" s="6"/>
      <c r="F88" s="6"/>
      <c r="G88" s="6"/>
      <c r="H88" s="16"/>
      <c r="I88" s="16"/>
      <c r="J88" s="6"/>
      <c r="K88" s="6"/>
      <c r="L88" s="6"/>
      <c r="M88" s="6"/>
    </row>
    <row r="89" spans="1:13" ht="13">
      <c r="A89" s="16"/>
      <c r="B89" s="6"/>
      <c r="C89" s="6"/>
      <c r="D89" s="6"/>
      <c r="E89" s="6"/>
      <c r="F89" s="6"/>
      <c r="G89" s="6"/>
      <c r="H89" s="16"/>
      <c r="I89" s="16"/>
      <c r="J89" s="6"/>
      <c r="K89" s="6"/>
      <c r="L89" s="6"/>
      <c r="M89" s="6"/>
    </row>
    <row r="90" spans="1:13" ht="13">
      <c r="A90" s="16"/>
      <c r="B90" s="6"/>
      <c r="C90" s="6"/>
      <c r="D90" s="6"/>
      <c r="E90" s="6"/>
      <c r="F90" s="6"/>
      <c r="G90" s="6"/>
      <c r="H90" s="16"/>
      <c r="I90" s="16"/>
      <c r="J90" s="6"/>
      <c r="K90" s="6"/>
      <c r="L90" s="6"/>
      <c r="M90" s="6"/>
    </row>
    <row r="91" spans="1:13" ht="13">
      <c r="A91" s="16"/>
      <c r="B91" s="6"/>
      <c r="C91" s="6"/>
      <c r="D91" s="6"/>
      <c r="E91" s="6"/>
      <c r="F91" s="6"/>
      <c r="G91" s="6"/>
      <c r="H91" s="16"/>
      <c r="I91" s="16"/>
      <c r="J91" s="6"/>
      <c r="K91" s="6"/>
      <c r="L91" s="6"/>
      <c r="M91" s="6"/>
    </row>
    <row r="92" spans="1:13" ht="13">
      <c r="A92" s="16"/>
      <c r="B92" s="6"/>
      <c r="C92" s="6"/>
      <c r="D92" s="6"/>
      <c r="E92" s="6"/>
      <c r="F92" s="6"/>
      <c r="G92" s="6"/>
      <c r="H92" s="16"/>
      <c r="I92" s="16"/>
      <c r="J92" s="6"/>
      <c r="K92" s="6"/>
      <c r="L92" s="6"/>
      <c r="M92" s="6"/>
    </row>
    <row r="93" spans="1:13" ht="13">
      <c r="A93" s="16"/>
      <c r="B93" s="6"/>
      <c r="C93" s="6"/>
      <c r="D93" s="6"/>
      <c r="E93" s="6"/>
      <c r="F93" s="6"/>
      <c r="G93" s="6"/>
      <c r="H93" s="16"/>
      <c r="I93" s="16"/>
      <c r="J93" s="6"/>
      <c r="K93" s="6"/>
      <c r="L93" s="6"/>
      <c r="M93" s="6"/>
    </row>
    <row r="94" spans="1:13" ht="13">
      <c r="A94" s="16"/>
      <c r="B94" s="6"/>
      <c r="C94" s="6"/>
      <c r="D94" s="6"/>
      <c r="E94" s="6"/>
      <c r="F94" s="6"/>
      <c r="G94" s="6"/>
      <c r="H94" s="16"/>
      <c r="I94" s="16"/>
      <c r="J94" s="6"/>
      <c r="K94" s="6"/>
      <c r="L94" s="6"/>
      <c r="M94" s="6"/>
    </row>
    <row r="95" spans="1:13" ht="13">
      <c r="A95" s="16"/>
      <c r="B95" s="6"/>
      <c r="C95" s="6"/>
      <c r="D95" s="6"/>
      <c r="E95" s="6"/>
      <c r="F95" s="6"/>
      <c r="G95" s="6"/>
      <c r="H95" s="16"/>
      <c r="I95" s="16"/>
      <c r="J95" s="6"/>
      <c r="K95" s="6"/>
      <c r="L95" s="6"/>
      <c r="M95" s="6"/>
    </row>
    <row r="96" spans="1:13" ht="13">
      <c r="A96" s="16"/>
      <c r="B96" s="6"/>
      <c r="C96" s="6"/>
      <c r="D96" s="6"/>
      <c r="E96" s="6"/>
      <c r="F96" s="6"/>
      <c r="G96" s="6"/>
      <c r="H96" s="16"/>
      <c r="I96" s="16"/>
      <c r="J96" s="6"/>
      <c r="K96" s="6"/>
      <c r="L96" s="6"/>
      <c r="M96" s="6"/>
    </row>
    <row r="97" spans="1:13" ht="13">
      <c r="A97" s="16"/>
      <c r="B97" s="6"/>
      <c r="C97" s="6"/>
      <c r="D97" s="6"/>
      <c r="E97" s="6"/>
      <c r="F97" s="6"/>
      <c r="G97" s="6"/>
      <c r="H97" s="16"/>
      <c r="I97" s="16"/>
      <c r="J97" s="6"/>
      <c r="K97" s="6"/>
      <c r="L97" s="6"/>
      <c r="M97" s="6"/>
    </row>
    <row r="98" spans="1:13" ht="13">
      <c r="A98" s="16"/>
      <c r="B98" s="6"/>
      <c r="C98" s="6"/>
      <c r="D98" s="6"/>
      <c r="E98" s="6"/>
      <c r="F98" s="6"/>
      <c r="G98" s="6"/>
      <c r="H98" s="16"/>
      <c r="I98" s="16"/>
      <c r="J98" s="6"/>
      <c r="K98" s="6"/>
      <c r="L98" s="6"/>
      <c r="M98" s="6"/>
    </row>
    <row r="99" spans="1:13" ht="13">
      <c r="A99" s="16"/>
      <c r="B99" s="6"/>
      <c r="C99" s="6"/>
      <c r="D99" s="6"/>
      <c r="E99" s="6"/>
      <c r="F99" s="6"/>
      <c r="G99" s="6"/>
      <c r="H99" s="16"/>
      <c r="I99" s="16"/>
      <c r="J99" s="6"/>
      <c r="K99" s="6"/>
      <c r="L99" s="6"/>
      <c r="M99" s="6"/>
    </row>
    <row r="100" spans="1:13" ht="13">
      <c r="A100" s="16"/>
      <c r="B100" s="6"/>
      <c r="C100" s="6"/>
      <c r="D100" s="6"/>
      <c r="E100" s="6"/>
      <c r="F100" s="6"/>
      <c r="G100" s="6"/>
      <c r="H100" s="16"/>
      <c r="I100" s="16"/>
      <c r="J100" s="6"/>
      <c r="K100" s="6"/>
      <c r="L100" s="6"/>
      <c r="M100" s="6"/>
    </row>
    <row r="101" spans="1:13" ht="13">
      <c r="A101" s="16"/>
      <c r="B101" s="6"/>
      <c r="C101" s="6"/>
      <c r="D101" s="6"/>
      <c r="E101" s="6"/>
      <c r="F101" s="6"/>
      <c r="G101" s="6"/>
      <c r="H101" s="16"/>
      <c r="I101" s="16"/>
      <c r="J101" s="6"/>
      <c r="K101" s="6"/>
      <c r="L101" s="6"/>
      <c r="M101" s="6"/>
    </row>
    <row r="102" spans="1:13" ht="13">
      <c r="A102" s="16"/>
      <c r="B102" s="6"/>
      <c r="C102" s="6"/>
      <c r="D102" s="6"/>
      <c r="E102" s="6"/>
      <c r="F102" s="6"/>
      <c r="G102" s="6"/>
      <c r="H102" s="16"/>
      <c r="I102" s="16"/>
      <c r="J102" s="6"/>
      <c r="K102" s="6"/>
      <c r="L102" s="6"/>
      <c r="M102" s="6"/>
    </row>
    <row r="103" spans="1:13" ht="13">
      <c r="A103" s="16"/>
      <c r="B103" s="6"/>
      <c r="C103" s="6"/>
      <c r="D103" s="6"/>
      <c r="E103" s="6"/>
      <c r="F103" s="6"/>
      <c r="G103" s="6"/>
      <c r="H103" s="16"/>
      <c r="I103" s="16"/>
      <c r="J103" s="6"/>
      <c r="K103" s="6"/>
      <c r="L103" s="6"/>
      <c r="M103" s="6"/>
    </row>
    <row r="104" spans="1:13" ht="13">
      <c r="A104" s="16"/>
      <c r="B104" s="6"/>
      <c r="C104" s="6"/>
      <c r="D104" s="6"/>
      <c r="E104" s="6"/>
      <c r="F104" s="6"/>
      <c r="G104" s="6"/>
      <c r="H104" s="16"/>
      <c r="I104" s="16"/>
      <c r="J104" s="6"/>
      <c r="K104" s="6"/>
      <c r="L104" s="6"/>
      <c r="M104" s="6"/>
    </row>
    <row r="105" spans="1:13" ht="13">
      <c r="A105" s="16"/>
      <c r="B105" s="6"/>
      <c r="C105" s="6"/>
      <c r="D105" s="6"/>
      <c r="E105" s="6"/>
      <c r="F105" s="6"/>
      <c r="G105" s="6"/>
      <c r="H105" s="16"/>
      <c r="I105" s="16"/>
      <c r="J105" s="6"/>
      <c r="K105" s="6"/>
      <c r="L105" s="6"/>
      <c r="M105" s="6"/>
    </row>
    <row r="106" spans="1:13" ht="13">
      <c r="A106" s="16"/>
      <c r="B106" s="6"/>
      <c r="C106" s="6"/>
      <c r="D106" s="6"/>
      <c r="E106" s="6"/>
      <c r="F106" s="6"/>
      <c r="G106" s="6"/>
      <c r="H106" s="16"/>
      <c r="I106" s="16"/>
      <c r="J106" s="6"/>
      <c r="K106" s="6"/>
      <c r="L106" s="6"/>
      <c r="M106" s="6"/>
    </row>
    <row r="107" spans="1:13" ht="13">
      <c r="A107" s="16"/>
      <c r="B107" s="6"/>
      <c r="C107" s="6"/>
      <c r="D107" s="6"/>
      <c r="E107" s="6"/>
      <c r="F107" s="6"/>
      <c r="G107" s="6"/>
      <c r="H107" s="16"/>
      <c r="I107" s="16"/>
      <c r="J107" s="6"/>
      <c r="K107" s="6"/>
      <c r="L107" s="6"/>
      <c r="M107" s="6"/>
    </row>
    <row r="108" spans="1:13" ht="13">
      <c r="A108" s="16"/>
      <c r="B108" s="6"/>
      <c r="C108" s="6"/>
      <c r="D108" s="6"/>
      <c r="E108" s="6"/>
      <c r="F108" s="6"/>
      <c r="G108" s="6"/>
      <c r="H108" s="16"/>
      <c r="I108" s="16"/>
      <c r="J108" s="6"/>
      <c r="K108" s="6"/>
      <c r="L108" s="6"/>
      <c r="M108" s="6"/>
    </row>
    <row r="109" spans="1:13" ht="13">
      <c r="A109" s="16"/>
      <c r="B109" s="6"/>
      <c r="C109" s="6"/>
      <c r="D109" s="6"/>
      <c r="E109" s="6"/>
      <c r="F109" s="6"/>
      <c r="G109" s="6"/>
      <c r="H109" s="16"/>
      <c r="I109" s="16"/>
      <c r="J109" s="6"/>
      <c r="K109" s="6"/>
      <c r="L109" s="6"/>
      <c r="M109" s="6"/>
    </row>
    <row r="110" spans="1:13" ht="13">
      <c r="A110" s="16"/>
      <c r="B110" s="6"/>
      <c r="C110" s="6"/>
      <c r="D110" s="6"/>
      <c r="E110" s="6"/>
      <c r="F110" s="6"/>
      <c r="G110" s="6"/>
      <c r="H110" s="16"/>
      <c r="I110" s="16"/>
      <c r="J110" s="6"/>
      <c r="K110" s="6"/>
      <c r="L110" s="6"/>
      <c r="M110" s="6"/>
    </row>
    <row r="111" spans="1:13" ht="13">
      <c r="A111" s="16"/>
      <c r="B111" s="6"/>
      <c r="C111" s="6"/>
      <c r="D111" s="6"/>
      <c r="E111" s="6"/>
      <c r="F111" s="6"/>
      <c r="G111" s="6"/>
      <c r="H111" s="16"/>
      <c r="I111" s="16"/>
      <c r="J111" s="6"/>
      <c r="K111" s="6"/>
      <c r="L111" s="6"/>
      <c r="M111" s="6"/>
    </row>
    <row r="112" spans="1:13" ht="13">
      <c r="A112" s="16"/>
      <c r="B112" s="6"/>
      <c r="C112" s="6"/>
      <c r="D112" s="6"/>
      <c r="E112" s="6"/>
      <c r="F112" s="6"/>
      <c r="G112" s="6"/>
      <c r="H112" s="16"/>
      <c r="I112" s="16"/>
      <c r="J112" s="6"/>
      <c r="K112" s="6"/>
      <c r="L112" s="6"/>
      <c r="M112" s="6"/>
    </row>
    <row r="113" spans="1:13" ht="13">
      <c r="A113" s="16"/>
      <c r="B113" s="6"/>
      <c r="C113" s="6"/>
      <c r="D113" s="6"/>
      <c r="E113" s="6"/>
      <c r="F113" s="6"/>
      <c r="G113" s="6"/>
      <c r="H113" s="16"/>
      <c r="I113" s="16"/>
      <c r="J113" s="6"/>
      <c r="K113" s="6"/>
      <c r="L113" s="6"/>
      <c r="M113" s="6"/>
    </row>
    <row r="114" spans="1:13" ht="13">
      <c r="A114" s="16"/>
      <c r="B114" s="6"/>
      <c r="C114" s="6"/>
      <c r="D114" s="6"/>
      <c r="E114" s="6"/>
      <c r="F114" s="6"/>
      <c r="G114" s="6"/>
      <c r="H114" s="16"/>
      <c r="I114" s="16"/>
      <c r="J114" s="6"/>
      <c r="K114" s="6"/>
      <c r="L114" s="6"/>
      <c r="M114" s="6"/>
    </row>
    <row r="115" spans="1:13" ht="13">
      <c r="A115" s="16"/>
      <c r="B115" s="6"/>
      <c r="C115" s="6"/>
      <c r="D115" s="6"/>
      <c r="E115" s="6"/>
      <c r="F115" s="6"/>
      <c r="G115" s="6"/>
      <c r="H115" s="16"/>
      <c r="I115" s="16"/>
      <c r="J115" s="6"/>
      <c r="K115" s="6"/>
      <c r="L115" s="6"/>
      <c r="M115" s="6"/>
    </row>
    <row r="116" spans="1:13" ht="13">
      <c r="A116" s="16"/>
      <c r="B116" s="6"/>
      <c r="C116" s="6"/>
      <c r="D116" s="6"/>
      <c r="E116" s="6"/>
      <c r="F116" s="6"/>
      <c r="G116" s="6"/>
      <c r="H116" s="16"/>
      <c r="I116" s="16"/>
      <c r="J116" s="6"/>
      <c r="K116" s="6"/>
      <c r="L116" s="6"/>
      <c r="M116" s="6"/>
    </row>
    <row r="117" spans="1:13" ht="13">
      <c r="A117" s="16"/>
      <c r="B117" s="6"/>
      <c r="C117" s="6"/>
      <c r="D117" s="6"/>
      <c r="E117" s="6"/>
      <c r="F117" s="6"/>
      <c r="G117" s="6"/>
      <c r="H117" s="16"/>
      <c r="I117" s="16"/>
      <c r="J117" s="6"/>
      <c r="K117" s="6"/>
      <c r="L117" s="6"/>
      <c r="M117" s="6"/>
    </row>
    <row r="118" spans="1:13" ht="13">
      <c r="A118" s="16"/>
      <c r="B118" s="6"/>
      <c r="C118" s="6"/>
      <c r="D118" s="6"/>
      <c r="E118" s="6"/>
      <c r="F118" s="6"/>
      <c r="G118" s="6"/>
      <c r="H118" s="16"/>
      <c r="I118" s="16"/>
      <c r="J118" s="6"/>
      <c r="K118" s="6"/>
      <c r="L118" s="6"/>
      <c r="M118" s="6"/>
    </row>
    <row r="119" spans="1:13" ht="13">
      <c r="A119" s="16"/>
      <c r="B119" s="6"/>
      <c r="C119" s="6"/>
      <c r="D119" s="6"/>
      <c r="E119" s="6"/>
      <c r="F119" s="6"/>
      <c r="G119" s="6"/>
      <c r="H119" s="16"/>
      <c r="I119" s="16"/>
      <c r="J119" s="6"/>
      <c r="K119" s="6"/>
      <c r="L119" s="6"/>
      <c r="M119" s="6"/>
    </row>
    <row r="120" spans="1:13" ht="13">
      <c r="A120" s="16"/>
      <c r="B120" s="6"/>
      <c r="C120" s="6"/>
      <c r="D120" s="6"/>
      <c r="E120" s="6"/>
      <c r="F120" s="6"/>
      <c r="G120" s="6"/>
      <c r="H120" s="16"/>
      <c r="I120" s="16"/>
      <c r="J120" s="6"/>
      <c r="K120" s="6"/>
      <c r="L120" s="6"/>
      <c r="M120" s="6"/>
    </row>
    <row r="121" spans="1:13" ht="13">
      <c r="A121" s="16"/>
      <c r="B121" s="6"/>
      <c r="C121" s="6"/>
      <c r="D121" s="6"/>
      <c r="E121" s="6"/>
      <c r="F121" s="6"/>
      <c r="G121" s="6"/>
      <c r="H121" s="16"/>
      <c r="I121" s="16"/>
      <c r="J121" s="6"/>
      <c r="K121" s="6"/>
      <c r="L121" s="6"/>
      <c r="M121" s="6"/>
    </row>
    <row r="122" spans="1:13" ht="13">
      <c r="A122" s="16"/>
      <c r="B122" s="6"/>
      <c r="C122" s="6"/>
      <c r="D122" s="6"/>
      <c r="E122" s="6"/>
      <c r="F122" s="6"/>
      <c r="G122" s="6"/>
      <c r="H122" s="16"/>
      <c r="I122" s="16"/>
      <c r="J122" s="6"/>
      <c r="K122" s="6"/>
      <c r="L122" s="6"/>
      <c r="M122" s="6"/>
    </row>
    <row r="123" spans="1:13" ht="13">
      <c r="A123" s="16"/>
      <c r="B123" s="6"/>
      <c r="C123" s="6"/>
      <c r="D123" s="6"/>
      <c r="E123" s="6"/>
      <c r="F123" s="6"/>
      <c r="G123" s="6"/>
      <c r="H123" s="16"/>
      <c r="I123" s="16"/>
      <c r="J123" s="6"/>
      <c r="K123" s="6"/>
      <c r="L123" s="6"/>
      <c r="M123" s="6"/>
    </row>
    <row r="124" spans="1:13" ht="13">
      <c r="A124" s="16"/>
      <c r="B124" s="6"/>
      <c r="C124" s="6"/>
      <c r="D124" s="6"/>
      <c r="E124" s="6"/>
      <c r="F124" s="6"/>
      <c r="G124" s="6"/>
      <c r="H124" s="16"/>
      <c r="I124" s="16"/>
      <c r="J124" s="6"/>
      <c r="K124" s="6"/>
      <c r="L124" s="6"/>
      <c r="M124" s="6"/>
    </row>
    <row r="125" spans="1:13" ht="13">
      <c r="A125" s="16"/>
      <c r="B125" s="6"/>
      <c r="C125" s="6"/>
      <c r="D125" s="6"/>
      <c r="E125" s="6"/>
      <c r="F125" s="6"/>
      <c r="G125" s="6"/>
      <c r="H125" s="16"/>
      <c r="I125" s="16"/>
      <c r="J125" s="6"/>
      <c r="K125" s="6"/>
      <c r="L125" s="6"/>
      <c r="M125" s="6"/>
    </row>
    <row r="126" spans="1:13" ht="13">
      <c r="A126" s="16"/>
      <c r="B126" s="6"/>
      <c r="C126" s="6"/>
      <c r="D126" s="6"/>
      <c r="E126" s="6"/>
      <c r="F126" s="6"/>
      <c r="G126" s="6"/>
      <c r="H126" s="16"/>
      <c r="I126" s="16"/>
      <c r="J126" s="6"/>
      <c r="K126" s="6"/>
      <c r="L126" s="6"/>
      <c r="M126" s="6"/>
    </row>
    <row r="127" spans="1:13" ht="13">
      <c r="A127" s="16"/>
      <c r="B127" s="6"/>
      <c r="C127" s="6"/>
      <c r="D127" s="6"/>
      <c r="E127" s="6"/>
      <c r="F127" s="6"/>
      <c r="G127" s="6"/>
      <c r="H127" s="16"/>
      <c r="I127" s="16"/>
      <c r="J127" s="6"/>
      <c r="K127" s="6"/>
      <c r="L127" s="6"/>
      <c r="M127" s="6"/>
    </row>
    <row r="128" spans="1:13" ht="13">
      <c r="A128" s="16"/>
      <c r="B128" s="6"/>
      <c r="C128" s="6"/>
      <c r="D128" s="6"/>
      <c r="E128" s="6"/>
      <c r="F128" s="6"/>
      <c r="G128" s="6"/>
      <c r="H128" s="16"/>
      <c r="I128" s="16"/>
      <c r="J128" s="6"/>
      <c r="K128" s="6"/>
      <c r="L128" s="6"/>
      <c r="M128" s="6"/>
    </row>
    <row r="129" spans="1:13" ht="13">
      <c r="A129" s="16"/>
      <c r="B129" s="6"/>
      <c r="C129" s="6"/>
      <c r="D129" s="6"/>
      <c r="E129" s="6"/>
      <c r="F129" s="6"/>
      <c r="G129" s="6"/>
      <c r="H129" s="16"/>
      <c r="I129" s="16"/>
      <c r="J129" s="6"/>
      <c r="K129" s="6"/>
      <c r="L129" s="6"/>
      <c r="M129" s="6"/>
    </row>
    <row r="130" spans="1:13" ht="13">
      <c r="A130" s="16"/>
      <c r="B130" s="6"/>
      <c r="C130" s="6"/>
      <c r="D130" s="6"/>
      <c r="E130" s="6"/>
      <c r="F130" s="6"/>
      <c r="G130" s="6"/>
      <c r="H130" s="16"/>
      <c r="I130" s="16"/>
      <c r="J130" s="6"/>
      <c r="K130" s="6"/>
      <c r="L130" s="6"/>
      <c r="M130" s="6"/>
    </row>
    <row r="131" spans="1:13" ht="13">
      <c r="A131" s="16"/>
      <c r="B131" s="6"/>
      <c r="C131" s="6"/>
      <c r="D131" s="6"/>
      <c r="E131" s="6"/>
      <c r="F131" s="6"/>
      <c r="G131" s="6"/>
      <c r="H131" s="16"/>
      <c r="I131" s="16"/>
      <c r="J131" s="6"/>
      <c r="K131" s="6"/>
      <c r="L131" s="6"/>
      <c r="M131" s="6"/>
    </row>
    <row r="132" spans="1:13" ht="13">
      <c r="A132" s="16"/>
      <c r="B132" s="6"/>
      <c r="C132" s="6"/>
      <c r="D132" s="6"/>
      <c r="E132" s="6"/>
      <c r="F132" s="6"/>
      <c r="G132" s="6"/>
      <c r="H132" s="16"/>
      <c r="I132" s="16"/>
      <c r="J132" s="6"/>
      <c r="K132" s="6"/>
      <c r="L132" s="6"/>
      <c r="M132" s="6"/>
    </row>
    <row r="133" spans="1:13" ht="13">
      <c r="A133" s="16"/>
      <c r="B133" s="6"/>
      <c r="C133" s="6"/>
      <c r="D133" s="6"/>
      <c r="E133" s="6"/>
      <c r="F133" s="6"/>
      <c r="G133" s="6"/>
      <c r="H133" s="16"/>
      <c r="I133" s="16"/>
      <c r="J133" s="6"/>
      <c r="K133" s="6"/>
      <c r="L133" s="6"/>
      <c r="M133" s="6"/>
    </row>
    <row r="134" spans="1:13" ht="13">
      <c r="A134" s="16"/>
      <c r="B134" s="6"/>
      <c r="C134" s="6"/>
      <c r="D134" s="6"/>
      <c r="E134" s="6"/>
      <c r="F134" s="6"/>
      <c r="G134" s="6"/>
      <c r="H134" s="16"/>
      <c r="I134" s="16"/>
      <c r="J134" s="6"/>
      <c r="K134" s="6"/>
      <c r="L134" s="6"/>
      <c r="M134" s="6"/>
    </row>
    <row r="135" spans="1:13" ht="13">
      <c r="A135" s="16"/>
      <c r="B135" s="6"/>
      <c r="C135" s="6"/>
      <c r="D135" s="6"/>
      <c r="E135" s="6"/>
      <c r="F135" s="6"/>
      <c r="G135" s="6"/>
      <c r="H135" s="16"/>
      <c r="I135" s="16"/>
      <c r="J135" s="6"/>
      <c r="K135" s="6"/>
      <c r="L135" s="6"/>
      <c r="M135" s="6"/>
    </row>
    <row r="136" spans="1:13" ht="13">
      <c r="A136" s="16"/>
      <c r="B136" s="6"/>
      <c r="C136" s="6"/>
      <c r="D136" s="6"/>
      <c r="E136" s="6"/>
      <c r="F136" s="6"/>
      <c r="G136" s="6"/>
      <c r="H136" s="16"/>
      <c r="I136" s="16"/>
      <c r="J136" s="6"/>
      <c r="K136" s="6"/>
      <c r="L136" s="6"/>
      <c r="M136" s="6"/>
    </row>
    <row r="137" spans="1:13" ht="13">
      <c r="A137" s="16"/>
      <c r="B137" s="6"/>
      <c r="C137" s="6"/>
      <c r="D137" s="6"/>
      <c r="E137" s="6"/>
      <c r="F137" s="6"/>
      <c r="G137" s="6"/>
      <c r="H137" s="16"/>
      <c r="I137" s="16"/>
      <c r="J137" s="6"/>
      <c r="K137" s="6"/>
      <c r="L137" s="6"/>
      <c r="M137" s="6"/>
    </row>
    <row r="138" spans="1:13" ht="13">
      <c r="A138" s="16"/>
      <c r="B138" s="6"/>
      <c r="C138" s="6"/>
      <c r="D138" s="6"/>
      <c r="E138" s="6"/>
      <c r="F138" s="6"/>
      <c r="G138" s="6"/>
      <c r="H138" s="16"/>
      <c r="I138" s="16"/>
      <c r="J138" s="6"/>
      <c r="K138" s="6"/>
      <c r="L138" s="6"/>
      <c r="M138" s="6"/>
    </row>
    <row r="139" spans="1:13" ht="13">
      <c r="A139" s="16"/>
      <c r="B139" s="6"/>
      <c r="C139" s="6"/>
      <c r="D139" s="6"/>
      <c r="E139" s="6"/>
      <c r="F139" s="6"/>
      <c r="G139" s="6"/>
      <c r="H139" s="16"/>
      <c r="I139" s="16"/>
      <c r="J139" s="6"/>
      <c r="K139" s="6"/>
      <c r="L139" s="6"/>
      <c r="M139" s="6"/>
    </row>
    <row r="140" spans="1:13" ht="13">
      <c r="A140" s="16"/>
      <c r="B140" s="6"/>
      <c r="C140" s="6"/>
      <c r="D140" s="6"/>
      <c r="E140" s="6"/>
      <c r="F140" s="6"/>
      <c r="G140" s="6"/>
      <c r="H140" s="16"/>
      <c r="I140" s="16"/>
      <c r="J140" s="6"/>
      <c r="K140" s="6"/>
      <c r="L140" s="6"/>
      <c r="M140" s="6"/>
    </row>
    <row r="141" spans="1:13" ht="13">
      <c r="A141" s="16"/>
      <c r="B141" s="6"/>
      <c r="C141" s="6"/>
      <c r="D141" s="6"/>
      <c r="E141" s="6"/>
      <c r="F141" s="6"/>
      <c r="G141" s="6"/>
      <c r="H141" s="16"/>
      <c r="I141" s="16"/>
      <c r="J141" s="6"/>
      <c r="K141" s="6"/>
      <c r="L141" s="6"/>
      <c r="M141" s="6"/>
    </row>
    <row r="142" spans="1:13" ht="13">
      <c r="A142" s="16"/>
      <c r="B142" s="6"/>
      <c r="C142" s="6"/>
      <c r="D142" s="6"/>
      <c r="E142" s="6"/>
      <c r="F142" s="6"/>
      <c r="G142" s="6"/>
      <c r="H142" s="16"/>
      <c r="I142" s="16"/>
      <c r="J142" s="6"/>
      <c r="K142" s="6"/>
      <c r="L142" s="6"/>
      <c r="M142" s="6"/>
    </row>
    <row r="143" spans="1:13" ht="13">
      <c r="A143" s="16"/>
      <c r="B143" s="6"/>
      <c r="C143" s="6"/>
      <c r="D143" s="6"/>
      <c r="E143" s="6"/>
      <c r="F143" s="6"/>
      <c r="G143" s="6"/>
      <c r="H143" s="16"/>
      <c r="I143" s="16"/>
      <c r="J143" s="6"/>
      <c r="K143" s="6"/>
      <c r="L143" s="6"/>
      <c r="M143" s="6"/>
    </row>
    <row r="144" spans="1:13" ht="13">
      <c r="A144" s="16"/>
      <c r="B144" s="6"/>
      <c r="C144" s="6"/>
      <c r="D144" s="6"/>
      <c r="E144" s="6"/>
      <c r="F144" s="6"/>
      <c r="G144" s="6"/>
      <c r="H144" s="16"/>
      <c r="I144" s="16"/>
      <c r="J144" s="6"/>
      <c r="K144" s="6"/>
      <c r="L144" s="6"/>
      <c r="M144" s="6"/>
    </row>
    <row r="145" spans="1:13" ht="13">
      <c r="A145" s="16"/>
      <c r="B145" s="6"/>
      <c r="C145" s="6"/>
      <c r="D145" s="6"/>
      <c r="E145" s="6"/>
      <c r="F145" s="6"/>
      <c r="G145" s="6"/>
      <c r="H145" s="16"/>
      <c r="I145" s="16"/>
      <c r="J145" s="6"/>
      <c r="K145" s="6"/>
      <c r="L145" s="6"/>
      <c r="M145" s="6"/>
    </row>
    <row r="146" spans="1:13" ht="13">
      <c r="A146" s="16"/>
      <c r="B146" s="6"/>
      <c r="C146" s="6"/>
      <c r="D146" s="6"/>
      <c r="E146" s="6"/>
      <c r="F146" s="6"/>
      <c r="G146" s="6"/>
      <c r="H146" s="16"/>
      <c r="I146" s="16"/>
      <c r="J146" s="6"/>
      <c r="K146" s="6"/>
      <c r="L146" s="6"/>
      <c r="M146" s="6"/>
    </row>
    <row r="147" spans="1:13" ht="13">
      <c r="A147" s="16"/>
      <c r="B147" s="6"/>
      <c r="C147" s="6"/>
      <c r="D147" s="6"/>
      <c r="E147" s="6"/>
      <c r="F147" s="6"/>
      <c r="G147" s="6"/>
      <c r="H147" s="16"/>
      <c r="I147" s="16"/>
      <c r="J147" s="6"/>
      <c r="K147" s="6"/>
      <c r="L147" s="6"/>
      <c r="M147" s="6"/>
    </row>
    <row r="148" spans="1:13" ht="13">
      <c r="A148" s="16"/>
      <c r="B148" s="6"/>
      <c r="C148" s="6"/>
      <c r="D148" s="6"/>
      <c r="E148" s="6"/>
      <c r="F148" s="6"/>
      <c r="G148" s="6"/>
      <c r="H148" s="16"/>
      <c r="I148" s="16"/>
      <c r="J148" s="6"/>
      <c r="K148" s="6"/>
      <c r="L148" s="6"/>
      <c r="M148" s="6"/>
    </row>
    <row r="149" spans="1:13" ht="13">
      <c r="A149" s="16"/>
      <c r="B149" s="6"/>
      <c r="C149" s="6"/>
      <c r="D149" s="6"/>
      <c r="E149" s="6"/>
      <c r="F149" s="6"/>
      <c r="G149" s="6"/>
      <c r="H149" s="16"/>
      <c r="I149" s="16"/>
      <c r="J149" s="6"/>
      <c r="K149" s="6"/>
      <c r="L149" s="6"/>
      <c r="M149" s="6"/>
    </row>
    <row r="150" spans="1:13" ht="13">
      <c r="A150" s="16"/>
      <c r="B150" s="6"/>
      <c r="C150" s="6"/>
      <c r="D150" s="6"/>
      <c r="E150" s="6"/>
      <c r="F150" s="6"/>
      <c r="G150" s="6"/>
      <c r="H150" s="16"/>
      <c r="I150" s="16"/>
      <c r="J150" s="6"/>
      <c r="K150" s="6"/>
      <c r="L150" s="6"/>
      <c r="M150" s="6"/>
    </row>
    <row r="151" spans="1:13" ht="13">
      <c r="A151" s="16"/>
      <c r="B151" s="6"/>
      <c r="C151" s="6"/>
      <c r="D151" s="6"/>
      <c r="E151" s="6"/>
      <c r="F151" s="6"/>
      <c r="G151" s="6"/>
      <c r="H151" s="16"/>
      <c r="I151" s="16"/>
      <c r="J151" s="6"/>
      <c r="K151" s="6"/>
      <c r="L151" s="6"/>
      <c r="M151" s="6"/>
    </row>
    <row r="152" spans="1:13" ht="13">
      <c r="A152" s="16"/>
      <c r="B152" s="6"/>
      <c r="C152" s="6"/>
      <c r="D152" s="6"/>
      <c r="E152" s="6"/>
      <c r="F152" s="6"/>
      <c r="G152" s="6"/>
      <c r="H152" s="16"/>
      <c r="I152" s="16"/>
      <c r="J152" s="6"/>
      <c r="K152" s="6"/>
      <c r="L152" s="6"/>
      <c r="M152" s="6"/>
    </row>
    <row r="153" spans="1:13" ht="13">
      <c r="A153" s="16"/>
      <c r="B153" s="6"/>
      <c r="C153" s="6"/>
      <c r="D153" s="6"/>
      <c r="E153" s="6"/>
      <c r="F153" s="6"/>
      <c r="G153" s="6"/>
      <c r="H153" s="16"/>
      <c r="I153" s="16"/>
      <c r="J153" s="6"/>
      <c r="K153" s="6"/>
      <c r="L153" s="6"/>
      <c r="M153" s="6"/>
    </row>
    <row r="154" spans="1:13" ht="13">
      <c r="A154" s="16"/>
      <c r="B154" s="6"/>
      <c r="C154" s="6"/>
      <c r="D154" s="6"/>
      <c r="E154" s="6"/>
      <c r="F154" s="6"/>
      <c r="G154" s="6"/>
      <c r="H154" s="16"/>
      <c r="I154" s="16"/>
      <c r="J154" s="6"/>
      <c r="K154" s="6"/>
      <c r="L154" s="6"/>
      <c r="M154" s="6"/>
    </row>
    <row r="155" spans="1:13" ht="13">
      <c r="A155" s="16"/>
      <c r="B155" s="6"/>
      <c r="C155" s="6"/>
      <c r="D155" s="6"/>
      <c r="E155" s="6"/>
      <c r="F155" s="6"/>
      <c r="G155" s="6"/>
      <c r="H155" s="16"/>
      <c r="I155" s="16"/>
      <c r="J155" s="6"/>
      <c r="K155" s="6"/>
      <c r="L155" s="6"/>
      <c r="M155" s="6"/>
    </row>
    <row r="156" spans="1:13" ht="13">
      <c r="A156" s="16"/>
      <c r="B156" s="6"/>
      <c r="C156" s="6"/>
      <c r="D156" s="6"/>
      <c r="E156" s="6"/>
      <c r="F156" s="6"/>
      <c r="G156" s="6"/>
      <c r="H156" s="16"/>
      <c r="I156" s="16"/>
      <c r="J156" s="6"/>
      <c r="K156" s="6"/>
      <c r="L156" s="6"/>
      <c r="M156" s="6"/>
    </row>
    <row r="157" spans="1:13" ht="13">
      <c r="A157" s="16"/>
      <c r="B157" s="6"/>
      <c r="C157" s="6"/>
      <c r="D157" s="6"/>
      <c r="E157" s="6"/>
      <c r="F157" s="6"/>
      <c r="G157" s="6"/>
      <c r="H157" s="16"/>
      <c r="I157" s="16"/>
      <c r="J157" s="6"/>
      <c r="K157" s="6"/>
      <c r="L157" s="6"/>
      <c r="M157" s="6"/>
    </row>
    <row r="158" spans="1:13" ht="13">
      <c r="A158" s="16"/>
      <c r="B158" s="6"/>
      <c r="C158" s="6"/>
      <c r="D158" s="6"/>
      <c r="E158" s="6"/>
      <c r="F158" s="6"/>
      <c r="G158" s="6"/>
      <c r="H158" s="16"/>
      <c r="I158" s="16"/>
      <c r="J158" s="6"/>
      <c r="K158" s="6"/>
      <c r="L158" s="6"/>
      <c r="M158" s="6"/>
    </row>
    <row r="159" spans="1:13" ht="13">
      <c r="A159" s="16"/>
      <c r="B159" s="6"/>
      <c r="C159" s="6"/>
      <c r="D159" s="6"/>
      <c r="E159" s="6"/>
      <c r="F159" s="6"/>
      <c r="G159" s="6"/>
      <c r="H159" s="16"/>
      <c r="I159" s="16"/>
      <c r="J159" s="6"/>
      <c r="K159" s="6"/>
      <c r="L159" s="6"/>
      <c r="M159" s="6"/>
    </row>
    <row r="160" spans="1:13" ht="13">
      <c r="A160" s="16"/>
      <c r="B160" s="6"/>
      <c r="C160" s="6"/>
      <c r="D160" s="6"/>
      <c r="E160" s="6"/>
      <c r="F160" s="6"/>
      <c r="G160" s="6"/>
      <c r="H160" s="16"/>
      <c r="I160" s="16"/>
      <c r="J160" s="6"/>
      <c r="K160" s="6"/>
      <c r="L160" s="6"/>
      <c r="M160" s="6"/>
    </row>
    <row r="161" spans="1:13" ht="13">
      <c r="A161" s="16"/>
      <c r="B161" s="6"/>
      <c r="C161" s="6"/>
      <c r="D161" s="6"/>
      <c r="E161" s="6"/>
      <c r="F161" s="6"/>
      <c r="G161" s="6"/>
      <c r="H161" s="16"/>
      <c r="I161" s="16"/>
      <c r="J161" s="6"/>
      <c r="K161" s="6"/>
      <c r="L161" s="6"/>
      <c r="M161" s="6"/>
    </row>
    <row r="162" spans="1:13" ht="13">
      <c r="A162" s="16"/>
      <c r="B162" s="6"/>
      <c r="C162" s="6"/>
      <c r="D162" s="6"/>
      <c r="E162" s="6"/>
      <c r="F162" s="6"/>
      <c r="G162" s="6"/>
      <c r="H162" s="16"/>
      <c r="I162" s="16"/>
      <c r="J162" s="6"/>
      <c r="K162" s="6"/>
      <c r="L162" s="6"/>
      <c r="M162" s="6"/>
    </row>
    <row r="163" spans="1:13" ht="13">
      <c r="A163" s="16"/>
      <c r="B163" s="6"/>
      <c r="C163" s="6"/>
      <c r="D163" s="6"/>
      <c r="E163" s="6"/>
      <c r="F163" s="6"/>
      <c r="G163" s="6"/>
      <c r="H163" s="16"/>
      <c r="I163" s="16"/>
      <c r="J163" s="6"/>
      <c r="K163" s="6"/>
      <c r="L163" s="6"/>
      <c r="M163" s="6"/>
    </row>
    <row r="164" spans="1:13" ht="13">
      <c r="A164" s="16"/>
      <c r="B164" s="6"/>
      <c r="C164" s="6"/>
      <c r="D164" s="6"/>
      <c r="E164" s="6"/>
      <c r="F164" s="6"/>
      <c r="G164" s="6"/>
      <c r="H164" s="16"/>
      <c r="I164" s="16"/>
      <c r="J164" s="6"/>
      <c r="K164" s="6"/>
      <c r="L164" s="6"/>
      <c r="M164" s="6"/>
    </row>
    <row r="165" spans="1:13" ht="13">
      <c r="A165" s="16"/>
      <c r="B165" s="6"/>
      <c r="C165" s="6"/>
      <c r="D165" s="6"/>
      <c r="E165" s="6"/>
      <c r="F165" s="6"/>
      <c r="G165" s="6"/>
      <c r="H165" s="16"/>
      <c r="I165" s="16"/>
      <c r="J165" s="6"/>
      <c r="K165" s="6"/>
      <c r="L165" s="6"/>
      <c r="M165" s="6"/>
    </row>
    <row r="166" spans="1:13" ht="13">
      <c r="A166" s="16"/>
      <c r="B166" s="6"/>
      <c r="C166" s="6"/>
      <c r="D166" s="6"/>
      <c r="E166" s="6"/>
      <c r="F166" s="6"/>
      <c r="G166" s="6"/>
      <c r="H166" s="16"/>
      <c r="I166" s="16"/>
      <c r="J166" s="6"/>
      <c r="K166" s="6"/>
      <c r="L166" s="6"/>
      <c r="M166" s="6"/>
    </row>
    <row r="167" spans="1:13" ht="13">
      <c r="A167" s="16"/>
      <c r="B167" s="6"/>
      <c r="C167" s="6"/>
      <c r="D167" s="6"/>
      <c r="E167" s="6"/>
      <c r="F167" s="6"/>
      <c r="G167" s="6"/>
      <c r="H167" s="16"/>
      <c r="I167" s="16"/>
      <c r="J167" s="6"/>
      <c r="K167" s="6"/>
      <c r="L167" s="6"/>
      <c r="M167" s="6"/>
    </row>
    <row r="168" spans="1:13" ht="13">
      <c r="A168" s="16"/>
      <c r="B168" s="6"/>
      <c r="C168" s="6"/>
      <c r="D168" s="6"/>
      <c r="E168" s="6"/>
      <c r="F168" s="6"/>
      <c r="G168" s="6"/>
      <c r="H168" s="16"/>
      <c r="I168" s="16"/>
      <c r="J168" s="6"/>
      <c r="K168" s="6"/>
      <c r="L168" s="6"/>
      <c r="M168" s="6"/>
    </row>
    <row r="169" spans="1:13" ht="13">
      <c r="A169" s="16"/>
      <c r="B169" s="6"/>
      <c r="C169" s="6"/>
      <c r="D169" s="6"/>
      <c r="E169" s="6"/>
      <c r="F169" s="6"/>
      <c r="G169" s="6"/>
      <c r="H169" s="16"/>
      <c r="I169" s="16"/>
      <c r="J169" s="6"/>
      <c r="K169" s="6"/>
      <c r="L169" s="6"/>
      <c r="M169" s="6"/>
    </row>
    <row r="170" spans="1:13" ht="13">
      <c r="A170" s="16"/>
      <c r="B170" s="6"/>
      <c r="C170" s="6"/>
      <c r="D170" s="6"/>
      <c r="E170" s="6"/>
      <c r="F170" s="6"/>
      <c r="G170" s="6"/>
      <c r="H170" s="16"/>
      <c r="I170" s="16"/>
      <c r="J170" s="6"/>
      <c r="K170" s="6"/>
      <c r="L170" s="6"/>
      <c r="M170" s="6"/>
    </row>
    <row r="171" spans="1:13" ht="13">
      <c r="A171" s="16"/>
      <c r="B171" s="6"/>
      <c r="C171" s="6"/>
      <c r="D171" s="6"/>
      <c r="E171" s="6"/>
      <c r="F171" s="6"/>
      <c r="G171" s="6"/>
      <c r="H171" s="16"/>
      <c r="I171" s="16"/>
      <c r="J171" s="6"/>
      <c r="K171" s="6"/>
      <c r="L171" s="6"/>
      <c r="M171" s="6"/>
    </row>
    <row r="172" spans="1:13" ht="13">
      <c r="A172" s="16"/>
      <c r="B172" s="6"/>
      <c r="C172" s="6"/>
      <c r="D172" s="6"/>
      <c r="E172" s="6"/>
      <c r="F172" s="6"/>
      <c r="G172" s="6"/>
      <c r="H172" s="16"/>
      <c r="I172" s="16"/>
      <c r="J172" s="6"/>
      <c r="K172" s="6"/>
      <c r="L172" s="6"/>
      <c r="M172" s="6"/>
    </row>
    <row r="173" spans="1:13" ht="13">
      <c r="A173" s="16"/>
      <c r="B173" s="6"/>
      <c r="C173" s="6"/>
      <c r="D173" s="6"/>
      <c r="E173" s="6"/>
      <c r="F173" s="6"/>
      <c r="G173" s="6"/>
      <c r="H173" s="16"/>
      <c r="I173" s="16"/>
      <c r="J173" s="6"/>
      <c r="K173" s="6"/>
      <c r="L173" s="6"/>
      <c r="M173" s="6"/>
    </row>
    <row r="174" spans="1:13" ht="13">
      <c r="A174" s="16"/>
      <c r="B174" s="6"/>
      <c r="C174" s="6"/>
      <c r="D174" s="6"/>
      <c r="E174" s="6"/>
      <c r="F174" s="6"/>
      <c r="G174" s="6"/>
      <c r="H174" s="16"/>
      <c r="I174" s="16"/>
      <c r="J174" s="6"/>
      <c r="K174" s="6"/>
      <c r="L174" s="6"/>
      <c r="M174" s="6"/>
    </row>
    <row r="175" spans="1:13" ht="13">
      <c r="A175" s="16"/>
      <c r="B175" s="6"/>
      <c r="C175" s="6"/>
      <c r="D175" s="6"/>
      <c r="E175" s="6"/>
      <c r="F175" s="6"/>
      <c r="G175" s="6"/>
      <c r="H175" s="16"/>
      <c r="I175" s="16"/>
      <c r="J175" s="6"/>
      <c r="K175" s="6"/>
      <c r="L175" s="6"/>
      <c r="M175" s="6"/>
    </row>
    <row r="176" spans="1:13" ht="13">
      <c r="A176" s="16"/>
      <c r="B176" s="6"/>
      <c r="C176" s="6"/>
      <c r="D176" s="6"/>
      <c r="E176" s="6"/>
      <c r="F176" s="6"/>
      <c r="G176" s="6"/>
      <c r="H176" s="16"/>
      <c r="I176" s="16"/>
      <c r="J176" s="6"/>
      <c r="K176" s="6"/>
      <c r="L176" s="6"/>
      <c r="M176" s="6"/>
    </row>
    <row r="177" spans="1:13" ht="13">
      <c r="A177" s="16"/>
      <c r="B177" s="6"/>
      <c r="C177" s="6"/>
      <c r="D177" s="6"/>
      <c r="E177" s="6"/>
      <c r="F177" s="6"/>
      <c r="G177" s="6"/>
      <c r="H177" s="16"/>
      <c r="I177" s="16"/>
      <c r="J177" s="6"/>
      <c r="K177" s="6"/>
      <c r="L177" s="6"/>
      <c r="M177" s="6"/>
    </row>
    <row r="178" spans="1:13" ht="13">
      <c r="A178" s="16"/>
      <c r="B178" s="6"/>
      <c r="C178" s="6"/>
      <c r="D178" s="6"/>
      <c r="E178" s="6"/>
      <c r="F178" s="6"/>
      <c r="G178" s="6"/>
      <c r="H178" s="16"/>
      <c r="I178" s="16"/>
      <c r="J178" s="6"/>
      <c r="K178" s="6"/>
      <c r="L178" s="6"/>
      <c r="M178" s="6"/>
    </row>
    <row r="179" spans="1:13" ht="13">
      <c r="A179" s="16"/>
      <c r="B179" s="6"/>
      <c r="C179" s="6"/>
      <c r="D179" s="6"/>
      <c r="E179" s="6"/>
      <c r="F179" s="6"/>
      <c r="G179" s="6"/>
      <c r="H179" s="16"/>
      <c r="I179" s="16"/>
      <c r="J179" s="6"/>
      <c r="K179" s="6"/>
      <c r="L179" s="6"/>
      <c r="M179" s="6"/>
    </row>
    <row r="180" spans="1:13" ht="13">
      <c r="A180" s="16"/>
      <c r="B180" s="6"/>
      <c r="C180" s="6"/>
      <c r="D180" s="6"/>
      <c r="E180" s="6"/>
      <c r="F180" s="6"/>
      <c r="G180" s="6"/>
      <c r="H180" s="16"/>
      <c r="I180" s="16"/>
      <c r="J180" s="6"/>
      <c r="K180" s="6"/>
      <c r="L180" s="6"/>
      <c r="M180" s="6"/>
    </row>
    <row r="181" spans="1:13" ht="13">
      <c r="A181" s="16"/>
      <c r="B181" s="6"/>
      <c r="C181" s="6"/>
      <c r="D181" s="6"/>
      <c r="E181" s="6"/>
      <c r="F181" s="6"/>
      <c r="G181" s="6"/>
      <c r="H181" s="16"/>
      <c r="I181" s="16"/>
      <c r="J181" s="6"/>
      <c r="K181" s="6"/>
      <c r="L181" s="6"/>
      <c r="M181" s="6"/>
    </row>
    <row r="182" spans="1:13" ht="13">
      <c r="A182" s="16"/>
      <c r="B182" s="6"/>
      <c r="C182" s="6"/>
      <c r="D182" s="6"/>
      <c r="E182" s="6"/>
      <c r="F182" s="6"/>
      <c r="G182" s="6"/>
      <c r="H182" s="16"/>
      <c r="I182" s="16"/>
      <c r="J182" s="6"/>
      <c r="K182" s="6"/>
      <c r="L182" s="6"/>
      <c r="M182" s="6"/>
    </row>
    <row r="183" spans="1:13" ht="13">
      <c r="A183" s="16"/>
      <c r="B183" s="6"/>
      <c r="C183" s="6"/>
      <c r="D183" s="6"/>
      <c r="E183" s="6"/>
      <c r="F183" s="6"/>
      <c r="G183" s="6"/>
      <c r="H183" s="16"/>
      <c r="I183" s="16"/>
      <c r="J183" s="6"/>
      <c r="K183" s="6"/>
      <c r="L183" s="6"/>
      <c r="M183" s="6"/>
    </row>
    <row r="184" spans="1:13" ht="13">
      <c r="A184" s="16"/>
      <c r="B184" s="6"/>
      <c r="C184" s="6"/>
      <c r="D184" s="6"/>
      <c r="E184" s="6"/>
      <c r="F184" s="6"/>
      <c r="G184" s="6"/>
      <c r="H184" s="16"/>
      <c r="I184" s="16"/>
      <c r="J184" s="6"/>
      <c r="K184" s="6"/>
      <c r="L184" s="6"/>
      <c r="M184" s="6"/>
    </row>
    <row r="185" spans="1:13" ht="13">
      <c r="A185" s="16"/>
      <c r="B185" s="6"/>
      <c r="C185" s="6"/>
      <c r="D185" s="6"/>
      <c r="E185" s="6"/>
      <c r="F185" s="6"/>
      <c r="G185" s="6"/>
      <c r="H185" s="16"/>
      <c r="I185" s="16"/>
      <c r="J185" s="6"/>
      <c r="K185" s="6"/>
      <c r="L185" s="6"/>
      <c r="M185" s="6"/>
    </row>
    <row r="186" spans="1:13" ht="13">
      <c r="A186" s="16"/>
      <c r="B186" s="6"/>
      <c r="C186" s="6"/>
      <c r="D186" s="6"/>
      <c r="E186" s="6"/>
      <c r="F186" s="6"/>
      <c r="G186" s="6"/>
      <c r="H186" s="16"/>
      <c r="I186" s="16"/>
      <c r="J186" s="6"/>
      <c r="K186" s="6"/>
      <c r="L186" s="6"/>
      <c r="M186" s="6"/>
    </row>
    <row r="187" spans="1:13" ht="13">
      <c r="A187" s="16"/>
      <c r="B187" s="6"/>
      <c r="C187" s="6"/>
      <c r="D187" s="6"/>
      <c r="E187" s="6"/>
      <c r="F187" s="6"/>
      <c r="G187" s="6"/>
      <c r="H187" s="16"/>
      <c r="I187" s="16"/>
      <c r="J187" s="6"/>
      <c r="K187" s="6"/>
      <c r="L187" s="6"/>
      <c r="M187" s="6"/>
    </row>
    <row r="188" spans="1:13" ht="13">
      <c r="A188" s="16"/>
      <c r="B188" s="6"/>
      <c r="C188" s="6"/>
      <c r="D188" s="6"/>
      <c r="E188" s="6"/>
      <c r="F188" s="6"/>
      <c r="G188" s="6"/>
      <c r="H188" s="16"/>
      <c r="I188" s="16"/>
      <c r="J188" s="6"/>
      <c r="K188" s="6"/>
      <c r="L188" s="6"/>
      <c r="M188" s="6"/>
    </row>
    <row r="189" spans="1:13" ht="13">
      <c r="A189" s="16"/>
      <c r="B189" s="6"/>
      <c r="C189" s="6"/>
      <c r="D189" s="6"/>
      <c r="E189" s="6"/>
      <c r="F189" s="6"/>
      <c r="G189" s="6"/>
      <c r="H189" s="16"/>
      <c r="I189" s="16"/>
      <c r="J189" s="6"/>
      <c r="K189" s="6"/>
      <c r="L189" s="6"/>
      <c r="M189" s="6"/>
    </row>
    <row r="190" spans="1:13" ht="13">
      <c r="A190" s="16"/>
      <c r="B190" s="6"/>
      <c r="C190" s="6"/>
      <c r="D190" s="6"/>
      <c r="E190" s="6"/>
      <c r="F190" s="6"/>
      <c r="G190" s="6"/>
      <c r="H190" s="16"/>
      <c r="I190" s="16"/>
      <c r="J190" s="6"/>
      <c r="K190" s="6"/>
      <c r="L190" s="6"/>
      <c r="M190" s="6"/>
    </row>
    <row r="191" spans="1:13" ht="13">
      <c r="A191" s="16"/>
      <c r="B191" s="6"/>
      <c r="C191" s="6"/>
      <c r="D191" s="6"/>
      <c r="E191" s="6"/>
      <c r="F191" s="6"/>
      <c r="G191" s="6"/>
      <c r="H191" s="16"/>
      <c r="I191" s="16"/>
      <c r="J191" s="6"/>
      <c r="K191" s="6"/>
      <c r="L191" s="6"/>
      <c r="M191" s="6"/>
    </row>
    <row r="192" spans="1:13" ht="13">
      <c r="A192" s="16"/>
      <c r="B192" s="6"/>
      <c r="C192" s="6"/>
      <c r="D192" s="6"/>
      <c r="E192" s="6"/>
      <c r="F192" s="6"/>
      <c r="G192" s="6"/>
      <c r="H192" s="16"/>
      <c r="I192" s="16"/>
      <c r="J192" s="6"/>
      <c r="K192" s="6"/>
      <c r="L192" s="6"/>
      <c r="M192" s="6"/>
    </row>
    <row r="193" spans="1:13" ht="13">
      <c r="A193" s="16"/>
      <c r="B193" s="6"/>
      <c r="C193" s="6"/>
      <c r="D193" s="6"/>
      <c r="E193" s="6"/>
      <c r="F193" s="6"/>
      <c r="G193" s="6"/>
      <c r="H193" s="16"/>
      <c r="I193" s="16"/>
      <c r="J193" s="6"/>
      <c r="K193" s="6"/>
      <c r="L193" s="6"/>
      <c r="M193" s="6"/>
    </row>
    <row r="194" spans="1:13" ht="13">
      <c r="A194" s="16"/>
      <c r="B194" s="6"/>
      <c r="C194" s="6"/>
      <c r="D194" s="6"/>
      <c r="E194" s="6"/>
      <c r="F194" s="6"/>
      <c r="G194" s="6"/>
      <c r="H194" s="16"/>
      <c r="I194" s="16"/>
      <c r="J194" s="6"/>
      <c r="K194" s="6"/>
      <c r="L194" s="6"/>
      <c r="M194" s="6"/>
    </row>
    <row r="195" spans="1:13" ht="13">
      <c r="A195" s="16"/>
      <c r="B195" s="6"/>
      <c r="C195" s="6"/>
      <c r="D195" s="6"/>
      <c r="E195" s="6"/>
      <c r="F195" s="6"/>
      <c r="G195" s="6"/>
      <c r="H195" s="16"/>
      <c r="I195" s="16"/>
      <c r="J195" s="6"/>
      <c r="K195" s="6"/>
      <c r="L195" s="6"/>
      <c r="M195" s="6"/>
    </row>
    <row r="196" spans="1:13" ht="13">
      <c r="A196" s="16"/>
      <c r="B196" s="6"/>
      <c r="C196" s="6"/>
      <c r="D196" s="6"/>
      <c r="E196" s="6"/>
      <c r="F196" s="6"/>
      <c r="G196" s="6"/>
      <c r="H196" s="16"/>
      <c r="I196" s="16"/>
      <c r="J196" s="6"/>
      <c r="K196" s="6"/>
      <c r="L196" s="6"/>
      <c r="M196" s="6"/>
    </row>
    <row r="197" spans="1:13" ht="13">
      <c r="A197" s="16"/>
      <c r="B197" s="6"/>
      <c r="C197" s="6"/>
      <c r="D197" s="6"/>
      <c r="E197" s="6"/>
      <c r="F197" s="6"/>
      <c r="G197" s="6"/>
      <c r="H197" s="16"/>
      <c r="I197" s="16"/>
      <c r="J197" s="6"/>
      <c r="K197" s="6"/>
      <c r="L197" s="6"/>
      <c r="M197" s="6"/>
    </row>
    <row r="198" spans="1:13" ht="13">
      <c r="A198" s="16"/>
      <c r="B198" s="6"/>
      <c r="C198" s="6"/>
      <c r="D198" s="6"/>
      <c r="E198" s="6"/>
      <c r="F198" s="6"/>
      <c r="G198" s="6"/>
      <c r="H198" s="16"/>
      <c r="I198" s="16"/>
      <c r="J198" s="6"/>
      <c r="K198" s="6"/>
      <c r="L198" s="6"/>
      <c r="M198" s="6"/>
    </row>
    <row r="199" spans="1:13" ht="13">
      <c r="A199" s="16"/>
      <c r="B199" s="6"/>
      <c r="C199" s="6"/>
      <c r="D199" s="6"/>
      <c r="E199" s="6"/>
      <c r="F199" s="6"/>
      <c r="G199" s="6"/>
      <c r="H199" s="16"/>
      <c r="I199" s="16"/>
      <c r="J199" s="6"/>
      <c r="K199" s="6"/>
      <c r="L199" s="6"/>
      <c r="M199" s="6"/>
    </row>
    <row r="200" spans="1:13" ht="13">
      <c r="A200" s="16"/>
      <c r="B200" s="6"/>
      <c r="C200" s="6"/>
      <c r="D200" s="6"/>
      <c r="E200" s="6"/>
      <c r="F200" s="6"/>
      <c r="G200" s="6"/>
      <c r="H200" s="16"/>
      <c r="I200" s="16"/>
      <c r="J200" s="6"/>
      <c r="K200" s="6"/>
      <c r="L200" s="6"/>
      <c r="M200" s="6"/>
    </row>
    <row r="201" spans="1:13" ht="13">
      <c r="A201" s="16"/>
      <c r="B201" s="6"/>
      <c r="C201" s="6"/>
      <c r="D201" s="6"/>
      <c r="E201" s="6"/>
      <c r="F201" s="6"/>
      <c r="G201" s="6"/>
      <c r="H201" s="16"/>
      <c r="I201" s="16"/>
      <c r="J201" s="6"/>
      <c r="K201" s="6"/>
      <c r="L201" s="6"/>
      <c r="M201" s="6"/>
    </row>
    <row r="202" spans="1:13" ht="13">
      <c r="A202" s="16"/>
      <c r="B202" s="6"/>
      <c r="C202" s="6"/>
      <c r="D202" s="6"/>
      <c r="E202" s="6"/>
      <c r="F202" s="6"/>
      <c r="G202" s="6"/>
      <c r="H202" s="16"/>
      <c r="I202" s="16"/>
      <c r="J202" s="6"/>
      <c r="K202" s="6"/>
      <c r="L202" s="6"/>
      <c r="M202" s="6"/>
    </row>
    <row r="203" spans="1:13" ht="13">
      <c r="A203" s="16"/>
      <c r="B203" s="6"/>
      <c r="C203" s="6"/>
      <c r="D203" s="6"/>
      <c r="E203" s="6"/>
      <c r="F203" s="6"/>
      <c r="G203" s="6"/>
      <c r="H203" s="16"/>
      <c r="I203" s="16"/>
      <c r="J203" s="6"/>
      <c r="K203" s="6"/>
      <c r="L203" s="6"/>
      <c r="M203" s="6"/>
    </row>
    <row r="204" spans="1:13" ht="13">
      <c r="A204" s="16"/>
      <c r="B204" s="6"/>
      <c r="C204" s="6"/>
      <c r="D204" s="6"/>
      <c r="E204" s="6"/>
      <c r="F204" s="6"/>
      <c r="G204" s="6"/>
      <c r="H204" s="16"/>
      <c r="I204" s="16"/>
      <c r="J204" s="6"/>
      <c r="K204" s="6"/>
      <c r="L204" s="6"/>
      <c r="M204" s="6"/>
    </row>
    <row r="205" spans="1:13" ht="13">
      <c r="A205" s="16"/>
      <c r="B205" s="6"/>
      <c r="C205" s="6"/>
      <c r="D205" s="6"/>
      <c r="E205" s="6"/>
      <c r="F205" s="6"/>
      <c r="G205" s="6"/>
      <c r="H205" s="16"/>
      <c r="I205" s="16"/>
      <c r="J205" s="6"/>
      <c r="K205" s="6"/>
      <c r="L205" s="6"/>
      <c r="M205" s="6"/>
    </row>
    <row r="206" spans="1:13" ht="13">
      <c r="A206" s="16"/>
      <c r="B206" s="6"/>
      <c r="C206" s="6"/>
      <c r="D206" s="6"/>
      <c r="E206" s="6"/>
      <c r="F206" s="6"/>
      <c r="G206" s="6"/>
      <c r="H206" s="16"/>
      <c r="I206" s="16"/>
      <c r="J206" s="6"/>
      <c r="K206" s="6"/>
      <c r="L206" s="6"/>
      <c r="M206" s="6"/>
    </row>
    <row r="207" spans="1:13" ht="13">
      <c r="A207" s="16"/>
      <c r="B207" s="6"/>
      <c r="C207" s="6"/>
      <c r="D207" s="6"/>
      <c r="E207" s="6"/>
      <c r="F207" s="6"/>
      <c r="G207" s="6"/>
      <c r="H207" s="16"/>
      <c r="I207" s="16"/>
      <c r="J207" s="6"/>
      <c r="K207" s="6"/>
      <c r="L207" s="6"/>
      <c r="M207" s="6"/>
    </row>
    <row r="208" spans="1:13" ht="13">
      <c r="A208" s="16"/>
      <c r="B208" s="6"/>
      <c r="C208" s="6"/>
      <c r="D208" s="6"/>
      <c r="E208" s="6"/>
      <c r="F208" s="6"/>
      <c r="G208" s="6"/>
      <c r="H208" s="16"/>
      <c r="I208" s="16"/>
      <c r="J208" s="6"/>
      <c r="K208" s="6"/>
      <c r="L208" s="6"/>
      <c r="M208" s="6"/>
    </row>
    <row r="209" spans="1:13" ht="13">
      <c r="A209" s="16"/>
      <c r="B209" s="6"/>
      <c r="C209" s="6"/>
      <c r="D209" s="6"/>
      <c r="E209" s="6"/>
      <c r="F209" s="6"/>
      <c r="G209" s="6"/>
      <c r="H209" s="16"/>
      <c r="I209" s="16"/>
      <c r="J209" s="6"/>
      <c r="K209" s="6"/>
      <c r="L209" s="6"/>
      <c r="M209" s="6"/>
    </row>
    <row r="210" spans="1:13" ht="13">
      <c r="A210" s="16"/>
      <c r="B210" s="6"/>
      <c r="C210" s="6"/>
      <c r="D210" s="6"/>
      <c r="E210" s="6"/>
      <c r="F210" s="6"/>
      <c r="G210" s="6"/>
      <c r="H210" s="16"/>
      <c r="I210" s="16"/>
      <c r="J210" s="6"/>
      <c r="K210" s="6"/>
      <c r="L210" s="6"/>
      <c r="M210" s="6"/>
    </row>
    <row r="211" spans="1:13" ht="13">
      <c r="A211" s="16"/>
      <c r="B211" s="6"/>
      <c r="C211" s="6"/>
      <c r="D211" s="6"/>
      <c r="E211" s="6"/>
      <c r="F211" s="6"/>
      <c r="G211" s="6"/>
      <c r="H211" s="16"/>
      <c r="I211" s="16"/>
      <c r="J211" s="6"/>
      <c r="K211" s="6"/>
      <c r="L211" s="6"/>
      <c r="M211" s="6"/>
    </row>
    <row r="212" spans="1:13" ht="13">
      <c r="A212" s="16"/>
      <c r="B212" s="6"/>
      <c r="C212" s="6"/>
      <c r="D212" s="6"/>
      <c r="E212" s="6"/>
      <c r="F212" s="6"/>
      <c r="G212" s="6"/>
      <c r="H212" s="16"/>
      <c r="I212" s="16"/>
      <c r="J212" s="6"/>
      <c r="K212" s="6"/>
      <c r="L212" s="6"/>
      <c r="M212" s="6"/>
    </row>
    <row r="213" spans="1:13" ht="13">
      <c r="A213" s="16"/>
      <c r="B213" s="6"/>
      <c r="C213" s="6"/>
      <c r="D213" s="6"/>
      <c r="E213" s="6"/>
      <c r="F213" s="6"/>
      <c r="G213" s="6"/>
      <c r="H213" s="16"/>
      <c r="I213" s="16"/>
      <c r="J213" s="6"/>
      <c r="K213" s="6"/>
      <c r="L213" s="6"/>
      <c r="M213" s="6"/>
    </row>
    <row r="214" spans="1:13" ht="13">
      <c r="A214" s="16"/>
      <c r="B214" s="6"/>
      <c r="C214" s="6"/>
      <c r="D214" s="6"/>
      <c r="E214" s="6"/>
      <c r="F214" s="6"/>
      <c r="G214" s="6"/>
      <c r="H214" s="16"/>
      <c r="I214" s="16"/>
      <c r="J214" s="6"/>
      <c r="K214" s="6"/>
      <c r="L214" s="6"/>
      <c r="M214" s="6"/>
    </row>
    <row r="215" spans="1:13" ht="13">
      <c r="A215" s="16"/>
      <c r="B215" s="6"/>
      <c r="C215" s="6"/>
      <c r="D215" s="6"/>
      <c r="E215" s="6"/>
      <c r="F215" s="6"/>
      <c r="G215" s="6"/>
      <c r="H215" s="16"/>
      <c r="I215" s="16"/>
      <c r="J215" s="6"/>
      <c r="K215" s="6"/>
      <c r="L215" s="6"/>
      <c r="M215" s="6"/>
    </row>
    <row r="216" spans="1:13" ht="13">
      <c r="A216" s="16"/>
      <c r="B216" s="6"/>
      <c r="C216" s="6"/>
      <c r="D216" s="6"/>
      <c r="E216" s="6"/>
      <c r="F216" s="6"/>
      <c r="G216" s="6"/>
      <c r="H216" s="16"/>
      <c r="I216" s="16"/>
      <c r="J216" s="6"/>
      <c r="K216" s="6"/>
      <c r="L216" s="6"/>
      <c r="M216" s="6"/>
    </row>
    <row r="217" spans="1:13" ht="13">
      <c r="A217" s="16"/>
      <c r="B217" s="6"/>
      <c r="C217" s="6"/>
      <c r="D217" s="6"/>
      <c r="E217" s="6"/>
      <c r="F217" s="6"/>
      <c r="G217" s="6"/>
      <c r="H217" s="16"/>
      <c r="I217" s="16"/>
      <c r="J217" s="6"/>
      <c r="K217" s="6"/>
      <c r="L217" s="6"/>
      <c r="M217" s="6"/>
    </row>
    <row r="218" spans="1:13" ht="13">
      <c r="A218" s="16"/>
      <c r="B218" s="6"/>
      <c r="C218" s="6"/>
      <c r="D218" s="6"/>
      <c r="E218" s="6"/>
      <c r="F218" s="6"/>
      <c r="G218" s="6"/>
      <c r="H218" s="16"/>
      <c r="I218" s="16"/>
      <c r="J218" s="6"/>
      <c r="K218" s="6"/>
      <c r="L218" s="6"/>
      <c r="M218" s="6"/>
    </row>
    <row r="219" spans="1:13" ht="13">
      <c r="A219" s="16"/>
      <c r="B219" s="6"/>
      <c r="C219" s="6"/>
      <c r="D219" s="6"/>
      <c r="E219" s="6"/>
      <c r="F219" s="6"/>
      <c r="G219" s="6"/>
      <c r="H219" s="16"/>
      <c r="I219" s="16"/>
      <c r="J219" s="6"/>
      <c r="K219" s="6"/>
      <c r="L219" s="6"/>
      <c r="M219" s="6"/>
    </row>
    <row r="220" spans="1:13" ht="13">
      <c r="A220" s="16"/>
      <c r="B220" s="6"/>
      <c r="C220" s="6"/>
      <c r="D220" s="6"/>
      <c r="E220" s="6"/>
      <c r="F220" s="6"/>
      <c r="G220" s="6"/>
      <c r="H220" s="16"/>
      <c r="I220" s="16"/>
      <c r="J220" s="6"/>
      <c r="K220" s="6"/>
      <c r="L220" s="6"/>
      <c r="M220" s="6"/>
    </row>
    <row r="221" spans="1:13" ht="13">
      <c r="A221" s="16"/>
      <c r="B221" s="6"/>
      <c r="C221" s="6"/>
      <c r="D221" s="6"/>
      <c r="E221" s="6"/>
      <c r="F221" s="6"/>
      <c r="G221" s="6"/>
      <c r="H221" s="16"/>
      <c r="I221" s="16"/>
      <c r="J221" s="6"/>
      <c r="K221" s="6"/>
      <c r="L221" s="6"/>
      <c r="M221" s="6"/>
    </row>
    <row r="222" spans="1:13" ht="13">
      <c r="A222" s="16"/>
      <c r="B222" s="6"/>
      <c r="C222" s="6"/>
      <c r="D222" s="6"/>
      <c r="E222" s="6"/>
      <c r="F222" s="6"/>
      <c r="G222" s="6"/>
      <c r="H222" s="16"/>
      <c r="I222" s="16"/>
      <c r="J222" s="6"/>
      <c r="K222" s="6"/>
      <c r="L222" s="6"/>
      <c r="M222" s="6"/>
    </row>
    <row r="223" spans="1:13" ht="13">
      <c r="A223" s="16"/>
      <c r="B223" s="6"/>
      <c r="C223" s="6"/>
      <c r="D223" s="6"/>
      <c r="E223" s="6"/>
      <c r="F223" s="6"/>
      <c r="G223" s="6"/>
      <c r="H223" s="16"/>
      <c r="I223" s="16"/>
      <c r="J223" s="6"/>
      <c r="K223" s="6"/>
      <c r="L223" s="6"/>
      <c r="M223" s="6"/>
    </row>
    <row r="224" spans="1:13" ht="13">
      <c r="A224" s="16"/>
      <c r="B224" s="6"/>
      <c r="C224" s="6"/>
      <c r="D224" s="6"/>
      <c r="E224" s="6"/>
      <c r="F224" s="6"/>
      <c r="G224" s="6"/>
      <c r="H224" s="16"/>
      <c r="I224" s="16"/>
      <c r="J224" s="6"/>
      <c r="K224" s="6"/>
      <c r="L224" s="6"/>
      <c r="M224" s="6"/>
    </row>
    <row r="225" spans="1:13" ht="13">
      <c r="A225" s="16"/>
      <c r="B225" s="6"/>
      <c r="C225" s="6"/>
      <c r="D225" s="6"/>
      <c r="E225" s="6"/>
      <c r="F225" s="6"/>
      <c r="G225" s="6"/>
      <c r="H225" s="16"/>
      <c r="I225" s="16"/>
      <c r="J225" s="6"/>
      <c r="K225" s="6"/>
      <c r="L225" s="6"/>
      <c r="M225" s="6"/>
    </row>
    <row r="226" spans="1:13" ht="13">
      <c r="A226" s="16"/>
      <c r="B226" s="6"/>
      <c r="C226" s="6"/>
      <c r="D226" s="6"/>
      <c r="E226" s="6"/>
      <c r="F226" s="6"/>
      <c r="G226" s="6"/>
      <c r="H226" s="16"/>
      <c r="I226" s="16"/>
      <c r="J226" s="6"/>
      <c r="K226" s="6"/>
      <c r="L226" s="6"/>
      <c r="M226" s="6"/>
    </row>
    <row r="227" spans="1:13" ht="13">
      <c r="A227" s="16"/>
      <c r="B227" s="6"/>
      <c r="C227" s="6"/>
      <c r="D227" s="6"/>
      <c r="E227" s="6"/>
      <c r="F227" s="6"/>
      <c r="G227" s="6"/>
      <c r="H227" s="16"/>
      <c r="I227" s="16"/>
      <c r="J227" s="6"/>
      <c r="K227" s="6"/>
      <c r="L227" s="6"/>
      <c r="M227" s="6"/>
    </row>
    <row r="228" spans="1:13" ht="13">
      <c r="A228" s="16"/>
      <c r="B228" s="6"/>
      <c r="C228" s="6"/>
      <c r="D228" s="6"/>
      <c r="E228" s="6"/>
      <c r="F228" s="6"/>
      <c r="G228" s="6"/>
      <c r="H228" s="16"/>
      <c r="I228" s="16"/>
      <c r="J228" s="6"/>
      <c r="K228" s="6"/>
      <c r="L228" s="6"/>
      <c r="M228" s="6"/>
    </row>
    <row r="229" spans="1:13" ht="13">
      <c r="A229" s="16"/>
      <c r="B229" s="6"/>
      <c r="C229" s="6"/>
      <c r="D229" s="6"/>
      <c r="E229" s="6"/>
      <c r="F229" s="6"/>
      <c r="G229" s="6"/>
      <c r="H229" s="16"/>
      <c r="I229" s="16"/>
      <c r="J229" s="6"/>
      <c r="K229" s="6"/>
      <c r="L229" s="6"/>
      <c r="M229" s="6"/>
    </row>
    <row r="230" spans="1:13" ht="13">
      <c r="A230" s="16"/>
      <c r="B230" s="6"/>
      <c r="C230" s="6"/>
      <c r="D230" s="6"/>
      <c r="E230" s="6"/>
      <c r="F230" s="6"/>
      <c r="G230" s="6"/>
      <c r="H230" s="16"/>
      <c r="I230" s="16"/>
      <c r="J230" s="6"/>
      <c r="K230" s="6"/>
      <c r="L230" s="6"/>
      <c r="M230" s="6"/>
    </row>
    <row r="231" spans="1:13" ht="13">
      <c r="A231" s="16"/>
      <c r="B231" s="6"/>
      <c r="C231" s="6"/>
      <c r="D231" s="6"/>
      <c r="E231" s="6"/>
      <c r="F231" s="6"/>
      <c r="G231" s="6"/>
      <c r="H231" s="16"/>
      <c r="I231" s="16"/>
      <c r="J231" s="6"/>
      <c r="K231" s="6"/>
      <c r="L231" s="6"/>
      <c r="M231" s="6"/>
    </row>
    <row r="232" spans="1:13" ht="13">
      <c r="A232" s="16"/>
      <c r="B232" s="6"/>
      <c r="C232" s="6"/>
      <c r="D232" s="6"/>
      <c r="E232" s="6"/>
      <c r="F232" s="6"/>
      <c r="G232" s="6"/>
      <c r="H232" s="16"/>
      <c r="I232" s="16"/>
      <c r="J232" s="6"/>
      <c r="K232" s="6"/>
      <c r="L232" s="6"/>
      <c r="M232" s="6"/>
    </row>
    <row r="233" spans="1:13" ht="13">
      <c r="A233" s="16"/>
      <c r="B233" s="6"/>
      <c r="C233" s="6"/>
      <c r="D233" s="6"/>
      <c r="E233" s="6"/>
      <c r="F233" s="6"/>
      <c r="G233" s="6"/>
      <c r="H233" s="16"/>
      <c r="I233" s="16"/>
      <c r="J233" s="6"/>
      <c r="K233" s="6"/>
      <c r="L233" s="6"/>
      <c r="M233" s="6"/>
    </row>
    <row r="234" spans="1:13" ht="13">
      <c r="A234" s="16"/>
      <c r="B234" s="6"/>
      <c r="C234" s="6"/>
      <c r="D234" s="6"/>
      <c r="E234" s="6"/>
      <c r="F234" s="6"/>
      <c r="G234" s="6"/>
      <c r="H234" s="16"/>
      <c r="I234" s="16"/>
      <c r="J234" s="6"/>
      <c r="K234" s="6"/>
      <c r="L234" s="6"/>
      <c r="M234" s="6"/>
    </row>
    <row r="235" spans="1:13" ht="13">
      <c r="A235" s="16"/>
      <c r="B235" s="6"/>
      <c r="C235" s="6"/>
      <c r="D235" s="6"/>
      <c r="E235" s="6"/>
      <c r="F235" s="6"/>
      <c r="G235" s="6"/>
      <c r="H235" s="16"/>
      <c r="I235" s="16"/>
      <c r="J235" s="6"/>
      <c r="K235" s="6"/>
      <c r="L235" s="6"/>
      <c r="M235" s="6"/>
    </row>
    <row r="236" spans="1:13" ht="13">
      <c r="A236" s="16"/>
      <c r="B236" s="6"/>
      <c r="C236" s="6"/>
      <c r="D236" s="6"/>
      <c r="E236" s="6"/>
      <c r="F236" s="6"/>
      <c r="G236" s="6"/>
      <c r="H236" s="16"/>
      <c r="I236" s="16"/>
      <c r="J236" s="6"/>
      <c r="K236" s="6"/>
      <c r="L236" s="6"/>
      <c r="M236" s="6"/>
    </row>
    <row r="237" spans="1:13" ht="13">
      <c r="A237" s="16"/>
      <c r="B237" s="6"/>
      <c r="C237" s="6"/>
      <c r="D237" s="6"/>
      <c r="E237" s="6"/>
      <c r="F237" s="6"/>
      <c r="G237" s="6"/>
      <c r="H237" s="16"/>
      <c r="I237" s="16"/>
      <c r="J237" s="6"/>
      <c r="K237" s="6"/>
      <c r="L237" s="6"/>
      <c r="M237" s="6"/>
    </row>
    <row r="238" spans="1:13" ht="13">
      <c r="A238" s="16"/>
      <c r="B238" s="6"/>
      <c r="C238" s="6"/>
      <c r="D238" s="6"/>
      <c r="E238" s="6"/>
      <c r="F238" s="6"/>
      <c r="G238" s="6"/>
      <c r="H238" s="16"/>
      <c r="I238" s="16"/>
      <c r="J238" s="6"/>
      <c r="K238" s="6"/>
      <c r="L238" s="6"/>
      <c r="M238" s="6"/>
    </row>
    <row r="239" spans="1:13" ht="13">
      <c r="A239" s="16"/>
      <c r="B239" s="6"/>
      <c r="C239" s="6"/>
      <c r="D239" s="6"/>
      <c r="E239" s="6"/>
      <c r="F239" s="6"/>
      <c r="G239" s="6"/>
      <c r="H239" s="16"/>
      <c r="I239" s="16"/>
      <c r="J239" s="6"/>
      <c r="K239" s="6"/>
      <c r="L239" s="6"/>
      <c r="M239" s="6"/>
    </row>
    <row r="240" spans="1:13" ht="13">
      <c r="A240" s="16"/>
      <c r="B240" s="6"/>
      <c r="C240" s="6"/>
      <c r="D240" s="6"/>
      <c r="E240" s="6"/>
      <c r="F240" s="6"/>
      <c r="G240" s="6"/>
      <c r="H240" s="16"/>
      <c r="I240" s="16"/>
      <c r="J240" s="6"/>
      <c r="K240" s="6"/>
      <c r="L240" s="6"/>
      <c r="M240" s="6"/>
    </row>
    <row r="241" spans="1:13" ht="13">
      <c r="A241" s="16"/>
      <c r="B241" s="6"/>
      <c r="C241" s="6"/>
      <c r="D241" s="6"/>
      <c r="E241" s="6"/>
      <c r="F241" s="6"/>
      <c r="G241" s="6"/>
      <c r="H241" s="16"/>
      <c r="I241" s="16"/>
      <c r="J241" s="6"/>
      <c r="K241" s="6"/>
      <c r="L241" s="6"/>
      <c r="M241" s="6"/>
    </row>
    <row r="242" spans="1:13" ht="13">
      <c r="A242" s="16"/>
      <c r="B242" s="6"/>
      <c r="C242" s="6"/>
      <c r="D242" s="6"/>
      <c r="E242" s="6"/>
      <c r="F242" s="6"/>
      <c r="G242" s="6"/>
      <c r="H242" s="16"/>
      <c r="I242" s="16"/>
      <c r="J242" s="6"/>
      <c r="K242" s="6"/>
      <c r="L242" s="6"/>
      <c r="M242" s="6"/>
    </row>
    <row r="243" spans="1:13" ht="13">
      <c r="A243" s="16"/>
      <c r="B243" s="6"/>
      <c r="C243" s="6"/>
      <c r="D243" s="6"/>
      <c r="E243" s="6"/>
      <c r="F243" s="6"/>
      <c r="G243" s="6"/>
      <c r="H243" s="16"/>
      <c r="I243" s="16"/>
      <c r="J243" s="6"/>
      <c r="K243" s="6"/>
      <c r="L243" s="6"/>
      <c r="M243" s="6"/>
    </row>
    <row r="244" spans="1:13" ht="13">
      <c r="A244" s="16"/>
      <c r="B244" s="6"/>
      <c r="C244" s="6"/>
      <c r="D244" s="6"/>
      <c r="E244" s="6"/>
      <c r="F244" s="6"/>
      <c r="G244" s="6"/>
      <c r="H244" s="16"/>
      <c r="I244" s="16"/>
      <c r="J244" s="6"/>
      <c r="K244" s="6"/>
      <c r="L244" s="6"/>
      <c r="M244" s="6"/>
    </row>
    <row r="245" spans="1:13" ht="13">
      <c r="A245" s="16"/>
      <c r="B245" s="6"/>
      <c r="C245" s="6"/>
      <c r="D245" s="6"/>
      <c r="E245" s="6"/>
      <c r="F245" s="6"/>
      <c r="G245" s="6"/>
      <c r="H245" s="16"/>
      <c r="I245" s="16"/>
      <c r="J245" s="6"/>
      <c r="K245" s="6"/>
      <c r="L245" s="6"/>
      <c r="M245" s="6"/>
    </row>
    <row r="246" spans="1:13" ht="13">
      <c r="A246" s="16"/>
      <c r="B246" s="6"/>
      <c r="C246" s="6"/>
      <c r="D246" s="6"/>
      <c r="E246" s="6"/>
      <c r="F246" s="6"/>
      <c r="G246" s="6"/>
      <c r="H246" s="16"/>
      <c r="I246" s="16"/>
      <c r="J246" s="6"/>
      <c r="K246" s="6"/>
      <c r="L246" s="6"/>
      <c r="M246" s="6"/>
    </row>
    <row r="247" spans="1:13" ht="13">
      <c r="A247" s="16"/>
      <c r="B247" s="6"/>
      <c r="C247" s="6"/>
      <c r="D247" s="6"/>
      <c r="E247" s="6"/>
      <c r="F247" s="6"/>
      <c r="G247" s="6"/>
      <c r="H247" s="16"/>
      <c r="I247" s="16"/>
      <c r="J247" s="6"/>
      <c r="K247" s="6"/>
      <c r="L247" s="6"/>
      <c r="M247" s="6"/>
    </row>
    <row r="248" spans="1:13" ht="13">
      <c r="A248" s="16"/>
      <c r="B248" s="6"/>
      <c r="C248" s="6"/>
      <c r="D248" s="6"/>
      <c r="E248" s="6"/>
      <c r="F248" s="6"/>
      <c r="G248" s="6"/>
      <c r="H248" s="16"/>
      <c r="I248" s="16"/>
      <c r="J248" s="6"/>
      <c r="K248" s="6"/>
      <c r="L248" s="6"/>
      <c r="M248" s="6"/>
    </row>
    <row r="249" spans="1:13" ht="13">
      <c r="A249" s="16"/>
      <c r="B249" s="6"/>
      <c r="C249" s="6"/>
      <c r="D249" s="6"/>
      <c r="E249" s="6"/>
      <c r="F249" s="6"/>
      <c r="G249" s="6"/>
      <c r="H249" s="16"/>
      <c r="I249" s="16"/>
      <c r="J249" s="6"/>
      <c r="K249" s="6"/>
      <c r="L249" s="6"/>
      <c r="M249" s="6"/>
    </row>
    <row r="250" spans="1:13" ht="13">
      <c r="A250" s="16"/>
      <c r="B250" s="6"/>
      <c r="C250" s="6"/>
      <c r="D250" s="6"/>
      <c r="E250" s="6"/>
      <c r="F250" s="6"/>
      <c r="G250" s="6"/>
      <c r="H250" s="16"/>
      <c r="I250" s="16"/>
      <c r="J250" s="6"/>
      <c r="K250" s="6"/>
      <c r="L250" s="6"/>
      <c r="M250" s="6"/>
    </row>
    <row r="251" spans="1:13" ht="13">
      <c r="A251" s="16"/>
      <c r="B251" s="6"/>
      <c r="C251" s="6"/>
      <c r="D251" s="6"/>
      <c r="E251" s="6"/>
      <c r="F251" s="6"/>
      <c r="G251" s="6"/>
      <c r="H251" s="16"/>
      <c r="I251" s="16"/>
      <c r="J251" s="6"/>
      <c r="K251" s="6"/>
      <c r="L251" s="6"/>
      <c r="M251" s="6"/>
    </row>
    <row r="252" spans="1:13" ht="13">
      <c r="A252" s="16"/>
      <c r="B252" s="6"/>
      <c r="C252" s="6"/>
      <c r="D252" s="6"/>
      <c r="E252" s="6"/>
      <c r="F252" s="6"/>
      <c r="G252" s="6"/>
      <c r="H252" s="16"/>
      <c r="I252" s="16"/>
      <c r="J252" s="6"/>
      <c r="K252" s="6"/>
      <c r="L252" s="6"/>
      <c r="M252" s="6"/>
    </row>
    <row r="253" spans="1:13" ht="13">
      <c r="A253" s="16"/>
      <c r="B253" s="6"/>
      <c r="C253" s="6"/>
      <c r="D253" s="6"/>
      <c r="E253" s="6"/>
      <c r="F253" s="6"/>
      <c r="G253" s="6"/>
      <c r="H253" s="16"/>
      <c r="I253" s="16"/>
      <c r="J253" s="6"/>
      <c r="K253" s="6"/>
      <c r="L253" s="6"/>
      <c r="M253" s="6"/>
    </row>
    <row r="254" spans="1:13" ht="13">
      <c r="A254" s="16"/>
      <c r="B254" s="6"/>
      <c r="C254" s="6"/>
      <c r="D254" s="6"/>
      <c r="E254" s="6"/>
      <c r="F254" s="6"/>
      <c r="G254" s="6"/>
      <c r="H254" s="16"/>
      <c r="I254" s="16"/>
      <c r="J254" s="6"/>
      <c r="K254" s="6"/>
      <c r="L254" s="6"/>
      <c r="M254" s="6"/>
    </row>
    <row r="255" spans="1:13" ht="13">
      <c r="A255" s="16"/>
      <c r="B255" s="6"/>
      <c r="C255" s="6"/>
      <c r="D255" s="6"/>
      <c r="E255" s="6"/>
      <c r="F255" s="6"/>
      <c r="G255" s="6"/>
      <c r="H255" s="16"/>
      <c r="I255" s="16"/>
      <c r="J255" s="6"/>
      <c r="K255" s="6"/>
      <c r="L255" s="6"/>
      <c r="M255" s="6"/>
    </row>
    <row r="256" spans="1:13" ht="13">
      <c r="A256" s="16"/>
      <c r="B256" s="6"/>
      <c r="C256" s="6"/>
      <c r="D256" s="6"/>
      <c r="E256" s="6"/>
      <c r="F256" s="6"/>
      <c r="G256" s="6"/>
      <c r="H256" s="16"/>
      <c r="I256" s="16"/>
      <c r="J256" s="6"/>
      <c r="K256" s="6"/>
      <c r="L256" s="6"/>
      <c r="M256" s="6"/>
    </row>
    <row r="257" spans="1:13" ht="13">
      <c r="A257" s="16"/>
      <c r="B257" s="6"/>
      <c r="C257" s="6"/>
      <c r="D257" s="6"/>
      <c r="E257" s="6"/>
      <c r="F257" s="6"/>
      <c r="G257" s="6"/>
      <c r="H257" s="16"/>
      <c r="I257" s="16"/>
      <c r="J257" s="6"/>
      <c r="K257" s="6"/>
      <c r="L257" s="6"/>
      <c r="M257" s="6"/>
    </row>
    <row r="258" spans="1:13" ht="13">
      <c r="A258" s="16"/>
      <c r="B258" s="6"/>
      <c r="C258" s="6"/>
      <c r="D258" s="6"/>
      <c r="E258" s="6"/>
      <c r="F258" s="6"/>
      <c r="G258" s="6"/>
      <c r="H258" s="16"/>
      <c r="I258" s="16"/>
      <c r="J258" s="6"/>
      <c r="K258" s="6"/>
      <c r="L258" s="6"/>
      <c r="M258" s="6"/>
    </row>
    <row r="259" spans="1:13" ht="13">
      <c r="A259" s="16"/>
      <c r="B259" s="6"/>
      <c r="C259" s="6"/>
      <c r="D259" s="6"/>
      <c r="E259" s="6"/>
      <c r="F259" s="6"/>
      <c r="G259" s="6"/>
      <c r="H259" s="16"/>
      <c r="I259" s="16"/>
      <c r="J259" s="6"/>
      <c r="K259" s="6"/>
      <c r="L259" s="6"/>
      <c r="M259" s="6"/>
    </row>
    <row r="260" spans="1:13" ht="13">
      <c r="A260" s="16"/>
      <c r="B260" s="6"/>
      <c r="C260" s="6"/>
      <c r="D260" s="6"/>
      <c r="E260" s="6"/>
      <c r="F260" s="6"/>
      <c r="G260" s="6"/>
      <c r="H260" s="16"/>
      <c r="I260" s="16"/>
      <c r="J260" s="6"/>
      <c r="K260" s="6"/>
      <c r="L260" s="6"/>
      <c r="M260" s="6"/>
    </row>
    <row r="261" spans="1:13" ht="13">
      <c r="A261" s="16"/>
      <c r="B261" s="6"/>
      <c r="C261" s="6"/>
      <c r="D261" s="6"/>
      <c r="E261" s="6"/>
      <c r="F261" s="6"/>
      <c r="G261" s="6"/>
      <c r="H261" s="16"/>
      <c r="I261" s="16"/>
      <c r="J261" s="6"/>
      <c r="K261" s="6"/>
      <c r="L261" s="6"/>
      <c r="M261" s="6"/>
    </row>
    <row r="262" spans="1:13" ht="13">
      <c r="A262" s="16"/>
      <c r="B262" s="6"/>
      <c r="C262" s="6"/>
      <c r="D262" s="6"/>
      <c r="E262" s="6"/>
      <c r="F262" s="6"/>
      <c r="G262" s="6"/>
      <c r="H262" s="16"/>
      <c r="I262" s="16"/>
      <c r="J262" s="6"/>
      <c r="K262" s="6"/>
      <c r="L262" s="6"/>
      <c r="M262" s="6"/>
    </row>
    <row r="263" spans="1:13" ht="13">
      <c r="A263" s="16"/>
      <c r="B263" s="6"/>
      <c r="C263" s="6"/>
      <c r="D263" s="6"/>
      <c r="E263" s="6"/>
      <c r="F263" s="6"/>
      <c r="G263" s="6"/>
      <c r="H263" s="16"/>
      <c r="I263" s="16"/>
      <c r="J263" s="6"/>
      <c r="K263" s="6"/>
      <c r="L263" s="6"/>
      <c r="M263" s="6"/>
    </row>
    <row r="264" spans="1:13" ht="13">
      <c r="A264" s="16"/>
      <c r="B264" s="6"/>
      <c r="C264" s="6"/>
      <c r="D264" s="6"/>
      <c r="E264" s="6"/>
      <c r="F264" s="6"/>
      <c r="G264" s="6"/>
      <c r="H264" s="16"/>
      <c r="I264" s="16"/>
      <c r="J264" s="6"/>
      <c r="K264" s="6"/>
      <c r="L264" s="6"/>
      <c r="M264" s="6"/>
    </row>
    <row r="265" spans="1:13" ht="13">
      <c r="A265" s="16"/>
      <c r="B265" s="6"/>
      <c r="C265" s="6"/>
      <c r="D265" s="6"/>
      <c r="E265" s="6"/>
      <c r="F265" s="6"/>
      <c r="G265" s="6"/>
      <c r="H265" s="16"/>
      <c r="I265" s="16"/>
      <c r="J265" s="6"/>
      <c r="K265" s="6"/>
      <c r="L265" s="6"/>
      <c r="M265" s="6"/>
    </row>
    <row r="266" spans="1:13" ht="13">
      <c r="A266" s="16"/>
      <c r="B266" s="6"/>
      <c r="C266" s="6"/>
      <c r="D266" s="6"/>
      <c r="E266" s="6"/>
      <c r="F266" s="6"/>
      <c r="G266" s="6"/>
      <c r="H266" s="16"/>
      <c r="I266" s="16"/>
      <c r="J266" s="6"/>
      <c r="K266" s="6"/>
      <c r="L266" s="6"/>
      <c r="M266" s="6"/>
    </row>
    <row r="267" spans="1:13" ht="13">
      <c r="A267" s="16"/>
      <c r="B267" s="6"/>
      <c r="C267" s="6"/>
      <c r="D267" s="6"/>
      <c r="E267" s="6"/>
      <c r="F267" s="6"/>
      <c r="G267" s="6"/>
      <c r="H267" s="16"/>
      <c r="I267" s="16"/>
      <c r="J267" s="6"/>
      <c r="K267" s="6"/>
      <c r="L267" s="6"/>
      <c r="M267" s="6"/>
    </row>
    <row r="268" spans="1:13" ht="13">
      <c r="A268" s="16"/>
      <c r="B268" s="6"/>
      <c r="C268" s="6"/>
      <c r="D268" s="6"/>
      <c r="E268" s="6"/>
      <c r="F268" s="6"/>
      <c r="G268" s="6"/>
      <c r="H268" s="16"/>
      <c r="I268" s="16"/>
      <c r="J268" s="6"/>
      <c r="K268" s="6"/>
      <c r="L268" s="6"/>
      <c r="M268" s="6"/>
    </row>
    <row r="269" spans="1:13" ht="13">
      <c r="A269" s="16"/>
      <c r="B269" s="6"/>
      <c r="C269" s="6"/>
      <c r="D269" s="6"/>
      <c r="E269" s="6"/>
      <c r="F269" s="6"/>
      <c r="G269" s="6"/>
      <c r="H269" s="16"/>
      <c r="I269" s="16"/>
      <c r="J269" s="6"/>
      <c r="K269" s="6"/>
      <c r="L269" s="6"/>
      <c r="M269" s="6"/>
    </row>
    <row r="270" spans="1:13" ht="13">
      <c r="A270" s="16"/>
      <c r="B270" s="6"/>
      <c r="C270" s="6"/>
      <c r="D270" s="6"/>
      <c r="E270" s="6"/>
      <c r="F270" s="6"/>
      <c r="G270" s="6"/>
      <c r="H270" s="16"/>
      <c r="I270" s="16"/>
      <c r="J270" s="6"/>
      <c r="K270" s="6"/>
      <c r="L270" s="6"/>
      <c r="M270" s="6"/>
    </row>
    <row r="271" spans="1:13" ht="13">
      <c r="A271" s="16"/>
      <c r="B271" s="6"/>
      <c r="C271" s="6"/>
      <c r="D271" s="6"/>
      <c r="E271" s="6"/>
      <c r="F271" s="6"/>
      <c r="G271" s="6"/>
      <c r="H271" s="16"/>
      <c r="I271" s="16"/>
      <c r="J271" s="6"/>
      <c r="K271" s="6"/>
      <c r="L271" s="6"/>
      <c r="M271" s="6"/>
    </row>
    <row r="272" spans="1:13" ht="13">
      <c r="A272" s="16"/>
      <c r="B272" s="6"/>
      <c r="C272" s="6"/>
      <c r="D272" s="6"/>
      <c r="E272" s="6"/>
      <c r="F272" s="6"/>
      <c r="G272" s="6"/>
      <c r="H272" s="16"/>
      <c r="I272" s="16"/>
      <c r="J272" s="6"/>
      <c r="K272" s="6"/>
      <c r="L272" s="6"/>
      <c r="M272" s="6"/>
    </row>
    <row r="273" spans="1:13" ht="13">
      <c r="A273" s="16"/>
      <c r="B273" s="6"/>
      <c r="C273" s="6"/>
      <c r="D273" s="6"/>
      <c r="E273" s="6"/>
      <c r="F273" s="6"/>
      <c r="G273" s="6"/>
      <c r="H273" s="16"/>
      <c r="I273" s="16"/>
      <c r="J273" s="6"/>
      <c r="K273" s="6"/>
      <c r="L273" s="6"/>
      <c r="M273" s="6"/>
    </row>
    <row r="274" spans="1:13" ht="13">
      <c r="A274" s="16"/>
      <c r="B274" s="6"/>
      <c r="C274" s="6"/>
      <c r="D274" s="6"/>
      <c r="E274" s="6"/>
      <c r="F274" s="6"/>
      <c r="G274" s="6"/>
      <c r="H274" s="16"/>
      <c r="I274" s="16"/>
      <c r="J274" s="6"/>
      <c r="K274" s="6"/>
      <c r="L274" s="6"/>
      <c r="M274" s="6"/>
    </row>
    <row r="275" spans="1:13" ht="13">
      <c r="A275" s="16"/>
      <c r="B275" s="6"/>
      <c r="C275" s="6"/>
      <c r="D275" s="6"/>
      <c r="E275" s="6"/>
      <c r="F275" s="6"/>
      <c r="G275" s="6"/>
      <c r="H275" s="16"/>
      <c r="I275" s="16"/>
      <c r="J275" s="6"/>
      <c r="K275" s="6"/>
      <c r="L275" s="6"/>
      <c r="M275" s="6"/>
    </row>
    <row r="276" spans="1:13" ht="13">
      <c r="A276" s="16"/>
      <c r="B276" s="6"/>
      <c r="C276" s="6"/>
      <c r="D276" s="6"/>
      <c r="E276" s="6"/>
      <c r="F276" s="6"/>
      <c r="G276" s="6"/>
      <c r="H276" s="16"/>
      <c r="I276" s="16"/>
      <c r="J276" s="6"/>
      <c r="K276" s="6"/>
      <c r="L276" s="6"/>
      <c r="M276" s="6"/>
    </row>
    <row r="277" spans="1:13" ht="13">
      <c r="A277" s="16"/>
      <c r="B277" s="6"/>
      <c r="C277" s="6"/>
      <c r="D277" s="6"/>
      <c r="E277" s="6"/>
      <c r="F277" s="6"/>
      <c r="G277" s="6"/>
      <c r="H277" s="16"/>
      <c r="I277" s="16"/>
      <c r="J277" s="6"/>
      <c r="K277" s="6"/>
      <c r="L277" s="6"/>
      <c r="M277" s="6"/>
    </row>
    <row r="278" spans="1:13" ht="13">
      <c r="A278" s="16"/>
      <c r="B278" s="6"/>
      <c r="C278" s="6"/>
      <c r="D278" s="6"/>
      <c r="E278" s="6"/>
      <c r="F278" s="6"/>
      <c r="G278" s="6"/>
      <c r="H278" s="16"/>
      <c r="I278" s="16"/>
      <c r="J278" s="6"/>
      <c r="K278" s="6"/>
      <c r="L278" s="6"/>
      <c r="M278" s="6"/>
    </row>
    <row r="279" spans="1:13" ht="13">
      <c r="A279" s="16"/>
      <c r="B279" s="6"/>
      <c r="C279" s="6"/>
      <c r="D279" s="6"/>
      <c r="E279" s="6"/>
      <c r="F279" s="6"/>
      <c r="G279" s="6"/>
      <c r="H279" s="16"/>
      <c r="I279" s="16"/>
      <c r="J279" s="6"/>
      <c r="K279" s="6"/>
      <c r="L279" s="6"/>
      <c r="M279" s="6"/>
    </row>
    <row r="280" spans="1:13" ht="13">
      <c r="A280" s="16"/>
      <c r="B280" s="6"/>
      <c r="C280" s="6"/>
      <c r="D280" s="6"/>
      <c r="E280" s="6"/>
      <c r="F280" s="6"/>
      <c r="G280" s="6"/>
      <c r="H280" s="16"/>
      <c r="I280" s="16"/>
      <c r="J280" s="6"/>
      <c r="K280" s="6"/>
      <c r="L280" s="6"/>
      <c r="M280" s="6"/>
    </row>
    <row r="281" spans="1:13" ht="13">
      <c r="A281" s="16"/>
      <c r="B281" s="6"/>
      <c r="C281" s="6"/>
      <c r="D281" s="6"/>
      <c r="E281" s="6"/>
      <c r="F281" s="6"/>
      <c r="G281" s="6"/>
      <c r="H281" s="16"/>
      <c r="I281" s="16"/>
      <c r="J281" s="6"/>
      <c r="K281" s="6"/>
      <c r="L281" s="6"/>
      <c r="M281" s="6"/>
    </row>
    <row r="282" spans="1:13" ht="13">
      <c r="A282" s="16"/>
      <c r="B282" s="6"/>
      <c r="C282" s="6"/>
      <c r="D282" s="6"/>
      <c r="E282" s="6"/>
      <c r="F282" s="6"/>
      <c r="G282" s="6"/>
      <c r="H282" s="16"/>
      <c r="I282" s="16"/>
      <c r="J282" s="6"/>
      <c r="K282" s="6"/>
      <c r="L282" s="6"/>
      <c r="M282" s="6"/>
    </row>
    <row r="283" spans="1:13" ht="13">
      <c r="A283" s="16"/>
      <c r="B283" s="6"/>
      <c r="C283" s="6"/>
      <c r="D283" s="6"/>
      <c r="E283" s="6"/>
      <c r="F283" s="6"/>
      <c r="G283" s="6"/>
      <c r="H283" s="16"/>
      <c r="I283" s="16"/>
      <c r="J283" s="6"/>
      <c r="K283" s="6"/>
      <c r="L283" s="6"/>
      <c r="M283" s="6"/>
    </row>
    <row r="284" spans="1:13" ht="13">
      <c r="A284" s="16"/>
      <c r="B284" s="6"/>
      <c r="C284" s="6"/>
      <c r="D284" s="6"/>
      <c r="E284" s="6"/>
      <c r="F284" s="6"/>
      <c r="G284" s="6"/>
      <c r="H284" s="16"/>
      <c r="I284" s="16"/>
      <c r="J284" s="6"/>
      <c r="K284" s="6"/>
      <c r="L284" s="6"/>
      <c r="M284" s="6"/>
    </row>
    <row r="285" spans="1:13" ht="13">
      <c r="A285" s="16"/>
      <c r="B285" s="6"/>
      <c r="C285" s="6"/>
      <c r="D285" s="6"/>
      <c r="E285" s="6"/>
      <c r="F285" s="6"/>
      <c r="G285" s="6"/>
      <c r="H285" s="16"/>
      <c r="I285" s="16"/>
      <c r="J285" s="6"/>
      <c r="K285" s="6"/>
      <c r="L285" s="6"/>
      <c r="M285" s="6"/>
    </row>
    <row r="286" spans="1:13" ht="13">
      <c r="A286" s="16"/>
      <c r="B286" s="6"/>
      <c r="C286" s="6"/>
      <c r="D286" s="6"/>
      <c r="E286" s="6"/>
      <c r="F286" s="6"/>
      <c r="G286" s="6"/>
      <c r="H286" s="16"/>
      <c r="I286" s="16"/>
      <c r="J286" s="6"/>
      <c r="K286" s="6"/>
      <c r="L286" s="6"/>
      <c r="M286" s="6"/>
    </row>
    <row r="287" spans="1:13" ht="13">
      <c r="A287" s="16"/>
      <c r="B287" s="6"/>
      <c r="C287" s="6"/>
      <c r="D287" s="6"/>
      <c r="E287" s="6"/>
      <c r="F287" s="6"/>
      <c r="G287" s="6"/>
      <c r="H287" s="16"/>
      <c r="I287" s="16"/>
      <c r="J287" s="6"/>
      <c r="K287" s="6"/>
      <c r="L287" s="6"/>
      <c r="M287" s="6"/>
    </row>
    <row r="288" spans="1:13" ht="13">
      <c r="A288" s="16"/>
      <c r="B288" s="6"/>
      <c r="C288" s="6"/>
      <c r="D288" s="6"/>
      <c r="E288" s="6"/>
      <c r="F288" s="6"/>
      <c r="G288" s="6"/>
      <c r="H288" s="16"/>
      <c r="I288" s="16"/>
      <c r="J288" s="6"/>
      <c r="K288" s="6"/>
      <c r="L288" s="6"/>
      <c r="M288" s="6"/>
    </row>
    <row r="289" spans="1:13" ht="13">
      <c r="A289" s="16"/>
      <c r="B289" s="6"/>
      <c r="C289" s="6"/>
      <c r="D289" s="6"/>
      <c r="E289" s="6"/>
      <c r="F289" s="6"/>
      <c r="G289" s="6"/>
      <c r="H289" s="16"/>
      <c r="I289" s="16"/>
      <c r="J289" s="6"/>
      <c r="K289" s="6"/>
      <c r="L289" s="6"/>
      <c r="M289" s="6"/>
    </row>
    <row r="290" spans="1:13" ht="13">
      <c r="A290" s="16"/>
      <c r="B290" s="6"/>
      <c r="C290" s="6"/>
      <c r="D290" s="6"/>
      <c r="E290" s="6"/>
      <c r="F290" s="6"/>
      <c r="G290" s="6"/>
      <c r="H290" s="16"/>
      <c r="I290" s="16"/>
      <c r="J290" s="6"/>
      <c r="K290" s="6"/>
      <c r="L290" s="6"/>
      <c r="M290" s="6"/>
    </row>
    <row r="291" spans="1:13" ht="13">
      <c r="A291" s="16"/>
      <c r="B291" s="6"/>
      <c r="C291" s="6"/>
      <c r="D291" s="6"/>
      <c r="E291" s="6"/>
      <c r="F291" s="6"/>
      <c r="G291" s="6"/>
      <c r="H291" s="16"/>
      <c r="I291" s="16"/>
      <c r="J291" s="6"/>
      <c r="K291" s="6"/>
      <c r="L291" s="6"/>
      <c r="M291" s="6"/>
    </row>
    <row r="292" spans="1:13" ht="13">
      <c r="A292" s="16"/>
      <c r="B292" s="6"/>
      <c r="C292" s="6"/>
      <c r="D292" s="6"/>
      <c r="E292" s="6"/>
      <c r="F292" s="6"/>
      <c r="G292" s="6"/>
      <c r="H292" s="16"/>
      <c r="I292" s="16"/>
      <c r="J292" s="6"/>
      <c r="K292" s="6"/>
      <c r="L292" s="6"/>
      <c r="M292" s="6"/>
    </row>
    <row r="293" spans="1:13" ht="13">
      <c r="A293" s="16"/>
      <c r="B293" s="6"/>
      <c r="C293" s="6"/>
      <c r="D293" s="6"/>
      <c r="E293" s="6"/>
      <c r="F293" s="6"/>
      <c r="G293" s="6"/>
      <c r="H293" s="16"/>
      <c r="I293" s="16"/>
      <c r="J293" s="6"/>
      <c r="K293" s="6"/>
      <c r="L293" s="6"/>
      <c r="M293" s="6"/>
    </row>
    <row r="294" spans="1:13" ht="13">
      <c r="A294" s="16"/>
      <c r="B294" s="6"/>
      <c r="C294" s="6"/>
      <c r="D294" s="6"/>
      <c r="E294" s="6"/>
      <c r="F294" s="6"/>
      <c r="G294" s="6"/>
      <c r="H294" s="16"/>
      <c r="I294" s="16"/>
      <c r="J294" s="6"/>
      <c r="K294" s="6"/>
      <c r="L294" s="6"/>
      <c r="M294" s="6"/>
    </row>
    <row r="295" spans="1:13" ht="13">
      <c r="A295" s="16"/>
      <c r="B295" s="6"/>
      <c r="C295" s="6"/>
      <c r="D295" s="6"/>
      <c r="E295" s="6"/>
      <c r="F295" s="6"/>
      <c r="G295" s="6"/>
      <c r="H295" s="16"/>
      <c r="I295" s="16"/>
      <c r="J295" s="6"/>
      <c r="K295" s="6"/>
      <c r="L295" s="6"/>
      <c r="M295" s="6"/>
    </row>
    <row r="296" spans="1:13" ht="13">
      <c r="A296" s="16"/>
      <c r="B296" s="6"/>
      <c r="C296" s="6"/>
      <c r="D296" s="6"/>
      <c r="E296" s="6"/>
      <c r="F296" s="6"/>
      <c r="G296" s="6"/>
      <c r="H296" s="16"/>
      <c r="I296" s="16"/>
      <c r="J296" s="6"/>
      <c r="K296" s="6"/>
      <c r="L296" s="6"/>
      <c r="M296" s="6"/>
    </row>
    <row r="297" spans="1:13" ht="13">
      <c r="A297" s="16"/>
      <c r="B297" s="6"/>
      <c r="C297" s="6"/>
      <c r="D297" s="6"/>
      <c r="E297" s="6"/>
      <c r="F297" s="6"/>
      <c r="G297" s="6"/>
      <c r="H297" s="16"/>
      <c r="I297" s="16"/>
      <c r="J297" s="6"/>
      <c r="K297" s="6"/>
      <c r="L297" s="6"/>
      <c r="M297" s="6"/>
    </row>
    <row r="298" spans="1:13" ht="13">
      <c r="A298" s="16"/>
      <c r="B298" s="6"/>
      <c r="C298" s="6"/>
      <c r="D298" s="6"/>
      <c r="E298" s="6"/>
      <c r="F298" s="6"/>
      <c r="G298" s="6"/>
      <c r="H298" s="16"/>
      <c r="I298" s="16"/>
      <c r="J298" s="6"/>
      <c r="K298" s="6"/>
      <c r="L298" s="6"/>
      <c r="M298" s="6"/>
    </row>
    <row r="299" spans="1:13" ht="13">
      <c r="A299" s="16"/>
      <c r="B299" s="6"/>
      <c r="C299" s="6"/>
      <c r="D299" s="6"/>
      <c r="E299" s="6"/>
      <c r="F299" s="6"/>
      <c r="G299" s="6"/>
      <c r="H299" s="16"/>
      <c r="I299" s="16"/>
      <c r="J299" s="6"/>
      <c r="K299" s="6"/>
      <c r="L299" s="6"/>
      <c r="M299" s="6"/>
    </row>
    <row r="300" spans="1:13" ht="13">
      <c r="A300" s="16"/>
      <c r="B300" s="6"/>
      <c r="C300" s="6"/>
      <c r="D300" s="6"/>
      <c r="E300" s="6"/>
      <c r="F300" s="6"/>
      <c r="G300" s="6"/>
      <c r="H300" s="16"/>
      <c r="I300" s="16"/>
      <c r="J300" s="6"/>
      <c r="K300" s="6"/>
      <c r="L300" s="6"/>
      <c r="M300" s="6"/>
    </row>
    <row r="301" spans="1:13" ht="13">
      <c r="A301" s="16"/>
      <c r="B301" s="6"/>
      <c r="C301" s="6"/>
      <c r="D301" s="6"/>
      <c r="E301" s="6"/>
      <c r="F301" s="6"/>
      <c r="G301" s="6"/>
      <c r="H301" s="16"/>
      <c r="I301" s="16"/>
      <c r="J301" s="6"/>
      <c r="K301" s="6"/>
      <c r="L301" s="6"/>
      <c r="M301" s="6"/>
    </row>
    <row r="302" spans="1:13" ht="13">
      <c r="A302" s="16"/>
      <c r="B302" s="6"/>
      <c r="C302" s="6"/>
      <c r="D302" s="6"/>
      <c r="E302" s="6"/>
      <c r="F302" s="6"/>
      <c r="G302" s="6"/>
      <c r="H302" s="16"/>
      <c r="I302" s="16"/>
      <c r="J302" s="6"/>
      <c r="K302" s="6"/>
      <c r="L302" s="6"/>
      <c r="M302" s="6"/>
    </row>
    <row r="303" spans="1:13" ht="13">
      <c r="A303" s="16"/>
      <c r="B303" s="6"/>
      <c r="C303" s="6"/>
      <c r="D303" s="6"/>
      <c r="E303" s="6"/>
      <c r="F303" s="6"/>
      <c r="G303" s="6"/>
      <c r="H303" s="16"/>
      <c r="I303" s="16"/>
      <c r="J303" s="6"/>
      <c r="K303" s="6"/>
      <c r="L303" s="6"/>
      <c r="M303" s="6"/>
    </row>
    <row r="304" spans="1:13" ht="13">
      <c r="A304" s="16"/>
      <c r="B304" s="6"/>
      <c r="C304" s="6"/>
      <c r="D304" s="6"/>
      <c r="E304" s="6"/>
      <c r="F304" s="6"/>
      <c r="G304" s="6"/>
      <c r="H304" s="16"/>
      <c r="I304" s="16"/>
      <c r="J304" s="6"/>
      <c r="K304" s="6"/>
      <c r="L304" s="6"/>
      <c r="M304" s="6"/>
    </row>
    <row r="305" spans="1:13" ht="13">
      <c r="A305" s="16"/>
      <c r="B305" s="6"/>
      <c r="C305" s="6"/>
      <c r="D305" s="6"/>
      <c r="E305" s="6"/>
      <c r="F305" s="6"/>
      <c r="G305" s="6"/>
      <c r="H305" s="16"/>
      <c r="I305" s="16"/>
      <c r="J305" s="6"/>
      <c r="K305" s="6"/>
      <c r="L305" s="6"/>
      <c r="M305" s="6"/>
    </row>
    <row r="306" spans="1:13" ht="13">
      <c r="A306" s="16"/>
      <c r="B306" s="6"/>
      <c r="C306" s="6"/>
      <c r="D306" s="6"/>
      <c r="E306" s="6"/>
      <c r="F306" s="6"/>
      <c r="G306" s="6"/>
      <c r="H306" s="16"/>
      <c r="I306" s="16"/>
      <c r="J306" s="6"/>
      <c r="K306" s="6"/>
      <c r="L306" s="6"/>
      <c r="M306" s="6"/>
    </row>
    <row r="307" spans="1:13" ht="13">
      <c r="A307" s="16"/>
      <c r="B307" s="6"/>
      <c r="C307" s="6"/>
      <c r="D307" s="6"/>
      <c r="E307" s="6"/>
      <c r="F307" s="6"/>
      <c r="G307" s="6"/>
      <c r="H307" s="16"/>
      <c r="I307" s="16"/>
      <c r="J307" s="6"/>
      <c r="K307" s="6"/>
      <c r="L307" s="6"/>
      <c r="M307" s="6"/>
    </row>
    <row r="308" spans="1:13" ht="13">
      <c r="A308" s="16"/>
      <c r="B308" s="6"/>
      <c r="C308" s="6"/>
      <c r="D308" s="6"/>
      <c r="E308" s="6"/>
      <c r="F308" s="6"/>
      <c r="G308" s="6"/>
      <c r="H308" s="16"/>
      <c r="I308" s="16"/>
      <c r="J308" s="6"/>
      <c r="K308" s="6"/>
      <c r="L308" s="6"/>
      <c r="M308" s="6"/>
    </row>
    <row r="309" spans="1:13" ht="13">
      <c r="A309" s="16"/>
      <c r="B309" s="6"/>
      <c r="C309" s="6"/>
      <c r="D309" s="6"/>
      <c r="E309" s="6"/>
      <c r="F309" s="6"/>
      <c r="G309" s="6"/>
      <c r="H309" s="16"/>
      <c r="I309" s="16"/>
      <c r="J309" s="6"/>
      <c r="K309" s="6"/>
      <c r="L309" s="6"/>
      <c r="M309" s="6"/>
    </row>
    <row r="310" spans="1:13" ht="13">
      <c r="A310" s="16"/>
      <c r="B310" s="6"/>
      <c r="C310" s="6"/>
      <c r="D310" s="6"/>
      <c r="E310" s="6"/>
      <c r="F310" s="6"/>
      <c r="G310" s="6"/>
      <c r="H310" s="16"/>
      <c r="I310" s="16"/>
      <c r="J310" s="6"/>
      <c r="K310" s="6"/>
      <c r="L310" s="6"/>
      <c r="M310" s="6"/>
    </row>
    <row r="311" spans="1:13" ht="13">
      <c r="A311" s="16"/>
      <c r="B311" s="6"/>
      <c r="C311" s="6"/>
      <c r="D311" s="6"/>
      <c r="E311" s="6"/>
      <c r="F311" s="6"/>
      <c r="G311" s="6"/>
      <c r="H311" s="16"/>
      <c r="I311" s="16"/>
      <c r="J311" s="6"/>
      <c r="K311" s="6"/>
      <c r="L311" s="6"/>
      <c r="M311" s="6"/>
    </row>
    <row r="312" spans="1:13" ht="13">
      <c r="A312" s="16"/>
      <c r="B312" s="6"/>
      <c r="C312" s="6"/>
      <c r="D312" s="6"/>
      <c r="E312" s="6"/>
      <c r="F312" s="6"/>
      <c r="G312" s="6"/>
      <c r="H312" s="16"/>
      <c r="I312" s="16"/>
      <c r="J312" s="6"/>
      <c r="K312" s="6"/>
      <c r="L312" s="6"/>
      <c r="M312" s="6"/>
    </row>
    <row r="313" spans="1:13" ht="13">
      <c r="A313" s="16"/>
      <c r="B313" s="6"/>
      <c r="C313" s="6"/>
      <c r="D313" s="6"/>
      <c r="E313" s="6"/>
      <c r="F313" s="6"/>
      <c r="G313" s="6"/>
      <c r="H313" s="16"/>
      <c r="I313" s="16"/>
      <c r="J313" s="6"/>
      <c r="K313" s="6"/>
      <c r="L313" s="6"/>
      <c r="M313" s="6"/>
    </row>
    <row r="314" spans="1:13" ht="13">
      <c r="A314" s="16"/>
      <c r="B314" s="6"/>
      <c r="C314" s="6"/>
      <c r="D314" s="6"/>
      <c r="E314" s="6"/>
      <c r="F314" s="6"/>
      <c r="G314" s="6"/>
      <c r="H314" s="16"/>
      <c r="I314" s="16"/>
      <c r="J314" s="6"/>
      <c r="K314" s="6"/>
      <c r="L314" s="6"/>
      <c r="M314" s="6"/>
    </row>
    <row r="315" spans="1:13" ht="13">
      <c r="A315" s="16"/>
      <c r="B315" s="6"/>
      <c r="C315" s="6"/>
      <c r="D315" s="6"/>
      <c r="E315" s="6"/>
      <c r="F315" s="6"/>
      <c r="G315" s="6"/>
      <c r="H315" s="16"/>
      <c r="I315" s="16"/>
      <c r="J315" s="6"/>
      <c r="K315" s="6"/>
      <c r="L315" s="6"/>
      <c r="M315" s="6"/>
    </row>
    <row r="316" spans="1:13" ht="13">
      <c r="A316" s="16"/>
      <c r="B316" s="6"/>
      <c r="C316" s="6"/>
      <c r="D316" s="6"/>
      <c r="E316" s="6"/>
      <c r="F316" s="6"/>
      <c r="G316" s="6"/>
      <c r="H316" s="16"/>
      <c r="I316" s="16"/>
      <c r="J316" s="6"/>
      <c r="K316" s="6"/>
      <c r="L316" s="6"/>
      <c r="M316" s="6"/>
    </row>
    <row r="317" spans="1:13" ht="13">
      <c r="A317" s="16"/>
      <c r="B317" s="6"/>
      <c r="C317" s="6"/>
      <c r="D317" s="6"/>
      <c r="E317" s="6"/>
      <c r="F317" s="6"/>
      <c r="G317" s="6"/>
      <c r="H317" s="16"/>
      <c r="I317" s="16"/>
      <c r="J317" s="6"/>
      <c r="K317" s="6"/>
      <c r="L317" s="6"/>
      <c r="M317" s="6"/>
    </row>
    <row r="318" spans="1:13" ht="13">
      <c r="A318" s="16"/>
      <c r="B318" s="6"/>
      <c r="C318" s="6"/>
      <c r="D318" s="6"/>
      <c r="E318" s="6"/>
      <c r="F318" s="6"/>
      <c r="G318" s="6"/>
      <c r="H318" s="16"/>
      <c r="I318" s="16"/>
      <c r="J318" s="6"/>
      <c r="K318" s="6"/>
      <c r="L318" s="6"/>
      <c r="M318" s="6"/>
    </row>
    <row r="319" spans="1:13" ht="13">
      <c r="A319" s="16"/>
      <c r="B319" s="6"/>
      <c r="C319" s="6"/>
      <c r="D319" s="6"/>
      <c r="E319" s="6"/>
      <c r="F319" s="6"/>
      <c r="G319" s="6"/>
      <c r="H319" s="16"/>
      <c r="I319" s="16"/>
      <c r="J319" s="6"/>
      <c r="K319" s="6"/>
      <c r="L319" s="6"/>
      <c r="M319" s="6"/>
    </row>
    <row r="320" spans="1:13" ht="13">
      <c r="A320" s="16"/>
      <c r="B320" s="6"/>
      <c r="C320" s="6"/>
      <c r="D320" s="6"/>
      <c r="E320" s="6"/>
      <c r="F320" s="6"/>
      <c r="G320" s="6"/>
      <c r="H320" s="16"/>
      <c r="I320" s="16"/>
      <c r="J320" s="6"/>
      <c r="K320" s="6"/>
      <c r="L320" s="6"/>
      <c r="M320" s="6"/>
    </row>
    <row r="321" spans="1:13" ht="13">
      <c r="A321" s="16"/>
      <c r="B321" s="6"/>
      <c r="C321" s="6"/>
      <c r="D321" s="6"/>
      <c r="E321" s="6"/>
      <c r="F321" s="6"/>
      <c r="G321" s="6"/>
      <c r="H321" s="16"/>
      <c r="I321" s="16"/>
      <c r="J321" s="6"/>
      <c r="K321" s="6"/>
      <c r="L321" s="6"/>
      <c r="M321" s="6"/>
    </row>
    <row r="322" spans="1:13" ht="13">
      <c r="A322" s="16"/>
      <c r="B322" s="6"/>
      <c r="C322" s="6"/>
      <c r="D322" s="6"/>
      <c r="E322" s="6"/>
      <c r="F322" s="6"/>
      <c r="G322" s="6"/>
      <c r="H322" s="16"/>
      <c r="I322" s="16"/>
      <c r="J322" s="6"/>
      <c r="K322" s="6"/>
      <c r="L322" s="6"/>
      <c r="M322" s="6"/>
    </row>
    <row r="323" spans="1:13" ht="13">
      <c r="A323" s="16"/>
      <c r="B323" s="6"/>
      <c r="C323" s="6"/>
      <c r="D323" s="6"/>
      <c r="E323" s="6"/>
      <c r="F323" s="6"/>
      <c r="G323" s="6"/>
      <c r="H323" s="16"/>
      <c r="I323" s="16"/>
      <c r="J323" s="6"/>
      <c r="K323" s="6"/>
      <c r="L323" s="6"/>
      <c r="M323" s="6"/>
    </row>
    <row r="324" spans="1:13" ht="13">
      <c r="A324" s="16"/>
      <c r="B324" s="6"/>
      <c r="C324" s="6"/>
      <c r="D324" s="6"/>
      <c r="E324" s="6"/>
      <c r="F324" s="6"/>
      <c r="G324" s="6"/>
      <c r="H324" s="16"/>
      <c r="I324" s="16"/>
      <c r="J324" s="6"/>
      <c r="K324" s="6"/>
      <c r="L324" s="6"/>
      <c r="M324" s="6"/>
    </row>
    <row r="325" spans="1:13" ht="13">
      <c r="A325" s="16"/>
      <c r="B325" s="6"/>
      <c r="C325" s="6"/>
      <c r="D325" s="6"/>
      <c r="E325" s="6"/>
      <c r="F325" s="6"/>
      <c r="G325" s="6"/>
      <c r="H325" s="16"/>
      <c r="I325" s="16"/>
      <c r="J325" s="6"/>
      <c r="K325" s="6"/>
      <c r="L325" s="6"/>
      <c r="M325" s="6"/>
    </row>
    <row r="326" spans="1:13" ht="13">
      <c r="A326" s="16"/>
      <c r="B326" s="6"/>
      <c r="C326" s="6"/>
      <c r="D326" s="6"/>
      <c r="E326" s="6"/>
      <c r="F326" s="6"/>
      <c r="G326" s="6"/>
      <c r="H326" s="16"/>
      <c r="I326" s="16"/>
      <c r="J326" s="6"/>
      <c r="K326" s="6"/>
      <c r="L326" s="6"/>
      <c r="M326" s="6"/>
    </row>
    <row r="327" spans="1:13" ht="13">
      <c r="A327" s="16"/>
      <c r="B327" s="6"/>
      <c r="C327" s="6"/>
      <c r="D327" s="6"/>
      <c r="E327" s="6"/>
      <c r="F327" s="6"/>
      <c r="G327" s="6"/>
      <c r="H327" s="16"/>
      <c r="I327" s="16"/>
      <c r="J327" s="6"/>
      <c r="K327" s="6"/>
      <c r="L327" s="6"/>
      <c r="M327" s="6"/>
    </row>
    <row r="328" spans="1:13" ht="13">
      <c r="A328" s="16"/>
      <c r="B328" s="6"/>
      <c r="C328" s="6"/>
      <c r="D328" s="6"/>
      <c r="E328" s="6"/>
      <c r="F328" s="6"/>
      <c r="G328" s="6"/>
      <c r="H328" s="16"/>
      <c r="I328" s="16"/>
      <c r="J328" s="6"/>
      <c r="K328" s="6"/>
      <c r="L328" s="6"/>
      <c r="M328" s="6"/>
    </row>
    <row r="329" spans="1:13" ht="13">
      <c r="A329" s="16"/>
      <c r="B329" s="6"/>
      <c r="C329" s="6"/>
      <c r="D329" s="6"/>
      <c r="E329" s="6"/>
      <c r="F329" s="6"/>
      <c r="G329" s="6"/>
      <c r="H329" s="16"/>
      <c r="I329" s="16"/>
      <c r="J329" s="6"/>
      <c r="K329" s="6"/>
      <c r="L329" s="6"/>
      <c r="M329" s="6"/>
    </row>
    <row r="330" spans="1:13" ht="13">
      <c r="A330" s="16"/>
      <c r="B330" s="6"/>
      <c r="C330" s="6"/>
      <c r="D330" s="6"/>
      <c r="E330" s="6"/>
      <c r="F330" s="6"/>
      <c r="G330" s="6"/>
      <c r="H330" s="16"/>
      <c r="I330" s="16"/>
      <c r="J330" s="6"/>
      <c r="K330" s="6"/>
      <c r="L330" s="6"/>
      <c r="M330" s="6"/>
    </row>
    <row r="331" spans="1:13" ht="13">
      <c r="A331" s="16"/>
      <c r="B331" s="6"/>
      <c r="C331" s="6"/>
      <c r="D331" s="6"/>
      <c r="E331" s="6"/>
      <c r="F331" s="6"/>
      <c r="G331" s="6"/>
      <c r="H331" s="16"/>
      <c r="I331" s="16"/>
      <c r="J331" s="6"/>
      <c r="K331" s="6"/>
      <c r="L331" s="6"/>
      <c r="M331" s="6"/>
    </row>
    <row r="332" spans="1:13" ht="13">
      <c r="A332" s="16"/>
      <c r="B332" s="6"/>
      <c r="C332" s="6"/>
      <c r="D332" s="6"/>
      <c r="E332" s="6"/>
      <c r="F332" s="6"/>
      <c r="G332" s="6"/>
      <c r="H332" s="16"/>
      <c r="I332" s="16"/>
      <c r="J332" s="6"/>
      <c r="K332" s="6"/>
      <c r="L332" s="6"/>
      <c r="M332" s="6"/>
    </row>
    <row r="333" spans="1:13" ht="13">
      <c r="A333" s="16"/>
      <c r="B333" s="6"/>
      <c r="C333" s="6"/>
      <c r="D333" s="6"/>
      <c r="E333" s="6"/>
      <c r="F333" s="6"/>
      <c r="G333" s="6"/>
      <c r="H333" s="16"/>
      <c r="I333" s="16"/>
      <c r="J333" s="6"/>
      <c r="K333" s="6"/>
      <c r="L333" s="6"/>
      <c r="M333" s="6"/>
    </row>
    <row r="334" spans="1:13" ht="13">
      <c r="A334" s="16"/>
      <c r="B334" s="6"/>
      <c r="C334" s="6"/>
      <c r="D334" s="6"/>
      <c r="E334" s="6"/>
      <c r="F334" s="6"/>
      <c r="G334" s="6"/>
      <c r="H334" s="16"/>
      <c r="I334" s="16"/>
      <c r="J334" s="6"/>
      <c r="K334" s="6"/>
      <c r="L334" s="6"/>
      <c r="M334" s="6"/>
    </row>
    <row r="335" spans="1:13" ht="13">
      <c r="A335" s="16"/>
      <c r="B335" s="6"/>
      <c r="C335" s="6"/>
      <c r="D335" s="6"/>
      <c r="E335" s="6"/>
      <c r="F335" s="6"/>
      <c r="G335" s="6"/>
      <c r="H335" s="16"/>
      <c r="I335" s="16"/>
      <c r="J335" s="6"/>
      <c r="K335" s="6"/>
      <c r="L335" s="6"/>
      <c r="M335" s="6"/>
    </row>
    <row r="336" spans="1:13" ht="13">
      <c r="A336" s="16"/>
      <c r="B336" s="6"/>
      <c r="C336" s="6"/>
      <c r="D336" s="6"/>
      <c r="E336" s="6"/>
      <c r="F336" s="6"/>
      <c r="G336" s="6"/>
      <c r="H336" s="16"/>
      <c r="I336" s="16"/>
      <c r="J336" s="6"/>
      <c r="K336" s="6"/>
      <c r="L336" s="6"/>
      <c r="M336" s="6"/>
    </row>
    <row r="337" spans="1:13" ht="13">
      <c r="A337" s="16"/>
      <c r="B337" s="6"/>
      <c r="C337" s="6"/>
      <c r="D337" s="6"/>
      <c r="E337" s="6"/>
      <c r="F337" s="6"/>
      <c r="G337" s="6"/>
      <c r="H337" s="16"/>
      <c r="I337" s="16"/>
      <c r="J337" s="6"/>
      <c r="K337" s="6"/>
      <c r="L337" s="6"/>
      <c r="M337" s="6"/>
    </row>
    <row r="338" spans="1:13" ht="13">
      <c r="A338" s="16"/>
      <c r="B338" s="6"/>
      <c r="C338" s="6"/>
      <c r="D338" s="6"/>
      <c r="E338" s="6"/>
      <c r="F338" s="6"/>
      <c r="G338" s="6"/>
      <c r="H338" s="16"/>
      <c r="I338" s="16"/>
      <c r="J338" s="6"/>
      <c r="K338" s="6"/>
      <c r="L338" s="6"/>
      <c r="M338" s="6"/>
    </row>
    <row r="339" spans="1:13" ht="13">
      <c r="A339" s="16"/>
      <c r="B339" s="6"/>
      <c r="C339" s="6"/>
      <c r="D339" s="6"/>
      <c r="E339" s="6"/>
      <c r="F339" s="6"/>
      <c r="G339" s="6"/>
      <c r="H339" s="16"/>
      <c r="I339" s="16"/>
      <c r="J339" s="6"/>
      <c r="K339" s="6"/>
      <c r="L339" s="6"/>
      <c r="M339" s="6"/>
    </row>
    <row r="340" spans="1:13" ht="13">
      <c r="A340" s="16"/>
      <c r="B340" s="6"/>
      <c r="C340" s="6"/>
      <c r="D340" s="6"/>
      <c r="E340" s="6"/>
      <c r="F340" s="6"/>
      <c r="G340" s="6"/>
      <c r="H340" s="16"/>
      <c r="I340" s="16"/>
      <c r="J340" s="6"/>
      <c r="K340" s="6"/>
      <c r="L340" s="6"/>
      <c r="M340" s="6"/>
    </row>
    <row r="341" spans="1:13" ht="13">
      <c r="A341" s="16"/>
      <c r="B341" s="6"/>
      <c r="C341" s="6"/>
      <c r="D341" s="6"/>
      <c r="E341" s="6"/>
      <c r="F341" s="6"/>
      <c r="G341" s="6"/>
      <c r="H341" s="16"/>
      <c r="I341" s="16"/>
      <c r="J341" s="6"/>
      <c r="K341" s="6"/>
      <c r="L341" s="6"/>
      <c r="M341" s="6"/>
    </row>
    <row r="342" spans="1:13" ht="13">
      <c r="A342" s="16"/>
      <c r="B342" s="6"/>
      <c r="C342" s="6"/>
      <c r="D342" s="6"/>
      <c r="E342" s="6"/>
      <c r="F342" s="6"/>
      <c r="G342" s="6"/>
      <c r="H342" s="16"/>
      <c r="I342" s="16"/>
      <c r="J342" s="6"/>
      <c r="K342" s="6"/>
      <c r="L342" s="6"/>
      <c r="M342" s="6"/>
    </row>
    <row r="343" spans="1:13" ht="13">
      <c r="A343" s="16"/>
      <c r="B343" s="6"/>
      <c r="C343" s="6"/>
      <c r="D343" s="6"/>
      <c r="E343" s="6"/>
      <c r="F343" s="6"/>
      <c r="G343" s="6"/>
      <c r="H343" s="16"/>
      <c r="I343" s="16"/>
      <c r="J343" s="6"/>
      <c r="K343" s="6"/>
      <c r="L343" s="6"/>
      <c r="M343" s="6"/>
    </row>
    <row r="344" spans="1:13" ht="13">
      <c r="A344" s="16"/>
      <c r="B344" s="6"/>
      <c r="C344" s="6"/>
      <c r="D344" s="6"/>
      <c r="E344" s="6"/>
      <c r="F344" s="6"/>
      <c r="G344" s="6"/>
      <c r="H344" s="16"/>
      <c r="I344" s="16"/>
      <c r="J344" s="6"/>
      <c r="K344" s="6"/>
      <c r="L344" s="6"/>
      <c r="M344" s="6"/>
    </row>
    <row r="345" spans="1:13" ht="13">
      <c r="A345" s="16"/>
      <c r="B345" s="6"/>
      <c r="C345" s="6"/>
      <c r="D345" s="6"/>
      <c r="E345" s="6"/>
      <c r="F345" s="6"/>
      <c r="G345" s="6"/>
      <c r="H345" s="16"/>
      <c r="I345" s="16"/>
      <c r="J345" s="6"/>
      <c r="K345" s="6"/>
      <c r="L345" s="6"/>
      <c r="M345" s="6"/>
    </row>
    <row r="346" spans="1:13" ht="13">
      <c r="A346" s="16"/>
      <c r="B346" s="6"/>
      <c r="C346" s="6"/>
      <c r="D346" s="6"/>
      <c r="E346" s="6"/>
      <c r="F346" s="6"/>
      <c r="G346" s="6"/>
      <c r="H346" s="16"/>
      <c r="I346" s="16"/>
      <c r="J346" s="6"/>
      <c r="K346" s="6"/>
      <c r="L346" s="6"/>
      <c r="M346" s="6"/>
    </row>
    <row r="347" spans="1:13" ht="13">
      <c r="A347" s="16"/>
      <c r="B347" s="6"/>
      <c r="C347" s="6"/>
      <c r="D347" s="6"/>
      <c r="E347" s="6"/>
      <c r="F347" s="6"/>
      <c r="G347" s="6"/>
      <c r="H347" s="16"/>
      <c r="I347" s="16"/>
      <c r="J347" s="6"/>
      <c r="K347" s="6"/>
      <c r="L347" s="6"/>
      <c r="M347" s="6"/>
    </row>
    <row r="348" spans="1:13" ht="13">
      <c r="A348" s="16"/>
      <c r="B348" s="6"/>
      <c r="C348" s="6"/>
      <c r="D348" s="6"/>
      <c r="E348" s="6"/>
      <c r="F348" s="6"/>
      <c r="G348" s="6"/>
      <c r="H348" s="16"/>
      <c r="I348" s="16"/>
      <c r="J348" s="6"/>
      <c r="K348" s="6"/>
      <c r="L348" s="6"/>
      <c r="M348" s="6"/>
    </row>
    <row r="349" spans="1:13" ht="13">
      <c r="A349" s="16"/>
      <c r="B349" s="6"/>
      <c r="C349" s="6"/>
      <c r="D349" s="6"/>
      <c r="E349" s="6"/>
      <c r="F349" s="6"/>
      <c r="G349" s="6"/>
      <c r="H349" s="16"/>
      <c r="I349" s="16"/>
      <c r="J349" s="6"/>
      <c r="K349" s="6"/>
      <c r="L349" s="6"/>
      <c r="M349" s="6"/>
    </row>
    <row r="350" spans="1:13" ht="13">
      <c r="A350" s="16"/>
      <c r="B350" s="6"/>
      <c r="C350" s="6"/>
      <c r="D350" s="6"/>
      <c r="E350" s="6"/>
      <c r="F350" s="6"/>
      <c r="G350" s="6"/>
      <c r="H350" s="16"/>
      <c r="I350" s="16"/>
      <c r="J350" s="6"/>
      <c r="K350" s="6"/>
      <c r="L350" s="6"/>
      <c r="M350" s="6"/>
    </row>
    <row r="351" spans="1:13" ht="13">
      <c r="A351" s="16"/>
      <c r="B351" s="6"/>
      <c r="C351" s="6"/>
      <c r="D351" s="6"/>
      <c r="E351" s="6"/>
      <c r="F351" s="6"/>
      <c r="G351" s="6"/>
      <c r="H351" s="16"/>
      <c r="I351" s="16"/>
      <c r="J351" s="6"/>
      <c r="K351" s="6"/>
      <c r="L351" s="6"/>
      <c r="M351" s="6"/>
    </row>
    <row r="352" spans="1:13" ht="13">
      <c r="A352" s="16"/>
      <c r="B352" s="6"/>
      <c r="C352" s="6"/>
      <c r="D352" s="6"/>
      <c r="E352" s="6"/>
      <c r="F352" s="6"/>
      <c r="G352" s="6"/>
      <c r="H352" s="16"/>
      <c r="I352" s="16"/>
      <c r="J352" s="6"/>
      <c r="K352" s="6"/>
      <c r="L352" s="6"/>
      <c r="M352" s="6"/>
    </row>
    <row r="353" spans="1:13" ht="13">
      <c r="A353" s="16"/>
      <c r="B353" s="6"/>
      <c r="C353" s="6"/>
      <c r="D353" s="6"/>
      <c r="E353" s="6"/>
      <c r="F353" s="6"/>
      <c r="G353" s="6"/>
      <c r="H353" s="16"/>
      <c r="I353" s="16"/>
      <c r="J353" s="6"/>
      <c r="K353" s="6"/>
      <c r="L353" s="6"/>
      <c r="M353" s="6"/>
    </row>
    <row r="354" spans="1:13" ht="13">
      <c r="A354" s="16"/>
      <c r="B354" s="6"/>
      <c r="C354" s="6"/>
      <c r="D354" s="6"/>
      <c r="E354" s="6"/>
      <c r="F354" s="6"/>
      <c r="G354" s="6"/>
      <c r="H354" s="16"/>
      <c r="I354" s="16"/>
      <c r="J354" s="6"/>
      <c r="K354" s="6"/>
      <c r="L354" s="6"/>
      <c r="M354" s="6"/>
    </row>
    <row r="355" spans="1:13" ht="13">
      <c r="A355" s="16"/>
      <c r="B355" s="6"/>
      <c r="C355" s="6"/>
      <c r="D355" s="6"/>
      <c r="E355" s="6"/>
      <c r="F355" s="6"/>
      <c r="G355" s="6"/>
      <c r="H355" s="16"/>
      <c r="I355" s="16"/>
      <c r="J355" s="6"/>
      <c r="K355" s="6"/>
      <c r="L355" s="6"/>
      <c r="M355" s="6"/>
    </row>
    <row r="356" spans="1:13" ht="13">
      <c r="A356" s="16"/>
      <c r="B356" s="6"/>
      <c r="C356" s="6"/>
      <c r="D356" s="6"/>
      <c r="E356" s="6"/>
      <c r="F356" s="6"/>
      <c r="G356" s="6"/>
      <c r="H356" s="16"/>
      <c r="I356" s="16"/>
      <c r="J356" s="6"/>
      <c r="K356" s="6"/>
      <c r="L356" s="6"/>
      <c r="M356" s="6"/>
    </row>
    <row r="357" spans="1:13" ht="13">
      <c r="A357" s="16"/>
      <c r="B357" s="6"/>
      <c r="C357" s="6"/>
      <c r="D357" s="6"/>
      <c r="E357" s="6"/>
      <c r="F357" s="6"/>
      <c r="G357" s="6"/>
      <c r="H357" s="16"/>
      <c r="I357" s="16"/>
      <c r="J357" s="6"/>
      <c r="K357" s="6"/>
      <c r="L357" s="6"/>
      <c r="M357" s="6"/>
    </row>
    <row r="358" spans="1:13" ht="13">
      <c r="A358" s="16"/>
      <c r="B358" s="6"/>
      <c r="C358" s="6"/>
      <c r="D358" s="6"/>
      <c r="E358" s="6"/>
      <c r="F358" s="6"/>
      <c r="G358" s="6"/>
      <c r="H358" s="16"/>
      <c r="I358" s="16"/>
      <c r="J358" s="6"/>
      <c r="K358" s="6"/>
      <c r="L358" s="6"/>
      <c r="M358" s="6"/>
    </row>
    <row r="359" spans="1:13" ht="13">
      <c r="A359" s="16"/>
      <c r="B359" s="6"/>
      <c r="C359" s="6"/>
      <c r="D359" s="6"/>
      <c r="E359" s="6"/>
      <c r="F359" s="6"/>
      <c r="G359" s="6"/>
      <c r="H359" s="16"/>
      <c r="I359" s="16"/>
      <c r="J359" s="6"/>
      <c r="K359" s="6"/>
      <c r="L359" s="6"/>
      <c r="M359" s="6"/>
    </row>
    <row r="360" spans="1:13" ht="13">
      <c r="A360" s="16"/>
      <c r="B360" s="6"/>
      <c r="C360" s="6"/>
      <c r="D360" s="6"/>
      <c r="E360" s="6"/>
      <c r="F360" s="6"/>
      <c r="G360" s="6"/>
      <c r="H360" s="16"/>
      <c r="I360" s="16"/>
      <c r="J360" s="6"/>
      <c r="K360" s="6"/>
      <c r="L360" s="6"/>
      <c r="M360" s="6"/>
    </row>
    <row r="361" spans="1:13" ht="13">
      <c r="A361" s="16"/>
      <c r="B361" s="6"/>
      <c r="C361" s="6"/>
      <c r="D361" s="6"/>
      <c r="E361" s="6"/>
      <c r="F361" s="6"/>
      <c r="G361" s="6"/>
      <c r="H361" s="16"/>
      <c r="I361" s="16"/>
      <c r="J361" s="6"/>
      <c r="K361" s="6"/>
      <c r="L361" s="6"/>
      <c r="M361" s="6"/>
    </row>
    <row r="362" spans="1:13" ht="13">
      <c r="A362" s="16"/>
      <c r="B362" s="6"/>
      <c r="C362" s="6"/>
      <c r="D362" s="6"/>
      <c r="E362" s="6"/>
      <c r="F362" s="6"/>
      <c r="G362" s="6"/>
      <c r="H362" s="16"/>
      <c r="I362" s="16"/>
      <c r="J362" s="6"/>
      <c r="K362" s="6"/>
      <c r="L362" s="6"/>
      <c r="M362" s="6"/>
    </row>
    <row r="363" spans="1:13" ht="13">
      <c r="A363" s="16"/>
      <c r="B363" s="6"/>
      <c r="C363" s="6"/>
      <c r="D363" s="6"/>
      <c r="E363" s="6"/>
      <c r="F363" s="6"/>
      <c r="G363" s="6"/>
      <c r="H363" s="16"/>
      <c r="I363" s="16"/>
      <c r="J363" s="6"/>
      <c r="K363" s="6"/>
      <c r="L363" s="6"/>
      <c r="M363" s="6"/>
    </row>
    <row r="364" spans="1:13" ht="13">
      <c r="A364" s="16"/>
      <c r="B364" s="6"/>
      <c r="C364" s="6"/>
      <c r="D364" s="6"/>
      <c r="E364" s="6"/>
      <c r="F364" s="6"/>
      <c r="G364" s="6"/>
      <c r="H364" s="16"/>
      <c r="I364" s="16"/>
      <c r="J364" s="6"/>
      <c r="K364" s="6"/>
      <c r="L364" s="6"/>
      <c r="M364" s="6"/>
    </row>
    <row r="365" spans="1:13" ht="13">
      <c r="A365" s="16"/>
      <c r="B365" s="6"/>
      <c r="C365" s="6"/>
      <c r="D365" s="6"/>
      <c r="E365" s="6"/>
      <c r="F365" s="6"/>
      <c r="G365" s="6"/>
      <c r="H365" s="16"/>
      <c r="I365" s="16"/>
      <c r="J365" s="6"/>
      <c r="K365" s="6"/>
      <c r="L365" s="6"/>
      <c r="M365" s="6"/>
    </row>
    <row r="366" spans="1:13" ht="13">
      <c r="A366" s="16"/>
      <c r="B366" s="6"/>
      <c r="C366" s="6"/>
      <c r="D366" s="6"/>
      <c r="E366" s="6"/>
      <c r="F366" s="6"/>
      <c r="G366" s="6"/>
      <c r="H366" s="16"/>
      <c r="I366" s="16"/>
      <c r="J366" s="6"/>
      <c r="K366" s="6"/>
      <c r="L366" s="6"/>
      <c r="M366" s="6"/>
    </row>
    <row r="367" spans="1:13" ht="13">
      <c r="A367" s="16"/>
      <c r="B367" s="6"/>
      <c r="C367" s="6"/>
      <c r="D367" s="6"/>
      <c r="E367" s="6"/>
      <c r="F367" s="6"/>
      <c r="G367" s="6"/>
      <c r="H367" s="16"/>
      <c r="I367" s="16"/>
      <c r="J367" s="6"/>
      <c r="K367" s="6"/>
      <c r="L367" s="6"/>
      <c r="M367" s="6"/>
    </row>
    <row r="368" spans="1:13" ht="13">
      <c r="A368" s="16"/>
      <c r="B368" s="6"/>
      <c r="C368" s="6"/>
      <c r="D368" s="6"/>
      <c r="E368" s="6"/>
      <c r="F368" s="6"/>
      <c r="G368" s="6"/>
      <c r="H368" s="16"/>
      <c r="I368" s="16"/>
      <c r="J368" s="6"/>
      <c r="K368" s="6"/>
      <c r="L368" s="6"/>
      <c r="M368" s="6"/>
    </row>
    <row r="369" spans="1:13" ht="13">
      <c r="A369" s="16"/>
      <c r="B369" s="6"/>
      <c r="C369" s="6"/>
      <c r="D369" s="6"/>
      <c r="E369" s="6"/>
      <c r="F369" s="6"/>
      <c r="G369" s="6"/>
      <c r="H369" s="16"/>
      <c r="I369" s="16"/>
      <c r="J369" s="6"/>
      <c r="K369" s="6"/>
      <c r="L369" s="6"/>
      <c r="M369" s="6"/>
    </row>
    <row r="370" spans="1:13" ht="13">
      <c r="A370" s="16"/>
      <c r="B370" s="6"/>
      <c r="C370" s="6"/>
      <c r="D370" s="6"/>
      <c r="E370" s="6"/>
      <c r="F370" s="6"/>
      <c r="G370" s="6"/>
      <c r="H370" s="16"/>
      <c r="I370" s="16"/>
      <c r="J370" s="6"/>
      <c r="K370" s="6"/>
      <c r="L370" s="6"/>
      <c r="M370" s="6"/>
    </row>
    <row r="371" spans="1:13" ht="13">
      <c r="A371" s="16"/>
      <c r="B371" s="6"/>
      <c r="C371" s="6"/>
      <c r="D371" s="6"/>
      <c r="E371" s="6"/>
      <c r="F371" s="6"/>
      <c r="G371" s="6"/>
      <c r="H371" s="16"/>
      <c r="I371" s="16"/>
      <c r="J371" s="6"/>
      <c r="K371" s="6"/>
      <c r="L371" s="6"/>
      <c r="M371" s="6"/>
    </row>
    <row r="372" spans="1:13" ht="13">
      <c r="A372" s="16"/>
      <c r="B372" s="6"/>
      <c r="C372" s="6"/>
      <c r="D372" s="6"/>
      <c r="E372" s="6"/>
      <c r="F372" s="6"/>
      <c r="G372" s="6"/>
      <c r="H372" s="16"/>
      <c r="I372" s="16"/>
      <c r="J372" s="6"/>
      <c r="K372" s="6"/>
      <c r="L372" s="6"/>
      <c r="M372" s="6"/>
    </row>
    <row r="373" spans="1:13" ht="13">
      <c r="A373" s="16"/>
      <c r="B373" s="6"/>
      <c r="C373" s="6"/>
      <c r="D373" s="6"/>
      <c r="E373" s="6"/>
      <c r="F373" s="6"/>
      <c r="G373" s="6"/>
      <c r="H373" s="16"/>
      <c r="I373" s="16"/>
      <c r="J373" s="6"/>
      <c r="K373" s="6"/>
      <c r="L373" s="6"/>
      <c r="M373" s="6"/>
    </row>
    <row r="374" spans="1:13" ht="13">
      <c r="A374" s="16"/>
      <c r="B374" s="6"/>
      <c r="C374" s="6"/>
      <c r="D374" s="6"/>
      <c r="E374" s="6"/>
      <c r="F374" s="6"/>
      <c r="G374" s="6"/>
      <c r="H374" s="16"/>
      <c r="I374" s="16"/>
      <c r="J374" s="6"/>
      <c r="K374" s="6"/>
      <c r="L374" s="6"/>
      <c r="M374" s="6"/>
    </row>
    <row r="375" spans="1:13" ht="13">
      <c r="A375" s="16"/>
      <c r="B375" s="6"/>
      <c r="C375" s="6"/>
      <c r="D375" s="6"/>
      <c r="E375" s="6"/>
      <c r="F375" s="6"/>
      <c r="G375" s="6"/>
      <c r="H375" s="16"/>
      <c r="I375" s="16"/>
      <c r="J375" s="6"/>
      <c r="K375" s="6"/>
      <c r="L375" s="6"/>
      <c r="M375" s="6"/>
    </row>
    <row r="376" spans="1:13" ht="13">
      <c r="A376" s="16"/>
      <c r="B376" s="6"/>
      <c r="C376" s="6"/>
      <c r="D376" s="6"/>
      <c r="E376" s="6"/>
      <c r="F376" s="6"/>
      <c r="G376" s="6"/>
      <c r="H376" s="16"/>
      <c r="I376" s="16"/>
      <c r="J376" s="6"/>
      <c r="K376" s="6"/>
      <c r="L376" s="6"/>
      <c r="M376" s="6"/>
    </row>
    <row r="377" spans="1:13" ht="13">
      <c r="A377" s="16"/>
      <c r="B377" s="6"/>
      <c r="C377" s="6"/>
      <c r="D377" s="6"/>
      <c r="E377" s="6"/>
      <c r="F377" s="6"/>
      <c r="G377" s="6"/>
      <c r="H377" s="16"/>
      <c r="I377" s="16"/>
      <c r="J377" s="6"/>
      <c r="K377" s="6"/>
      <c r="L377" s="6"/>
      <c r="M377" s="6"/>
    </row>
    <row r="378" spans="1:13" ht="13">
      <c r="A378" s="16"/>
      <c r="B378" s="6"/>
      <c r="C378" s="6"/>
      <c r="D378" s="6"/>
      <c r="E378" s="6"/>
      <c r="F378" s="6"/>
      <c r="G378" s="6"/>
      <c r="H378" s="16"/>
      <c r="I378" s="16"/>
      <c r="J378" s="6"/>
      <c r="K378" s="6"/>
      <c r="L378" s="6"/>
      <c r="M378" s="6"/>
    </row>
    <row r="379" spans="1:13" ht="13">
      <c r="A379" s="16"/>
      <c r="B379" s="6"/>
      <c r="C379" s="6"/>
      <c r="D379" s="6"/>
      <c r="E379" s="6"/>
      <c r="F379" s="6"/>
      <c r="G379" s="6"/>
      <c r="H379" s="16"/>
      <c r="I379" s="16"/>
      <c r="J379" s="6"/>
      <c r="K379" s="6"/>
      <c r="L379" s="6"/>
      <c r="M379" s="6"/>
    </row>
    <row r="380" spans="1:13" ht="13">
      <c r="A380" s="16"/>
      <c r="B380" s="6"/>
      <c r="C380" s="6"/>
      <c r="D380" s="6"/>
      <c r="E380" s="6"/>
      <c r="F380" s="6"/>
      <c r="G380" s="6"/>
      <c r="H380" s="16"/>
      <c r="I380" s="16"/>
      <c r="J380" s="6"/>
      <c r="K380" s="6"/>
      <c r="L380" s="6"/>
      <c r="M380" s="6"/>
    </row>
    <row r="381" spans="1:13" ht="13">
      <c r="A381" s="16"/>
      <c r="B381" s="6"/>
      <c r="C381" s="6"/>
      <c r="D381" s="6"/>
      <c r="E381" s="6"/>
      <c r="F381" s="6"/>
      <c r="G381" s="6"/>
      <c r="H381" s="16"/>
      <c r="I381" s="16"/>
      <c r="J381" s="6"/>
      <c r="K381" s="6"/>
      <c r="L381" s="6"/>
      <c r="M381" s="6"/>
    </row>
    <row r="382" spans="1:13" ht="13">
      <c r="A382" s="16"/>
      <c r="B382" s="6"/>
      <c r="C382" s="6"/>
      <c r="D382" s="6"/>
      <c r="E382" s="6"/>
      <c r="F382" s="6"/>
      <c r="G382" s="6"/>
      <c r="H382" s="16"/>
      <c r="I382" s="16"/>
      <c r="J382" s="6"/>
      <c r="K382" s="6"/>
      <c r="L382" s="6"/>
      <c r="M382" s="6"/>
    </row>
    <row r="383" spans="1:13" ht="13">
      <c r="A383" s="16"/>
      <c r="B383" s="6"/>
      <c r="C383" s="6"/>
      <c r="D383" s="6"/>
      <c r="E383" s="6"/>
      <c r="F383" s="6"/>
      <c r="G383" s="6"/>
      <c r="H383" s="16"/>
      <c r="I383" s="16"/>
      <c r="J383" s="6"/>
      <c r="K383" s="6"/>
      <c r="L383" s="6"/>
      <c r="M383" s="6"/>
    </row>
    <row r="384" spans="1:13" ht="13">
      <c r="A384" s="16"/>
      <c r="B384" s="6"/>
      <c r="C384" s="6"/>
      <c r="D384" s="6"/>
      <c r="E384" s="6"/>
      <c r="F384" s="6"/>
      <c r="G384" s="6"/>
      <c r="H384" s="16"/>
      <c r="I384" s="16"/>
      <c r="J384" s="6"/>
      <c r="K384" s="6"/>
      <c r="L384" s="6"/>
      <c r="M384" s="6"/>
    </row>
    <row r="385" spans="1:13" ht="13">
      <c r="A385" s="16"/>
      <c r="B385" s="6"/>
      <c r="C385" s="6"/>
      <c r="D385" s="6"/>
      <c r="E385" s="6"/>
      <c r="F385" s="6"/>
      <c r="G385" s="6"/>
      <c r="H385" s="16"/>
      <c r="I385" s="16"/>
      <c r="J385" s="6"/>
      <c r="K385" s="6"/>
      <c r="L385" s="6"/>
      <c r="M385" s="6"/>
    </row>
    <row r="386" spans="1:13" ht="13">
      <c r="A386" s="16"/>
      <c r="B386" s="6"/>
      <c r="C386" s="6"/>
      <c r="D386" s="6"/>
      <c r="E386" s="6"/>
      <c r="F386" s="6"/>
      <c r="G386" s="6"/>
      <c r="H386" s="16"/>
      <c r="I386" s="16"/>
      <c r="J386" s="6"/>
      <c r="K386" s="6"/>
      <c r="L386" s="6"/>
      <c r="M386" s="6"/>
    </row>
    <row r="387" spans="1:13" ht="13">
      <c r="A387" s="16"/>
      <c r="B387" s="6"/>
      <c r="C387" s="6"/>
      <c r="D387" s="6"/>
      <c r="E387" s="6"/>
      <c r="F387" s="6"/>
      <c r="G387" s="6"/>
      <c r="H387" s="16"/>
      <c r="I387" s="16"/>
      <c r="J387" s="6"/>
      <c r="K387" s="6"/>
      <c r="L387" s="6"/>
      <c r="M387" s="6"/>
    </row>
    <row r="388" spans="1:13" ht="13">
      <c r="A388" s="16"/>
      <c r="B388" s="6"/>
      <c r="C388" s="6"/>
      <c r="D388" s="6"/>
      <c r="E388" s="6"/>
      <c r="F388" s="6"/>
      <c r="G388" s="6"/>
      <c r="H388" s="16"/>
      <c r="I388" s="16"/>
      <c r="J388" s="6"/>
      <c r="K388" s="6"/>
      <c r="L388" s="6"/>
      <c r="M388" s="6"/>
    </row>
    <row r="389" spans="1:13" ht="13">
      <c r="A389" s="16"/>
      <c r="B389" s="6"/>
      <c r="C389" s="6"/>
      <c r="D389" s="6"/>
      <c r="E389" s="6"/>
      <c r="F389" s="6"/>
      <c r="G389" s="6"/>
      <c r="H389" s="16"/>
      <c r="I389" s="16"/>
      <c r="J389" s="6"/>
      <c r="K389" s="6"/>
      <c r="L389" s="6"/>
      <c r="M389" s="6"/>
    </row>
    <row r="390" spans="1:13" ht="13">
      <c r="A390" s="16"/>
      <c r="B390" s="6"/>
      <c r="C390" s="6"/>
      <c r="D390" s="6"/>
      <c r="E390" s="6"/>
      <c r="F390" s="6"/>
      <c r="G390" s="6"/>
      <c r="H390" s="16"/>
      <c r="I390" s="16"/>
      <c r="J390" s="6"/>
      <c r="K390" s="6"/>
      <c r="L390" s="6"/>
      <c r="M390" s="6"/>
    </row>
    <row r="391" spans="1:13" ht="13">
      <c r="A391" s="16"/>
      <c r="B391" s="6"/>
      <c r="C391" s="6"/>
      <c r="D391" s="6"/>
      <c r="E391" s="6"/>
      <c r="F391" s="6"/>
      <c r="G391" s="6"/>
      <c r="H391" s="16"/>
      <c r="I391" s="16"/>
      <c r="J391" s="6"/>
      <c r="K391" s="6"/>
      <c r="L391" s="6"/>
      <c r="M391" s="6"/>
    </row>
    <row r="392" spans="1:13" ht="13">
      <c r="A392" s="16"/>
      <c r="B392" s="6"/>
      <c r="C392" s="6"/>
      <c r="D392" s="6"/>
      <c r="E392" s="6"/>
      <c r="F392" s="6"/>
      <c r="G392" s="6"/>
      <c r="H392" s="16"/>
      <c r="I392" s="16"/>
      <c r="J392" s="6"/>
      <c r="K392" s="6"/>
      <c r="L392" s="6"/>
      <c r="M392" s="6"/>
    </row>
    <row r="393" spans="1:13" ht="13">
      <c r="A393" s="16"/>
      <c r="B393" s="6"/>
      <c r="C393" s="6"/>
      <c r="D393" s="6"/>
      <c r="E393" s="6"/>
      <c r="F393" s="6"/>
      <c r="G393" s="6"/>
      <c r="H393" s="16"/>
      <c r="I393" s="16"/>
      <c r="J393" s="6"/>
      <c r="K393" s="6"/>
      <c r="L393" s="6"/>
      <c r="M393" s="6"/>
    </row>
    <row r="394" spans="1:13" ht="13">
      <c r="A394" s="16"/>
      <c r="B394" s="6"/>
      <c r="C394" s="6"/>
      <c r="D394" s="6"/>
      <c r="E394" s="6"/>
      <c r="F394" s="6"/>
      <c r="G394" s="6"/>
      <c r="H394" s="16"/>
      <c r="I394" s="16"/>
      <c r="J394" s="6"/>
      <c r="K394" s="6"/>
      <c r="L394" s="6"/>
      <c r="M394" s="6"/>
    </row>
    <row r="395" spans="1:13" ht="13">
      <c r="A395" s="16"/>
      <c r="B395" s="6"/>
      <c r="C395" s="6"/>
      <c r="D395" s="6"/>
      <c r="E395" s="6"/>
      <c r="F395" s="6"/>
      <c r="G395" s="6"/>
      <c r="H395" s="16"/>
      <c r="I395" s="16"/>
      <c r="J395" s="6"/>
      <c r="K395" s="6"/>
      <c r="L395" s="6"/>
      <c r="M395" s="6"/>
    </row>
    <row r="396" spans="1:13" ht="13">
      <c r="A396" s="16"/>
      <c r="B396" s="6"/>
      <c r="C396" s="6"/>
      <c r="D396" s="6"/>
      <c r="E396" s="6"/>
      <c r="F396" s="6"/>
      <c r="G396" s="6"/>
      <c r="H396" s="16"/>
      <c r="I396" s="16"/>
      <c r="J396" s="6"/>
      <c r="K396" s="6"/>
      <c r="L396" s="6"/>
      <c r="M396" s="6"/>
    </row>
    <row r="397" spans="1:13" ht="13">
      <c r="A397" s="16"/>
      <c r="B397" s="6"/>
      <c r="C397" s="6"/>
      <c r="D397" s="6"/>
      <c r="E397" s="6"/>
      <c r="F397" s="6"/>
      <c r="G397" s="6"/>
      <c r="H397" s="16"/>
      <c r="I397" s="16"/>
      <c r="J397" s="6"/>
      <c r="K397" s="6"/>
      <c r="L397" s="6"/>
      <c r="M397" s="6"/>
    </row>
    <row r="398" spans="1:13" ht="13">
      <c r="A398" s="16"/>
      <c r="B398" s="6"/>
      <c r="C398" s="6"/>
      <c r="D398" s="6"/>
      <c r="E398" s="6"/>
      <c r="F398" s="6"/>
      <c r="G398" s="6"/>
      <c r="H398" s="16"/>
      <c r="I398" s="16"/>
      <c r="J398" s="6"/>
      <c r="K398" s="6"/>
      <c r="L398" s="6"/>
      <c r="M398" s="6"/>
    </row>
    <row r="399" spans="1:13" ht="13">
      <c r="A399" s="16"/>
      <c r="B399" s="6"/>
      <c r="C399" s="6"/>
      <c r="D399" s="6"/>
      <c r="E399" s="6"/>
      <c r="F399" s="6"/>
      <c r="G399" s="6"/>
      <c r="H399" s="16"/>
      <c r="I399" s="16"/>
      <c r="J399" s="6"/>
      <c r="K399" s="6"/>
      <c r="L399" s="6"/>
      <c r="M399" s="6"/>
    </row>
    <row r="400" spans="1:13" ht="13">
      <c r="A400" s="16"/>
      <c r="B400" s="6"/>
      <c r="C400" s="6"/>
      <c r="D400" s="6"/>
      <c r="E400" s="6"/>
      <c r="F400" s="6"/>
      <c r="G400" s="6"/>
      <c r="H400" s="16"/>
      <c r="I400" s="16"/>
      <c r="J400" s="6"/>
      <c r="K400" s="6"/>
      <c r="L400" s="6"/>
      <c r="M400" s="6"/>
    </row>
    <row r="401" spans="1:13" ht="13">
      <c r="A401" s="16"/>
      <c r="B401" s="6"/>
      <c r="C401" s="6"/>
      <c r="D401" s="6"/>
      <c r="E401" s="6"/>
      <c r="F401" s="6"/>
      <c r="G401" s="6"/>
      <c r="H401" s="16"/>
      <c r="I401" s="16"/>
      <c r="J401" s="6"/>
      <c r="K401" s="6"/>
      <c r="L401" s="6"/>
      <c r="M401" s="6"/>
    </row>
    <row r="402" spans="1:13" ht="13">
      <c r="A402" s="16"/>
      <c r="B402" s="6"/>
      <c r="C402" s="6"/>
      <c r="D402" s="6"/>
      <c r="E402" s="6"/>
      <c r="F402" s="6"/>
      <c r="G402" s="6"/>
      <c r="H402" s="16"/>
      <c r="I402" s="16"/>
      <c r="J402" s="6"/>
      <c r="K402" s="6"/>
      <c r="L402" s="6"/>
      <c r="M402" s="6"/>
    </row>
    <row r="403" spans="1:13" ht="13">
      <c r="A403" s="16"/>
      <c r="B403" s="6"/>
      <c r="C403" s="6"/>
      <c r="D403" s="6"/>
      <c r="E403" s="6"/>
      <c r="F403" s="6"/>
      <c r="G403" s="6"/>
      <c r="H403" s="16"/>
      <c r="I403" s="16"/>
      <c r="J403" s="6"/>
      <c r="K403" s="6"/>
      <c r="L403" s="6"/>
      <c r="M403" s="6"/>
    </row>
    <row r="404" spans="1:13" ht="13">
      <c r="A404" s="16"/>
      <c r="B404" s="6"/>
      <c r="C404" s="6"/>
      <c r="D404" s="6"/>
      <c r="E404" s="6"/>
      <c r="F404" s="6"/>
      <c r="G404" s="6"/>
      <c r="H404" s="16"/>
      <c r="I404" s="16"/>
      <c r="J404" s="6"/>
      <c r="K404" s="6"/>
      <c r="L404" s="6"/>
      <c r="M404" s="6"/>
    </row>
    <row r="405" spans="1:13" ht="13">
      <c r="A405" s="16"/>
      <c r="B405" s="6"/>
      <c r="C405" s="6"/>
      <c r="D405" s="6"/>
      <c r="E405" s="6"/>
      <c r="F405" s="6"/>
      <c r="G405" s="6"/>
      <c r="H405" s="16"/>
      <c r="I405" s="16"/>
      <c r="J405" s="6"/>
      <c r="K405" s="6"/>
      <c r="L405" s="6"/>
      <c r="M405" s="6"/>
    </row>
    <row r="406" spans="1:13" ht="13">
      <c r="A406" s="16"/>
      <c r="B406" s="6"/>
      <c r="C406" s="6"/>
      <c r="D406" s="6"/>
      <c r="E406" s="6"/>
      <c r="F406" s="6"/>
      <c r="G406" s="6"/>
      <c r="H406" s="16"/>
      <c r="I406" s="16"/>
      <c r="J406" s="6"/>
      <c r="K406" s="6"/>
      <c r="L406" s="6"/>
      <c r="M406" s="6"/>
    </row>
    <row r="407" spans="1:13" ht="13">
      <c r="A407" s="16"/>
      <c r="B407" s="6"/>
      <c r="C407" s="6"/>
      <c r="D407" s="6"/>
      <c r="E407" s="6"/>
      <c r="F407" s="6"/>
      <c r="G407" s="6"/>
      <c r="H407" s="16"/>
      <c r="I407" s="16"/>
      <c r="J407" s="6"/>
      <c r="K407" s="6"/>
      <c r="L407" s="6"/>
      <c r="M407" s="6"/>
    </row>
    <row r="408" spans="1:13" ht="13">
      <c r="A408" s="16"/>
      <c r="B408" s="6"/>
      <c r="C408" s="6"/>
      <c r="D408" s="6"/>
      <c r="E408" s="6"/>
      <c r="F408" s="6"/>
      <c r="G408" s="6"/>
      <c r="H408" s="16"/>
      <c r="I408" s="16"/>
      <c r="J408" s="6"/>
      <c r="K408" s="6"/>
      <c r="L408" s="6"/>
      <c r="M408" s="6"/>
    </row>
    <row r="409" spans="1:13" ht="13">
      <c r="A409" s="16"/>
      <c r="B409" s="6"/>
      <c r="C409" s="6"/>
      <c r="D409" s="6"/>
      <c r="E409" s="6"/>
      <c r="F409" s="6"/>
      <c r="G409" s="6"/>
      <c r="H409" s="16"/>
      <c r="I409" s="16"/>
      <c r="J409" s="6"/>
      <c r="K409" s="6"/>
      <c r="L409" s="6"/>
      <c r="M409" s="6"/>
    </row>
    <row r="410" spans="1:13" ht="13">
      <c r="A410" s="16"/>
      <c r="B410" s="6"/>
      <c r="C410" s="6"/>
      <c r="D410" s="6"/>
      <c r="E410" s="6"/>
      <c r="F410" s="6"/>
      <c r="G410" s="6"/>
      <c r="H410" s="16"/>
      <c r="I410" s="16"/>
      <c r="J410" s="6"/>
      <c r="K410" s="6"/>
      <c r="L410" s="6"/>
      <c r="M410" s="6"/>
    </row>
    <row r="411" spans="1:13" ht="13">
      <c r="A411" s="16"/>
      <c r="B411" s="6"/>
      <c r="C411" s="6"/>
      <c r="D411" s="6"/>
      <c r="E411" s="6"/>
      <c r="F411" s="6"/>
      <c r="G411" s="6"/>
      <c r="H411" s="16"/>
      <c r="I411" s="16"/>
      <c r="J411" s="6"/>
      <c r="K411" s="6"/>
      <c r="L411" s="6"/>
      <c r="M411" s="6"/>
    </row>
    <row r="412" spans="1:13" ht="13">
      <c r="A412" s="16"/>
      <c r="B412" s="6"/>
      <c r="C412" s="6"/>
      <c r="D412" s="6"/>
      <c r="E412" s="6"/>
      <c r="F412" s="6"/>
      <c r="G412" s="6"/>
      <c r="H412" s="16"/>
      <c r="I412" s="16"/>
      <c r="J412" s="6"/>
      <c r="K412" s="6"/>
      <c r="L412" s="6"/>
      <c r="M412" s="6"/>
    </row>
    <row r="413" spans="1:13" ht="13">
      <c r="A413" s="16"/>
      <c r="B413" s="6"/>
      <c r="C413" s="6"/>
      <c r="D413" s="6"/>
      <c r="E413" s="6"/>
      <c r="F413" s="6"/>
      <c r="G413" s="6"/>
      <c r="H413" s="16"/>
      <c r="I413" s="16"/>
      <c r="J413" s="6"/>
      <c r="K413" s="6"/>
      <c r="L413" s="6"/>
      <c r="M413" s="6"/>
    </row>
    <row r="414" spans="1:13" ht="13">
      <c r="A414" s="16"/>
      <c r="B414" s="6"/>
      <c r="C414" s="6"/>
      <c r="D414" s="6"/>
      <c r="E414" s="6"/>
      <c r="F414" s="6"/>
      <c r="G414" s="6"/>
      <c r="H414" s="16"/>
      <c r="I414" s="16"/>
      <c r="J414" s="6"/>
      <c r="K414" s="6"/>
      <c r="L414" s="6"/>
      <c r="M414" s="6"/>
    </row>
    <row r="415" spans="1:13" ht="13">
      <c r="A415" s="16"/>
      <c r="B415" s="6"/>
      <c r="C415" s="6"/>
      <c r="D415" s="6"/>
      <c r="E415" s="6"/>
      <c r="F415" s="6"/>
      <c r="G415" s="6"/>
      <c r="H415" s="16"/>
      <c r="I415" s="16"/>
      <c r="J415" s="6"/>
      <c r="K415" s="6"/>
      <c r="L415" s="6"/>
      <c r="M415" s="6"/>
    </row>
    <row r="416" spans="1:13" ht="13">
      <c r="A416" s="16"/>
      <c r="B416" s="6"/>
      <c r="C416" s="6"/>
      <c r="D416" s="6"/>
      <c r="E416" s="6"/>
      <c r="F416" s="6"/>
      <c r="G416" s="6"/>
      <c r="H416" s="16"/>
      <c r="I416" s="16"/>
      <c r="J416" s="6"/>
      <c r="K416" s="6"/>
      <c r="L416" s="6"/>
      <c r="M416" s="6"/>
    </row>
    <row r="417" spans="1:13" ht="13">
      <c r="A417" s="16"/>
      <c r="B417" s="6"/>
      <c r="C417" s="6"/>
      <c r="D417" s="6"/>
      <c r="E417" s="6"/>
      <c r="F417" s="6"/>
      <c r="G417" s="6"/>
      <c r="H417" s="16"/>
      <c r="I417" s="16"/>
      <c r="J417" s="6"/>
      <c r="K417" s="6"/>
      <c r="L417" s="6"/>
      <c r="M417" s="6"/>
    </row>
    <row r="418" spans="1:13" ht="13">
      <c r="A418" s="16"/>
      <c r="B418" s="6"/>
      <c r="C418" s="6"/>
      <c r="D418" s="6"/>
      <c r="E418" s="6"/>
      <c r="F418" s="6"/>
      <c r="G418" s="6"/>
      <c r="H418" s="16"/>
      <c r="I418" s="16"/>
      <c r="J418" s="6"/>
      <c r="K418" s="6"/>
      <c r="L418" s="6"/>
      <c r="M418" s="6"/>
    </row>
    <row r="419" spans="1:13" ht="13">
      <c r="A419" s="16"/>
      <c r="B419" s="6"/>
      <c r="C419" s="6"/>
      <c r="D419" s="6"/>
      <c r="E419" s="6"/>
      <c r="F419" s="6"/>
      <c r="G419" s="6"/>
      <c r="H419" s="16"/>
      <c r="I419" s="16"/>
      <c r="J419" s="6"/>
      <c r="K419" s="6"/>
      <c r="L419" s="6"/>
      <c r="M419" s="6"/>
    </row>
    <row r="420" spans="1:13" ht="13">
      <c r="A420" s="16"/>
      <c r="B420" s="6"/>
      <c r="C420" s="6"/>
      <c r="D420" s="6"/>
      <c r="E420" s="6"/>
      <c r="F420" s="6"/>
      <c r="G420" s="6"/>
      <c r="H420" s="16"/>
      <c r="I420" s="16"/>
      <c r="J420" s="6"/>
      <c r="K420" s="6"/>
      <c r="L420" s="6"/>
      <c r="M420" s="6"/>
    </row>
    <row r="421" spans="1:13" ht="13">
      <c r="A421" s="16"/>
      <c r="B421" s="6"/>
      <c r="C421" s="6"/>
      <c r="D421" s="6"/>
      <c r="E421" s="6"/>
      <c r="F421" s="6"/>
      <c r="G421" s="6"/>
      <c r="H421" s="16"/>
      <c r="I421" s="16"/>
      <c r="J421" s="6"/>
      <c r="K421" s="6"/>
      <c r="L421" s="6"/>
      <c r="M421" s="6"/>
    </row>
    <row r="422" spans="1:13" ht="13">
      <c r="A422" s="16"/>
      <c r="B422" s="6"/>
      <c r="C422" s="6"/>
      <c r="D422" s="6"/>
      <c r="E422" s="6"/>
      <c r="F422" s="6"/>
      <c r="G422" s="6"/>
      <c r="H422" s="16"/>
      <c r="I422" s="16"/>
      <c r="J422" s="6"/>
      <c r="K422" s="6"/>
      <c r="L422" s="6"/>
      <c r="M422" s="6"/>
    </row>
    <row r="423" spans="1:13" ht="13">
      <c r="A423" s="16"/>
      <c r="B423" s="6"/>
      <c r="C423" s="6"/>
      <c r="D423" s="6"/>
      <c r="E423" s="6"/>
      <c r="F423" s="6"/>
      <c r="G423" s="6"/>
      <c r="H423" s="16"/>
      <c r="I423" s="16"/>
      <c r="J423" s="6"/>
      <c r="K423" s="6"/>
      <c r="L423" s="6"/>
      <c r="M423" s="6"/>
    </row>
    <row r="424" spans="1:13" ht="13">
      <c r="A424" s="16"/>
      <c r="B424" s="6"/>
      <c r="C424" s="6"/>
      <c r="D424" s="6"/>
      <c r="E424" s="6"/>
      <c r="F424" s="6"/>
      <c r="G424" s="6"/>
      <c r="H424" s="16"/>
      <c r="I424" s="16"/>
      <c r="J424" s="6"/>
      <c r="K424" s="6"/>
      <c r="L424" s="6"/>
      <c r="M424" s="6"/>
    </row>
    <row r="425" spans="1:13" ht="13">
      <c r="A425" s="16"/>
      <c r="B425" s="6"/>
      <c r="C425" s="6"/>
      <c r="D425" s="6"/>
      <c r="E425" s="6"/>
      <c r="F425" s="6"/>
      <c r="G425" s="6"/>
      <c r="H425" s="16"/>
      <c r="I425" s="16"/>
      <c r="J425" s="6"/>
      <c r="K425" s="6"/>
      <c r="L425" s="6"/>
      <c r="M425" s="6"/>
    </row>
    <row r="426" spans="1:13" ht="13">
      <c r="A426" s="16"/>
      <c r="B426" s="6"/>
      <c r="C426" s="6"/>
      <c r="D426" s="6"/>
      <c r="E426" s="6"/>
      <c r="F426" s="6"/>
      <c r="G426" s="6"/>
      <c r="H426" s="16"/>
      <c r="I426" s="16"/>
      <c r="J426" s="6"/>
      <c r="K426" s="6"/>
      <c r="L426" s="6"/>
      <c r="M426" s="6"/>
    </row>
    <row r="427" spans="1:13" ht="13">
      <c r="A427" s="16"/>
      <c r="B427" s="6"/>
      <c r="C427" s="6"/>
      <c r="D427" s="6"/>
      <c r="E427" s="6"/>
      <c r="F427" s="6"/>
      <c r="G427" s="6"/>
      <c r="H427" s="16"/>
      <c r="I427" s="16"/>
      <c r="J427" s="6"/>
      <c r="K427" s="6"/>
      <c r="L427" s="6"/>
      <c r="M427" s="6"/>
    </row>
    <row r="428" spans="1:13" ht="13">
      <c r="A428" s="16"/>
      <c r="B428" s="6"/>
      <c r="C428" s="6"/>
      <c r="D428" s="6"/>
      <c r="E428" s="6"/>
      <c r="F428" s="6"/>
      <c r="G428" s="6"/>
      <c r="H428" s="16"/>
      <c r="I428" s="16"/>
      <c r="J428" s="6"/>
      <c r="K428" s="6"/>
      <c r="L428" s="6"/>
      <c r="M428" s="6"/>
    </row>
    <row r="429" spans="1:13" ht="13">
      <c r="A429" s="16"/>
      <c r="B429" s="6"/>
      <c r="C429" s="6"/>
      <c r="D429" s="6"/>
      <c r="E429" s="6"/>
      <c r="F429" s="6"/>
      <c r="G429" s="6"/>
      <c r="H429" s="16"/>
      <c r="I429" s="16"/>
      <c r="J429" s="6"/>
      <c r="K429" s="6"/>
      <c r="L429" s="6"/>
      <c r="M429" s="6"/>
    </row>
    <row r="430" spans="1:13" ht="13">
      <c r="A430" s="16"/>
      <c r="B430" s="6"/>
      <c r="C430" s="6"/>
      <c r="D430" s="6"/>
      <c r="E430" s="6"/>
      <c r="F430" s="6"/>
      <c r="G430" s="6"/>
      <c r="H430" s="16"/>
      <c r="I430" s="16"/>
      <c r="J430" s="6"/>
      <c r="K430" s="6"/>
      <c r="L430" s="6"/>
      <c r="M430" s="6"/>
    </row>
    <row r="431" spans="1:13" ht="13">
      <c r="A431" s="16"/>
      <c r="B431" s="6"/>
      <c r="C431" s="6"/>
      <c r="D431" s="6"/>
      <c r="E431" s="6"/>
      <c r="F431" s="6"/>
      <c r="G431" s="6"/>
      <c r="H431" s="16"/>
      <c r="I431" s="16"/>
      <c r="J431" s="6"/>
      <c r="K431" s="6"/>
      <c r="L431" s="6"/>
      <c r="M431" s="6"/>
    </row>
    <row r="432" spans="1:13" ht="13">
      <c r="A432" s="16"/>
      <c r="B432" s="6"/>
      <c r="C432" s="6"/>
      <c r="D432" s="6"/>
      <c r="E432" s="6"/>
      <c r="F432" s="6"/>
      <c r="G432" s="6"/>
      <c r="H432" s="16"/>
      <c r="I432" s="16"/>
      <c r="J432" s="6"/>
      <c r="K432" s="6"/>
      <c r="L432" s="6"/>
      <c r="M432" s="6"/>
    </row>
    <row r="433" spans="1:13" ht="13">
      <c r="A433" s="16"/>
      <c r="B433" s="6"/>
      <c r="C433" s="6"/>
      <c r="D433" s="6"/>
      <c r="E433" s="6"/>
      <c r="F433" s="6"/>
      <c r="G433" s="6"/>
      <c r="H433" s="16"/>
      <c r="I433" s="16"/>
      <c r="J433" s="6"/>
      <c r="K433" s="6"/>
      <c r="L433" s="6"/>
      <c r="M433" s="6"/>
    </row>
    <row r="434" spans="1:13" ht="13">
      <c r="A434" s="16"/>
      <c r="B434" s="6"/>
      <c r="C434" s="6"/>
      <c r="D434" s="6"/>
      <c r="E434" s="6"/>
      <c r="F434" s="6"/>
      <c r="G434" s="6"/>
      <c r="H434" s="16"/>
      <c r="I434" s="16"/>
      <c r="J434" s="6"/>
      <c r="K434" s="6"/>
      <c r="L434" s="6"/>
      <c r="M434" s="6"/>
    </row>
    <row r="435" spans="1:13" ht="13">
      <c r="A435" s="16"/>
      <c r="B435" s="6"/>
      <c r="C435" s="6"/>
      <c r="D435" s="6"/>
      <c r="E435" s="6"/>
      <c r="F435" s="6"/>
      <c r="G435" s="6"/>
      <c r="H435" s="16"/>
      <c r="I435" s="16"/>
      <c r="J435" s="6"/>
      <c r="K435" s="6"/>
      <c r="L435" s="6"/>
      <c r="M435" s="6"/>
    </row>
    <row r="436" spans="1:13" ht="13">
      <c r="A436" s="16"/>
      <c r="B436" s="6"/>
      <c r="C436" s="6"/>
      <c r="D436" s="6"/>
      <c r="E436" s="6"/>
      <c r="F436" s="6"/>
      <c r="G436" s="6"/>
      <c r="H436" s="16"/>
      <c r="I436" s="16"/>
      <c r="J436" s="6"/>
      <c r="K436" s="6"/>
      <c r="L436" s="6"/>
      <c r="M436" s="6"/>
    </row>
    <row r="437" spans="1:13" ht="13">
      <c r="A437" s="16"/>
      <c r="B437" s="6"/>
      <c r="C437" s="6"/>
      <c r="D437" s="6"/>
      <c r="E437" s="6"/>
      <c r="F437" s="6"/>
      <c r="G437" s="6"/>
      <c r="H437" s="16"/>
      <c r="I437" s="16"/>
      <c r="J437" s="6"/>
      <c r="K437" s="6"/>
      <c r="L437" s="6"/>
      <c r="M437" s="6"/>
    </row>
    <row r="438" spans="1:13" ht="13">
      <c r="A438" s="16"/>
      <c r="B438" s="6"/>
      <c r="C438" s="6"/>
      <c r="D438" s="6"/>
      <c r="E438" s="6"/>
      <c r="F438" s="6"/>
      <c r="G438" s="6"/>
      <c r="H438" s="16"/>
      <c r="I438" s="16"/>
      <c r="J438" s="6"/>
      <c r="K438" s="6"/>
      <c r="L438" s="6"/>
      <c r="M438" s="6"/>
    </row>
    <row r="439" spans="1:13" ht="13">
      <c r="A439" s="16"/>
      <c r="B439" s="6"/>
      <c r="C439" s="6"/>
      <c r="D439" s="6"/>
      <c r="E439" s="6"/>
      <c r="F439" s="6"/>
      <c r="G439" s="6"/>
      <c r="H439" s="16"/>
      <c r="I439" s="16"/>
      <c r="J439" s="6"/>
      <c r="K439" s="6"/>
      <c r="L439" s="6"/>
      <c r="M439" s="6"/>
    </row>
    <row r="440" spans="1:13" ht="13">
      <c r="A440" s="16"/>
      <c r="B440" s="6"/>
      <c r="C440" s="6"/>
      <c r="D440" s="6"/>
      <c r="E440" s="6"/>
      <c r="F440" s="6"/>
      <c r="G440" s="6"/>
      <c r="H440" s="16"/>
      <c r="I440" s="16"/>
      <c r="J440" s="6"/>
      <c r="K440" s="6"/>
      <c r="L440" s="6"/>
      <c r="M440" s="6"/>
    </row>
    <row r="441" spans="1:13" ht="13">
      <c r="A441" s="16"/>
      <c r="B441" s="6"/>
      <c r="C441" s="6"/>
      <c r="D441" s="6"/>
      <c r="E441" s="6"/>
      <c r="F441" s="6"/>
      <c r="G441" s="6"/>
      <c r="H441" s="16"/>
      <c r="I441" s="16"/>
      <c r="J441" s="6"/>
      <c r="K441" s="6"/>
      <c r="L441" s="6"/>
      <c r="M441" s="6"/>
    </row>
    <row r="442" spans="1:13" ht="13">
      <c r="A442" s="16"/>
      <c r="B442" s="6"/>
      <c r="C442" s="6"/>
      <c r="D442" s="6"/>
      <c r="E442" s="6"/>
      <c r="F442" s="6"/>
      <c r="G442" s="6"/>
      <c r="H442" s="16"/>
      <c r="I442" s="16"/>
      <c r="J442" s="6"/>
      <c r="K442" s="6"/>
      <c r="L442" s="6"/>
      <c r="M442" s="6"/>
    </row>
    <row r="443" spans="1:13" ht="13">
      <c r="A443" s="16"/>
      <c r="B443" s="6"/>
      <c r="C443" s="6"/>
      <c r="D443" s="6"/>
      <c r="E443" s="6"/>
      <c r="F443" s="6"/>
      <c r="G443" s="6"/>
      <c r="H443" s="16"/>
      <c r="I443" s="16"/>
      <c r="J443" s="6"/>
      <c r="K443" s="6"/>
      <c r="L443" s="6"/>
      <c r="M443" s="6"/>
    </row>
    <row r="444" spans="1:13" ht="13">
      <c r="A444" s="16"/>
      <c r="B444" s="6"/>
      <c r="C444" s="6"/>
      <c r="D444" s="6"/>
      <c r="E444" s="6"/>
      <c r="F444" s="6"/>
      <c r="G444" s="6"/>
      <c r="H444" s="16"/>
      <c r="I444" s="16"/>
      <c r="J444" s="6"/>
      <c r="K444" s="6"/>
      <c r="L444" s="6"/>
      <c r="M444" s="6"/>
    </row>
    <row r="445" spans="1:13" ht="13">
      <c r="A445" s="16"/>
      <c r="B445" s="6"/>
      <c r="C445" s="6"/>
      <c r="D445" s="6"/>
      <c r="E445" s="6"/>
      <c r="F445" s="6"/>
      <c r="G445" s="6"/>
      <c r="H445" s="16"/>
      <c r="I445" s="16"/>
      <c r="J445" s="6"/>
      <c r="K445" s="6"/>
      <c r="L445" s="6"/>
      <c r="M445" s="6"/>
    </row>
    <row r="446" spans="1:13" ht="13">
      <c r="A446" s="16"/>
      <c r="B446" s="6"/>
      <c r="C446" s="6"/>
      <c r="D446" s="6"/>
      <c r="E446" s="6"/>
      <c r="F446" s="6"/>
      <c r="G446" s="6"/>
      <c r="H446" s="16"/>
      <c r="I446" s="16"/>
      <c r="J446" s="6"/>
      <c r="K446" s="6"/>
      <c r="L446" s="6"/>
      <c r="M446" s="6"/>
    </row>
    <row r="447" spans="1:13" ht="13">
      <c r="A447" s="16"/>
      <c r="B447" s="6"/>
      <c r="C447" s="6"/>
      <c r="D447" s="6"/>
      <c r="E447" s="6"/>
      <c r="F447" s="6"/>
      <c r="G447" s="6"/>
      <c r="H447" s="16"/>
      <c r="I447" s="16"/>
      <c r="J447" s="6"/>
      <c r="K447" s="6"/>
      <c r="L447" s="6"/>
      <c r="M447" s="6"/>
    </row>
    <row r="448" spans="1:13" ht="13">
      <c r="A448" s="16"/>
      <c r="B448" s="6"/>
      <c r="C448" s="6"/>
      <c r="D448" s="6"/>
      <c r="E448" s="6"/>
      <c r="F448" s="6"/>
      <c r="G448" s="6"/>
      <c r="H448" s="16"/>
      <c r="I448" s="16"/>
      <c r="J448" s="6"/>
      <c r="K448" s="6"/>
      <c r="L448" s="6"/>
      <c r="M448" s="6"/>
    </row>
    <row r="449" spans="1:13" ht="13">
      <c r="A449" s="16"/>
      <c r="B449" s="6"/>
      <c r="C449" s="6"/>
      <c r="D449" s="6"/>
      <c r="E449" s="6"/>
      <c r="F449" s="6"/>
      <c r="G449" s="6"/>
      <c r="H449" s="16"/>
      <c r="I449" s="16"/>
      <c r="J449" s="6"/>
      <c r="K449" s="6"/>
      <c r="L449" s="6"/>
      <c r="M449" s="6"/>
    </row>
    <row r="450" spans="1:13" ht="13">
      <c r="A450" s="16"/>
      <c r="B450" s="6"/>
      <c r="C450" s="6"/>
      <c r="D450" s="6"/>
      <c r="E450" s="6"/>
      <c r="F450" s="6"/>
      <c r="G450" s="6"/>
      <c r="H450" s="16"/>
      <c r="I450" s="16"/>
      <c r="J450" s="6"/>
      <c r="K450" s="6"/>
      <c r="L450" s="6"/>
      <c r="M450" s="6"/>
    </row>
    <row r="451" spans="1:13" ht="13">
      <c r="A451" s="16"/>
      <c r="B451" s="6"/>
      <c r="C451" s="6"/>
      <c r="D451" s="6"/>
      <c r="E451" s="6"/>
      <c r="F451" s="6"/>
      <c r="G451" s="6"/>
      <c r="H451" s="16"/>
      <c r="I451" s="16"/>
      <c r="J451" s="6"/>
      <c r="K451" s="6"/>
      <c r="L451" s="6"/>
      <c r="M451" s="6"/>
    </row>
    <row r="452" spans="1:13" ht="13">
      <c r="A452" s="16"/>
      <c r="B452" s="6"/>
      <c r="C452" s="6"/>
      <c r="D452" s="6"/>
      <c r="E452" s="6"/>
      <c r="F452" s="6"/>
      <c r="G452" s="6"/>
      <c r="H452" s="16"/>
      <c r="I452" s="16"/>
      <c r="J452" s="6"/>
      <c r="K452" s="6"/>
      <c r="L452" s="6"/>
      <c r="M452" s="6"/>
    </row>
    <row r="453" spans="1:13" ht="13">
      <c r="A453" s="16"/>
      <c r="B453" s="6"/>
      <c r="C453" s="6"/>
      <c r="D453" s="6"/>
      <c r="E453" s="6"/>
      <c r="F453" s="6"/>
      <c r="G453" s="6"/>
      <c r="H453" s="16"/>
      <c r="I453" s="16"/>
      <c r="J453" s="6"/>
      <c r="K453" s="6"/>
      <c r="L453" s="6"/>
      <c r="M453" s="6"/>
    </row>
    <row r="454" spans="1:13" ht="13">
      <c r="A454" s="16"/>
      <c r="B454" s="6"/>
      <c r="C454" s="6"/>
      <c r="D454" s="6"/>
      <c r="E454" s="6"/>
      <c r="F454" s="6"/>
      <c r="G454" s="6"/>
      <c r="H454" s="16"/>
      <c r="I454" s="16"/>
      <c r="J454" s="6"/>
      <c r="K454" s="6"/>
      <c r="L454" s="6"/>
      <c r="M454" s="6"/>
    </row>
    <row r="455" spans="1:13" ht="13">
      <c r="A455" s="16"/>
      <c r="B455" s="6"/>
      <c r="C455" s="6"/>
      <c r="D455" s="6"/>
      <c r="E455" s="6"/>
      <c r="F455" s="6"/>
      <c r="G455" s="6"/>
      <c r="H455" s="16"/>
      <c r="I455" s="16"/>
      <c r="J455" s="6"/>
      <c r="K455" s="6"/>
      <c r="L455" s="6"/>
      <c r="M455" s="6"/>
    </row>
    <row r="456" spans="1:13" ht="13">
      <c r="A456" s="16"/>
      <c r="B456" s="6"/>
      <c r="C456" s="6"/>
      <c r="D456" s="6"/>
      <c r="E456" s="6"/>
      <c r="F456" s="6"/>
      <c r="G456" s="6"/>
      <c r="H456" s="16"/>
      <c r="I456" s="16"/>
      <c r="J456" s="6"/>
      <c r="K456" s="6"/>
      <c r="L456" s="6"/>
      <c r="M456" s="6"/>
    </row>
    <row r="457" spans="1:13" ht="13">
      <c r="A457" s="16"/>
      <c r="B457" s="6"/>
      <c r="C457" s="6"/>
      <c r="D457" s="6"/>
      <c r="E457" s="6"/>
      <c r="F457" s="6"/>
      <c r="G457" s="6"/>
      <c r="H457" s="16"/>
      <c r="I457" s="16"/>
      <c r="J457" s="6"/>
      <c r="K457" s="6"/>
      <c r="L457" s="6"/>
      <c r="M457" s="6"/>
    </row>
    <row r="458" spans="1:13" ht="13">
      <c r="A458" s="16"/>
      <c r="B458" s="6"/>
      <c r="C458" s="6"/>
      <c r="D458" s="6"/>
      <c r="E458" s="6"/>
      <c r="F458" s="6"/>
      <c r="G458" s="6"/>
      <c r="H458" s="16"/>
      <c r="I458" s="16"/>
      <c r="J458" s="6"/>
      <c r="K458" s="6"/>
      <c r="L458" s="6"/>
      <c r="M458" s="6"/>
    </row>
    <row r="459" spans="1:13" ht="13">
      <c r="A459" s="16"/>
      <c r="B459" s="6"/>
      <c r="C459" s="6"/>
      <c r="D459" s="6"/>
      <c r="E459" s="6"/>
      <c r="F459" s="6"/>
      <c r="G459" s="6"/>
      <c r="H459" s="16"/>
      <c r="I459" s="16"/>
      <c r="J459" s="6"/>
      <c r="K459" s="6"/>
      <c r="L459" s="6"/>
      <c r="M459" s="6"/>
    </row>
    <row r="460" spans="1:13" ht="13">
      <c r="A460" s="16"/>
      <c r="B460" s="6"/>
      <c r="C460" s="6"/>
      <c r="D460" s="6"/>
      <c r="E460" s="6"/>
      <c r="F460" s="6"/>
      <c r="G460" s="6"/>
      <c r="H460" s="16"/>
      <c r="I460" s="16"/>
      <c r="J460" s="6"/>
      <c r="K460" s="6"/>
      <c r="L460" s="6"/>
      <c r="M460" s="6"/>
    </row>
    <row r="461" spans="1:13" ht="13">
      <c r="A461" s="16"/>
      <c r="B461" s="6"/>
      <c r="C461" s="6"/>
      <c r="D461" s="6"/>
      <c r="E461" s="6"/>
      <c r="F461" s="6"/>
      <c r="G461" s="6"/>
      <c r="H461" s="16"/>
      <c r="I461" s="16"/>
      <c r="J461" s="6"/>
      <c r="K461" s="6"/>
      <c r="L461" s="6"/>
      <c r="M461" s="6"/>
    </row>
    <row r="462" spans="1:13" ht="13">
      <c r="A462" s="16"/>
      <c r="B462" s="6"/>
      <c r="C462" s="6"/>
      <c r="D462" s="6"/>
      <c r="E462" s="6"/>
      <c r="F462" s="6"/>
      <c r="G462" s="6"/>
      <c r="H462" s="16"/>
      <c r="I462" s="16"/>
      <c r="J462" s="6"/>
      <c r="K462" s="6"/>
      <c r="L462" s="6"/>
      <c r="M462" s="6"/>
    </row>
    <row r="463" spans="1:13" ht="13">
      <c r="A463" s="16"/>
      <c r="B463" s="6"/>
      <c r="C463" s="6"/>
      <c r="D463" s="6"/>
      <c r="E463" s="6"/>
      <c r="F463" s="6"/>
      <c r="G463" s="6"/>
      <c r="H463" s="16"/>
      <c r="I463" s="16"/>
      <c r="J463" s="6"/>
      <c r="K463" s="6"/>
      <c r="L463" s="6"/>
      <c r="M463" s="6"/>
    </row>
    <row r="464" spans="1:13" ht="13">
      <c r="A464" s="16"/>
      <c r="B464" s="6"/>
      <c r="C464" s="6"/>
      <c r="D464" s="6"/>
      <c r="E464" s="6"/>
      <c r="F464" s="6"/>
      <c r="G464" s="6"/>
      <c r="H464" s="16"/>
      <c r="I464" s="16"/>
      <c r="J464" s="6"/>
      <c r="K464" s="6"/>
      <c r="L464" s="6"/>
      <c r="M464" s="6"/>
    </row>
    <row r="465" spans="1:13" ht="13">
      <c r="A465" s="16"/>
      <c r="B465" s="6"/>
      <c r="C465" s="6"/>
      <c r="D465" s="6"/>
      <c r="E465" s="6"/>
      <c r="F465" s="6"/>
      <c r="G465" s="6"/>
      <c r="H465" s="16"/>
      <c r="I465" s="16"/>
      <c r="J465" s="6"/>
      <c r="K465" s="6"/>
      <c r="L465" s="6"/>
      <c r="M465" s="6"/>
    </row>
    <row r="466" spans="1:13" ht="13">
      <c r="A466" s="16"/>
      <c r="B466" s="6"/>
      <c r="C466" s="6"/>
      <c r="D466" s="6"/>
      <c r="E466" s="6"/>
      <c r="F466" s="6"/>
      <c r="G466" s="6"/>
      <c r="H466" s="16"/>
      <c r="I466" s="16"/>
      <c r="J466" s="6"/>
      <c r="K466" s="6"/>
      <c r="L466" s="6"/>
      <c r="M466" s="6"/>
    </row>
    <row r="467" spans="1:13" ht="13">
      <c r="A467" s="16"/>
      <c r="B467" s="6"/>
      <c r="C467" s="6"/>
      <c r="D467" s="6"/>
      <c r="E467" s="6"/>
      <c r="F467" s="6"/>
      <c r="G467" s="6"/>
      <c r="H467" s="16"/>
      <c r="I467" s="16"/>
      <c r="J467" s="6"/>
      <c r="K467" s="6"/>
      <c r="L467" s="6"/>
      <c r="M467" s="6"/>
    </row>
    <row r="468" spans="1:13" ht="13">
      <c r="A468" s="16"/>
      <c r="B468" s="6"/>
      <c r="C468" s="6"/>
      <c r="D468" s="6"/>
      <c r="E468" s="6"/>
      <c r="F468" s="6"/>
      <c r="G468" s="6"/>
      <c r="H468" s="16"/>
      <c r="I468" s="16"/>
      <c r="J468" s="6"/>
      <c r="K468" s="6"/>
      <c r="L468" s="6"/>
      <c r="M468" s="6"/>
    </row>
    <row r="469" spans="1:13" ht="13">
      <c r="A469" s="16"/>
      <c r="B469" s="6"/>
      <c r="C469" s="6"/>
      <c r="D469" s="6"/>
      <c r="E469" s="6"/>
      <c r="F469" s="6"/>
      <c r="G469" s="6"/>
      <c r="H469" s="16"/>
      <c r="I469" s="16"/>
      <c r="J469" s="6"/>
      <c r="K469" s="6"/>
      <c r="L469" s="6"/>
      <c r="M469" s="6"/>
    </row>
    <row r="470" spans="1:13" ht="13">
      <c r="A470" s="16"/>
      <c r="B470" s="6"/>
      <c r="C470" s="6"/>
      <c r="D470" s="6"/>
      <c r="E470" s="6"/>
      <c r="F470" s="6"/>
      <c r="G470" s="6"/>
      <c r="H470" s="16"/>
      <c r="I470" s="16"/>
      <c r="J470" s="6"/>
      <c r="K470" s="6"/>
      <c r="L470" s="6"/>
      <c r="M470" s="6"/>
    </row>
    <row r="471" spans="1:13" ht="13">
      <c r="A471" s="16"/>
      <c r="B471" s="6"/>
      <c r="C471" s="6"/>
      <c r="D471" s="6"/>
      <c r="E471" s="6"/>
      <c r="F471" s="6"/>
      <c r="G471" s="6"/>
      <c r="H471" s="16"/>
      <c r="I471" s="16"/>
      <c r="J471" s="6"/>
      <c r="K471" s="6"/>
      <c r="L471" s="6"/>
      <c r="M471" s="6"/>
    </row>
    <row r="472" spans="1:13" ht="13">
      <c r="A472" s="16"/>
      <c r="B472" s="6"/>
      <c r="C472" s="6"/>
      <c r="D472" s="6"/>
      <c r="E472" s="6"/>
      <c r="F472" s="6"/>
      <c r="G472" s="6"/>
      <c r="H472" s="16"/>
      <c r="I472" s="16"/>
      <c r="J472" s="6"/>
      <c r="K472" s="6"/>
      <c r="L472" s="6"/>
      <c r="M472" s="6"/>
    </row>
    <row r="473" spans="1:13" ht="13">
      <c r="A473" s="16"/>
      <c r="B473" s="6"/>
      <c r="C473" s="6"/>
      <c r="D473" s="6"/>
      <c r="E473" s="6"/>
      <c r="F473" s="6"/>
      <c r="G473" s="6"/>
      <c r="H473" s="16"/>
      <c r="I473" s="16"/>
      <c r="J473" s="6"/>
      <c r="K473" s="6"/>
      <c r="L473" s="6"/>
      <c r="M473" s="6"/>
    </row>
    <row r="474" spans="1:13" ht="13">
      <c r="A474" s="16"/>
      <c r="B474" s="6"/>
      <c r="C474" s="6"/>
      <c r="D474" s="6"/>
      <c r="E474" s="6"/>
      <c r="F474" s="6"/>
      <c r="G474" s="6"/>
      <c r="H474" s="16"/>
      <c r="I474" s="16"/>
      <c r="J474" s="6"/>
      <c r="K474" s="6"/>
      <c r="L474" s="6"/>
      <c r="M474" s="6"/>
    </row>
    <row r="475" spans="1:13" ht="13">
      <c r="A475" s="16"/>
      <c r="B475" s="6"/>
      <c r="C475" s="6"/>
      <c r="D475" s="6"/>
      <c r="E475" s="6"/>
      <c r="F475" s="6"/>
      <c r="G475" s="6"/>
      <c r="H475" s="16"/>
      <c r="I475" s="16"/>
      <c r="J475" s="6"/>
      <c r="K475" s="6"/>
      <c r="L475" s="6"/>
      <c r="M475" s="6"/>
    </row>
    <row r="476" spans="1:13" ht="13">
      <c r="A476" s="16"/>
      <c r="B476" s="6"/>
      <c r="C476" s="6"/>
      <c r="D476" s="6"/>
      <c r="E476" s="6"/>
      <c r="F476" s="6"/>
      <c r="G476" s="6"/>
      <c r="H476" s="16"/>
      <c r="I476" s="16"/>
      <c r="J476" s="6"/>
      <c r="K476" s="6"/>
      <c r="L476" s="6"/>
      <c r="M476" s="6"/>
    </row>
    <row r="477" spans="1:13" ht="13">
      <c r="A477" s="16"/>
      <c r="B477" s="6"/>
      <c r="C477" s="6"/>
      <c r="D477" s="6"/>
      <c r="E477" s="6"/>
      <c r="F477" s="6"/>
      <c r="G477" s="6"/>
      <c r="H477" s="16"/>
      <c r="I477" s="16"/>
      <c r="J477" s="6"/>
      <c r="K477" s="6"/>
      <c r="L477" s="6"/>
      <c r="M477" s="6"/>
    </row>
    <row r="478" spans="1:13" ht="13">
      <c r="A478" s="16"/>
      <c r="B478" s="6"/>
      <c r="C478" s="6"/>
      <c r="D478" s="6"/>
      <c r="E478" s="6"/>
      <c r="F478" s="6"/>
      <c r="G478" s="6"/>
      <c r="H478" s="16"/>
      <c r="I478" s="16"/>
      <c r="J478" s="6"/>
      <c r="K478" s="6"/>
      <c r="L478" s="6"/>
      <c r="M478" s="6"/>
    </row>
    <row r="479" spans="1:13" ht="13">
      <c r="A479" s="16"/>
      <c r="B479" s="6"/>
      <c r="C479" s="6"/>
      <c r="D479" s="6"/>
      <c r="E479" s="6"/>
      <c r="F479" s="6"/>
      <c r="G479" s="6"/>
      <c r="H479" s="16"/>
      <c r="I479" s="16"/>
      <c r="J479" s="6"/>
      <c r="K479" s="6"/>
      <c r="L479" s="6"/>
      <c r="M479" s="6"/>
    </row>
    <row r="480" spans="1:13" ht="13">
      <c r="A480" s="16"/>
      <c r="B480" s="6"/>
      <c r="C480" s="6"/>
      <c r="D480" s="6"/>
      <c r="E480" s="6"/>
      <c r="F480" s="6"/>
      <c r="G480" s="6"/>
      <c r="H480" s="16"/>
      <c r="I480" s="16"/>
      <c r="J480" s="6"/>
      <c r="K480" s="6"/>
      <c r="L480" s="6"/>
      <c r="M480" s="6"/>
    </row>
    <row r="481" spans="1:13" ht="13">
      <c r="A481" s="16"/>
      <c r="B481" s="6"/>
      <c r="C481" s="6"/>
      <c r="D481" s="6"/>
      <c r="E481" s="6"/>
      <c r="F481" s="6"/>
      <c r="G481" s="6"/>
      <c r="H481" s="16"/>
      <c r="I481" s="16"/>
      <c r="J481" s="6"/>
      <c r="K481" s="6"/>
      <c r="L481" s="6"/>
      <c r="M481" s="6"/>
    </row>
    <row r="482" spans="1:13" ht="13">
      <c r="A482" s="16"/>
      <c r="B482" s="6"/>
      <c r="C482" s="6"/>
      <c r="D482" s="6"/>
      <c r="E482" s="6"/>
      <c r="F482" s="6"/>
      <c r="G482" s="6"/>
      <c r="H482" s="16"/>
      <c r="I482" s="16"/>
      <c r="J482" s="6"/>
      <c r="K482" s="6"/>
      <c r="L482" s="6"/>
      <c r="M482" s="6"/>
    </row>
    <row r="483" spans="1:13" ht="13">
      <c r="A483" s="16"/>
      <c r="B483" s="6"/>
      <c r="C483" s="6"/>
      <c r="D483" s="6"/>
      <c r="E483" s="6"/>
      <c r="F483" s="6"/>
      <c r="G483" s="6"/>
      <c r="H483" s="16"/>
      <c r="I483" s="16"/>
      <c r="J483" s="6"/>
      <c r="K483" s="6"/>
      <c r="L483" s="6"/>
      <c r="M483" s="6"/>
    </row>
    <row r="484" spans="1:13" ht="13">
      <c r="A484" s="16"/>
      <c r="B484" s="6"/>
      <c r="C484" s="6"/>
      <c r="D484" s="6"/>
      <c r="E484" s="6"/>
      <c r="F484" s="6"/>
      <c r="G484" s="6"/>
      <c r="H484" s="16"/>
      <c r="I484" s="16"/>
      <c r="J484" s="6"/>
      <c r="K484" s="6"/>
      <c r="L484" s="6"/>
      <c r="M484" s="6"/>
    </row>
    <row r="485" spans="1:13" ht="13">
      <c r="A485" s="16"/>
      <c r="B485" s="6"/>
      <c r="C485" s="6"/>
      <c r="D485" s="6"/>
      <c r="E485" s="6"/>
      <c r="F485" s="6"/>
      <c r="G485" s="6"/>
      <c r="H485" s="16"/>
      <c r="I485" s="16"/>
      <c r="J485" s="6"/>
      <c r="K485" s="6"/>
      <c r="L485" s="6"/>
      <c r="M485" s="6"/>
    </row>
    <row r="486" spans="1:13" ht="13">
      <c r="A486" s="16"/>
      <c r="B486" s="6"/>
      <c r="C486" s="6"/>
      <c r="D486" s="6"/>
      <c r="E486" s="6"/>
      <c r="F486" s="6"/>
      <c r="G486" s="6"/>
      <c r="H486" s="16"/>
      <c r="I486" s="16"/>
      <c r="J486" s="6"/>
      <c r="K486" s="6"/>
      <c r="L486" s="6"/>
      <c r="M486" s="6"/>
    </row>
    <row r="487" spans="1:13" ht="13">
      <c r="A487" s="16"/>
      <c r="B487" s="6"/>
      <c r="C487" s="6"/>
      <c r="D487" s="6"/>
      <c r="E487" s="6"/>
      <c r="F487" s="6"/>
      <c r="G487" s="6"/>
      <c r="H487" s="16"/>
      <c r="I487" s="16"/>
      <c r="J487" s="6"/>
      <c r="K487" s="6"/>
      <c r="L487" s="6"/>
      <c r="M487" s="6"/>
    </row>
    <row r="488" spans="1:13" ht="13">
      <c r="A488" s="16"/>
      <c r="B488" s="6"/>
      <c r="C488" s="6"/>
      <c r="D488" s="6"/>
      <c r="E488" s="6"/>
      <c r="F488" s="6"/>
      <c r="G488" s="6"/>
      <c r="H488" s="16"/>
      <c r="I488" s="16"/>
      <c r="J488" s="6"/>
      <c r="K488" s="6"/>
      <c r="L488" s="6"/>
      <c r="M488" s="6"/>
    </row>
    <row r="489" spans="1:13" ht="13">
      <c r="A489" s="16"/>
      <c r="B489" s="6"/>
      <c r="C489" s="6"/>
      <c r="D489" s="6"/>
      <c r="E489" s="6"/>
      <c r="F489" s="6"/>
      <c r="G489" s="6"/>
      <c r="H489" s="16"/>
      <c r="I489" s="16"/>
      <c r="J489" s="6"/>
      <c r="K489" s="6"/>
      <c r="L489" s="6"/>
      <c r="M489" s="6"/>
    </row>
    <row r="490" spans="1:13" ht="13">
      <c r="A490" s="16"/>
      <c r="B490" s="6"/>
      <c r="C490" s="6"/>
      <c r="D490" s="6"/>
      <c r="E490" s="6"/>
      <c r="F490" s="6"/>
      <c r="G490" s="6"/>
      <c r="H490" s="16"/>
      <c r="I490" s="16"/>
      <c r="J490" s="6"/>
      <c r="K490" s="6"/>
      <c r="L490" s="6"/>
      <c r="M490" s="6"/>
    </row>
    <row r="491" spans="1:13" ht="13">
      <c r="A491" s="16"/>
      <c r="B491" s="6"/>
      <c r="C491" s="6"/>
      <c r="D491" s="6"/>
      <c r="E491" s="6"/>
      <c r="F491" s="6"/>
      <c r="G491" s="6"/>
      <c r="H491" s="16"/>
      <c r="I491" s="16"/>
      <c r="J491" s="6"/>
      <c r="K491" s="6"/>
      <c r="L491" s="6"/>
      <c r="M491" s="6"/>
    </row>
    <row r="492" spans="1:13" ht="13">
      <c r="A492" s="16"/>
      <c r="B492" s="6"/>
      <c r="C492" s="6"/>
      <c r="D492" s="6"/>
      <c r="E492" s="6"/>
      <c r="F492" s="6"/>
      <c r="G492" s="6"/>
      <c r="H492" s="16"/>
      <c r="I492" s="16"/>
      <c r="J492" s="6"/>
      <c r="K492" s="6"/>
      <c r="L492" s="6"/>
      <c r="M492" s="6"/>
    </row>
    <row r="493" spans="1:13" ht="13">
      <c r="A493" s="16"/>
      <c r="B493" s="6"/>
      <c r="C493" s="6"/>
      <c r="D493" s="6"/>
      <c r="E493" s="6"/>
      <c r="F493" s="6"/>
      <c r="G493" s="6"/>
      <c r="H493" s="16"/>
      <c r="I493" s="16"/>
      <c r="J493" s="6"/>
      <c r="K493" s="6"/>
      <c r="L493" s="6"/>
      <c r="M493" s="6"/>
    </row>
    <row r="494" spans="1:13" ht="13">
      <c r="A494" s="16"/>
      <c r="B494" s="6"/>
      <c r="C494" s="6"/>
      <c r="D494" s="6"/>
      <c r="E494" s="6"/>
      <c r="F494" s="6"/>
      <c r="G494" s="6"/>
      <c r="H494" s="16"/>
      <c r="I494" s="16"/>
      <c r="J494" s="6"/>
      <c r="K494" s="6"/>
      <c r="L494" s="6"/>
      <c r="M494" s="6"/>
    </row>
    <row r="495" spans="1:13" ht="13">
      <c r="A495" s="16"/>
      <c r="B495" s="6"/>
      <c r="C495" s="6"/>
      <c r="D495" s="6"/>
      <c r="E495" s="6"/>
      <c r="F495" s="6"/>
      <c r="G495" s="6"/>
      <c r="H495" s="16"/>
      <c r="I495" s="16"/>
      <c r="J495" s="6"/>
      <c r="K495" s="6"/>
      <c r="L495" s="6"/>
      <c r="M495" s="6"/>
    </row>
    <row r="496" spans="1:13" ht="13">
      <c r="A496" s="16"/>
      <c r="B496" s="6"/>
      <c r="C496" s="6"/>
      <c r="D496" s="6"/>
      <c r="E496" s="6"/>
      <c r="F496" s="6"/>
      <c r="G496" s="6"/>
      <c r="H496" s="16"/>
      <c r="I496" s="16"/>
      <c r="J496" s="6"/>
      <c r="K496" s="6"/>
      <c r="L496" s="6"/>
      <c r="M496" s="6"/>
    </row>
    <row r="497" spans="1:13" ht="13">
      <c r="A497" s="16"/>
      <c r="B497" s="6"/>
      <c r="C497" s="6"/>
      <c r="D497" s="6"/>
      <c r="E497" s="6"/>
      <c r="F497" s="6"/>
      <c r="G497" s="6"/>
      <c r="H497" s="16"/>
      <c r="I497" s="16"/>
      <c r="J497" s="6"/>
      <c r="K497" s="6"/>
      <c r="L497" s="6"/>
      <c r="M497" s="6"/>
    </row>
    <row r="498" spans="1:13" ht="13">
      <c r="A498" s="16"/>
      <c r="B498" s="6"/>
      <c r="C498" s="6"/>
      <c r="D498" s="6"/>
      <c r="E498" s="6"/>
      <c r="F498" s="6"/>
      <c r="G498" s="6"/>
      <c r="H498" s="16"/>
      <c r="I498" s="16"/>
      <c r="J498" s="6"/>
      <c r="K498" s="6"/>
      <c r="L498" s="6"/>
      <c r="M498" s="6"/>
    </row>
    <row r="499" spans="1:13" ht="13">
      <c r="A499" s="16"/>
      <c r="B499" s="6"/>
      <c r="C499" s="6"/>
      <c r="D499" s="6"/>
      <c r="E499" s="6"/>
      <c r="F499" s="6"/>
      <c r="G499" s="6"/>
      <c r="H499" s="16"/>
      <c r="I499" s="16"/>
      <c r="J499" s="6"/>
      <c r="K499" s="6"/>
      <c r="L499" s="6"/>
      <c r="M499" s="6"/>
    </row>
    <row r="500" spans="1:13" ht="13">
      <c r="A500" s="16"/>
      <c r="B500" s="6"/>
      <c r="C500" s="6"/>
      <c r="D500" s="6"/>
      <c r="E500" s="6"/>
      <c r="F500" s="6"/>
      <c r="G500" s="6"/>
      <c r="H500" s="16"/>
      <c r="I500" s="16"/>
      <c r="J500" s="6"/>
      <c r="K500" s="6"/>
      <c r="L500" s="6"/>
      <c r="M500" s="6"/>
    </row>
    <row r="501" spans="1:13" ht="13">
      <c r="A501" s="16"/>
      <c r="B501" s="6"/>
      <c r="C501" s="6"/>
      <c r="D501" s="6"/>
      <c r="E501" s="6"/>
      <c r="F501" s="6"/>
      <c r="G501" s="6"/>
      <c r="H501" s="16"/>
      <c r="I501" s="16"/>
      <c r="J501" s="6"/>
      <c r="K501" s="6"/>
      <c r="L501" s="6"/>
      <c r="M501" s="6"/>
    </row>
    <row r="502" spans="1:13" ht="13">
      <c r="A502" s="16"/>
      <c r="B502" s="6"/>
      <c r="C502" s="6"/>
      <c r="D502" s="6"/>
      <c r="E502" s="6"/>
      <c r="F502" s="6"/>
      <c r="G502" s="6"/>
      <c r="H502" s="16"/>
      <c r="I502" s="16"/>
      <c r="J502" s="6"/>
      <c r="K502" s="6"/>
      <c r="L502" s="6"/>
      <c r="M502" s="6"/>
    </row>
    <row r="503" spans="1:13" ht="13">
      <c r="A503" s="16"/>
      <c r="B503" s="6"/>
      <c r="C503" s="6"/>
      <c r="D503" s="6"/>
      <c r="E503" s="6"/>
      <c r="F503" s="6"/>
      <c r="G503" s="6"/>
      <c r="H503" s="16"/>
      <c r="I503" s="16"/>
      <c r="J503" s="6"/>
      <c r="K503" s="6"/>
      <c r="L503" s="6"/>
      <c r="M503" s="6"/>
    </row>
    <row r="504" spans="1:13" ht="13">
      <c r="A504" s="16"/>
      <c r="B504" s="6"/>
      <c r="C504" s="6"/>
      <c r="D504" s="6"/>
      <c r="E504" s="6"/>
      <c r="F504" s="6"/>
      <c r="G504" s="6"/>
      <c r="H504" s="16"/>
      <c r="I504" s="16"/>
      <c r="J504" s="6"/>
      <c r="K504" s="6"/>
      <c r="L504" s="6"/>
      <c r="M504" s="6"/>
    </row>
    <row r="505" spans="1:13" ht="13">
      <c r="A505" s="16"/>
      <c r="B505" s="6"/>
      <c r="C505" s="6"/>
      <c r="D505" s="6"/>
      <c r="E505" s="6"/>
      <c r="F505" s="6"/>
      <c r="G505" s="6"/>
      <c r="H505" s="16"/>
      <c r="I505" s="16"/>
      <c r="J505" s="6"/>
      <c r="K505" s="6"/>
      <c r="L505" s="6"/>
      <c r="M505" s="6"/>
    </row>
    <row r="506" spans="1:13" ht="13">
      <c r="A506" s="16"/>
      <c r="B506" s="6"/>
      <c r="C506" s="6"/>
      <c r="D506" s="6"/>
      <c r="E506" s="6"/>
      <c r="F506" s="6"/>
      <c r="G506" s="6"/>
      <c r="H506" s="16"/>
      <c r="I506" s="16"/>
      <c r="J506" s="6"/>
      <c r="K506" s="6"/>
      <c r="L506" s="6"/>
      <c r="M506" s="6"/>
    </row>
    <row r="507" spans="1:13" ht="13">
      <c r="A507" s="16"/>
      <c r="B507" s="6"/>
      <c r="C507" s="6"/>
      <c r="D507" s="6"/>
      <c r="E507" s="6"/>
      <c r="F507" s="6"/>
      <c r="G507" s="6"/>
      <c r="H507" s="16"/>
      <c r="I507" s="16"/>
      <c r="J507" s="6"/>
      <c r="K507" s="6"/>
      <c r="L507" s="6"/>
      <c r="M507" s="6"/>
    </row>
    <row r="508" spans="1:13" ht="13">
      <c r="A508" s="16"/>
      <c r="B508" s="6"/>
      <c r="C508" s="6"/>
      <c r="D508" s="6"/>
      <c r="E508" s="6"/>
      <c r="F508" s="6"/>
      <c r="G508" s="6"/>
      <c r="H508" s="16"/>
      <c r="I508" s="16"/>
      <c r="J508" s="6"/>
      <c r="K508" s="6"/>
      <c r="L508" s="6"/>
      <c r="M508" s="6"/>
    </row>
    <row r="509" spans="1:13" ht="13">
      <c r="A509" s="16"/>
      <c r="B509" s="6"/>
      <c r="C509" s="6"/>
      <c r="D509" s="6"/>
      <c r="E509" s="6"/>
      <c r="F509" s="6"/>
      <c r="G509" s="6"/>
      <c r="H509" s="16"/>
      <c r="I509" s="16"/>
      <c r="J509" s="6"/>
      <c r="K509" s="6"/>
      <c r="L509" s="6"/>
      <c r="M509" s="6"/>
    </row>
    <row r="510" spans="1:13" ht="13">
      <c r="A510" s="16"/>
      <c r="B510" s="6"/>
      <c r="C510" s="6"/>
      <c r="D510" s="6"/>
      <c r="E510" s="6"/>
      <c r="F510" s="6"/>
      <c r="G510" s="6"/>
      <c r="H510" s="16"/>
      <c r="I510" s="16"/>
      <c r="J510" s="6"/>
      <c r="K510" s="6"/>
      <c r="L510" s="6"/>
      <c r="M510" s="6"/>
    </row>
    <row r="511" spans="1:13" ht="13">
      <c r="A511" s="16"/>
      <c r="B511" s="6"/>
      <c r="C511" s="6"/>
      <c r="D511" s="6"/>
      <c r="E511" s="6"/>
      <c r="F511" s="6"/>
      <c r="G511" s="6"/>
      <c r="H511" s="16"/>
      <c r="I511" s="16"/>
      <c r="J511" s="6"/>
      <c r="K511" s="6"/>
      <c r="L511" s="6"/>
      <c r="M511" s="6"/>
    </row>
    <row r="512" spans="1:13" ht="13">
      <c r="A512" s="16"/>
      <c r="B512" s="6"/>
      <c r="C512" s="6"/>
      <c r="D512" s="6"/>
      <c r="E512" s="6"/>
      <c r="F512" s="6"/>
      <c r="G512" s="6"/>
      <c r="H512" s="16"/>
      <c r="I512" s="16"/>
      <c r="J512" s="6"/>
      <c r="K512" s="6"/>
      <c r="L512" s="6"/>
      <c r="M512" s="6"/>
    </row>
    <row r="513" spans="1:13" ht="13">
      <c r="A513" s="16"/>
      <c r="B513" s="6"/>
      <c r="C513" s="6"/>
      <c r="D513" s="6"/>
      <c r="E513" s="6"/>
      <c r="F513" s="6"/>
      <c r="G513" s="6"/>
      <c r="H513" s="16"/>
      <c r="I513" s="16"/>
      <c r="J513" s="6"/>
      <c r="K513" s="6"/>
      <c r="L513" s="6"/>
      <c r="M513" s="6"/>
    </row>
    <row r="514" spans="1:13" ht="13">
      <c r="A514" s="16"/>
      <c r="B514" s="6"/>
      <c r="C514" s="6"/>
      <c r="D514" s="6"/>
      <c r="E514" s="6"/>
      <c r="F514" s="6"/>
      <c r="G514" s="6"/>
      <c r="H514" s="16"/>
      <c r="I514" s="16"/>
      <c r="J514" s="6"/>
      <c r="K514" s="6"/>
      <c r="L514" s="6"/>
      <c r="M514" s="6"/>
    </row>
    <row r="515" spans="1:13" ht="13">
      <c r="A515" s="16"/>
      <c r="B515" s="6"/>
      <c r="C515" s="6"/>
      <c r="D515" s="6"/>
      <c r="E515" s="6"/>
      <c r="F515" s="6"/>
      <c r="G515" s="6"/>
      <c r="H515" s="16"/>
      <c r="I515" s="16"/>
      <c r="J515" s="6"/>
      <c r="K515" s="6"/>
      <c r="L515" s="6"/>
      <c r="M515" s="6"/>
    </row>
    <row r="516" spans="1:13" ht="13">
      <c r="A516" s="16"/>
      <c r="B516" s="6"/>
      <c r="C516" s="6"/>
      <c r="D516" s="6"/>
      <c r="E516" s="6"/>
      <c r="F516" s="6"/>
      <c r="G516" s="6"/>
      <c r="H516" s="16"/>
      <c r="I516" s="16"/>
      <c r="J516" s="6"/>
      <c r="K516" s="6"/>
      <c r="L516" s="6"/>
      <c r="M516" s="6"/>
    </row>
    <row r="517" spans="1:13" ht="13">
      <c r="A517" s="16"/>
      <c r="B517" s="6"/>
      <c r="C517" s="6"/>
      <c r="D517" s="6"/>
      <c r="E517" s="6"/>
      <c r="F517" s="6"/>
      <c r="G517" s="6"/>
      <c r="H517" s="16"/>
      <c r="I517" s="16"/>
      <c r="J517" s="6"/>
      <c r="K517" s="6"/>
      <c r="L517" s="6"/>
      <c r="M517" s="6"/>
    </row>
    <row r="518" spans="1:13" ht="13">
      <c r="A518" s="16"/>
      <c r="B518" s="6"/>
      <c r="C518" s="6"/>
      <c r="D518" s="6"/>
      <c r="E518" s="6"/>
      <c r="F518" s="6"/>
      <c r="G518" s="6"/>
      <c r="H518" s="16"/>
      <c r="I518" s="16"/>
      <c r="J518" s="6"/>
      <c r="K518" s="6"/>
      <c r="L518" s="6"/>
      <c r="M518" s="6"/>
    </row>
    <row r="519" spans="1:13" ht="13">
      <c r="A519" s="16"/>
      <c r="B519" s="6"/>
      <c r="C519" s="6"/>
      <c r="D519" s="6"/>
      <c r="E519" s="6"/>
      <c r="F519" s="6"/>
      <c r="G519" s="6"/>
      <c r="H519" s="16"/>
      <c r="I519" s="16"/>
      <c r="J519" s="6"/>
      <c r="K519" s="6"/>
      <c r="L519" s="6"/>
      <c r="M519" s="6"/>
    </row>
    <row r="520" spans="1:13" ht="13">
      <c r="A520" s="16"/>
      <c r="B520" s="6"/>
      <c r="C520" s="6"/>
      <c r="D520" s="6"/>
      <c r="E520" s="6"/>
      <c r="F520" s="6"/>
      <c r="G520" s="6"/>
      <c r="H520" s="16"/>
      <c r="I520" s="16"/>
      <c r="J520" s="6"/>
      <c r="K520" s="6"/>
      <c r="L520" s="6"/>
      <c r="M520" s="6"/>
    </row>
    <row r="521" spans="1:13" ht="13">
      <c r="A521" s="16"/>
      <c r="B521" s="6"/>
      <c r="C521" s="6"/>
      <c r="D521" s="6"/>
      <c r="E521" s="6"/>
      <c r="F521" s="6"/>
      <c r="G521" s="6"/>
      <c r="H521" s="16"/>
      <c r="I521" s="16"/>
      <c r="J521" s="6"/>
      <c r="K521" s="6"/>
      <c r="L521" s="6"/>
      <c r="M521" s="6"/>
    </row>
    <row r="522" spans="1:13" ht="13">
      <c r="A522" s="16"/>
      <c r="B522" s="6"/>
      <c r="C522" s="6"/>
      <c r="D522" s="6"/>
      <c r="E522" s="6"/>
      <c r="F522" s="6"/>
      <c r="G522" s="6"/>
      <c r="H522" s="16"/>
      <c r="I522" s="16"/>
      <c r="J522" s="6"/>
      <c r="K522" s="6"/>
      <c r="L522" s="6"/>
      <c r="M522" s="6"/>
    </row>
    <row r="523" spans="1:13" ht="13">
      <c r="A523" s="16"/>
      <c r="B523" s="6"/>
      <c r="C523" s="6"/>
      <c r="D523" s="6"/>
      <c r="E523" s="6"/>
      <c r="F523" s="6"/>
      <c r="G523" s="6"/>
      <c r="H523" s="16"/>
      <c r="I523" s="16"/>
      <c r="J523" s="6"/>
      <c r="K523" s="6"/>
      <c r="L523" s="6"/>
      <c r="M523" s="6"/>
    </row>
    <row r="524" spans="1:13" ht="13">
      <c r="A524" s="16"/>
      <c r="B524" s="6"/>
      <c r="C524" s="6"/>
      <c r="D524" s="6"/>
      <c r="E524" s="6"/>
      <c r="F524" s="6"/>
      <c r="G524" s="6"/>
      <c r="H524" s="16"/>
      <c r="I524" s="16"/>
      <c r="J524" s="6"/>
      <c r="K524" s="6"/>
      <c r="L524" s="6"/>
      <c r="M524" s="6"/>
    </row>
    <row r="525" spans="1:13" ht="13">
      <c r="A525" s="16"/>
      <c r="B525" s="6"/>
      <c r="C525" s="6"/>
      <c r="D525" s="6"/>
      <c r="E525" s="6"/>
      <c r="F525" s="6"/>
      <c r="G525" s="6"/>
      <c r="H525" s="16"/>
      <c r="I525" s="16"/>
      <c r="J525" s="6"/>
      <c r="K525" s="6"/>
      <c r="L525" s="6"/>
      <c r="M525" s="6"/>
    </row>
    <row r="526" spans="1:13" ht="13">
      <c r="A526" s="16"/>
      <c r="B526" s="6"/>
      <c r="C526" s="6"/>
      <c r="D526" s="6"/>
      <c r="E526" s="6"/>
      <c r="F526" s="6"/>
      <c r="G526" s="6"/>
      <c r="H526" s="16"/>
      <c r="I526" s="16"/>
      <c r="J526" s="6"/>
      <c r="K526" s="6"/>
      <c r="L526" s="6"/>
      <c r="M526" s="6"/>
    </row>
    <row r="527" spans="1:13" ht="13">
      <c r="A527" s="16"/>
      <c r="B527" s="6"/>
      <c r="C527" s="6"/>
      <c r="D527" s="6"/>
      <c r="E527" s="6"/>
      <c r="F527" s="6"/>
      <c r="G527" s="6"/>
      <c r="H527" s="16"/>
      <c r="I527" s="16"/>
      <c r="J527" s="6"/>
      <c r="K527" s="6"/>
      <c r="L527" s="6"/>
      <c r="M527" s="6"/>
    </row>
    <row r="528" spans="1:13" ht="13">
      <c r="A528" s="16"/>
      <c r="B528" s="6"/>
      <c r="C528" s="6"/>
      <c r="D528" s="6"/>
      <c r="E528" s="6"/>
      <c r="F528" s="6"/>
      <c r="G528" s="6"/>
      <c r="H528" s="16"/>
      <c r="I528" s="16"/>
      <c r="J528" s="6"/>
      <c r="K528" s="6"/>
      <c r="L528" s="6"/>
      <c r="M528" s="6"/>
    </row>
    <row r="529" spans="1:13" ht="13">
      <c r="A529" s="16"/>
      <c r="B529" s="6"/>
      <c r="C529" s="6"/>
      <c r="D529" s="6"/>
      <c r="E529" s="6"/>
      <c r="F529" s="6"/>
      <c r="G529" s="6"/>
      <c r="H529" s="16"/>
      <c r="I529" s="16"/>
      <c r="J529" s="6"/>
      <c r="K529" s="6"/>
      <c r="L529" s="6"/>
      <c r="M529" s="6"/>
    </row>
    <row r="530" spans="1:13" ht="13">
      <c r="A530" s="16"/>
      <c r="B530" s="6"/>
      <c r="C530" s="6"/>
      <c r="D530" s="6"/>
      <c r="E530" s="6"/>
      <c r="F530" s="6"/>
      <c r="G530" s="6"/>
      <c r="H530" s="16"/>
      <c r="I530" s="16"/>
      <c r="J530" s="6"/>
      <c r="K530" s="6"/>
      <c r="L530" s="6"/>
      <c r="M530" s="6"/>
    </row>
    <row r="531" spans="1:13" ht="13">
      <c r="A531" s="16"/>
      <c r="B531" s="6"/>
      <c r="C531" s="6"/>
      <c r="D531" s="6"/>
      <c r="E531" s="6"/>
      <c r="F531" s="6"/>
      <c r="G531" s="6"/>
      <c r="H531" s="16"/>
      <c r="I531" s="16"/>
      <c r="J531" s="6"/>
      <c r="K531" s="6"/>
      <c r="L531" s="6"/>
      <c r="M531" s="6"/>
    </row>
    <row r="532" spans="1:13" ht="13">
      <c r="A532" s="16"/>
      <c r="B532" s="6"/>
      <c r="C532" s="6"/>
      <c r="D532" s="6"/>
      <c r="E532" s="6"/>
      <c r="F532" s="6"/>
      <c r="G532" s="6"/>
      <c r="H532" s="16"/>
      <c r="I532" s="16"/>
      <c r="J532" s="6"/>
      <c r="K532" s="6"/>
      <c r="L532" s="6"/>
      <c r="M532" s="6"/>
    </row>
    <row r="533" spans="1:13" ht="13">
      <c r="A533" s="16"/>
      <c r="B533" s="6"/>
      <c r="C533" s="6"/>
      <c r="D533" s="6"/>
      <c r="E533" s="6"/>
      <c r="F533" s="6"/>
      <c r="G533" s="6"/>
      <c r="H533" s="16"/>
      <c r="I533" s="16"/>
      <c r="J533" s="6"/>
      <c r="K533" s="6"/>
      <c r="L533" s="6"/>
      <c r="M533" s="6"/>
    </row>
    <row r="534" spans="1:13" ht="13">
      <c r="A534" s="16"/>
      <c r="B534" s="6"/>
      <c r="C534" s="6"/>
      <c r="D534" s="6"/>
      <c r="E534" s="6"/>
      <c r="F534" s="6"/>
      <c r="G534" s="6"/>
      <c r="H534" s="16"/>
      <c r="I534" s="16"/>
      <c r="J534" s="6"/>
      <c r="K534" s="6"/>
      <c r="L534" s="6"/>
      <c r="M534" s="6"/>
    </row>
    <row r="535" spans="1:13" ht="13">
      <c r="A535" s="16"/>
      <c r="B535" s="6"/>
      <c r="C535" s="6"/>
      <c r="D535" s="6"/>
      <c r="E535" s="6"/>
      <c r="F535" s="6"/>
      <c r="G535" s="6"/>
      <c r="H535" s="16"/>
      <c r="I535" s="16"/>
      <c r="J535" s="6"/>
      <c r="K535" s="6"/>
      <c r="L535" s="6"/>
      <c r="M535" s="6"/>
    </row>
    <row r="536" spans="1:13" ht="13">
      <c r="A536" s="16"/>
      <c r="B536" s="6"/>
      <c r="C536" s="6"/>
      <c r="D536" s="6"/>
      <c r="E536" s="6"/>
      <c r="F536" s="6"/>
      <c r="G536" s="6"/>
      <c r="H536" s="16"/>
      <c r="I536" s="16"/>
      <c r="J536" s="6"/>
      <c r="K536" s="6"/>
      <c r="L536" s="6"/>
      <c r="M536" s="6"/>
    </row>
    <row r="537" spans="1:13" ht="13">
      <c r="A537" s="16"/>
      <c r="B537" s="6"/>
      <c r="C537" s="6"/>
      <c r="D537" s="6"/>
      <c r="E537" s="6"/>
      <c r="F537" s="6"/>
      <c r="G537" s="6"/>
      <c r="H537" s="16"/>
      <c r="I537" s="16"/>
      <c r="J537" s="6"/>
      <c r="K537" s="6"/>
      <c r="L537" s="6"/>
      <c r="M537" s="6"/>
    </row>
    <row r="538" spans="1:13" ht="13">
      <c r="A538" s="16"/>
      <c r="B538" s="6"/>
      <c r="C538" s="6"/>
      <c r="D538" s="6"/>
      <c r="E538" s="6"/>
      <c r="F538" s="6"/>
      <c r="G538" s="6"/>
      <c r="H538" s="16"/>
      <c r="I538" s="16"/>
      <c r="J538" s="6"/>
      <c r="K538" s="6"/>
      <c r="L538" s="6"/>
      <c r="M538" s="6"/>
    </row>
    <row r="539" spans="1:13" ht="13">
      <c r="A539" s="16"/>
      <c r="B539" s="6"/>
      <c r="C539" s="6"/>
      <c r="D539" s="6"/>
      <c r="E539" s="6"/>
      <c r="F539" s="6"/>
      <c r="G539" s="6"/>
      <c r="H539" s="16"/>
      <c r="I539" s="16"/>
      <c r="J539" s="6"/>
      <c r="K539" s="6"/>
      <c r="L539" s="6"/>
      <c r="M539" s="6"/>
    </row>
    <row r="540" spans="1:13" ht="13">
      <c r="A540" s="16"/>
      <c r="B540" s="6"/>
      <c r="C540" s="6"/>
      <c r="D540" s="6"/>
      <c r="E540" s="6"/>
      <c r="F540" s="6"/>
      <c r="G540" s="6"/>
      <c r="H540" s="16"/>
      <c r="I540" s="16"/>
      <c r="J540" s="6"/>
      <c r="K540" s="6"/>
      <c r="L540" s="6"/>
      <c r="M540" s="6"/>
    </row>
    <row r="541" spans="1:13" ht="13">
      <c r="A541" s="16"/>
      <c r="B541" s="6"/>
      <c r="C541" s="6"/>
      <c r="D541" s="6"/>
      <c r="E541" s="6"/>
      <c r="F541" s="6"/>
      <c r="G541" s="6"/>
      <c r="H541" s="16"/>
      <c r="I541" s="16"/>
      <c r="J541" s="6"/>
      <c r="K541" s="6"/>
      <c r="L541" s="6"/>
      <c r="M541" s="6"/>
    </row>
    <row r="542" spans="1:13" ht="13">
      <c r="A542" s="16"/>
      <c r="B542" s="6"/>
      <c r="C542" s="6"/>
      <c r="D542" s="6"/>
      <c r="E542" s="6"/>
      <c r="F542" s="6"/>
      <c r="G542" s="6"/>
      <c r="H542" s="16"/>
      <c r="I542" s="16"/>
      <c r="J542" s="6"/>
      <c r="K542" s="6"/>
      <c r="L542" s="6"/>
      <c r="M542" s="6"/>
    </row>
    <row r="543" spans="1:13" ht="13">
      <c r="A543" s="16"/>
      <c r="B543" s="6"/>
      <c r="C543" s="6"/>
      <c r="D543" s="6"/>
      <c r="E543" s="6"/>
      <c r="F543" s="6"/>
      <c r="G543" s="6"/>
      <c r="H543" s="16"/>
      <c r="I543" s="16"/>
      <c r="J543" s="6"/>
      <c r="K543" s="6"/>
      <c r="L543" s="6"/>
      <c r="M543" s="6"/>
    </row>
    <row r="544" spans="1:13" ht="13">
      <c r="A544" s="16"/>
      <c r="B544" s="6"/>
      <c r="C544" s="6"/>
      <c r="D544" s="6"/>
      <c r="E544" s="6"/>
      <c r="F544" s="6"/>
      <c r="G544" s="6"/>
      <c r="H544" s="16"/>
      <c r="I544" s="16"/>
      <c r="J544" s="6"/>
      <c r="K544" s="6"/>
      <c r="L544" s="6"/>
      <c r="M544" s="6"/>
    </row>
    <row r="545" spans="1:13" ht="13">
      <c r="A545" s="16"/>
      <c r="B545" s="6"/>
      <c r="C545" s="6"/>
      <c r="D545" s="6"/>
      <c r="E545" s="6"/>
      <c r="F545" s="6"/>
      <c r="G545" s="6"/>
      <c r="H545" s="16"/>
      <c r="I545" s="16"/>
      <c r="J545" s="6"/>
      <c r="K545" s="6"/>
      <c r="L545" s="6"/>
      <c r="M545" s="6"/>
    </row>
    <row r="546" spans="1:13" ht="13">
      <c r="A546" s="16"/>
      <c r="B546" s="6"/>
      <c r="C546" s="6"/>
      <c r="D546" s="6"/>
      <c r="E546" s="6"/>
      <c r="F546" s="6"/>
      <c r="G546" s="6"/>
      <c r="H546" s="16"/>
      <c r="I546" s="16"/>
      <c r="J546" s="6"/>
      <c r="K546" s="6"/>
      <c r="L546" s="6"/>
      <c r="M546" s="6"/>
    </row>
    <row r="547" spans="1:13" ht="13">
      <c r="A547" s="16"/>
      <c r="B547" s="6"/>
      <c r="C547" s="6"/>
      <c r="D547" s="6"/>
      <c r="E547" s="6"/>
      <c r="F547" s="6"/>
      <c r="G547" s="6"/>
      <c r="H547" s="16"/>
      <c r="I547" s="16"/>
      <c r="J547" s="6"/>
      <c r="K547" s="6"/>
      <c r="L547" s="6"/>
      <c r="M547" s="6"/>
    </row>
    <row r="548" spans="1:13" ht="13">
      <c r="A548" s="16"/>
      <c r="B548" s="6"/>
      <c r="C548" s="6"/>
      <c r="D548" s="6"/>
      <c r="E548" s="6"/>
      <c r="F548" s="6"/>
      <c r="G548" s="6"/>
      <c r="H548" s="16"/>
      <c r="I548" s="16"/>
      <c r="J548" s="6"/>
      <c r="K548" s="6"/>
      <c r="L548" s="6"/>
      <c r="M548" s="6"/>
    </row>
    <row r="549" spans="1:13" ht="13">
      <c r="A549" s="16"/>
      <c r="B549" s="6"/>
      <c r="C549" s="6"/>
      <c r="D549" s="6"/>
      <c r="E549" s="6"/>
      <c r="F549" s="6"/>
      <c r="G549" s="6"/>
      <c r="H549" s="16"/>
      <c r="I549" s="16"/>
      <c r="J549" s="6"/>
      <c r="K549" s="6"/>
      <c r="L549" s="6"/>
      <c r="M549" s="6"/>
    </row>
    <row r="550" spans="1:13" ht="13">
      <c r="A550" s="16"/>
      <c r="B550" s="6"/>
      <c r="C550" s="6"/>
      <c r="D550" s="6"/>
      <c r="E550" s="6"/>
      <c r="F550" s="6"/>
      <c r="G550" s="6"/>
      <c r="H550" s="16"/>
      <c r="I550" s="16"/>
      <c r="J550" s="6"/>
      <c r="K550" s="6"/>
      <c r="L550" s="6"/>
      <c r="M550" s="6"/>
    </row>
    <row r="551" spans="1:13" ht="13">
      <c r="A551" s="16"/>
      <c r="B551" s="6"/>
      <c r="C551" s="6"/>
      <c r="D551" s="6"/>
      <c r="E551" s="6"/>
      <c r="F551" s="6"/>
      <c r="G551" s="6"/>
      <c r="H551" s="16"/>
      <c r="I551" s="16"/>
      <c r="J551" s="6"/>
      <c r="K551" s="6"/>
      <c r="L551" s="6"/>
      <c r="M551" s="6"/>
    </row>
    <row r="552" spans="1:13" ht="13">
      <c r="A552" s="16"/>
      <c r="B552" s="6"/>
      <c r="C552" s="6"/>
      <c r="D552" s="6"/>
      <c r="E552" s="6"/>
      <c r="F552" s="6"/>
      <c r="G552" s="6"/>
      <c r="H552" s="16"/>
      <c r="I552" s="16"/>
      <c r="J552" s="6"/>
      <c r="K552" s="6"/>
      <c r="L552" s="6"/>
      <c r="M552" s="6"/>
    </row>
    <row r="553" spans="1:13" ht="13">
      <c r="A553" s="16"/>
      <c r="B553" s="6"/>
      <c r="C553" s="6"/>
      <c r="D553" s="6"/>
      <c r="E553" s="6"/>
      <c r="F553" s="6"/>
      <c r="G553" s="6"/>
      <c r="H553" s="16"/>
      <c r="I553" s="16"/>
      <c r="J553" s="6"/>
      <c r="K553" s="6"/>
      <c r="L553" s="6"/>
      <c r="M553" s="6"/>
    </row>
    <row r="554" spans="1:13" ht="13">
      <c r="A554" s="16"/>
      <c r="B554" s="6"/>
      <c r="C554" s="6"/>
      <c r="D554" s="6"/>
      <c r="E554" s="6"/>
      <c r="F554" s="6"/>
      <c r="G554" s="6"/>
      <c r="H554" s="16"/>
      <c r="I554" s="16"/>
      <c r="J554" s="6"/>
      <c r="K554" s="6"/>
      <c r="L554" s="6"/>
      <c r="M554" s="6"/>
    </row>
    <row r="555" spans="1:13" ht="13">
      <c r="A555" s="16"/>
      <c r="B555" s="6"/>
      <c r="C555" s="6"/>
      <c r="D555" s="6"/>
      <c r="E555" s="6"/>
      <c r="F555" s="6"/>
      <c r="G555" s="6"/>
      <c r="H555" s="16"/>
      <c r="I555" s="16"/>
      <c r="J555" s="6"/>
      <c r="K555" s="6"/>
      <c r="L555" s="6"/>
      <c r="M555" s="6"/>
    </row>
    <row r="556" spans="1:13" ht="13">
      <c r="A556" s="16"/>
      <c r="B556" s="6"/>
      <c r="C556" s="6"/>
      <c r="D556" s="6"/>
      <c r="E556" s="6"/>
      <c r="F556" s="6"/>
      <c r="G556" s="6"/>
      <c r="H556" s="16"/>
      <c r="I556" s="16"/>
      <c r="J556" s="6"/>
      <c r="K556" s="6"/>
      <c r="L556" s="6"/>
      <c r="M556" s="6"/>
    </row>
    <row r="557" spans="1:13" ht="13">
      <c r="A557" s="16"/>
      <c r="B557" s="6"/>
      <c r="C557" s="6"/>
      <c r="D557" s="6"/>
      <c r="E557" s="6"/>
      <c r="F557" s="6"/>
      <c r="G557" s="6"/>
      <c r="H557" s="16"/>
      <c r="I557" s="16"/>
      <c r="J557" s="6"/>
      <c r="K557" s="6"/>
      <c r="L557" s="6"/>
      <c r="M557" s="6"/>
    </row>
    <row r="558" spans="1:13" ht="13">
      <c r="A558" s="16"/>
      <c r="B558" s="6"/>
      <c r="C558" s="6"/>
      <c r="D558" s="6"/>
      <c r="E558" s="6"/>
      <c r="F558" s="6"/>
      <c r="G558" s="6"/>
      <c r="H558" s="16"/>
      <c r="I558" s="16"/>
      <c r="J558" s="6"/>
      <c r="K558" s="6"/>
      <c r="L558" s="6"/>
      <c r="M558" s="6"/>
    </row>
    <row r="559" spans="1:13" ht="13">
      <c r="A559" s="16"/>
      <c r="B559" s="6"/>
      <c r="C559" s="6"/>
      <c r="D559" s="6"/>
      <c r="E559" s="6"/>
      <c r="F559" s="6"/>
      <c r="G559" s="6"/>
      <c r="H559" s="16"/>
      <c r="I559" s="16"/>
      <c r="J559" s="6"/>
      <c r="K559" s="6"/>
      <c r="L559" s="6"/>
      <c r="M559" s="6"/>
    </row>
    <row r="560" spans="1:13" ht="13">
      <c r="A560" s="16"/>
      <c r="B560" s="6"/>
      <c r="C560" s="6"/>
      <c r="D560" s="6"/>
      <c r="E560" s="6"/>
      <c r="F560" s="6"/>
      <c r="G560" s="6"/>
      <c r="H560" s="16"/>
      <c r="I560" s="16"/>
      <c r="J560" s="6"/>
      <c r="K560" s="6"/>
      <c r="L560" s="6"/>
      <c r="M560" s="6"/>
    </row>
    <row r="561" spans="1:13" ht="13">
      <c r="A561" s="16"/>
      <c r="B561" s="6"/>
      <c r="C561" s="6"/>
      <c r="D561" s="6"/>
      <c r="E561" s="6"/>
      <c r="F561" s="6"/>
      <c r="G561" s="6"/>
      <c r="H561" s="16"/>
      <c r="I561" s="16"/>
      <c r="J561" s="6"/>
      <c r="K561" s="6"/>
      <c r="L561" s="6"/>
      <c r="M561" s="6"/>
    </row>
    <row r="562" spans="1:13" ht="13">
      <c r="A562" s="16"/>
      <c r="B562" s="6"/>
      <c r="C562" s="6"/>
      <c r="D562" s="6"/>
      <c r="E562" s="6"/>
      <c r="F562" s="6"/>
      <c r="G562" s="6"/>
      <c r="H562" s="16"/>
      <c r="I562" s="16"/>
      <c r="J562" s="6"/>
      <c r="K562" s="6"/>
      <c r="L562" s="6"/>
      <c r="M562" s="6"/>
    </row>
    <row r="563" spans="1:13" ht="13">
      <c r="A563" s="16"/>
      <c r="B563" s="6"/>
      <c r="C563" s="6"/>
      <c r="D563" s="6"/>
      <c r="E563" s="6"/>
      <c r="F563" s="6"/>
      <c r="G563" s="6"/>
      <c r="H563" s="16"/>
      <c r="I563" s="16"/>
      <c r="J563" s="6"/>
      <c r="K563" s="6"/>
      <c r="L563" s="6"/>
      <c r="M563" s="6"/>
    </row>
    <row r="564" spans="1:13" ht="13">
      <c r="A564" s="16"/>
      <c r="B564" s="6"/>
      <c r="C564" s="6"/>
      <c r="D564" s="6"/>
      <c r="E564" s="6"/>
      <c r="F564" s="6"/>
      <c r="G564" s="6"/>
      <c r="H564" s="16"/>
      <c r="I564" s="16"/>
      <c r="J564" s="6"/>
      <c r="K564" s="6"/>
      <c r="L564" s="6"/>
      <c r="M564" s="6"/>
    </row>
    <row r="565" spans="1:13" ht="13">
      <c r="A565" s="16"/>
      <c r="B565" s="6"/>
      <c r="C565" s="6"/>
      <c r="D565" s="6"/>
      <c r="E565" s="6"/>
      <c r="F565" s="6"/>
      <c r="G565" s="6"/>
      <c r="H565" s="16"/>
      <c r="I565" s="16"/>
      <c r="J565" s="6"/>
      <c r="K565" s="6"/>
      <c r="L565" s="6"/>
      <c r="M565" s="6"/>
    </row>
    <row r="566" spans="1:13" ht="13">
      <c r="A566" s="16"/>
      <c r="B566" s="6"/>
      <c r="C566" s="6"/>
      <c r="D566" s="6"/>
      <c r="E566" s="6"/>
      <c r="F566" s="6"/>
      <c r="G566" s="6"/>
      <c r="H566" s="16"/>
      <c r="I566" s="16"/>
      <c r="J566" s="6"/>
      <c r="K566" s="6"/>
      <c r="L566" s="6"/>
      <c r="M566" s="6"/>
    </row>
    <row r="567" spans="1:13" ht="13">
      <c r="A567" s="16"/>
      <c r="B567" s="6"/>
      <c r="C567" s="6"/>
      <c r="D567" s="6"/>
      <c r="E567" s="6"/>
      <c r="F567" s="6"/>
      <c r="G567" s="6"/>
      <c r="H567" s="16"/>
      <c r="I567" s="16"/>
      <c r="J567" s="6"/>
      <c r="K567" s="6"/>
      <c r="L567" s="6"/>
      <c r="M567" s="6"/>
    </row>
    <row r="568" spans="1:13" ht="13">
      <c r="A568" s="16"/>
      <c r="B568" s="6"/>
      <c r="C568" s="6"/>
      <c r="D568" s="6"/>
      <c r="E568" s="6"/>
      <c r="F568" s="6"/>
      <c r="G568" s="6"/>
      <c r="H568" s="16"/>
      <c r="I568" s="16"/>
      <c r="J568" s="6"/>
      <c r="K568" s="6"/>
      <c r="L568" s="6"/>
      <c r="M568" s="6"/>
    </row>
    <row r="569" spans="1:13" ht="13">
      <c r="A569" s="16"/>
      <c r="B569" s="6"/>
      <c r="C569" s="6"/>
      <c r="D569" s="6"/>
      <c r="E569" s="6"/>
      <c r="F569" s="6"/>
      <c r="G569" s="6"/>
      <c r="H569" s="16"/>
      <c r="I569" s="16"/>
      <c r="J569" s="6"/>
      <c r="K569" s="6"/>
      <c r="L569" s="6"/>
      <c r="M569" s="6"/>
    </row>
    <row r="570" spans="1:13" ht="13">
      <c r="A570" s="16"/>
      <c r="B570" s="6"/>
      <c r="C570" s="6"/>
      <c r="D570" s="6"/>
      <c r="E570" s="6"/>
      <c r="F570" s="6"/>
      <c r="G570" s="6"/>
      <c r="H570" s="16"/>
      <c r="I570" s="16"/>
      <c r="J570" s="6"/>
      <c r="K570" s="6"/>
      <c r="L570" s="6"/>
      <c r="M570" s="6"/>
    </row>
    <row r="571" spans="1:13" ht="13">
      <c r="A571" s="16"/>
      <c r="B571" s="6"/>
      <c r="C571" s="6"/>
      <c r="D571" s="6"/>
      <c r="E571" s="6"/>
      <c r="F571" s="6"/>
      <c r="G571" s="6"/>
      <c r="H571" s="16"/>
      <c r="I571" s="16"/>
      <c r="J571" s="6"/>
      <c r="K571" s="6"/>
      <c r="L571" s="6"/>
      <c r="M571" s="6"/>
    </row>
    <row r="572" spans="1:13" ht="13">
      <c r="A572" s="16"/>
      <c r="B572" s="6"/>
      <c r="C572" s="6"/>
      <c r="D572" s="6"/>
      <c r="E572" s="6"/>
      <c r="F572" s="6"/>
      <c r="G572" s="6"/>
      <c r="H572" s="16"/>
      <c r="I572" s="16"/>
      <c r="J572" s="6"/>
      <c r="K572" s="6"/>
      <c r="L572" s="6"/>
      <c r="M572" s="6"/>
    </row>
    <row r="573" spans="1:13" ht="13">
      <c r="A573" s="16"/>
      <c r="B573" s="6"/>
      <c r="C573" s="6"/>
      <c r="D573" s="6"/>
      <c r="E573" s="6"/>
      <c r="F573" s="6"/>
      <c r="G573" s="6"/>
      <c r="H573" s="16"/>
      <c r="I573" s="16"/>
      <c r="J573" s="6"/>
      <c r="K573" s="6"/>
      <c r="L573" s="6"/>
      <c r="M573" s="6"/>
    </row>
    <row r="574" spans="1:13" ht="13">
      <c r="A574" s="16"/>
      <c r="B574" s="6"/>
      <c r="C574" s="6"/>
      <c r="D574" s="6"/>
      <c r="E574" s="6"/>
      <c r="F574" s="6"/>
      <c r="G574" s="6"/>
      <c r="H574" s="16"/>
      <c r="I574" s="16"/>
      <c r="J574" s="6"/>
      <c r="K574" s="6"/>
      <c r="L574" s="6"/>
      <c r="M574" s="6"/>
    </row>
    <row r="575" spans="1:13" ht="13">
      <c r="A575" s="16"/>
      <c r="B575" s="6"/>
      <c r="C575" s="6"/>
      <c r="D575" s="6"/>
      <c r="E575" s="6"/>
      <c r="F575" s="6"/>
      <c r="G575" s="6"/>
      <c r="H575" s="16"/>
      <c r="I575" s="16"/>
      <c r="J575" s="6"/>
      <c r="K575" s="6"/>
      <c r="L575" s="6"/>
      <c r="M575" s="6"/>
    </row>
    <row r="576" spans="1:13" ht="13">
      <c r="A576" s="16"/>
      <c r="B576" s="6"/>
      <c r="C576" s="6"/>
      <c r="D576" s="6"/>
      <c r="E576" s="6"/>
      <c r="F576" s="6"/>
      <c r="G576" s="6"/>
      <c r="H576" s="16"/>
      <c r="I576" s="16"/>
      <c r="J576" s="6"/>
      <c r="K576" s="6"/>
      <c r="L576" s="6"/>
      <c r="M576" s="6"/>
    </row>
    <row r="577" spans="1:13" ht="13">
      <c r="A577" s="16"/>
      <c r="B577" s="6"/>
      <c r="C577" s="6"/>
      <c r="D577" s="6"/>
      <c r="E577" s="6"/>
      <c r="F577" s="6"/>
      <c r="G577" s="6"/>
      <c r="H577" s="16"/>
      <c r="I577" s="16"/>
      <c r="J577" s="6"/>
      <c r="K577" s="6"/>
      <c r="L577" s="6"/>
      <c r="M577" s="6"/>
    </row>
    <row r="578" spans="1:13" ht="13">
      <c r="A578" s="16"/>
      <c r="B578" s="6"/>
      <c r="C578" s="6"/>
      <c r="D578" s="6"/>
      <c r="E578" s="6"/>
      <c r="F578" s="6"/>
      <c r="G578" s="6"/>
      <c r="H578" s="16"/>
      <c r="I578" s="16"/>
      <c r="J578" s="6"/>
      <c r="K578" s="6"/>
      <c r="L578" s="6"/>
      <c r="M578" s="6"/>
    </row>
    <row r="579" spans="1:13" ht="13">
      <c r="A579" s="16"/>
      <c r="B579" s="6"/>
      <c r="C579" s="6"/>
      <c r="D579" s="6"/>
      <c r="E579" s="6"/>
      <c r="F579" s="6"/>
      <c r="G579" s="6"/>
      <c r="H579" s="16"/>
      <c r="I579" s="16"/>
      <c r="J579" s="6"/>
      <c r="K579" s="6"/>
      <c r="L579" s="6"/>
      <c r="M579" s="6"/>
    </row>
    <row r="580" spans="1:13" ht="13">
      <c r="A580" s="16"/>
      <c r="B580" s="6"/>
      <c r="C580" s="6"/>
      <c r="D580" s="6"/>
      <c r="E580" s="6"/>
      <c r="F580" s="6"/>
      <c r="G580" s="6"/>
      <c r="H580" s="16"/>
      <c r="I580" s="16"/>
      <c r="J580" s="6"/>
      <c r="K580" s="6"/>
      <c r="L580" s="6"/>
      <c r="M580" s="6"/>
    </row>
    <row r="581" spans="1:13" ht="13">
      <c r="A581" s="16"/>
      <c r="B581" s="6"/>
      <c r="C581" s="6"/>
      <c r="D581" s="6"/>
      <c r="E581" s="6"/>
      <c r="F581" s="6"/>
      <c r="G581" s="6"/>
      <c r="H581" s="16"/>
      <c r="I581" s="16"/>
      <c r="J581" s="6"/>
      <c r="K581" s="6"/>
      <c r="L581" s="6"/>
      <c r="M581" s="6"/>
    </row>
    <row r="582" spans="1:13" ht="13">
      <c r="A582" s="16"/>
      <c r="B582" s="6"/>
      <c r="C582" s="6"/>
      <c r="D582" s="6"/>
      <c r="E582" s="6"/>
      <c r="F582" s="6"/>
      <c r="G582" s="6"/>
      <c r="H582" s="16"/>
      <c r="I582" s="16"/>
      <c r="J582" s="6"/>
      <c r="K582" s="6"/>
      <c r="L582" s="6"/>
      <c r="M582" s="6"/>
    </row>
    <row r="583" spans="1:13" ht="13">
      <c r="A583" s="16"/>
      <c r="B583" s="6"/>
      <c r="C583" s="6"/>
      <c r="D583" s="6"/>
      <c r="E583" s="6"/>
      <c r="F583" s="6"/>
      <c r="G583" s="6"/>
      <c r="H583" s="16"/>
      <c r="I583" s="16"/>
      <c r="J583" s="6"/>
      <c r="K583" s="6"/>
      <c r="L583" s="6"/>
      <c r="M583" s="6"/>
    </row>
    <row r="584" spans="1:13" ht="13">
      <c r="A584" s="16"/>
      <c r="B584" s="6"/>
      <c r="C584" s="6"/>
      <c r="D584" s="6"/>
      <c r="E584" s="6"/>
      <c r="F584" s="6"/>
      <c r="G584" s="6"/>
      <c r="H584" s="16"/>
      <c r="I584" s="16"/>
      <c r="J584" s="6"/>
      <c r="K584" s="6"/>
      <c r="L584" s="6"/>
      <c r="M584" s="6"/>
    </row>
    <row r="585" spans="1:13" ht="13">
      <c r="A585" s="16"/>
      <c r="B585" s="6"/>
      <c r="C585" s="6"/>
      <c r="D585" s="6"/>
      <c r="E585" s="6"/>
      <c r="F585" s="6"/>
      <c r="G585" s="6"/>
      <c r="H585" s="16"/>
      <c r="I585" s="16"/>
      <c r="J585" s="6"/>
      <c r="K585" s="6"/>
      <c r="L585" s="6"/>
      <c r="M585" s="6"/>
    </row>
    <row r="586" spans="1:13" ht="13">
      <c r="A586" s="16"/>
      <c r="B586" s="6"/>
      <c r="C586" s="6"/>
      <c r="D586" s="6"/>
      <c r="E586" s="6"/>
      <c r="F586" s="6"/>
      <c r="G586" s="6"/>
      <c r="H586" s="16"/>
      <c r="I586" s="16"/>
      <c r="J586" s="6"/>
      <c r="K586" s="6"/>
      <c r="L586" s="6"/>
      <c r="M586" s="6"/>
    </row>
    <row r="587" spans="1:13" ht="13">
      <c r="A587" s="16"/>
      <c r="B587" s="6"/>
      <c r="C587" s="6"/>
      <c r="D587" s="6"/>
      <c r="E587" s="6"/>
      <c r="F587" s="6"/>
      <c r="G587" s="6"/>
      <c r="H587" s="16"/>
      <c r="I587" s="16"/>
      <c r="J587" s="6"/>
      <c r="K587" s="6"/>
      <c r="L587" s="6"/>
      <c r="M587" s="6"/>
    </row>
    <row r="588" spans="1:13" ht="13">
      <c r="A588" s="16"/>
      <c r="B588" s="6"/>
      <c r="C588" s="6"/>
      <c r="D588" s="6"/>
      <c r="E588" s="6"/>
      <c r="F588" s="6"/>
      <c r="G588" s="6"/>
      <c r="H588" s="16"/>
      <c r="I588" s="16"/>
      <c r="J588" s="6"/>
      <c r="K588" s="6"/>
      <c r="L588" s="6"/>
      <c r="M588" s="6"/>
    </row>
    <row r="589" spans="1:13" ht="13">
      <c r="A589" s="16"/>
      <c r="B589" s="6"/>
      <c r="C589" s="6"/>
      <c r="D589" s="6"/>
      <c r="E589" s="6"/>
      <c r="F589" s="6"/>
      <c r="G589" s="6"/>
      <c r="H589" s="16"/>
      <c r="I589" s="16"/>
      <c r="J589" s="6"/>
      <c r="K589" s="6"/>
      <c r="L589" s="6"/>
      <c r="M589" s="6"/>
    </row>
    <row r="590" spans="1:13" ht="13">
      <c r="A590" s="16"/>
      <c r="B590" s="6"/>
      <c r="C590" s="6"/>
      <c r="D590" s="6"/>
      <c r="E590" s="6"/>
      <c r="F590" s="6"/>
      <c r="G590" s="6"/>
      <c r="H590" s="16"/>
      <c r="I590" s="16"/>
      <c r="J590" s="6"/>
      <c r="K590" s="6"/>
      <c r="L590" s="6"/>
      <c r="M590" s="6"/>
    </row>
    <row r="591" spans="1:13" ht="13">
      <c r="A591" s="16"/>
      <c r="B591" s="6"/>
      <c r="C591" s="6"/>
      <c r="D591" s="6"/>
      <c r="E591" s="6"/>
      <c r="F591" s="6"/>
      <c r="G591" s="6"/>
      <c r="H591" s="16"/>
      <c r="I591" s="16"/>
      <c r="J591" s="6"/>
      <c r="K591" s="6"/>
      <c r="L591" s="6"/>
      <c r="M591" s="6"/>
    </row>
    <row r="592" spans="1:13" ht="13">
      <c r="A592" s="16"/>
      <c r="B592" s="6"/>
      <c r="C592" s="6"/>
      <c r="D592" s="6"/>
      <c r="E592" s="6"/>
      <c r="F592" s="6"/>
      <c r="G592" s="6"/>
      <c r="H592" s="16"/>
      <c r="I592" s="16"/>
      <c r="J592" s="6"/>
      <c r="K592" s="6"/>
      <c r="L592" s="6"/>
      <c r="M592" s="6"/>
    </row>
    <row r="593" spans="1:13" ht="13">
      <c r="A593" s="16"/>
      <c r="B593" s="6"/>
      <c r="C593" s="6"/>
      <c r="D593" s="6"/>
      <c r="E593" s="6"/>
      <c r="F593" s="6"/>
      <c r="G593" s="6"/>
      <c r="H593" s="16"/>
      <c r="I593" s="16"/>
      <c r="J593" s="6"/>
      <c r="K593" s="6"/>
      <c r="L593" s="6"/>
      <c r="M593" s="6"/>
    </row>
    <row r="594" spans="1:13" ht="13">
      <c r="A594" s="16"/>
      <c r="B594" s="6"/>
      <c r="C594" s="6"/>
      <c r="D594" s="6"/>
      <c r="E594" s="6"/>
      <c r="F594" s="6"/>
      <c r="G594" s="6"/>
      <c r="H594" s="16"/>
      <c r="I594" s="16"/>
      <c r="J594" s="6"/>
      <c r="K594" s="6"/>
      <c r="L594" s="6"/>
      <c r="M594" s="6"/>
    </row>
    <row r="595" spans="1:13" ht="13">
      <c r="A595" s="16"/>
      <c r="B595" s="6"/>
      <c r="C595" s="6"/>
      <c r="D595" s="6"/>
      <c r="E595" s="6"/>
      <c r="F595" s="6"/>
      <c r="G595" s="6"/>
      <c r="H595" s="16"/>
      <c r="I595" s="16"/>
      <c r="J595" s="6"/>
      <c r="K595" s="6"/>
      <c r="L595" s="6"/>
      <c r="M595" s="6"/>
    </row>
    <row r="596" spans="1:13" ht="13">
      <c r="A596" s="16"/>
      <c r="B596" s="6"/>
      <c r="C596" s="6"/>
      <c r="D596" s="6"/>
      <c r="E596" s="6"/>
      <c r="F596" s="6"/>
      <c r="G596" s="6"/>
      <c r="H596" s="16"/>
      <c r="I596" s="16"/>
      <c r="J596" s="6"/>
      <c r="K596" s="6"/>
      <c r="L596" s="6"/>
      <c r="M596" s="6"/>
    </row>
    <row r="597" spans="1:13" ht="13">
      <c r="A597" s="16"/>
      <c r="B597" s="6"/>
      <c r="C597" s="6"/>
      <c r="D597" s="6"/>
      <c r="E597" s="6"/>
      <c r="F597" s="6"/>
      <c r="G597" s="6"/>
      <c r="H597" s="16"/>
      <c r="I597" s="16"/>
      <c r="J597" s="6"/>
      <c r="K597" s="6"/>
      <c r="L597" s="6"/>
      <c r="M597" s="6"/>
    </row>
    <row r="598" spans="1:13" ht="13">
      <c r="A598" s="16"/>
      <c r="B598" s="6"/>
      <c r="C598" s="6"/>
      <c r="D598" s="6"/>
      <c r="E598" s="6"/>
      <c r="F598" s="6"/>
      <c r="G598" s="6"/>
      <c r="H598" s="16"/>
      <c r="I598" s="16"/>
      <c r="J598" s="6"/>
      <c r="K598" s="6"/>
      <c r="L598" s="6"/>
      <c r="M598" s="6"/>
    </row>
    <row r="599" spans="1:13" ht="13">
      <c r="A599" s="16"/>
      <c r="B599" s="6"/>
      <c r="C599" s="6"/>
      <c r="D599" s="6"/>
      <c r="E599" s="6"/>
      <c r="F599" s="6"/>
      <c r="G599" s="6"/>
      <c r="H599" s="16"/>
      <c r="I599" s="16"/>
      <c r="J599" s="6"/>
      <c r="K599" s="6"/>
      <c r="L599" s="6"/>
      <c r="M599" s="6"/>
    </row>
    <row r="600" spans="1:13" ht="13">
      <c r="A600" s="16"/>
      <c r="B600" s="6"/>
      <c r="C600" s="6"/>
      <c r="D600" s="6"/>
      <c r="E600" s="6"/>
      <c r="F600" s="6"/>
      <c r="G600" s="6"/>
      <c r="H600" s="16"/>
      <c r="I600" s="16"/>
      <c r="J600" s="6"/>
      <c r="K600" s="6"/>
      <c r="L600" s="6"/>
      <c r="M600" s="6"/>
    </row>
    <row r="601" spans="1:13" ht="13">
      <c r="A601" s="16"/>
      <c r="B601" s="6"/>
      <c r="C601" s="6"/>
      <c r="D601" s="6"/>
      <c r="E601" s="6"/>
      <c r="F601" s="6"/>
      <c r="G601" s="6"/>
      <c r="H601" s="16"/>
      <c r="I601" s="16"/>
      <c r="J601" s="6"/>
      <c r="K601" s="6"/>
      <c r="L601" s="6"/>
      <c r="M601" s="6"/>
    </row>
    <row r="602" spans="1:13" ht="13">
      <c r="A602" s="16"/>
      <c r="B602" s="6"/>
      <c r="C602" s="6"/>
      <c r="D602" s="6"/>
      <c r="E602" s="6"/>
      <c r="F602" s="6"/>
      <c r="G602" s="6"/>
      <c r="H602" s="16"/>
      <c r="I602" s="16"/>
      <c r="J602" s="6"/>
      <c r="K602" s="6"/>
      <c r="L602" s="6"/>
      <c r="M602" s="6"/>
    </row>
    <row r="603" spans="1:13" ht="13">
      <c r="A603" s="16"/>
      <c r="B603" s="6"/>
      <c r="C603" s="6"/>
      <c r="D603" s="6"/>
      <c r="E603" s="6"/>
      <c r="F603" s="6"/>
      <c r="G603" s="6"/>
      <c r="H603" s="16"/>
      <c r="I603" s="16"/>
      <c r="J603" s="6"/>
      <c r="K603" s="6"/>
      <c r="L603" s="6"/>
      <c r="M603" s="6"/>
    </row>
    <row r="604" spans="1:13" ht="13">
      <c r="A604" s="16"/>
      <c r="B604" s="6"/>
      <c r="C604" s="6"/>
      <c r="D604" s="6"/>
      <c r="E604" s="6"/>
      <c r="F604" s="6"/>
      <c r="G604" s="6"/>
      <c r="H604" s="16"/>
      <c r="I604" s="16"/>
      <c r="J604" s="6"/>
      <c r="K604" s="6"/>
      <c r="L604" s="6"/>
      <c r="M604" s="6"/>
    </row>
    <row r="605" spans="1:13" ht="13">
      <c r="A605" s="16"/>
      <c r="B605" s="6"/>
      <c r="C605" s="6"/>
      <c r="D605" s="6"/>
      <c r="E605" s="6"/>
      <c r="F605" s="6"/>
      <c r="G605" s="6"/>
      <c r="H605" s="16"/>
      <c r="I605" s="16"/>
      <c r="J605" s="6"/>
      <c r="K605" s="6"/>
      <c r="L605" s="6"/>
      <c r="M605" s="6"/>
    </row>
    <row r="606" spans="1:13" ht="13">
      <c r="A606" s="16"/>
      <c r="B606" s="6"/>
      <c r="C606" s="6"/>
      <c r="D606" s="6"/>
      <c r="E606" s="6"/>
      <c r="F606" s="6"/>
      <c r="G606" s="6"/>
      <c r="H606" s="16"/>
      <c r="I606" s="16"/>
      <c r="J606" s="6"/>
      <c r="K606" s="6"/>
      <c r="L606" s="6"/>
      <c r="M606" s="6"/>
    </row>
    <row r="607" spans="1:13" ht="13">
      <c r="A607" s="16"/>
      <c r="B607" s="6"/>
      <c r="C607" s="6"/>
      <c r="D607" s="6"/>
      <c r="E607" s="6"/>
      <c r="F607" s="6"/>
      <c r="G607" s="6"/>
      <c r="H607" s="16"/>
      <c r="I607" s="16"/>
      <c r="J607" s="6"/>
      <c r="K607" s="6"/>
      <c r="L607" s="6"/>
      <c r="M607" s="6"/>
    </row>
    <row r="608" spans="1:13" ht="13">
      <c r="A608" s="16"/>
      <c r="B608" s="6"/>
      <c r="C608" s="6"/>
      <c r="D608" s="6"/>
      <c r="E608" s="6"/>
      <c r="F608" s="6"/>
      <c r="G608" s="6"/>
      <c r="H608" s="16"/>
      <c r="I608" s="16"/>
      <c r="J608" s="6"/>
      <c r="K608" s="6"/>
      <c r="L608" s="6"/>
      <c r="M608" s="6"/>
    </row>
    <row r="609" spans="1:13" ht="13">
      <c r="A609" s="16"/>
      <c r="B609" s="6"/>
      <c r="C609" s="6"/>
      <c r="D609" s="6"/>
      <c r="E609" s="6"/>
      <c r="F609" s="6"/>
      <c r="G609" s="6"/>
      <c r="H609" s="16"/>
      <c r="I609" s="16"/>
      <c r="J609" s="6"/>
      <c r="K609" s="6"/>
      <c r="L609" s="6"/>
      <c r="M609" s="6"/>
    </row>
    <row r="610" spans="1:13" ht="13">
      <c r="A610" s="16"/>
      <c r="B610" s="6"/>
      <c r="C610" s="6"/>
      <c r="D610" s="6"/>
      <c r="E610" s="6"/>
      <c r="F610" s="6"/>
      <c r="G610" s="6"/>
      <c r="H610" s="16"/>
      <c r="I610" s="16"/>
      <c r="J610" s="6"/>
      <c r="K610" s="6"/>
      <c r="L610" s="6"/>
      <c r="M610" s="6"/>
    </row>
    <row r="611" spans="1:13" ht="13">
      <c r="A611" s="16"/>
      <c r="B611" s="6"/>
      <c r="C611" s="6"/>
      <c r="D611" s="6"/>
      <c r="E611" s="6"/>
      <c r="F611" s="6"/>
      <c r="G611" s="6"/>
      <c r="H611" s="16"/>
      <c r="I611" s="16"/>
      <c r="J611" s="6"/>
      <c r="K611" s="6"/>
      <c r="L611" s="6"/>
      <c r="M611" s="6"/>
    </row>
    <row r="612" spans="1:13" ht="13">
      <c r="A612" s="16"/>
      <c r="B612" s="6"/>
      <c r="C612" s="6"/>
      <c r="D612" s="6"/>
      <c r="E612" s="6"/>
      <c r="F612" s="6"/>
      <c r="G612" s="6"/>
      <c r="H612" s="16"/>
      <c r="I612" s="16"/>
      <c r="J612" s="6"/>
      <c r="K612" s="6"/>
      <c r="L612" s="6"/>
      <c r="M612" s="6"/>
    </row>
    <row r="613" spans="1:13" ht="13">
      <c r="A613" s="16"/>
      <c r="B613" s="6"/>
      <c r="C613" s="6"/>
      <c r="D613" s="6"/>
      <c r="E613" s="6"/>
      <c r="F613" s="6"/>
      <c r="G613" s="6"/>
      <c r="H613" s="16"/>
      <c r="I613" s="16"/>
      <c r="J613" s="6"/>
      <c r="K613" s="6"/>
      <c r="L613" s="6"/>
      <c r="M613" s="6"/>
    </row>
    <row r="614" spans="1:13" ht="13">
      <c r="A614" s="16"/>
      <c r="B614" s="6"/>
      <c r="C614" s="6"/>
      <c r="D614" s="6"/>
      <c r="E614" s="6"/>
      <c r="F614" s="6"/>
      <c r="G614" s="6"/>
      <c r="H614" s="16"/>
      <c r="I614" s="16"/>
      <c r="J614" s="6"/>
      <c r="K614" s="6"/>
      <c r="L614" s="6"/>
      <c r="M614" s="6"/>
    </row>
    <row r="615" spans="1:13" ht="13">
      <c r="A615" s="16"/>
      <c r="B615" s="6"/>
      <c r="C615" s="6"/>
      <c r="D615" s="6"/>
      <c r="E615" s="6"/>
      <c r="F615" s="6"/>
      <c r="G615" s="6"/>
      <c r="H615" s="16"/>
      <c r="I615" s="16"/>
      <c r="J615" s="6"/>
      <c r="K615" s="6"/>
      <c r="L615" s="6"/>
      <c r="M615" s="6"/>
    </row>
    <row r="616" spans="1:13" ht="13">
      <c r="A616" s="16"/>
      <c r="B616" s="6"/>
      <c r="C616" s="6"/>
      <c r="D616" s="6"/>
      <c r="E616" s="6"/>
      <c r="F616" s="6"/>
      <c r="G616" s="6"/>
      <c r="H616" s="16"/>
      <c r="I616" s="16"/>
      <c r="J616" s="6"/>
      <c r="K616" s="6"/>
      <c r="L616" s="6"/>
      <c r="M616" s="6"/>
    </row>
    <row r="617" spans="1:13" ht="13">
      <c r="A617" s="16"/>
      <c r="B617" s="6"/>
      <c r="C617" s="6"/>
      <c r="D617" s="6"/>
      <c r="E617" s="6"/>
      <c r="F617" s="6"/>
      <c r="G617" s="6"/>
      <c r="H617" s="16"/>
      <c r="I617" s="16"/>
      <c r="J617" s="6"/>
      <c r="K617" s="6"/>
      <c r="L617" s="6"/>
      <c r="M617" s="6"/>
    </row>
    <row r="618" spans="1:13" ht="13">
      <c r="A618" s="16"/>
      <c r="B618" s="6"/>
      <c r="C618" s="6"/>
      <c r="D618" s="6"/>
      <c r="E618" s="6"/>
      <c r="F618" s="6"/>
      <c r="G618" s="6"/>
      <c r="H618" s="16"/>
      <c r="I618" s="16"/>
      <c r="J618" s="6"/>
      <c r="K618" s="6"/>
      <c r="L618" s="6"/>
      <c r="M618" s="6"/>
    </row>
    <row r="619" spans="1:13" ht="13">
      <c r="A619" s="16"/>
      <c r="B619" s="6"/>
      <c r="C619" s="6"/>
      <c r="D619" s="6"/>
      <c r="E619" s="6"/>
      <c r="F619" s="6"/>
      <c r="G619" s="6"/>
      <c r="H619" s="16"/>
      <c r="I619" s="16"/>
      <c r="J619" s="6"/>
      <c r="K619" s="6"/>
      <c r="L619" s="6"/>
      <c r="M619" s="6"/>
    </row>
    <row r="620" spans="1:13" ht="13">
      <c r="A620" s="16"/>
      <c r="B620" s="6"/>
      <c r="C620" s="6"/>
      <c r="D620" s="6"/>
      <c r="E620" s="6"/>
      <c r="F620" s="6"/>
      <c r="G620" s="6"/>
      <c r="H620" s="16"/>
      <c r="I620" s="16"/>
      <c r="J620" s="6"/>
      <c r="K620" s="6"/>
      <c r="L620" s="6"/>
      <c r="M620" s="6"/>
    </row>
    <row r="621" spans="1:13" ht="13">
      <c r="A621" s="16"/>
      <c r="B621" s="6"/>
      <c r="C621" s="6"/>
      <c r="D621" s="6"/>
      <c r="E621" s="6"/>
      <c r="F621" s="6"/>
      <c r="G621" s="6"/>
      <c r="H621" s="16"/>
      <c r="I621" s="16"/>
      <c r="J621" s="6"/>
      <c r="K621" s="6"/>
      <c r="L621" s="6"/>
      <c r="M621" s="6"/>
    </row>
    <row r="622" spans="1:13" ht="13">
      <c r="A622" s="16"/>
      <c r="B622" s="6"/>
      <c r="C622" s="6"/>
      <c r="D622" s="6"/>
      <c r="E622" s="6"/>
      <c r="F622" s="6"/>
      <c r="G622" s="6"/>
      <c r="H622" s="16"/>
      <c r="I622" s="16"/>
      <c r="J622" s="6"/>
      <c r="K622" s="6"/>
      <c r="L622" s="6"/>
      <c r="M622" s="6"/>
    </row>
    <row r="623" spans="1:13" ht="13">
      <c r="A623" s="16"/>
      <c r="B623" s="6"/>
      <c r="C623" s="6"/>
      <c r="D623" s="6"/>
      <c r="E623" s="6"/>
      <c r="F623" s="6"/>
      <c r="G623" s="6"/>
      <c r="H623" s="16"/>
      <c r="I623" s="16"/>
      <c r="J623" s="6"/>
      <c r="K623" s="6"/>
      <c r="L623" s="6"/>
      <c r="M623" s="6"/>
    </row>
    <row r="624" spans="1:13" ht="13">
      <c r="A624" s="16"/>
      <c r="B624" s="6"/>
      <c r="C624" s="6"/>
      <c r="D624" s="6"/>
      <c r="E624" s="6"/>
      <c r="F624" s="6"/>
      <c r="G624" s="6"/>
      <c r="H624" s="16"/>
      <c r="I624" s="16"/>
      <c r="J624" s="6"/>
      <c r="K624" s="6"/>
      <c r="L624" s="6"/>
      <c r="M624" s="6"/>
    </row>
    <row r="625" spans="1:13" ht="13">
      <c r="A625" s="16"/>
      <c r="B625" s="6"/>
      <c r="C625" s="6"/>
      <c r="D625" s="6"/>
      <c r="E625" s="6"/>
      <c r="F625" s="6"/>
      <c r="G625" s="6"/>
      <c r="H625" s="16"/>
      <c r="I625" s="16"/>
      <c r="J625" s="6"/>
      <c r="K625" s="6"/>
      <c r="L625" s="6"/>
      <c r="M625" s="6"/>
    </row>
    <row r="626" spans="1:13" ht="13">
      <c r="A626" s="16"/>
      <c r="B626" s="6"/>
      <c r="C626" s="6"/>
      <c r="D626" s="6"/>
      <c r="E626" s="6"/>
      <c r="F626" s="6"/>
      <c r="G626" s="6"/>
      <c r="H626" s="16"/>
      <c r="I626" s="16"/>
      <c r="J626" s="6"/>
      <c r="K626" s="6"/>
      <c r="L626" s="6"/>
      <c r="M626" s="6"/>
    </row>
    <row r="627" spans="1:13" ht="13">
      <c r="A627" s="16"/>
      <c r="B627" s="6"/>
      <c r="C627" s="6"/>
      <c r="D627" s="6"/>
      <c r="E627" s="6"/>
      <c r="F627" s="6"/>
      <c r="G627" s="6"/>
      <c r="H627" s="16"/>
      <c r="I627" s="16"/>
      <c r="J627" s="6"/>
      <c r="K627" s="6"/>
      <c r="L627" s="6"/>
      <c r="M627" s="6"/>
    </row>
    <row r="628" spans="1:13" ht="13">
      <c r="A628" s="16"/>
      <c r="B628" s="6"/>
      <c r="C628" s="6"/>
      <c r="D628" s="6"/>
      <c r="E628" s="6"/>
      <c r="F628" s="6"/>
      <c r="G628" s="6"/>
      <c r="H628" s="16"/>
      <c r="I628" s="16"/>
      <c r="J628" s="6"/>
      <c r="K628" s="6"/>
      <c r="L628" s="6"/>
      <c r="M628" s="6"/>
    </row>
    <row r="629" spans="1:13" ht="13">
      <c r="A629" s="16"/>
      <c r="B629" s="6"/>
      <c r="C629" s="6"/>
      <c r="D629" s="6"/>
      <c r="E629" s="6"/>
      <c r="F629" s="6"/>
      <c r="G629" s="6"/>
      <c r="H629" s="16"/>
      <c r="I629" s="16"/>
      <c r="J629" s="6"/>
      <c r="K629" s="6"/>
      <c r="L629" s="6"/>
      <c r="M629" s="6"/>
    </row>
    <row r="630" spans="1:13" ht="13">
      <c r="A630" s="16"/>
      <c r="B630" s="6"/>
      <c r="C630" s="6"/>
      <c r="D630" s="6"/>
      <c r="E630" s="6"/>
      <c r="F630" s="6"/>
      <c r="G630" s="6"/>
      <c r="H630" s="16"/>
      <c r="I630" s="16"/>
      <c r="J630" s="6"/>
      <c r="K630" s="6"/>
      <c r="L630" s="6"/>
      <c r="M630" s="6"/>
    </row>
    <row r="631" spans="1:13" ht="13">
      <c r="A631" s="16"/>
      <c r="B631" s="6"/>
      <c r="C631" s="6"/>
      <c r="D631" s="6"/>
      <c r="E631" s="6"/>
      <c r="F631" s="6"/>
      <c r="G631" s="6"/>
      <c r="H631" s="16"/>
      <c r="I631" s="16"/>
      <c r="J631" s="6"/>
      <c r="K631" s="6"/>
      <c r="L631" s="6"/>
      <c r="M631" s="6"/>
    </row>
    <row r="632" spans="1:13" ht="13">
      <c r="A632" s="16"/>
      <c r="B632" s="6"/>
      <c r="C632" s="6"/>
      <c r="D632" s="6"/>
      <c r="E632" s="6"/>
      <c r="F632" s="6"/>
      <c r="G632" s="6"/>
      <c r="H632" s="16"/>
      <c r="I632" s="16"/>
      <c r="J632" s="6"/>
      <c r="K632" s="6"/>
      <c r="L632" s="6"/>
      <c r="M632" s="6"/>
    </row>
    <row r="633" spans="1:13" ht="13">
      <c r="A633" s="16"/>
      <c r="B633" s="6"/>
      <c r="C633" s="6"/>
      <c r="D633" s="6"/>
      <c r="E633" s="6"/>
      <c r="F633" s="6"/>
      <c r="G633" s="6"/>
      <c r="H633" s="16"/>
      <c r="I633" s="16"/>
      <c r="J633" s="6"/>
      <c r="K633" s="6"/>
      <c r="L633" s="6"/>
      <c r="M633" s="6"/>
    </row>
    <row r="634" spans="1:13" ht="13">
      <c r="A634" s="16"/>
      <c r="B634" s="6"/>
      <c r="C634" s="6"/>
      <c r="D634" s="6"/>
      <c r="E634" s="6"/>
      <c r="F634" s="6"/>
      <c r="G634" s="6"/>
      <c r="H634" s="16"/>
      <c r="I634" s="16"/>
      <c r="J634" s="6"/>
      <c r="K634" s="6"/>
      <c r="L634" s="6"/>
      <c r="M634" s="6"/>
    </row>
    <row r="635" spans="1:13" ht="13">
      <c r="A635" s="16"/>
      <c r="B635" s="6"/>
      <c r="C635" s="6"/>
      <c r="D635" s="6"/>
      <c r="E635" s="6"/>
      <c r="F635" s="6"/>
      <c r="G635" s="6"/>
      <c r="H635" s="16"/>
      <c r="I635" s="16"/>
      <c r="J635" s="6"/>
      <c r="K635" s="6"/>
      <c r="L635" s="6"/>
      <c r="M635" s="6"/>
    </row>
    <row r="636" spans="1:13" ht="13">
      <c r="A636" s="16"/>
      <c r="B636" s="6"/>
      <c r="C636" s="6"/>
      <c r="D636" s="6"/>
      <c r="E636" s="6"/>
      <c r="F636" s="6"/>
      <c r="G636" s="6"/>
      <c r="H636" s="16"/>
      <c r="I636" s="16"/>
      <c r="J636" s="6"/>
      <c r="K636" s="6"/>
      <c r="L636" s="6"/>
      <c r="M636" s="6"/>
    </row>
    <row r="637" spans="1:13" ht="13">
      <c r="A637" s="16"/>
      <c r="B637" s="6"/>
      <c r="C637" s="6"/>
      <c r="D637" s="6"/>
      <c r="E637" s="6"/>
      <c r="F637" s="6"/>
      <c r="G637" s="6"/>
      <c r="H637" s="16"/>
      <c r="I637" s="16"/>
      <c r="J637" s="6"/>
      <c r="K637" s="6"/>
      <c r="L637" s="6"/>
      <c r="M637" s="6"/>
    </row>
    <row r="638" spans="1:13" ht="13">
      <c r="A638" s="16"/>
      <c r="B638" s="6"/>
      <c r="C638" s="6"/>
      <c r="D638" s="6"/>
      <c r="E638" s="6"/>
      <c r="F638" s="6"/>
      <c r="G638" s="6"/>
      <c r="H638" s="16"/>
      <c r="I638" s="16"/>
      <c r="J638" s="6"/>
      <c r="K638" s="6"/>
      <c r="L638" s="6"/>
      <c r="M638" s="6"/>
    </row>
    <row r="639" spans="1:13" ht="13">
      <c r="A639" s="16"/>
      <c r="B639" s="6"/>
      <c r="C639" s="6"/>
      <c r="D639" s="6"/>
      <c r="E639" s="6"/>
      <c r="F639" s="6"/>
      <c r="G639" s="6"/>
      <c r="H639" s="16"/>
      <c r="I639" s="16"/>
      <c r="J639" s="6"/>
      <c r="K639" s="6"/>
      <c r="L639" s="6"/>
      <c r="M639" s="6"/>
    </row>
    <row r="640" spans="1:13" ht="13">
      <c r="A640" s="16"/>
      <c r="B640" s="6"/>
      <c r="C640" s="6"/>
      <c r="D640" s="6"/>
      <c r="E640" s="6"/>
      <c r="F640" s="6"/>
      <c r="G640" s="6"/>
      <c r="H640" s="16"/>
      <c r="I640" s="16"/>
      <c r="J640" s="6"/>
      <c r="K640" s="6"/>
      <c r="L640" s="6"/>
      <c r="M640" s="6"/>
    </row>
    <row r="641" spans="1:13" ht="13">
      <c r="A641" s="16"/>
      <c r="B641" s="6"/>
      <c r="C641" s="6"/>
      <c r="D641" s="6"/>
      <c r="E641" s="6"/>
      <c r="F641" s="6"/>
      <c r="G641" s="6"/>
      <c r="H641" s="16"/>
      <c r="I641" s="16"/>
      <c r="J641" s="6"/>
      <c r="K641" s="6"/>
      <c r="L641" s="6"/>
      <c r="M641" s="6"/>
    </row>
    <row r="642" spans="1:13" ht="13">
      <c r="A642" s="16"/>
      <c r="B642" s="6"/>
      <c r="C642" s="6"/>
      <c r="D642" s="6"/>
      <c r="E642" s="6"/>
      <c r="F642" s="6"/>
      <c r="G642" s="6"/>
      <c r="H642" s="16"/>
      <c r="I642" s="16"/>
      <c r="J642" s="6"/>
      <c r="K642" s="6"/>
      <c r="L642" s="6"/>
      <c r="M642" s="6"/>
    </row>
    <row r="643" spans="1:13" ht="13">
      <c r="A643" s="16"/>
      <c r="B643" s="6"/>
      <c r="C643" s="6"/>
      <c r="D643" s="6"/>
      <c r="E643" s="6"/>
      <c r="F643" s="6"/>
      <c r="G643" s="6"/>
      <c r="H643" s="16"/>
      <c r="I643" s="16"/>
      <c r="J643" s="6"/>
      <c r="K643" s="6"/>
      <c r="L643" s="6"/>
      <c r="M643" s="6"/>
    </row>
    <row r="644" spans="1:13" ht="13">
      <c r="A644" s="16"/>
      <c r="B644" s="6"/>
      <c r="C644" s="6"/>
      <c r="D644" s="6"/>
      <c r="E644" s="6"/>
      <c r="F644" s="6"/>
      <c r="G644" s="6"/>
      <c r="H644" s="16"/>
      <c r="I644" s="16"/>
      <c r="J644" s="6"/>
      <c r="K644" s="6"/>
      <c r="L644" s="6"/>
      <c r="M644" s="6"/>
    </row>
    <row r="645" spans="1:13" ht="13">
      <c r="A645" s="16"/>
      <c r="B645" s="6"/>
      <c r="C645" s="6"/>
      <c r="D645" s="6"/>
      <c r="E645" s="6"/>
      <c r="F645" s="6"/>
      <c r="G645" s="6"/>
      <c r="H645" s="16"/>
      <c r="I645" s="16"/>
      <c r="J645" s="6"/>
      <c r="K645" s="6"/>
      <c r="L645" s="6"/>
      <c r="M645" s="6"/>
    </row>
    <row r="646" spans="1:13" ht="13">
      <c r="A646" s="16"/>
      <c r="B646" s="6"/>
      <c r="C646" s="6"/>
      <c r="D646" s="6"/>
      <c r="E646" s="6"/>
      <c r="F646" s="6"/>
      <c r="G646" s="6"/>
      <c r="H646" s="16"/>
      <c r="I646" s="16"/>
      <c r="J646" s="6"/>
      <c r="K646" s="6"/>
      <c r="L646" s="6"/>
      <c r="M646" s="6"/>
    </row>
    <row r="647" spans="1:13" ht="13">
      <c r="A647" s="16"/>
      <c r="B647" s="6"/>
      <c r="C647" s="6"/>
      <c r="D647" s="6"/>
      <c r="E647" s="6"/>
      <c r="F647" s="6"/>
      <c r="G647" s="6"/>
      <c r="H647" s="16"/>
      <c r="I647" s="16"/>
      <c r="J647" s="6"/>
      <c r="K647" s="6"/>
      <c r="L647" s="6"/>
      <c r="M647" s="6"/>
    </row>
    <row r="648" spans="1:13" ht="13">
      <c r="A648" s="16"/>
      <c r="B648" s="6"/>
      <c r="C648" s="6"/>
      <c r="D648" s="6"/>
      <c r="E648" s="6"/>
      <c r="F648" s="6"/>
      <c r="G648" s="6"/>
      <c r="H648" s="16"/>
      <c r="I648" s="16"/>
      <c r="J648" s="6"/>
      <c r="K648" s="6"/>
      <c r="L648" s="6"/>
      <c r="M648" s="6"/>
    </row>
    <row r="649" spans="1:13" ht="13">
      <c r="A649" s="16"/>
      <c r="B649" s="6"/>
      <c r="C649" s="6"/>
      <c r="D649" s="6"/>
      <c r="E649" s="6"/>
      <c r="F649" s="6"/>
      <c r="G649" s="6"/>
      <c r="H649" s="16"/>
      <c r="I649" s="16"/>
      <c r="J649" s="6"/>
      <c r="K649" s="6"/>
      <c r="L649" s="6"/>
      <c r="M649" s="6"/>
    </row>
    <row r="650" spans="1:13" ht="13">
      <c r="A650" s="16"/>
      <c r="B650" s="6"/>
      <c r="C650" s="6"/>
      <c r="D650" s="6"/>
      <c r="E650" s="6"/>
      <c r="F650" s="6"/>
      <c r="G650" s="6"/>
      <c r="H650" s="16"/>
      <c r="I650" s="16"/>
      <c r="J650" s="6"/>
      <c r="K650" s="6"/>
      <c r="L650" s="6"/>
      <c r="M650" s="6"/>
    </row>
    <row r="651" spans="1:13" ht="13">
      <c r="A651" s="16"/>
      <c r="B651" s="6"/>
      <c r="C651" s="6"/>
      <c r="D651" s="6"/>
      <c r="E651" s="6"/>
      <c r="F651" s="6"/>
      <c r="G651" s="6"/>
      <c r="H651" s="16"/>
      <c r="I651" s="16"/>
      <c r="J651" s="6"/>
      <c r="K651" s="6"/>
      <c r="L651" s="6"/>
      <c r="M651" s="6"/>
    </row>
    <row r="652" spans="1:13" ht="13">
      <c r="A652" s="16"/>
      <c r="B652" s="6"/>
      <c r="C652" s="6"/>
      <c r="D652" s="6"/>
      <c r="E652" s="6"/>
      <c r="F652" s="6"/>
      <c r="G652" s="6"/>
      <c r="H652" s="16"/>
      <c r="I652" s="16"/>
      <c r="J652" s="6"/>
      <c r="K652" s="6"/>
      <c r="L652" s="6"/>
      <c r="M652" s="6"/>
    </row>
    <row r="653" spans="1:13" ht="13">
      <c r="A653" s="16"/>
      <c r="B653" s="6"/>
      <c r="C653" s="6"/>
      <c r="D653" s="6"/>
      <c r="E653" s="6"/>
      <c r="F653" s="6"/>
      <c r="G653" s="6"/>
      <c r="H653" s="16"/>
      <c r="I653" s="16"/>
      <c r="J653" s="6"/>
      <c r="K653" s="6"/>
      <c r="L653" s="6"/>
      <c r="M653" s="6"/>
    </row>
    <row r="654" spans="1:13" ht="13">
      <c r="A654" s="16"/>
      <c r="B654" s="6"/>
      <c r="C654" s="6"/>
      <c r="D654" s="6"/>
      <c r="E654" s="6"/>
      <c r="F654" s="6"/>
      <c r="G654" s="6"/>
      <c r="H654" s="16"/>
      <c r="I654" s="16"/>
      <c r="J654" s="6"/>
      <c r="K654" s="6"/>
      <c r="L654" s="6"/>
      <c r="M654" s="6"/>
    </row>
    <row r="655" spans="1:13" ht="13">
      <c r="A655" s="16"/>
      <c r="B655" s="6"/>
      <c r="C655" s="6"/>
      <c r="D655" s="6"/>
      <c r="E655" s="6"/>
      <c r="F655" s="6"/>
      <c r="G655" s="6"/>
      <c r="H655" s="16"/>
      <c r="I655" s="16"/>
      <c r="J655" s="6"/>
      <c r="K655" s="6"/>
      <c r="L655" s="6"/>
      <c r="M655" s="6"/>
    </row>
    <row r="656" spans="1:13" ht="13">
      <c r="A656" s="16"/>
      <c r="B656" s="6"/>
      <c r="C656" s="6"/>
      <c r="D656" s="6"/>
      <c r="E656" s="6"/>
      <c r="F656" s="6"/>
      <c r="G656" s="6"/>
      <c r="H656" s="16"/>
      <c r="I656" s="16"/>
      <c r="J656" s="6"/>
      <c r="K656" s="6"/>
      <c r="L656" s="6"/>
      <c r="M656" s="6"/>
    </row>
    <row r="657" spans="1:13" ht="13">
      <c r="A657" s="16"/>
      <c r="B657" s="6"/>
      <c r="C657" s="6"/>
      <c r="D657" s="6"/>
      <c r="E657" s="6"/>
      <c r="F657" s="6"/>
      <c r="G657" s="6"/>
      <c r="H657" s="16"/>
      <c r="I657" s="16"/>
      <c r="J657" s="6"/>
      <c r="K657" s="6"/>
      <c r="L657" s="6"/>
      <c r="M657" s="6"/>
    </row>
    <row r="658" spans="1:13" ht="13">
      <c r="A658" s="16"/>
      <c r="B658" s="6"/>
      <c r="C658" s="6"/>
      <c r="D658" s="6"/>
      <c r="E658" s="6"/>
      <c r="F658" s="6"/>
      <c r="G658" s="6"/>
      <c r="H658" s="16"/>
      <c r="I658" s="16"/>
      <c r="J658" s="6"/>
      <c r="K658" s="6"/>
      <c r="L658" s="6"/>
      <c r="M658" s="6"/>
    </row>
    <row r="659" spans="1:13" ht="13">
      <c r="A659" s="16"/>
      <c r="B659" s="6"/>
      <c r="C659" s="6"/>
      <c r="D659" s="6"/>
      <c r="E659" s="6"/>
      <c r="F659" s="6"/>
      <c r="G659" s="6"/>
      <c r="H659" s="16"/>
      <c r="I659" s="16"/>
      <c r="J659" s="6"/>
      <c r="K659" s="6"/>
      <c r="L659" s="6"/>
      <c r="M659" s="6"/>
    </row>
    <row r="660" spans="1:13" ht="13">
      <c r="A660" s="16"/>
      <c r="B660" s="6"/>
      <c r="C660" s="6"/>
      <c r="D660" s="6"/>
      <c r="E660" s="6"/>
      <c r="F660" s="6"/>
      <c r="G660" s="6"/>
      <c r="H660" s="16"/>
      <c r="I660" s="16"/>
      <c r="J660" s="6"/>
      <c r="K660" s="6"/>
      <c r="L660" s="6"/>
      <c r="M660" s="6"/>
    </row>
    <row r="661" spans="1:13" ht="13">
      <c r="A661" s="16"/>
      <c r="B661" s="6"/>
      <c r="C661" s="6"/>
      <c r="D661" s="6"/>
      <c r="E661" s="6"/>
      <c r="F661" s="6"/>
      <c r="G661" s="6"/>
      <c r="H661" s="16"/>
      <c r="I661" s="16"/>
      <c r="J661" s="6"/>
      <c r="K661" s="6"/>
      <c r="L661" s="6"/>
      <c r="M661" s="6"/>
    </row>
    <row r="662" spans="1:13" ht="13">
      <c r="A662" s="16"/>
      <c r="B662" s="6"/>
      <c r="C662" s="6"/>
      <c r="D662" s="6"/>
      <c r="E662" s="6"/>
      <c r="F662" s="6"/>
      <c r="G662" s="6"/>
      <c r="H662" s="16"/>
      <c r="I662" s="16"/>
      <c r="J662" s="6"/>
      <c r="K662" s="6"/>
      <c r="L662" s="6"/>
      <c r="M662" s="6"/>
    </row>
    <row r="663" spans="1:13" ht="13">
      <c r="A663" s="16"/>
      <c r="B663" s="6"/>
      <c r="C663" s="6"/>
      <c r="D663" s="6"/>
      <c r="E663" s="6"/>
      <c r="F663" s="6"/>
      <c r="G663" s="6"/>
      <c r="H663" s="16"/>
      <c r="I663" s="16"/>
      <c r="J663" s="6"/>
      <c r="K663" s="6"/>
      <c r="L663" s="6"/>
      <c r="M663" s="6"/>
    </row>
    <row r="664" spans="1:13" ht="13">
      <c r="A664" s="16"/>
      <c r="B664" s="6"/>
      <c r="C664" s="6"/>
      <c r="D664" s="6"/>
      <c r="E664" s="6"/>
      <c r="F664" s="6"/>
      <c r="G664" s="6"/>
      <c r="H664" s="16"/>
      <c r="I664" s="16"/>
      <c r="J664" s="6"/>
      <c r="K664" s="6"/>
      <c r="L664" s="6"/>
      <c r="M664" s="6"/>
    </row>
    <row r="665" spans="1:13" ht="13">
      <c r="A665" s="16"/>
      <c r="B665" s="6"/>
      <c r="C665" s="6"/>
      <c r="D665" s="6"/>
      <c r="E665" s="6"/>
      <c r="F665" s="6"/>
      <c r="G665" s="6"/>
      <c r="H665" s="16"/>
      <c r="I665" s="16"/>
      <c r="J665" s="6"/>
      <c r="K665" s="6"/>
      <c r="L665" s="6"/>
      <c r="M665" s="6"/>
    </row>
    <row r="666" spans="1:13" ht="13">
      <c r="A666" s="16"/>
      <c r="B666" s="6"/>
      <c r="C666" s="6"/>
      <c r="D666" s="6"/>
      <c r="E666" s="6"/>
      <c r="F666" s="6"/>
      <c r="G666" s="6"/>
      <c r="H666" s="16"/>
      <c r="I666" s="16"/>
      <c r="J666" s="6"/>
      <c r="K666" s="6"/>
      <c r="L666" s="6"/>
      <c r="M666" s="6"/>
    </row>
    <row r="667" spans="1:13" ht="13">
      <c r="A667" s="16"/>
      <c r="B667" s="6"/>
      <c r="C667" s="6"/>
      <c r="D667" s="6"/>
      <c r="E667" s="6"/>
      <c r="F667" s="6"/>
      <c r="G667" s="6"/>
      <c r="H667" s="16"/>
      <c r="I667" s="16"/>
      <c r="J667" s="6"/>
      <c r="K667" s="6"/>
      <c r="L667" s="6"/>
      <c r="M667" s="6"/>
    </row>
    <row r="668" spans="1:13" ht="13">
      <c r="A668" s="16"/>
      <c r="B668" s="6"/>
      <c r="C668" s="6"/>
      <c r="D668" s="6"/>
      <c r="E668" s="6"/>
      <c r="F668" s="6"/>
      <c r="G668" s="6"/>
      <c r="H668" s="16"/>
      <c r="I668" s="16"/>
      <c r="J668" s="6"/>
      <c r="K668" s="6"/>
      <c r="L668" s="6"/>
      <c r="M668" s="6"/>
    </row>
    <row r="669" spans="1:13" ht="13">
      <c r="A669" s="16"/>
      <c r="B669" s="6"/>
      <c r="C669" s="6"/>
      <c r="D669" s="6"/>
      <c r="E669" s="6"/>
      <c r="F669" s="6"/>
      <c r="G669" s="6"/>
      <c r="H669" s="16"/>
      <c r="I669" s="16"/>
      <c r="J669" s="6"/>
      <c r="K669" s="6"/>
      <c r="L669" s="6"/>
      <c r="M669" s="6"/>
    </row>
    <row r="670" spans="1:13" ht="13">
      <c r="A670" s="16"/>
      <c r="B670" s="6"/>
      <c r="C670" s="6"/>
      <c r="D670" s="6"/>
      <c r="E670" s="6"/>
      <c r="F670" s="6"/>
      <c r="G670" s="6"/>
      <c r="H670" s="16"/>
      <c r="I670" s="16"/>
      <c r="J670" s="6"/>
      <c r="K670" s="6"/>
      <c r="L670" s="6"/>
      <c r="M670" s="6"/>
    </row>
    <row r="671" spans="1:13" ht="13">
      <c r="A671" s="16"/>
      <c r="B671" s="6"/>
      <c r="C671" s="6"/>
      <c r="D671" s="6"/>
      <c r="E671" s="6"/>
      <c r="F671" s="6"/>
      <c r="G671" s="6"/>
      <c r="H671" s="16"/>
      <c r="I671" s="16"/>
      <c r="J671" s="6"/>
      <c r="K671" s="6"/>
      <c r="L671" s="6"/>
      <c r="M671" s="6"/>
    </row>
    <row r="672" spans="1:13" ht="13">
      <c r="A672" s="16"/>
      <c r="B672" s="6"/>
      <c r="C672" s="6"/>
      <c r="D672" s="6"/>
      <c r="E672" s="6"/>
      <c r="F672" s="6"/>
      <c r="G672" s="6"/>
      <c r="H672" s="16"/>
      <c r="I672" s="16"/>
      <c r="J672" s="6"/>
      <c r="K672" s="6"/>
      <c r="L672" s="6"/>
      <c r="M672" s="6"/>
    </row>
    <row r="673" spans="1:13" ht="13">
      <c r="A673" s="16"/>
      <c r="B673" s="6"/>
      <c r="C673" s="6"/>
      <c r="D673" s="6"/>
      <c r="E673" s="6"/>
      <c r="F673" s="6"/>
      <c r="G673" s="6"/>
      <c r="H673" s="16"/>
      <c r="I673" s="16"/>
      <c r="J673" s="6"/>
      <c r="K673" s="6"/>
      <c r="L673" s="6"/>
      <c r="M673" s="6"/>
    </row>
    <row r="674" spans="1:13" ht="13">
      <c r="A674" s="16"/>
      <c r="B674" s="6"/>
      <c r="C674" s="6"/>
      <c r="D674" s="6"/>
      <c r="E674" s="6"/>
      <c r="F674" s="6"/>
      <c r="G674" s="6"/>
      <c r="H674" s="16"/>
      <c r="I674" s="16"/>
      <c r="J674" s="6"/>
      <c r="K674" s="6"/>
      <c r="L674" s="6"/>
      <c r="M674" s="6"/>
    </row>
    <row r="675" spans="1:13" ht="13">
      <c r="A675" s="16"/>
      <c r="B675" s="6"/>
      <c r="C675" s="6"/>
      <c r="D675" s="6"/>
      <c r="E675" s="6"/>
      <c r="F675" s="6"/>
      <c r="G675" s="6"/>
      <c r="H675" s="16"/>
      <c r="I675" s="16"/>
      <c r="J675" s="6"/>
      <c r="K675" s="6"/>
      <c r="L675" s="6"/>
      <c r="M675" s="6"/>
    </row>
    <row r="676" spans="1:13" ht="13">
      <c r="A676" s="16"/>
      <c r="B676" s="6"/>
      <c r="C676" s="6"/>
      <c r="D676" s="6"/>
      <c r="E676" s="6"/>
      <c r="F676" s="6"/>
      <c r="G676" s="6"/>
      <c r="H676" s="16"/>
      <c r="I676" s="16"/>
      <c r="J676" s="6"/>
      <c r="K676" s="6"/>
      <c r="L676" s="6"/>
      <c r="M676" s="6"/>
    </row>
    <row r="677" spans="1:13" ht="13">
      <c r="A677" s="16"/>
      <c r="B677" s="6"/>
      <c r="C677" s="6"/>
      <c r="D677" s="6"/>
      <c r="E677" s="6"/>
      <c r="F677" s="6"/>
      <c r="G677" s="6"/>
      <c r="H677" s="16"/>
      <c r="I677" s="16"/>
      <c r="J677" s="6"/>
      <c r="K677" s="6"/>
      <c r="L677" s="6"/>
      <c r="M677" s="6"/>
    </row>
    <row r="678" spans="1:13" ht="13">
      <c r="A678" s="16"/>
      <c r="B678" s="6"/>
      <c r="C678" s="6"/>
      <c r="D678" s="6"/>
      <c r="E678" s="6"/>
      <c r="F678" s="6"/>
      <c r="G678" s="6"/>
      <c r="H678" s="16"/>
      <c r="I678" s="16"/>
      <c r="J678" s="6"/>
      <c r="K678" s="6"/>
      <c r="L678" s="6"/>
      <c r="M678" s="6"/>
    </row>
    <row r="679" spans="1:13" ht="13">
      <c r="A679" s="16"/>
      <c r="B679" s="6"/>
      <c r="C679" s="6"/>
      <c r="D679" s="6"/>
      <c r="E679" s="6"/>
      <c r="F679" s="6"/>
      <c r="G679" s="6"/>
      <c r="H679" s="16"/>
      <c r="I679" s="16"/>
      <c r="J679" s="6"/>
      <c r="K679" s="6"/>
      <c r="L679" s="6"/>
      <c r="M679" s="6"/>
    </row>
    <row r="680" spans="1:13" ht="13">
      <c r="A680" s="16"/>
      <c r="B680" s="6"/>
      <c r="C680" s="6"/>
      <c r="D680" s="6"/>
      <c r="E680" s="6"/>
      <c r="F680" s="6"/>
      <c r="G680" s="6"/>
      <c r="H680" s="16"/>
      <c r="I680" s="16"/>
      <c r="J680" s="6"/>
      <c r="K680" s="6"/>
      <c r="L680" s="6"/>
      <c r="M680" s="6"/>
    </row>
    <row r="681" spans="1:13" ht="13">
      <c r="A681" s="16"/>
      <c r="B681" s="6"/>
      <c r="C681" s="6"/>
      <c r="D681" s="6"/>
      <c r="E681" s="6"/>
      <c r="F681" s="6"/>
      <c r="G681" s="6"/>
      <c r="H681" s="16"/>
      <c r="I681" s="16"/>
      <c r="J681" s="6"/>
      <c r="K681" s="6"/>
      <c r="L681" s="6"/>
      <c r="M681" s="6"/>
    </row>
    <row r="682" spans="1:13" ht="13">
      <c r="A682" s="16"/>
      <c r="B682" s="6"/>
      <c r="C682" s="6"/>
      <c r="D682" s="6"/>
      <c r="E682" s="6"/>
      <c r="F682" s="6"/>
      <c r="G682" s="6"/>
      <c r="H682" s="16"/>
      <c r="I682" s="16"/>
      <c r="J682" s="6"/>
      <c r="K682" s="6"/>
      <c r="L682" s="6"/>
      <c r="M682" s="6"/>
    </row>
    <row r="683" spans="1:13" ht="13">
      <c r="A683" s="16"/>
      <c r="B683" s="6"/>
      <c r="C683" s="6"/>
      <c r="D683" s="6"/>
      <c r="E683" s="6"/>
      <c r="F683" s="6"/>
      <c r="G683" s="6"/>
      <c r="H683" s="16"/>
      <c r="I683" s="16"/>
      <c r="J683" s="6"/>
      <c r="K683" s="6"/>
      <c r="L683" s="6"/>
      <c r="M683" s="6"/>
    </row>
    <row r="684" spans="1:13" ht="13">
      <c r="A684" s="16"/>
      <c r="B684" s="6"/>
      <c r="C684" s="6"/>
      <c r="D684" s="6"/>
      <c r="E684" s="6"/>
      <c r="F684" s="6"/>
      <c r="G684" s="6"/>
      <c r="H684" s="16"/>
      <c r="I684" s="16"/>
      <c r="J684" s="6"/>
      <c r="K684" s="6"/>
      <c r="L684" s="6"/>
      <c r="M684" s="6"/>
    </row>
    <row r="685" spans="1:13" ht="13">
      <c r="A685" s="16"/>
      <c r="B685" s="6"/>
      <c r="C685" s="6"/>
      <c r="D685" s="6"/>
      <c r="E685" s="6"/>
      <c r="F685" s="6"/>
      <c r="G685" s="6"/>
      <c r="H685" s="16"/>
      <c r="I685" s="16"/>
      <c r="J685" s="6"/>
      <c r="K685" s="6"/>
      <c r="L685" s="6"/>
      <c r="M685" s="6"/>
    </row>
    <row r="686" spans="1:13" ht="13">
      <c r="A686" s="16"/>
      <c r="B686" s="6"/>
      <c r="C686" s="6"/>
      <c r="D686" s="6"/>
      <c r="E686" s="6"/>
      <c r="F686" s="6"/>
      <c r="G686" s="6"/>
      <c r="H686" s="16"/>
      <c r="I686" s="16"/>
      <c r="J686" s="6"/>
      <c r="K686" s="6"/>
      <c r="L686" s="6"/>
      <c r="M686" s="6"/>
    </row>
    <row r="687" spans="1:13" ht="13">
      <c r="A687" s="16"/>
      <c r="B687" s="6"/>
      <c r="C687" s="6"/>
      <c r="D687" s="6"/>
      <c r="E687" s="6"/>
      <c r="F687" s="6"/>
      <c r="G687" s="6"/>
      <c r="H687" s="16"/>
      <c r="I687" s="16"/>
      <c r="J687" s="6"/>
      <c r="K687" s="6"/>
      <c r="L687" s="6"/>
      <c r="M687" s="6"/>
    </row>
    <row r="688" spans="1:13" ht="13">
      <c r="A688" s="16"/>
      <c r="B688" s="6"/>
      <c r="C688" s="6"/>
      <c r="D688" s="6"/>
      <c r="E688" s="6"/>
      <c r="F688" s="6"/>
      <c r="G688" s="6"/>
      <c r="H688" s="16"/>
      <c r="I688" s="16"/>
      <c r="J688" s="6"/>
      <c r="K688" s="6"/>
      <c r="L688" s="6"/>
      <c r="M688" s="6"/>
    </row>
    <row r="689" spans="1:13" ht="13">
      <c r="A689" s="16"/>
      <c r="B689" s="6"/>
      <c r="C689" s="6"/>
      <c r="D689" s="6"/>
      <c r="E689" s="6"/>
      <c r="F689" s="6"/>
      <c r="G689" s="6"/>
      <c r="H689" s="16"/>
      <c r="I689" s="16"/>
      <c r="J689" s="6"/>
      <c r="K689" s="6"/>
      <c r="L689" s="6"/>
      <c r="M689" s="6"/>
    </row>
    <row r="690" spans="1:13" ht="13">
      <c r="A690" s="16"/>
      <c r="B690" s="6"/>
      <c r="C690" s="6"/>
      <c r="D690" s="6"/>
      <c r="E690" s="6"/>
      <c r="F690" s="6"/>
      <c r="G690" s="6"/>
      <c r="H690" s="16"/>
      <c r="I690" s="16"/>
      <c r="J690" s="6"/>
      <c r="K690" s="6"/>
      <c r="L690" s="6"/>
      <c r="M690" s="6"/>
    </row>
    <row r="691" spans="1:13" ht="13">
      <c r="A691" s="16"/>
      <c r="B691" s="6"/>
      <c r="C691" s="6"/>
      <c r="D691" s="6"/>
      <c r="E691" s="6"/>
      <c r="F691" s="6"/>
      <c r="G691" s="6"/>
      <c r="H691" s="16"/>
      <c r="I691" s="16"/>
      <c r="J691" s="6"/>
      <c r="K691" s="6"/>
      <c r="L691" s="6"/>
      <c r="M691" s="6"/>
    </row>
    <row r="692" spans="1:13" ht="13">
      <c r="A692" s="16"/>
      <c r="B692" s="6"/>
      <c r="C692" s="6"/>
      <c r="D692" s="6"/>
      <c r="E692" s="6"/>
      <c r="F692" s="6"/>
      <c r="G692" s="6"/>
      <c r="H692" s="16"/>
      <c r="I692" s="16"/>
      <c r="J692" s="6"/>
      <c r="K692" s="6"/>
      <c r="L692" s="6"/>
      <c r="M692" s="6"/>
    </row>
    <row r="693" spans="1:13" ht="13">
      <c r="A693" s="16"/>
      <c r="B693" s="6"/>
      <c r="C693" s="6"/>
      <c r="D693" s="6"/>
      <c r="E693" s="6"/>
      <c r="F693" s="6"/>
      <c r="G693" s="6"/>
      <c r="H693" s="16"/>
      <c r="I693" s="16"/>
      <c r="J693" s="6"/>
      <c r="K693" s="6"/>
      <c r="L693" s="6"/>
      <c r="M693" s="6"/>
    </row>
    <row r="694" spans="1:13" ht="13">
      <c r="A694" s="16"/>
      <c r="B694" s="6"/>
      <c r="C694" s="6"/>
      <c r="D694" s="6"/>
      <c r="E694" s="6"/>
      <c r="F694" s="6"/>
      <c r="G694" s="6"/>
      <c r="H694" s="16"/>
      <c r="I694" s="16"/>
      <c r="J694" s="6"/>
      <c r="K694" s="6"/>
      <c r="L694" s="6"/>
      <c r="M694" s="6"/>
    </row>
    <row r="695" spans="1:13" ht="13">
      <c r="A695" s="16"/>
      <c r="B695" s="6"/>
      <c r="C695" s="6"/>
      <c r="D695" s="6"/>
      <c r="E695" s="6"/>
      <c r="F695" s="6"/>
      <c r="G695" s="6"/>
      <c r="H695" s="16"/>
      <c r="I695" s="16"/>
      <c r="J695" s="6"/>
      <c r="K695" s="6"/>
      <c r="L695" s="6"/>
      <c r="M695" s="6"/>
    </row>
    <row r="696" spans="1:13" ht="13">
      <c r="A696" s="16"/>
      <c r="B696" s="6"/>
      <c r="C696" s="6"/>
      <c r="D696" s="6"/>
      <c r="E696" s="6"/>
      <c r="F696" s="6"/>
      <c r="G696" s="6"/>
      <c r="H696" s="16"/>
      <c r="I696" s="16"/>
      <c r="J696" s="6"/>
      <c r="K696" s="6"/>
      <c r="L696" s="6"/>
      <c r="M696" s="6"/>
    </row>
    <row r="697" spans="1:13" ht="13">
      <c r="A697" s="16"/>
      <c r="B697" s="6"/>
      <c r="C697" s="6"/>
      <c r="D697" s="6"/>
      <c r="E697" s="6"/>
      <c r="F697" s="6"/>
      <c r="G697" s="6"/>
      <c r="H697" s="16"/>
      <c r="I697" s="16"/>
      <c r="J697" s="6"/>
      <c r="K697" s="6"/>
      <c r="L697" s="6"/>
      <c r="M697" s="6"/>
    </row>
    <row r="698" spans="1:13" ht="13">
      <c r="A698" s="16"/>
      <c r="B698" s="6"/>
      <c r="C698" s="6"/>
      <c r="D698" s="6"/>
      <c r="E698" s="6"/>
      <c r="F698" s="6"/>
      <c r="G698" s="6"/>
      <c r="H698" s="16"/>
      <c r="I698" s="16"/>
      <c r="J698" s="6"/>
      <c r="K698" s="6"/>
      <c r="L698" s="6"/>
      <c r="M698" s="6"/>
    </row>
    <row r="699" spans="1:13" ht="13">
      <c r="A699" s="16"/>
      <c r="B699" s="6"/>
      <c r="C699" s="6"/>
      <c r="D699" s="6"/>
      <c r="E699" s="6"/>
      <c r="F699" s="6"/>
      <c r="G699" s="6"/>
      <c r="H699" s="16"/>
      <c r="I699" s="16"/>
      <c r="J699" s="6"/>
      <c r="K699" s="6"/>
      <c r="L699" s="6"/>
      <c r="M699" s="6"/>
    </row>
    <row r="700" spans="1:13" ht="13">
      <c r="A700" s="16"/>
      <c r="B700" s="6"/>
      <c r="C700" s="6"/>
      <c r="D700" s="6"/>
      <c r="E700" s="6"/>
      <c r="F700" s="6"/>
      <c r="G700" s="6"/>
      <c r="H700" s="16"/>
      <c r="I700" s="16"/>
      <c r="J700" s="6"/>
      <c r="K700" s="6"/>
      <c r="L700" s="6"/>
      <c r="M700" s="6"/>
    </row>
    <row r="701" spans="1:13" ht="13">
      <c r="A701" s="16"/>
      <c r="B701" s="6"/>
      <c r="C701" s="6"/>
      <c r="D701" s="6"/>
      <c r="E701" s="6"/>
      <c r="F701" s="6"/>
      <c r="G701" s="6"/>
      <c r="H701" s="16"/>
      <c r="I701" s="16"/>
      <c r="J701" s="6"/>
      <c r="K701" s="6"/>
      <c r="L701" s="6"/>
      <c r="M701" s="6"/>
    </row>
    <row r="702" spans="1:13" ht="13">
      <c r="A702" s="16"/>
      <c r="B702" s="6"/>
      <c r="C702" s="6"/>
      <c r="D702" s="6"/>
      <c r="E702" s="6"/>
      <c r="F702" s="6"/>
      <c r="G702" s="6"/>
      <c r="H702" s="16"/>
      <c r="I702" s="16"/>
      <c r="J702" s="6"/>
      <c r="K702" s="6"/>
      <c r="L702" s="6"/>
      <c r="M702" s="6"/>
    </row>
    <row r="703" spans="1:13" ht="13">
      <c r="A703" s="16"/>
      <c r="B703" s="6"/>
      <c r="C703" s="6"/>
      <c r="D703" s="6"/>
      <c r="E703" s="6"/>
      <c r="F703" s="6"/>
      <c r="G703" s="6"/>
      <c r="H703" s="16"/>
      <c r="I703" s="16"/>
      <c r="J703" s="6"/>
      <c r="K703" s="6"/>
      <c r="L703" s="6"/>
      <c r="M703" s="6"/>
    </row>
    <row r="704" spans="1:13" ht="13">
      <c r="A704" s="16"/>
      <c r="B704" s="6"/>
      <c r="C704" s="6"/>
      <c r="D704" s="6"/>
      <c r="E704" s="6"/>
      <c r="F704" s="6"/>
      <c r="G704" s="6"/>
      <c r="H704" s="16"/>
      <c r="I704" s="16"/>
      <c r="J704" s="6"/>
      <c r="K704" s="6"/>
      <c r="L704" s="6"/>
      <c r="M704" s="6"/>
    </row>
    <row r="705" spans="1:13" ht="13">
      <c r="A705" s="16"/>
      <c r="B705" s="6"/>
      <c r="C705" s="6"/>
      <c r="D705" s="6"/>
      <c r="E705" s="6"/>
      <c r="F705" s="6"/>
      <c r="G705" s="6"/>
      <c r="H705" s="16"/>
      <c r="I705" s="16"/>
      <c r="J705" s="6"/>
      <c r="K705" s="6"/>
      <c r="L705" s="6"/>
      <c r="M705" s="6"/>
    </row>
    <row r="706" spans="1:13" ht="13">
      <c r="A706" s="16"/>
      <c r="B706" s="6"/>
      <c r="C706" s="6"/>
      <c r="D706" s="6"/>
      <c r="E706" s="6"/>
      <c r="F706" s="6"/>
      <c r="G706" s="6"/>
      <c r="H706" s="16"/>
      <c r="I706" s="16"/>
      <c r="J706" s="6"/>
      <c r="K706" s="6"/>
      <c r="L706" s="6"/>
      <c r="M706" s="6"/>
    </row>
    <row r="707" spans="1:13" ht="13">
      <c r="A707" s="16"/>
      <c r="B707" s="6"/>
      <c r="C707" s="6"/>
      <c r="D707" s="6"/>
      <c r="E707" s="6"/>
      <c r="F707" s="6"/>
      <c r="G707" s="6"/>
      <c r="H707" s="16"/>
      <c r="I707" s="16"/>
      <c r="J707" s="6"/>
      <c r="K707" s="6"/>
      <c r="L707" s="6"/>
      <c r="M707" s="6"/>
    </row>
    <row r="708" spans="1:13" ht="13">
      <c r="A708" s="16"/>
      <c r="B708" s="6"/>
      <c r="C708" s="6"/>
      <c r="D708" s="6"/>
      <c r="E708" s="6"/>
      <c r="F708" s="6"/>
      <c r="G708" s="6"/>
      <c r="H708" s="16"/>
      <c r="I708" s="16"/>
      <c r="J708" s="6"/>
      <c r="K708" s="6"/>
      <c r="L708" s="6"/>
      <c r="M708" s="6"/>
    </row>
    <row r="709" spans="1:13" ht="13">
      <c r="A709" s="16"/>
      <c r="B709" s="6"/>
      <c r="C709" s="6"/>
      <c r="D709" s="6"/>
      <c r="E709" s="6"/>
      <c r="F709" s="6"/>
      <c r="G709" s="6"/>
      <c r="H709" s="16"/>
      <c r="I709" s="16"/>
      <c r="J709" s="6"/>
      <c r="K709" s="6"/>
      <c r="L709" s="6"/>
      <c r="M709" s="6"/>
    </row>
    <row r="710" spans="1:13" ht="13">
      <c r="A710" s="16"/>
      <c r="B710" s="6"/>
      <c r="C710" s="6"/>
      <c r="D710" s="6"/>
      <c r="E710" s="6"/>
      <c r="F710" s="6"/>
      <c r="G710" s="6"/>
      <c r="H710" s="16"/>
      <c r="I710" s="16"/>
      <c r="J710" s="6"/>
      <c r="K710" s="6"/>
      <c r="L710" s="6"/>
      <c r="M710" s="6"/>
    </row>
    <row r="711" spans="1:13" ht="13">
      <c r="A711" s="16"/>
      <c r="B711" s="6"/>
      <c r="C711" s="6"/>
      <c r="D711" s="6"/>
      <c r="E711" s="6"/>
      <c r="F711" s="6"/>
      <c r="G711" s="6"/>
      <c r="H711" s="16"/>
      <c r="I711" s="16"/>
      <c r="J711" s="6"/>
      <c r="K711" s="6"/>
      <c r="L711" s="6"/>
      <c r="M711" s="6"/>
    </row>
    <row r="712" spans="1:13" ht="13">
      <c r="A712" s="16"/>
      <c r="B712" s="6"/>
      <c r="C712" s="6"/>
      <c r="D712" s="6"/>
      <c r="E712" s="6"/>
      <c r="F712" s="6"/>
      <c r="G712" s="6"/>
      <c r="H712" s="16"/>
      <c r="I712" s="16"/>
      <c r="J712" s="6"/>
      <c r="K712" s="6"/>
      <c r="L712" s="6"/>
      <c r="M712" s="6"/>
    </row>
    <row r="713" spans="1:13" ht="13">
      <c r="A713" s="16"/>
      <c r="B713" s="6"/>
      <c r="C713" s="6"/>
      <c r="D713" s="6"/>
      <c r="E713" s="6"/>
      <c r="F713" s="6"/>
      <c r="G713" s="6"/>
      <c r="H713" s="16"/>
      <c r="I713" s="16"/>
      <c r="J713" s="6"/>
      <c r="K713" s="6"/>
      <c r="L713" s="6"/>
      <c r="M713" s="6"/>
    </row>
    <row r="714" spans="1:13" ht="13">
      <c r="A714" s="16"/>
      <c r="B714" s="6"/>
      <c r="C714" s="6"/>
      <c r="D714" s="6"/>
      <c r="E714" s="6"/>
      <c r="F714" s="6"/>
      <c r="G714" s="6"/>
      <c r="H714" s="16"/>
      <c r="I714" s="16"/>
      <c r="J714" s="6"/>
      <c r="K714" s="6"/>
      <c r="L714" s="6"/>
      <c r="M714" s="6"/>
    </row>
    <row r="715" spans="1:13" ht="13">
      <c r="A715" s="16"/>
      <c r="B715" s="6"/>
      <c r="C715" s="6"/>
      <c r="D715" s="6"/>
      <c r="E715" s="6"/>
      <c r="F715" s="6"/>
      <c r="G715" s="6"/>
      <c r="H715" s="16"/>
      <c r="I715" s="16"/>
      <c r="J715" s="6"/>
      <c r="K715" s="6"/>
      <c r="L715" s="6"/>
      <c r="M715" s="6"/>
    </row>
    <row r="716" spans="1:13" ht="13">
      <c r="A716" s="16"/>
      <c r="B716" s="6"/>
      <c r="C716" s="6"/>
      <c r="D716" s="6"/>
      <c r="E716" s="6"/>
      <c r="F716" s="6"/>
      <c r="G716" s="6"/>
      <c r="H716" s="16"/>
      <c r="I716" s="16"/>
      <c r="J716" s="6"/>
      <c r="K716" s="6"/>
      <c r="L716" s="6"/>
      <c r="M716" s="6"/>
    </row>
    <row r="717" spans="1:13" ht="13">
      <c r="A717" s="16"/>
      <c r="B717" s="6"/>
      <c r="C717" s="6"/>
      <c r="D717" s="6"/>
      <c r="E717" s="6"/>
      <c r="F717" s="6"/>
      <c r="G717" s="6"/>
      <c r="H717" s="16"/>
      <c r="I717" s="16"/>
      <c r="J717" s="6"/>
      <c r="K717" s="6"/>
      <c r="L717" s="6"/>
      <c r="M717" s="6"/>
    </row>
    <row r="718" spans="1:13" ht="13">
      <c r="A718" s="16"/>
      <c r="B718" s="6"/>
      <c r="C718" s="6"/>
      <c r="D718" s="6"/>
      <c r="E718" s="6"/>
      <c r="F718" s="6"/>
      <c r="G718" s="6"/>
      <c r="H718" s="16"/>
      <c r="I718" s="16"/>
      <c r="J718" s="6"/>
      <c r="K718" s="6"/>
      <c r="L718" s="6"/>
      <c r="M718" s="6"/>
    </row>
    <row r="719" spans="1:13" ht="13">
      <c r="A719" s="16"/>
      <c r="B719" s="6"/>
      <c r="C719" s="6"/>
      <c r="D719" s="6"/>
      <c r="E719" s="6"/>
      <c r="F719" s="6"/>
      <c r="G719" s="6"/>
      <c r="H719" s="16"/>
      <c r="I719" s="16"/>
      <c r="J719" s="6"/>
      <c r="K719" s="6"/>
      <c r="L719" s="6"/>
      <c r="M719" s="6"/>
    </row>
    <row r="720" spans="1:13" ht="13">
      <c r="A720" s="16"/>
      <c r="B720" s="6"/>
      <c r="C720" s="6"/>
      <c r="D720" s="6"/>
      <c r="E720" s="6"/>
      <c r="F720" s="6"/>
      <c r="G720" s="6"/>
      <c r="H720" s="16"/>
      <c r="I720" s="16"/>
      <c r="J720" s="6"/>
      <c r="K720" s="6"/>
      <c r="L720" s="6"/>
      <c r="M720" s="6"/>
    </row>
    <row r="721" spans="1:13" ht="13">
      <c r="A721" s="16"/>
      <c r="B721" s="6"/>
      <c r="C721" s="6"/>
      <c r="D721" s="6"/>
      <c r="E721" s="6"/>
      <c r="F721" s="6"/>
      <c r="G721" s="6"/>
      <c r="H721" s="16"/>
      <c r="I721" s="16"/>
      <c r="J721" s="6"/>
      <c r="K721" s="6"/>
      <c r="L721" s="6"/>
      <c r="M721" s="6"/>
    </row>
    <row r="722" spans="1:13" ht="13">
      <c r="A722" s="16"/>
      <c r="B722" s="6"/>
      <c r="C722" s="6"/>
      <c r="D722" s="6"/>
      <c r="E722" s="6"/>
      <c r="F722" s="6"/>
      <c r="G722" s="6"/>
      <c r="H722" s="16"/>
      <c r="I722" s="16"/>
      <c r="J722" s="6"/>
      <c r="K722" s="6"/>
      <c r="L722" s="6"/>
      <c r="M722" s="6"/>
    </row>
    <row r="723" spans="1:13" ht="13">
      <c r="A723" s="16"/>
      <c r="B723" s="6"/>
      <c r="C723" s="6"/>
      <c r="D723" s="6"/>
      <c r="E723" s="6"/>
      <c r="F723" s="6"/>
      <c r="G723" s="6"/>
      <c r="H723" s="16"/>
      <c r="I723" s="16"/>
      <c r="J723" s="6"/>
      <c r="K723" s="6"/>
      <c r="L723" s="6"/>
      <c r="M723" s="6"/>
    </row>
    <row r="724" spans="1:13" ht="13">
      <c r="A724" s="16"/>
      <c r="B724" s="6"/>
      <c r="C724" s="6"/>
      <c r="D724" s="6"/>
      <c r="E724" s="6"/>
      <c r="F724" s="6"/>
      <c r="G724" s="6"/>
      <c r="H724" s="16"/>
      <c r="I724" s="16"/>
      <c r="J724" s="6"/>
      <c r="K724" s="6"/>
      <c r="L724" s="6"/>
      <c r="M724" s="6"/>
    </row>
    <row r="725" spans="1:13" ht="13">
      <c r="A725" s="16"/>
      <c r="B725" s="6"/>
      <c r="C725" s="6"/>
      <c r="D725" s="6"/>
      <c r="E725" s="6"/>
      <c r="F725" s="6"/>
      <c r="G725" s="6"/>
      <c r="H725" s="16"/>
      <c r="I725" s="16"/>
      <c r="J725" s="6"/>
      <c r="K725" s="6"/>
      <c r="L725" s="6"/>
      <c r="M725" s="6"/>
    </row>
    <row r="726" spans="1:13" ht="13">
      <c r="A726" s="16"/>
      <c r="B726" s="6"/>
      <c r="C726" s="6"/>
      <c r="D726" s="6"/>
      <c r="E726" s="6"/>
      <c r="F726" s="6"/>
      <c r="G726" s="6"/>
      <c r="H726" s="16"/>
      <c r="I726" s="16"/>
      <c r="J726" s="6"/>
      <c r="K726" s="6"/>
      <c r="L726" s="6"/>
      <c r="M726" s="6"/>
    </row>
    <row r="727" spans="1:13" ht="13">
      <c r="A727" s="16"/>
      <c r="B727" s="6"/>
      <c r="C727" s="6"/>
      <c r="D727" s="6"/>
      <c r="E727" s="6"/>
      <c r="F727" s="6"/>
      <c r="G727" s="6"/>
      <c r="H727" s="16"/>
      <c r="I727" s="16"/>
      <c r="J727" s="6"/>
      <c r="K727" s="6"/>
      <c r="L727" s="6"/>
      <c r="M727" s="6"/>
    </row>
    <row r="728" spans="1:13" ht="13">
      <c r="A728" s="16"/>
      <c r="B728" s="6"/>
      <c r="C728" s="6"/>
      <c r="D728" s="6"/>
      <c r="E728" s="6"/>
      <c r="F728" s="6"/>
      <c r="G728" s="6"/>
      <c r="H728" s="16"/>
      <c r="I728" s="16"/>
      <c r="J728" s="6"/>
      <c r="K728" s="6"/>
      <c r="L728" s="6"/>
      <c r="M728" s="6"/>
    </row>
    <row r="729" spans="1:13" ht="13">
      <c r="A729" s="16"/>
      <c r="B729" s="6"/>
      <c r="C729" s="6"/>
      <c r="D729" s="6"/>
      <c r="E729" s="6"/>
      <c r="F729" s="6"/>
      <c r="G729" s="6"/>
      <c r="H729" s="16"/>
      <c r="I729" s="16"/>
      <c r="J729" s="6"/>
      <c r="K729" s="6"/>
      <c r="L729" s="6"/>
      <c r="M729" s="6"/>
    </row>
    <row r="730" spans="1:13" ht="13">
      <c r="A730" s="16"/>
      <c r="B730" s="6"/>
      <c r="C730" s="6"/>
      <c r="D730" s="6"/>
      <c r="E730" s="6"/>
      <c r="F730" s="6"/>
      <c r="G730" s="6"/>
      <c r="H730" s="16"/>
      <c r="I730" s="16"/>
      <c r="J730" s="6"/>
      <c r="K730" s="6"/>
      <c r="L730" s="6"/>
      <c r="M730" s="6"/>
    </row>
    <row r="731" spans="1:13" ht="13">
      <c r="A731" s="16"/>
      <c r="B731" s="6"/>
      <c r="C731" s="6"/>
      <c r="D731" s="6"/>
      <c r="E731" s="6"/>
      <c r="F731" s="6"/>
      <c r="G731" s="6"/>
      <c r="H731" s="16"/>
      <c r="I731" s="16"/>
      <c r="J731" s="6"/>
      <c r="K731" s="6"/>
      <c r="L731" s="6"/>
      <c r="M731" s="6"/>
    </row>
    <row r="732" spans="1:13" ht="13">
      <c r="A732" s="16"/>
      <c r="B732" s="6"/>
      <c r="C732" s="6"/>
      <c r="D732" s="6"/>
      <c r="E732" s="6"/>
      <c r="F732" s="6"/>
      <c r="G732" s="6"/>
      <c r="H732" s="16"/>
      <c r="I732" s="16"/>
      <c r="J732" s="6"/>
      <c r="K732" s="6"/>
      <c r="L732" s="6"/>
      <c r="M732" s="6"/>
    </row>
    <row r="733" spans="1:13" ht="13">
      <c r="A733" s="16"/>
      <c r="B733" s="6"/>
      <c r="C733" s="6"/>
      <c r="D733" s="6"/>
      <c r="E733" s="6"/>
      <c r="F733" s="6"/>
      <c r="G733" s="6"/>
      <c r="H733" s="16"/>
      <c r="I733" s="16"/>
      <c r="J733" s="6"/>
      <c r="K733" s="6"/>
      <c r="L733" s="6"/>
      <c r="M733" s="6"/>
    </row>
    <row r="734" spans="1:13" ht="13">
      <c r="A734" s="16"/>
      <c r="B734" s="6"/>
      <c r="C734" s="6"/>
      <c r="D734" s="6"/>
      <c r="E734" s="6"/>
      <c r="F734" s="6"/>
      <c r="G734" s="6"/>
      <c r="H734" s="16"/>
      <c r="I734" s="16"/>
      <c r="J734" s="6"/>
      <c r="K734" s="6"/>
      <c r="L734" s="6"/>
      <c r="M734" s="6"/>
    </row>
    <row r="735" spans="1:13" ht="13">
      <c r="A735" s="16"/>
      <c r="B735" s="6"/>
      <c r="C735" s="6"/>
      <c r="D735" s="6"/>
      <c r="E735" s="6"/>
      <c r="F735" s="6"/>
      <c r="G735" s="6"/>
      <c r="H735" s="16"/>
      <c r="I735" s="16"/>
      <c r="J735" s="6"/>
      <c r="K735" s="6"/>
      <c r="L735" s="6"/>
      <c r="M735" s="6"/>
    </row>
    <row r="736" spans="1:13" ht="13">
      <c r="A736" s="16"/>
      <c r="B736" s="6"/>
      <c r="C736" s="6"/>
      <c r="D736" s="6"/>
      <c r="E736" s="6"/>
      <c r="F736" s="6"/>
      <c r="G736" s="6"/>
      <c r="H736" s="16"/>
      <c r="I736" s="16"/>
      <c r="J736" s="6"/>
      <c r="K736" s="6"/>
      <c r="L736" s="6"/>
      <c r="M736" s="6"/>
    </row>
    <row r="737" spans="1:13" ht="13">
      <c r="A737" s="16"/>
      <c r="B737" s="6"/>
      <c r="C737" s="6"/>
      <c r="D737" s="6"/>
      <c r="E737" s="6"/>
      <c r="F737" s="6"/>
      <c r="G737" s="6"/>
      <c r="H737" s="16"/>
      <c r="I737" s="16"/>
      <c r="J737" s="6"/>
      <c r="K737" s="6"/>
      <c r="L737" s="6"/>
      <c r="M737" s="6"/>
    </row>
    <row r="738" spans="1:13" ht="13">
      <c r="A738" s="16"/>
      <c r="B738" s="6"/>
      <c r="C738" s="6"/>
      <c r="D738" s="6"/>
      <c r="E738" s="6"/>
      <c r="F738" s="6"/>
      <c r="G738" s="6"/>
      <c r="H738" s="16"/>
      <c r="I738" s="16"/>
      <c r="J738" s="6"/>
      <c r="K738" s="6"/>
      <c r="L738" s="6"/>
      <c r="M738" s="6"/>
    </row>
    <row r="739" spans="1:13" ht="13">
      <c r="A739" s="16"/>
      <c r="B739" s="6"/>
      <c r="C739" s="6"/>
      <c r="D739" s="6"/>
      <c r="E739" s="6"/>
      <c r="F739" s="6"/>
      <c r="G739" s="6"/>
      <c r="H739" s="16"/>
      <c r="I739" s="16"/>
      <c r="J739" s="6"/>
      <c r="K739" s="6"/>
      <c r="L739" s="6"/>
      <c r="M739" s="6"/>
    </row>
    <row r="740" spans="1:13" ht="13">
      <c r="A740" s="16"/>
      <c r="B740" s="6"/>
      <c r="C740" s="6"/>
      <c r="D740" s="6"/>
      <c r="E740" s="6"/>
      <c r="F740" s="6"/>
      <c r="G740" s="6"/>
      <c r="H740" s="16"/>
      <c r="I740" s="16"/>
      <c r="J740" s="6"/>
      <c r="K740" s="6"/>
      <c r="L740" s="6"/>
      <c r="M740" s="6"/>
    </row>
    <row r="741" spans="1:13" ht="13">
      <c r="A741" s="16"/>
      <c r="B741" s="6"/>
      <c r="C741" s="6"/>
      <c r="D741" s="6"/>
      <c r="E741" s="6"/>
      <c r="F741" s="6"/>
      <c r="G741" s="6"/>
      <c r="H741" s="16"/>
      <c r="I741" s="16"/>
      <c r="J741" s="6"/>
      <c r="K741" s="6"/>
      <c r="L741" s="6"/>
      <c r="M741" s="6"/>
    </row>
    <row r="742" spans="1:13" ht="13">
      <c r="A742" s="16"/>
      <c r="B742" s="6"/>
      <c r="C742" s="6"/>
      <c r="D742" s="6"/>
      <c r="E742" s="6"/>
      <c r="F742" s="6"/>
      <c r="G742" s="6"/>
      <c r="H742" s="16"/>
      <c r="I742" s="16"/>
      <c r="J742" s="6"/>
      <c r="K742" s="6"/>
      <c r="L742" s="6"/>
      <c r="M742" s="6"/>
    </row>
    <row r="743" spans="1:13" ht="13">
      <c r="A743" s="16"/>
      <c r="B743" s="6"/>
      <c r="C743" s="6"/>
      <c r="D743" s="6"/>
      <c r="E743" s="6"/>
      <c r="F743" s="6"/>
      <c r="G743" s="6"/>
      <c r="H743" s="16"/>
      <c r="I743" s="16"/>
      <c r="J743" s="6"/>
      <c r="K743" s="6"/>
      <c r="L743" s="6"/>
      <c r="M743" s="6"/>
    </row>
    <row r="744" spans="1:13" ht="13">
      <c r="A744" s="16"/>
      <c r="B744" s="6"/>
      <c r="C744" s="6"/>
      <c r="D744" s="6"/>
      <c r="E744" s="6"/>
      <c r="F744" s="6"/>
      <c r="G744" s="6"/>
      <c r="H744" s="16"/>
      <c r="I744" s="16"/>
      <c r="J744" s="6"/>
      <c r="K744" s="6"/>
      <c r="L744" s="6"/>
      <c r="M744" s="6"/>
    </row>
    <row r="745" spans="1:13" ht="13">
      <c r="A745" s="16"/>
      <c r="B745" s="6"/>
      <c r="C745" s="6"/>
      <c r="D745" s="6"/>
      <c r="E745" s="6"/>
      <c r="F745" s="6"/>
      <c r="G745" s="6"/>
      <c r="H745" s="16"/>
      <c r="I745" s="16"/>
      <c r="J745" s="6"/>
      <c r="K745" s="6"/>
      <c r="L745" s="6"/>
      <c r="M745" s="6"/>
    </row>
    <row r="746" spans="1:13" ht="13">
      <c r="A746" s="16"/>
      <c r="B746" s="6"/>
      <c r="C746" s="6"/>
      <c r="D746" s="6"/>
      <c r="E746" s="6"/>
      <c r="F746" s="6"/>
      <c r="G746" s="6"/>
      <c r="H746" s="16"/>
      <c r="I746" s="16"/>
      <c r="J746" s="6"/>
      <c r="K746" s="6"/>
      <c r="L746" s="6"/>
      <c r="M746" s="6"/>
    </row>
    <row r="747" spans="1:13" ht="13">
      <c r="A747" s="16"/>
      <c r="B747" s="6"/>
      <c r="C747" s="6"/>
      <c r="D747" s="6"/>
      <c r="E747" s="6"/>
      <c r="F747" s="6"/>
      <c r="G747" s="6"/>
      <c r="H747" s="16"/>
      <c r="I747" s="16"/>
      <c r="J747" s="6"/>
      <c r="K747" s="6"/>
      <c r="L747" s="6"/>
      <c r="M747" s="6"/>
    </row>
    <row r="748" spans="1:13" ht="13">
      <c r="A748" s="16"/>
      <c r="B748" s="6"/>
      <c r="C748" s="6"/>
      <c r="D748" s="6"/>
      <c r="E748" s="6"/>
      <c r="F748" s="6"/>
      <c r="G748" s="6"/>
      <c r="H748" s="16"/>
      <c r="I748" s="16"/>
      <c r="J748" s="6"/>
      <c r="K748" s="6"/>
      <c r="L748" s="6"/>
      <c r="M748" s="6"/>
    </row>
    <row r="749" spans="1:13" ht="13">
      <c r="A749" s="16"/>
      <c r="B749" s="6"/>
      <c r="C749" s="6"/>
      <c r="D749" s="6"/>
      <c r="E749" s="6"/>
      <c r="F749" s="6"/>
      <c r="G749" s="6"/>
      <c r="H749" s="16"/>
      <c r="I749" s="16"/>
      <c r="J749" s="6"/>
      <c r="K749" s="6"/>
      <c r="L749" s="6"/>
      <c r="M749" s="6"/>
    </row>
    <row r="750" spans="1:13" ht="13">
      <c r="A750" s="16"/>
      <c r="B750" s="6"/>
      <c r="C750" s="6"/>
      <c r="D750" s="6"/>
      <c r="E750" s="6"/>
      <c r="F750" s="6"/>
      <c r="G750" s="6"/>
      <c r="H750" s="16"/>
      <c r="I750" s="16"/>
      <c r="J750" s="6"/>
      <c r="K750" s="6"/>
      <c r="L750" s="6"/>
      <c r="M750" s="6"/>
    </row>
    <row r="751" spans="1:13" ht="13">
      <c r="A751" s="16"/>
      <c r="B751" s="6"/>
      <c r="C751" s="6"/>
      <c r="D751" s="6"/>
      <c r="E751" s="6"/>
      <c r="F751" s="6"/>
      <c r="G751" s="6"/>
      <c r="H751" s="16"/>
      <c r="I751" s="16"/>
      <c r="J751" s="6"/>
      <c r="K751" s="6"/>
      <c r="L751" s="6"/>
      <c r="M751" s="6"/>
    </row>
    <row r="752" spans="1:13" ht="13">
      <c r="A752" s="16"/>
      <c r="B752" s="6"/>
      <c r="C752" s="6"/>
      <c r="D752" s="6"/>
      <c r="E752" s="6"/>
      <c r="F752" s="6"/>
      <c r="G752" s="6"/>
      <c r="H752" s="16"/>
      <c r="I752" s="16"/>
      <c r="J752" s="6"/>
      <c r="K752" s="6"/>
      <c r="L752" s="6"/>
      <c r="M752" s="6"/>
    </row>
    <row r="753" spans="1:13" ht="13">
      <c r="A753" s="16"/>
      <c r="B753" s="6"/>
      <c r="C753" s="6"/>
      <c r="D753" s="6"/>
      <c r="E753" s="6"/>
      <c r="F753" s="6"/>
      <c r="G753" s="6"/>
      <c r="H753" s="16"/>
      <c r="I753" s="16"/>
      <c r="J753" s="6"/>
      <c r="K753" s="6"/>
      <c r="L753" s="6"/>
      <c r="M753" s="6"/>
    </row>
    <row r="754" spans="1:13" ht="13">
      <c r="A754" s="16"/>
      <c r="B754" s="6"/>
      <c r="C754" s="6"/>
      <c r="D754" s="6"/>
      <c r="E754" s="6"/>
      <c r="F754" s="6"/>
      <c r="G754" s="6"/>
      <c r="H754" s="16"/>
      <c r="I754" s="16"/>
      <c r="J754" s="6"/>
      <c r="K754" s="6"/>
      <c r="L754" s="6"/>
      <c r="M754" s="6"/>
    </row>
    <row r="755" spans="1:13" ht="13">
      <c r="A755" s="16"/>
      <c r="B755" s="6"/>
      <c r="C755" s="6"/>
      <c r="D755" s="6"/>
      <c r="E755" s="6"/>
      <c r="F755" s="6"/>
      <c r="G755" s="6"/>
      <c r="H755" s="16"/>
      <c r="I755" s="16"/>
      <c r="J755" s="6"/>
      <c r="K755" s="6"/>
      <c r="L755" s="6"/>
      <c r="M755" s="6"/>
    </row>
    <row r="756" spans="1:13" ht="13">
      <c r="A756" s="16"/>
      <c r="B756" s="6"/>
      <c r="C756" s="6"/>
      <c r="D756" s="6"/>
      <c r="E756" s="6"/>
      <c r="F756" s="6"/>
      <c r="G756" s="6"/>
      <c r="H756" s="16"/>
      <c r="I756" s="16"/>
      <c r="J756" s="6"/>
      <c r="K756" s="6"/>
      <c r="L756" s="6"/>
      <c r="M756" s="6"/>
    </row>
    <row r="757" spans="1:13" ht="13">
      <c r="A757" s="16"/>
      <c r="B757" s="6"/>
      <c r="C757" s="6"/>
      <c r="D757" s="6"/>
      <c r="E757" s="6"/>
      <c r="F757" s="6"/>
      <c r="G757" s="6"/>
      <c r="H757" s="16"/>
      <c r="I757" s="16"/>
      <c r="J757" s="6"/>
      <c r="K757" s="6"/>
      <c r="L757" s="6"/>
      <c r="M757" s="6"/>
    </row>
    <row r="758" spans="1:13" ht="13">
      <c r="A758" s="16"/>
      <c r="B758" s="6"/>
      <c r="C758" s="6"/>
      <c r="D758" s="6"/>
      <c r="E758" s="6"/>
      <c r="F758" s="6"/>
      <c r="G758" s="6"/>
      <c r="H758" s="16"/>
      <c r="I758" s="16"/>
      <c r="J758" s="6"/>
      <c r="K758" s="6"/>
      <c r="L758" s="6"/>
      <c r="M758" s="6"/>
    </row>
    <row r="759" spans="1:13" ht="13">
      <c r="A759" s="16"/>
      <c r="B759" s="6"/>
      <c r="C759" s="6"/>
      <c r="D759" s="6"/>
      <c r="E759" s="6"/>
      <c r="F759" s="6"/>
      <c r="G759" s="6"/>
      <c r="H759" s="16"/>
      <c r="I759" s="16"/>
      <c r="J759" s="6"/>
      <c r="K759" s="6"/>
      <c r="L759" s="6"/>
      <c r="M759" s="6"/>
    </row>
    <row r="760" spans="1:13" ht="13">
      <c r="A760" s="16"/>
      <c r="B760" s="6"/>
      <c r="C760" s="6"/>
      <c r="D760" s="6"/>
      <c r="E760" s="6"/>
      <c r="F760" s="6"/>
      <c r="G760" s="6"/>
      <c r="H760" s="16"/>
      <c r="I760" s="16"/>
      <c r="J760" s="6"/>
      <c r="K760" s="6"/>
      <c r="L760" s="6"/>
      <c r="M760" s="6"/>
    </row>
    <row r="761" spans="1:13" ht="13">
      <c r="A761" s="16"/>
      <c r="B761" s="6"/>
      <c r="C761" s="6"/>
      <c r="D761" s="6"/>
      <c r="E761" s="6"/>
      <c r="F761" s="6"/>
      <c r="G761" s="6"/>
      <c r="H761" s="16"/>
      <c r="I761" s="16"/>
      <c r="J761" s="6"/>
      <c r="K761" s="6"/>
      <c r="L761" s="6"/>
      <c r="M761" s="6"/>
    </row>
    <row r="762" spans="1:13" ht="13">
      <c r="A762" s="16"/>
      <c r="B762" s="6"/>
      <c r="C762" s="6"/>
      <c r="D762" s="6"/>
      <c r="E762" s="6"/>
      <c r="F762" s="6"/>
      <c r="G762" s="6"/>
      <c r="H762" s="16"/>
      <c r="I762" s="16"/>
      <c r="J762" s="6"/>
      <c r="K762" s="6"/>
      <c r="L762" s="6"/>
      <c r="M762" s="6"/>
    </row>
    <row r="763" spans="1:13" ht="13">
      <c r="A763" s="16"/>
      <c r="B763" s="6"/>
      <c r="C763" s="6"/>
      <c r="D763" s="6"/>
      <c r="E763" s="6"/>
      <c r="F763" s="6"/>
      <c r="G763" s="6"/>
      <c r="H763" s="16"/>
      <c r="I763" s="16"/>
      <c r="J763" s="6"/>
      <c r="K763" s="6"/>
      <c r="L763" s="6"/>
      <c r="M763" s="6"/>
    </row>
    <row r="764" spans="1:13" ht="13">
      <c r="A764" s="16"/>
      <c r="B764" s="6"/>
      <c r="C764" s="6"/>
      <c r="D764" s="6"/>
      <c r="E764" s="6"/>
      <c r="F764" s="6"/>
      <c r="G764" s="6"/>
      <c r="H764" s="16"/>
      <c r="I764" s="16"/>
      <c r="J764" s="6"/>
      <c r="K764" s="6"/>
      <c r="L764" s="6"/>
      <c r="M764" s="6"/>
    </row>
    <row r="765" spans="1:13" ht="13">
      <c r="A765" s="16"/>
      <c r="B765" s="6"/>
      <c r="C765" s="6"/>
      <c r="D765" s="6"/>
      <c r="E765" s="6"/>
      <c r="F765" s="6"/>
      <c r="G765" s="6"/>
      <c r="H765" s="16"/>
      <c r="I765" s="16"/>
      <c r="J765" s="6"/>
      <c r="K765" s="6"/>
      <c r="L765" s="6"/>
      <c r="M765" s="6"/>
    </row>
    <row r="766" spans="1:13" ht="13">
      <c r="A766" s="16"/>
      <c r="B766" s="6"/>
      <c r="C766" s="6"/>
      <c r="D766" s="6"/>
      <c r="E766" s="6"/>
      <c r="F766" s="6"/>
      <c r="G766" s="6"/>
      <c r="H766" s="16"/>
      <c r="I766" s="16"/>
      <c r="J766" s="6"/>
      <c r="K766" s="6"/>
      <c r="L766" s="6"/>
      <c r="M766" s="6"/>
    </row>
    <row r="767" spans="1:13" ht="13">
      <c r="A767" s="16"/>
      <c r="B767" s="6"/>
      <c r="C767" s="6"/>
      <c r="D767" s="6"/>
      <c r="E767" s="6"/>
      <c r="F767" s="6"/>
      <c r="G767" s="6"/>
      <c r="H767" s="16"/>
      <c r="I767" s="16"/>
      <c r="J767" s="6"/>
      <c r="K767" s="6"/>
      <c r="L767" s="6"/>
      <c r="M767" s="6"/>
    </row>
    <row r="768" spans="1:13" ht="13">
      <c r="A768" s="16"/>
      <c r="B768" s="6"/>
      <c r="C768" s="6"/>
      <c r="D768" s="6"/>
      <c r="E768" s="6"/>
      <c r="F768" s="6"/>
      <c r="G768" s="6"/>
      <c r="H768" s="16"/>
      <c r="I768" s="16"/>
      <c r="J768" s="6"/>
      <c r="K768" s="6"/>
      <c r="L768" s="6"/>
      <c r="M768" s="6"/>
    </row>
    <row r="769" spans="1:13" ht="13">
      <c r="A769" s="16"/>
      <c r="B769" s="6"/>
      <c r="C769" s="6"/>
      <c r="D769" s="6"/>
      <c r="E769" s="6"/>
      <c r="F769" s="6"/>
      <c r="G769" s="6"/>
      <c r="H769" s="16"/>
      <c r="I769" s="16"/>
      <c r="J769" s="6"/>
      <c r="K769" s="6"/>
      <c r="L769" s="6"/>
      <c r="M769" s="6"/>
    </row>
    <row r="770" spans="1:13" ht="13">
      <c r="A770" s="16"/>
      <c r="B770" s="6"/>
      <c r="C770" s="6"/>
      <c r="D770" s="6"/>
      <c r="E770" s="6"/>
      <c r="F770" s="6"/>
      <c r="G770" s="6"/>
      <c r="H770" s="16"/>
      <c r="I770" s="16"/>
      <c r="J770" s="6"/>
      <c r="K770" s="6"/>
      <c r="L770" s="6"/>
      <c r="M770" s="6"/>
    </row>
    <row r="771" spans="1:13" ht="13">
      <c r="A771" s="16"/>
      <c r="B771" s="6"/>
      <c r="C771" s="6"/>
      <c r="D771" s="6"/>
      <c r="E771" s="6"/>
      <c r="F771" s="6"/>
      <c r="G771" s="6"/>
      <c r="H771" s="16"/>
      <c r="I771" s="16"/>
      <c r="J771" s="6"/>
      <c r="K771" s="6"/>
      <c r="L771" s="6"/>
      <c r="M771" s="6"/>
    </row>
    <row r="772" spans="1:13" ht="13">
      <c r="A772" s="16"/>
      <c r="B772" s="6"/>
      <c r="C772" s="6"/>
      <c r="D772" s="6"/>
      <c r="E772" s="6"/>
      <c r="F772" s="6"/>
      <c r="G772" s="6"/>
      <c r="H772" s="16"/>
      <c r="I772" s="16"/>
      <c r="J772" s="6"/>
      <c r="K772" s="6"/>
      <c r="L772" s="6"/>
      <c r="M772" s="6"/>
    </row>
    <row r="773" spans="1:13" ht="13">
      <c r="A773" s="16"/>
      <c r="B773" s="6"/>
      <c r="C773" s="6"/>
      <c r="D773" s="6"/>
      <c r="E773" s="6"/>
      <c r="F773" s="6"/>
      <c r="G773" s="6"/>
      <c r="H773" s="16"/>
      <c r="I773" s="16"/>
      <c r="J773" s="6"/>
      <c r="K773" s="6"/>
      <c r="L773" s="6"/>
      <c r="M773" s="6"/>
    </row>
    <row r="774" spans="1:13" ht="13">
      <c r="A774" s="16"/>
      <c r="B774" s="6"/>
      <c r="C774" s="6"/>
      <c r="D774" s="6"/>
      <c r="E774" s="6"/>
      <c r="F774" s="6"/>
      <c r="G774" s="6"/>
      <c r="H774" s="16"/>
      <c r="I774" s="16"/>
      <c r="J774" s="6"/>
      <c r="K774" s="6"/>
      <c r="L774" s="6"/>
      <c r="M774" s="6"/>
    </row>
    <row r="775" spans="1:13" ht="13">
      <c r="A775" s="16"/>
      <c r="B775" s="6"/>
      <c r="C775" s="6"/>
      <c r="D775" s="6"/>
      <c r="E775" s="6"/>
      <c r="F775" s="6"/>
      <c r="G775" s="6"/>
      <c r="H775" s="16"/>
      <c r="I775" s="16"/>
      <c r="J775" s="6"/>
      <c r="K775" s="6"/>
      <c r="L775" s="6"/>
      <c r="M775" s="6"/>
    </row>
    <row r="776" spans="1:13" ht="13">
      <c r="A776" s="16"/>
      <c r="B776" s="6"/>
      <c r="C776" s="6"/>
      <c r="D776" s="6"/>
      <c r="E776" s="6"/>
      <c r="F776" s="6"/>
      <c r="G776" s="6"/>
      <c r="H776" s="16"/>
      <c r="I776" s="16"/>
      <c r="J776" s="6"/>
      <c r="K776" s="6"/>
      <c r="L776" s="6"/>
      <c r="M776" s="6"/>
    </row>
    <row r="777" spans="1:13" ht="13">
      <c r="A777" s="16"/>
      <c r="B777" s="6"/>
      <c r="C777" s="6"/>
      <c r="D777" s="6"/>
      <c r="E777" s="6"/>
      <c r="F777" s="6"/>
      <c r="G777" s="6"/>
      <c r="H777" s="16"/>
      <c r="I777" s="16"/>
      <c r="J777" s="6"/>
      <c r="K777" s="6"/>
      <c r="L777" s="6"/>
      <c r="M777" s="6"/>
    </row>
    <row r="778" spans="1:13" ht="13">
      <c r="A778" s="16"/>
      <c r="B778" s="6"/>
      <c r="C778" s="6"/>
      <c r="D778" s="6"/>
      <c r="E778" s="6"/>
      <c r="F778" s="6"/>
      <c r="G778" s="6"/>
      <c r="H778" s="16"/>
      <c r="I778" s="16"/>
      <c r="J778" s="6"/>
      <c r="K778" s="6"/>
      <c r="L778" s="6"/>
      <c r="M778" s="6"/>
    </row>
    <row r="779" spans="1:13" ht="13">
      <c r="A779" s="16"/>
      <c r="B779" s="6"/>
      <c r="C779" s="6"/>
      <c r="D779" s="6"/>
      <c r="E779" s="6"/>
      <c r="F779" s="6"/>
      <c r="G779" s="6"/>
      <c r="H779" s="16"/>
      <c r="I779" s="16"/>
      <c r="J779" s="6"/>
      <c r="K779" s="6"/>
      <c r="L779" s="6"/>
      <c r="M779" s="6"/>
    </row>
    <row r="780" spans="1:13" ht="13">
      <c r="A780" s="16"/>
      <c r="B780" s="6"/>
      <c r="C780" s="6"/>
      <c r="D780" s="6"/>
      <c r="E780" s="6"/>
      <c r="F780" s="6"/>
      <c r="G780" s="6"/>
      <c r="H780" s="16"/>
      <c r="I780" s="16"/>
      <c r="J780" s="6"/>
      <c r="K780" s="6"/>
      <c r="L780" s="6"/>
      <c r="M780" s="6"/>
    </row>
    <row r="781" spans="1:13" ht="13">
      <c r="A781" s="16"/>
      <c r="B781" s="6"/>
      <c r="C781" s="6"/>
      <c r="D781" s="6"/>
      <c r="E781" s="6"/>
      <c r="F781" s="6"/>
      <c r="G781" s="6"/>
      <c r="H781" s="16"/>
      <c r="I781" s="16"/>
      <c r="J781" s="6"/>
      <c r="K781" s="6"/>
      <c r="L781" s="6"/>
      <c r="M781" s="6"/>
    </row>
    <row r="782" spans="1:13" ht="13">
      <c r="A782" s="16"/>
      <c r="B782" s="6"/>
      <c r="C782" s="6"/>
      <c r="D782" s="6"/>
      <c r="E782" s="6"/>
      <c r="F782" s="6"/>
      <c r="G782" s="6"/>
      <c r="H782" s="16"/>
      <c r="I782" s="16"/>
      <c r="J782" s="6"/>
      <c r="K782" s="6"/>
      <c r="L782" s="6"/>
      <c r="M782" s="6"/>
    </row>
    <row r="783" spans="1:13" ht="13">
      <c r="A783" s="16"/>
      <c r="B783" s="6"/>
      <c r="C783" s="6"/>
      <c r="D783" s="6"/>
      <c r="E783" s="6"/>
      <c r="F783" s="6"/>
      <c r="G783" s="6"/>
      <c r="H783" s="16"/>
      <c r="I783" s="16"/>
      <c r="J783" s="6"/>
      <c r="K783" s="6"/>
      <c r="L783" s="6"/>
      <c r="M783" s="6"/>
    </row>
    <row r="784" spans="1:13" ht="13">
      <c r="A784" s="16"/>
      <c r="B784" s="6"/>
      <c r="C784" s="6"/>
      <c r="D784" s="6"/>
      <c r="E784" s="6"/>
      <c r="F784" s="6"/>
      <c r="G784" s="6"/>
      <c r="H784" s="16"/>
      <c r="I784" s="16"/>
      <c r="J784" s="6"/>
      <c r="K784" s="6"/>
      <c r="L784" s="6"/>
      <c r="M784" s="6"/>
    </row>
    <row r="785" spans="1:13" ht="13">
      <c r="A785" s="16"/>
      <c r="B785" s="6"/>
      <c r="C785" s="6"/>
      <c r="D785" s="6"/>
      <c r="E785" s="6"/>
      <c r="F785" s="6"/>
      <c r="G785" s="6"/>
      <c r="H785" s="16"/>
      <c r="I785" s="16"/>
      <c r="J785" s="6"/>
      <c r="K785" s="6"/>
      <c r="L785" s="6"/>
      <c r="M785" s="6"/>
    </row>
    <row r="786" spans="1:13" ht="13">
      <c r="A786" s="16"/>
      <c r="B786" s="6"/>
      <c r="C786" s="6"/>
      <c r="D786" s="6"/>
      <c r="E786" s="6"/>
      <c r="F786" s="6"/>
      <c r="G786" s="6"/>
      <c r="H786" s="16"/>
      <c r="I786" s="16"/>
      <c r="J786" s="6"/>
      <c r="K786" s="6"/>
      <c r="L786" s="6"/>
      <c r="M786" s="6"/>
    </row>
    <row r="787" spans="1:13" ht="13">
      <c r="A787" s="16"/>
      <c r="B787" s="6"/>
      <c r="C787" s="6"/>
      <c r="D787" s="6"/>
      <c r="E787" s="6"/>
      <c r="F787" s="6"/>
      <c r="G787" s="6"/>
      <c r="H787" s="16"/>
      <c r="I787" s="16"/>
      <c r="J787" s="6"/>
      <c r="K787" s="6"/>
      <c r="L787" s="6"/>
      <c r="M787" s="6"/>
    </row>
    <row r="788" spans="1:13" ht="13">
      <c r="A788" s="16"/>
      <c r="B788" s="6"/>
      <c r="C788" s="6"/>
      <c r="D788" s="6"/>
      <c r="E788" s="6"/>
      <c r="F788" s="6"/>
      <c r="G788" s="6"/>
      <c r="H788" s="16"/>
      <c r="I788" s="16"/>
      <c r="J788" s="6"/>
      <c r="K788" s="6"/>
      <c r="L788" s="6"/>
      <c r="M788" s="6"/>
    </row>
    <row r="789" spans="1:13" ht="13">
      <c r="A789" s="16"/>
      <c r="B789" s="6"/>
      <c r="C789" s="6"/>
      <c r="D789" s="6"/>
      <c r="E789" s="6"/>
      <c r="F789" s="6"/>
      <c r="G789" s="6"/>
      <c r="H789" s="16"/>
      <c r="I789" s="16"/>
      <c r="J789" s="6"/>
      <c r="K789" s="6"/>
      <c r="L789" s="6"/>
      <c r="M789" s="6"/>
    </row>
    <row r="790" spans="1:13" ht="13">
      <c r="A790" s="16"/>
      <c r="B790" s="6"/>
      <c r="C790" s="6"/>
      <c r="D790" s="6"/>
      <c r="E790" s="6"/>
      <c r="F790" s="6"/>
      <c r="G790" s="6"/>
      <c r="H790" s="16"/>
      <c r="I790" s="16"/>
      <c r="J790" s="6"/>
      <c r="K790" s="6"/>
      <c r="L790" s="6"/>
      <c r="M790" s="6"/>
    </row>
    <row r="791" spans="1:13" ht="13">
      <c r="A791" s="16"/>
      <c r="B791" s="6"/>
      <c r="C791" s="6"/>
      <c r="D791" s="6"/>
      <c r="E791" s="6"/>
      <c r="F791" s="6"/>
      <c r="G791" s="6"/>
      <c r="H791" s="16"/>
      <c r="I791" s="16"/>
      <c r="J791" s="6"/>
      <c r="K791" s="6"/>
      <c r="L791" s="6"/>
      <c r="M791" s="6"/>
    </row>
    <row r="792" spans="1:13" ht="13">
      <c r="A792" s="16"/>
      <c r="B792" s="6"/>
      <c r="C792" s="6"/>
      <c r="D792" s="6"/>
      <c r="E792" s="6"/>
      <c r="F792" s="6"/>
      <c r="G792" s="6"/>
      <c r="H792" s="16"/>
      <c r="I792" s="16"/>
      <c r="J792" s="6"/>
      <c r="K792" s="6"/>
      <c r="L792" s="6"/>
      <c r="M792" s="6"/>
    </row>
    <row r="793" spans="1:13" ht="13">
      <c r="A793" s="16"/>
      <c r="B793" s="6"/>
      <c r="C793" s="6"/>
      <c r="D793" s="6"/>
      <c r="E793" s="6"/>
      <c r="F793" s="6"/>
      <c r="G793" s="6"/>
      <c r="H793" s="16"/>
      <c r="I793" s="16"/>
      <c r="J793" s="6"/>
      <c r="K793" s="6"/>
      <c r="L793" s="6"/>
      <c r="M793" s="6"/>
    </row>
    <row r="794" spans="1:13" ht="13">
      <c r="A794" s="16"/>
      <c r="B794" s="6"/>
      <c r="C794" s="6"/>
      <c r="D794" s="6"/>
      <c r="E794" s="6"/>
      <c r="F794" s="6"/>
      <c r="G794" s="6"/>
      <c r="H794" s="16"/>
      <c r="I794" s="16"/>
      <c r="J794" s="6"/>
      <c r="K794" s="6"/>
      <c r="L794" s="6"/>
      <c r="M794" s="6"/>
    </row>
    <row r="795" spans="1:13" ht="13">
      <c r="A795" s="16"/>
      <c r="B795" s="6"/>
      <c r="C795" s="6"/>
      <c r="D795" s="6"/>
      <c r="E795" s="6"/>
      <c r="F795" s="6"/>
      <c r="G795" s="6"/>
      <c r="H795" s="16"/>
      <c r="I795" s="16"/>
      <c r="J795" s="6"/>
      <c r="K795" s="6"/>
      <c r="L795" s="6"/>
      <c r="M795" s="6"/>
    </row>
    <row r="796" spans="1:13" ht="13">
      <c r="A796" s="16"/>
      <c r="B796" s="6"/>
      <c r="C796" s="6"/>
      <c r="D796" s="6"/>
      <c r="E796" s="6"/>
      <c r="F796" s="6"/>
      <c r="G796" s="6"/>
      <c r="H796" s="16"/>
      <c r="I796" s="16"/>
      <c r="J796" s="6"/>
      <c r="K796" s="6"/>
      <c r="L796" s="6"/>
      <c r="M796" s="6"/>
    </row>
    <row r="797" spans="1:13" ht="13">
      <c r="A797" s="16"/>
      <c r="B797" s="6"/>
      <c r="C797" s="6"/>
      <c r="D797" s="6"/>
      <c r="E797" s="6"/>
      <c r="F797" s="6"/>
      <c r="G797" s="6"/>
      <c r="H797" s="16"/>
      <c r="I797" s="16"/>
      <c r="J797" s="6"/>
      <c r="K797" s="6"/>
      <c r="L797" s="6"/>
      <c r="M797" s="6"/>
    </row>
    <row r="798" spans="1:13" ht="13">
      <c r="A798" s="16"/>
      <c r="B798" s="6"/>
      <c r="C798" s="6"/>
      <c r="D798" s="6"/>
      <c r="E798" s="6"/>
      <c r="F798" s="6"/>
      <c r="G798" s="6"/>
      <c r="H798" s="16"/>
      <c r="I798" s="16"/>
      <c r="J798" s="6"/>
      <c r="K798" s="6"/>
      <c r="L798" s="6"/>
      <c r="M798" s="6"/>
    </row>
    <row r="799" spans="1:13" ht="13">
      <c r="A799" s="16"/>
      <c r="B799" s="6"/>
      <c r="C799" s="6"/>
      <c r="D799" s="6"/>
      <c r="E799" s="6"/>
      <c r="F799" s="6"/>
      <c r="G799" s="6"/>
      <c r="H799" s="16"/>
      <c r="I799" s="16"/>
      <c r="J799" s="6"/>
      <c r="K799" s="6"/>
      <c r="L799" s="6"/>
      <c r="M799" s="6"/>
    </row>
    <row r="800" spans="1:13" ht="13">
      <c r="A800" s="16"/>
      <c r="B800" s="6"/>
      <c r="C800" s="6"/>
      <c r="D800" s="6"/>
      <c r="E800" s="6"/>
      <c r="F800" s="6"/>
      <c r="G800" s="6"/>
      <c r="H800" s="16"/>
      <c r="I800" s="16"/>
      <c r="J800" s="6"/>
      <c r="K800" s="6"/>
      <c r="L800" s="6"/>
      <c r="M800" s="6"/>
    </row>
    <row r="801" spans="1:13" ht="13">
      <c r="A801" s="16"/>
      <c r="B801" s="6"/>
      <c r="C801" s="6"/>
      <c r="D801" s="6"/>
      <c r="E801" s="6"/>
      <c r="F801" s="6"/>
      <c r="G801" s="6"/>
      <c r="H801" s="16"/>
      <c r="I801" s="16"/>
      <c r="J801" s="6"/>
      <c r="K801" s="6"/>
      <c r="L801" s="6"/>
      <c r="M801" s="6"/>
    </row>
    <row r="802" spans="1:13" ht="13">
      <c r="A802" s="16"/>
      <c r="B802" s="6"/>
      <c r="C802" s="6"/>
      <c r="D802" s="6"/>
      <c r="E802" s="6"/>
      <c r="F802" s="6"/>
      <c r="G802" s="6"/>
      <c r="H802" s="16"/>
      <c r="I802" s="16"/>
      <c r="J802" s="6"/>
      <c r="K802" s="6"/>
      <c r="L802" s="6"/>
      <c r="M802" s="6"/>
    </row>
    <row r="803" spans="1:13" ht="13">
      <c r="A803" s="16"/>
      <c r="B803" s="6"/>
      <c r="C803" s="6"/>
      <c r="D803" s="6"/>
      <c r="E803" s="6"/>
      <c r="F803" s="6"/>
      <c r="G803" s="6"/>
      <c r="H803" s="16"/>
      <c r="I803" s="16"/>
      <c r="J803" s="6"/>
      <c r="K803" s="6"/>
      <c r="L803" s="6"/>
      <c r="M803" s="6"/>
    </row>
    <row r="804" spans="1:13" ht="13">
      <c r="A804" s="16"/>
      <c r="B804" s="6"/>
      <c r="C804" s="6"/>
      <c r="D804" s="6"/>
      <c r="E804" s="6"/>
      <c r="F804" s="6"/>
      <c r="G804" s="6"/>
      <c r="H804" s="16"/>
      <c r="I804" s="16"/>
      <c r="J804" s="6"/>
      <c r="K804" s="6"/>
      <c r="L804" s="6"/>
      <c r="M804" s="6"/>
    </row>
    <row r="805" spans="1:13" ht="13">
      <c r="A805" s="16"/>
      <c r="B805" s="6"/>
      <c r="C805" s="6"/>
      <c r="D805" s="6"/>
      <c r="E805" s="6"/>
      <c r="F805" s="6"/>
      <c r="G805" s="6"/>
      <c r="H805" s="16"/>
      <c r="I805" s="16"/>
      <c r="J805" s="6"/>
      <c r="K805" s="6"/>
      <c r="L805" s="6"/>
      <c r="M805" s="6"/>
    </row>
    <row r="806" spans="1:13" ht="13">
      <c r="A806" s="16"/>
      <c r="B806" s="6"/>
      <c r="C806" s="6"/>
      <c r="D806" s="6"/>
      <c r="E806" s="6"/>
      <c r="F806" s="6"/>
      <c r="G806" s="6"/>
      <c r="H806" s="16"/>
      <c r="I806" s="16"/>
      <c r="J806" s="6"/>
      <c r="K806" s="6"/>
      <c r="L806" s="6"/>
      <c r="M806" s="6"/>
    </row>
    <row r="807" spans="1:13" ht="13">
      <c r="A807" s="16"/>
      <c r="B807" s="6"/>
      <c r="C807" s="6"/>
      <c r="D807" s="6"/>
      <c r="E807" s="6"/>
      <c r="F807" s="6"/>
      <c r="G807" s="6"/>
      <c r="H807" s="16"/>
      <c r="I807" s="16"/>
      <c r="J807" s="6"/>
      <c r="K807" s="6"/>
      <c r="L807" s="6"/>
      <c r="M807" s="6"/>
    </row>
    <row r="808" spans="1:13" ht="13">
      <c r="A808" s="16"/>
      <c r="B808" s="6"/>
      <c r="C808" s="6"/>
      <c r="D808" s="6"/>
      <c r="E808" s="6"/>
      <c r="F808" s="6"/>
      <c r="G808" s="6"/>
      <c r="H808" s="16"/>
      <c r="I808" s="16"/>
      <c r="J808" s="6"/>
      <c r="K808" s="6"/>
      <c r="L808" s="6"/>
      <c r="M808" s="6"/>
    </row>
    <row r="809" spans="1:13" ht="13">
      <c r="A809" s="16"/>
      <c r="B809" s="6"/>
      <c r="C809" s="6"/>
      <c r="D809" s="6"/>
      <c r="E809" s="6"/>
      <c r="F809" s="6"/>
      <c r="G809" s="6"/>
      <c r="H809" s="16"/>
      <c r="I809" s="16"/>
      <c r="J809" s="6"/>
      <c r="K809" s="6"/>
      <c r="L809" s="6"/>
      <c r="M809" s="6"/>
    </row>
    <row r="810" spans="1:13" ht="13">
      <c r="A810" s="16"/>
      <c r="B810" s="6"/>
      <c r="C810" s="6"/>
      <c r="D810" s="6"/>
      <c r="E810" s="6"/>
      <c r="F810" s="6"/>
      <c r="G810" s="6"/>
      <c r="H810" s="16"/>
      <c r="I810" s="16"/>
      <c r="J810" s="6"/>
      <c r="K810" s="6"/>
      <c r="L810" s="6"/>
      <c r="M810" s="6"/>
    </row>
    <row r="811" spans="1:13" ht="13">
      <c r="A811" s="16"/>
      <c r="B811" s="6"/>
      <c r="C811" s="6"/>
      <c r="D811" s="6"/>
      <c r="E811" s="6"/>
      <c r="F811" s="6"/>
      <c r="G811" s="6"/>
      <c r="H811" s="16"/>
      <c r="I811" s="16"/>
      <c r="J811" s="6"/>
      <c r="K811" s="6"/>
      <c r="L811" s="6"/>
      <c r="M811" s="6"/>
    </row>
    <row r="812" spans="1:13" ht="13">
      <c r="A812" s="16"/>
      <c r="B812" s="6"/>
      <c r="C812" s="6"/>
      <c r="D812" s="6"/>
      <c r="E812" s="6"/>
      <c r="F812" s="6"/>
      <c r="G812" s="6"/>
      <c r="H812" s="16"/>
      <c r="I812" s="16"/>
      <c r="J812" s="6"/>
      <c r="K812" s="6"/>
      <c r="L812" s="6"/>
      <c r="M812" s="6"/>
    </row>
    <row r="813" spans="1:13" ht="13">
      <c r="A813" s="16"/>
      <c r="B813" s="6"/>
      <c r="C813" s="6"/>
      <c r="D813" s="6"/>
      <c r="E813" s="6"/>
      <c r="F813" s="6"/>
      <c r="G813" s="6"/>
      <c r="H813" s="16"/>
      <c r="I813" s="16"/>
      <c r="J813" s="6"/>
      <c r="K813" s="6"/>
      <c r="L813" s="6"/>
      <c r="M813" s="6"/>
    </row>
    <row r="814" spans="1:13" ht="13">
      <c r="A814" s="16"/>
      <c r="B814" s="6"/>
      <c r="C814" s="6"/>
      <c r="D814" s="6"/>
      <c r="E814" s="6"/>
      <c r="F814" s="6"/>
      <c r="G814" s="6"/>
      <c r="H814" s="16"/>
      <c r="I814" s="16"/>
      <c r="J814" s="6"/>
      <c r="K814" s="6"/>
      <c r="L814" s="6"/>
      <c r="M814" s="6"/>
    </row>
    <row r="815" spans="1:13" ht="13">
      <c r="A815" s="16"/>
      <c r="B815" s="6"/>
      <c r="C815" s="6"/>
      <c r="D815" s="6"/>
      <c r="E815" s="6"/>
      <c r="F815" s="6"/>
      <c r="G815" s="6"/>
      <c r="H815" s="16"/>
      <c r="I815" s="16"/>
      <c r="J815" s="6"/>
      <c r="K815" s="6"/>
      <c r="L815" s="6"/>
      <c r="M815" s="6"/>
    </row>
    <row r="816" spans="1:13" ht="13">
      <c r="A816" s="16"/>
      <c r="B816" s="6"/>
      <c r="C816" s="6"/>
      <c r="D816" s="6"/>
      <c r="E816" s="6"/>
      <c r="F816" s="6"/>
      <c r="G816" s="6"/>
      <c r="H816" s="16"/>
      <c r="I816" s="16"/>
      <c r="J816" s="6"/>
      <c r="K816" s="6"/>
      <c r="L816" s="6"/>
      <c r="M816" s="6"/>
    </row>
    <row r="817" spans="1:13" ht="13">
      <c r="A817" s="16"/>
      <c r="B817" s="6"/>
      <c r="C817" s="6"/>
      <c r="D817" s="6"/>
      <c r="E817" s="6"/>
      <c r="F817" s="6"/>
      <c r="G817" s="6"/>
      <c r="H817" s="16"/>
      <c r="I817" s="16"/>
      <c r="J817" s="6"/>
      <c r="K817" s="6"/>
      <c r="L817" s="6"/>
      <c r="M817" s="6"/>
    </row>
    <row r="818" spans="1:13" ht="13">
      <c r="A818" s="16"/>
      <c r="B818" s="6"/>
      <c r="C818" s="6"/>
      <c r="D818" s="6"/>
      <c r="E818" s="6"/>
      <c r="F818" s="6"/>
      <c r="G818" s="6"/>
      <c r="H818" s="16"/>
      <c r="I818" s="16"/>
      <c r="J818" s="6"/>
      <c r="K818" s="6"/>
      <c r="L818" s="6"/>
      <c r="M818" s="6"/>
    </row>
    <row r="819" spans="1:13" ht="13">
      <c r="A819" s="16"/>
      <c r="B819" s="6"/>
      <c r="C819" s="6"/>
      <c r="D819" s="6"/>
      <c r="E819" s="6"/>
      <c r="F819" s="6"/>
      <c r="G819" s="6"/>
      <c r="H819" s="16"/>
      <c r="I819" s="16"/>
      <c r="J819" s="6"/>
      <c r="K819" s="6"/>
      <c r="L819" s="6"/>
      <c r="M819" s="6"/>
    </row>
    <row r="820" spans="1:13" ht="13">
      <c r="A820" s="16"/>
      <c r="B820" s="6"/>
      <c r="C820" s="6"/>
      <c r="D820" s="6"/>
      <c r="E820" s="6"/>
      <c r="F820" s="6"/>
      <c r="G820" s="6"/>
      <c r="H820" s="16"/>
      <c r="I820" s="16"/>
      <c r="J820" s="6"/>
      <c r="K820" s="6"/>
      <c r="L820" s="6"/>
      <c r="M820" s="6"/>
    </row>
    <row r="821" spans="1:13" ht="13">
      <c r="A821" s="16"/>
      <c r="B821" s="6"/>
      <c r="C821" s="6"/>
      <c r="D821" s="6"/>
      <c r="E821" s="6"/>
      <c r="F821" s="6"/>
      <c r="G821" s="6"/>
      <c r="H821" s="16"/>
      <c r="I821" s="16"/>
      <c r="J821" s="6"/>
      <c r="K821" s="6"/>
      <c r="L821" s="6"/>
      <c r="M821" s="6"/>
    </row>
    <row r="822" spans="1:13" ht="13">
      <c r="A822" s="16"/>
      <c r="B822" s="6"/>
      <c r="C822" s="6"/>
      <c r="D822" s="6"/>
      <c r="E822" s="6"/>
      <c r="F822" s="6"/>
      <c r="G822" s="6"/>
      <c r="H822" s="16"/>
      <c r="I822" s="16"/>
      <c r="J822" s="6"/>
      <c r="K822" s="6"/>
      <c r="L822" s="6"/>
      <c r="M822" s="6"/>
    </row>
    <row r="823" spans="1:13" ht="13">
      <c r="A823" s="16"/>
      <c r="B823" s="6"/>
      <c r="C823" s="6"/>
      <c r="D823" s="6"/>
      <c r="E823" s="6"/>
      <c r="F823" s="6"/>
      <c r="G823" s="6"/>
      <c r="H823" s="16"/>
      <c r="I823" s="16"/>
      <c r="J823" s="6"/>
      <c r="K823" s="6"/>
      <c r="L823" s="6"/>
      <c r="M823" s="6"/>
    </row>
    <row r="824" spans="1:13" ht="13">
      <c r="A824" s="16"/>
      <c r="B824" s="6"/>
      <c r="C824" s="6"/>
      <c r="D824" s="6"/>
      <c r="E824" s="6"/>
      <c r="F824" s="6"/>
      <c r="G824" s="6"/>
      <c r="H824" s="16"/>
      <c r="I824" s="16"/>
      <c r="J824" s="6"/>
      <c r="K824" s="6"/>
      <c r="L824" s="6"/>
      <c r="M824" s="6"/>
    </row>
    <row r="825" spans="1:13" ht="13">
      <c r="A825" s="16"/>
      <c r="B825" s="6"/>
      <c r="C825" s="6"/>
      <c r="D825" s="6"/>
      <c r="E825" s="6"/>
      <c r="F825" s="6"/>
      <c r="G825" s="6"/>
      <c r="H825" s="16"/>
      <c r="I825" s="16"/>
      <c r="J825" s="6"/>
      <c r="K825" s="6"/>
      <c r="L825" s="6"/>
      <c r="M825" s="6"/>
    </row>
    <row r="826" spans="1:13" ht="13">
      <c r="A826" s="16"/>
      <c r="B826" s="6"/>
      <c r="C826" s="6"/>
      <c r="D826" s="6"/>
      <c r="E826" s="6"/>
      <c r="F826" s="6"/>
      <c r="G826" s="6"/>
      <c r="H826" s="16"/>
      <c r="I826" s="16"/>
      <c r="J826" s="6"/>
      <c r="K826" s="6"/>
      <c r="L826" s="6"/>
      <c r="M826" s="6"/>
    </row>
    <row r="827" spans="1:13" ht="13">
      <c r="A827" s="16"/>
      <c r="B827" s="6"/>
      <c r="C827" s="6"/>
      <c r="D827" s="6"/>
      <c r="E827" s="6"/>
      <c r="F827" s="6"/>
      <c r="G827" s="6"/>
      <c r="H827" s="16"/>
      <c r="I827" s="16"/>
      <c r="J827" s="6"/>
      <c r="K827" s="6"/>
      <c r="L827" s="6"/>
      <c r="M827" s="6"/>
    </row>
    <row r="828" spans="1:13" ht="13">
      <c r="A828" s="16"/>
      <c r="B828" s="6"/>
      <c r="C828" s="6"/>
      <c r="D828" s="6"/>
      <c r="E828" s="6"/>
      <c r="F828" s="6"/>
      <c r="G828" s="6"/>
      <c r="H828" s="16"/>
      <c r="I828" s="16"/>
      <c r="J828" s="6"/>
      <c r="K828" s="6"/>
      <c r="L828" s="6"/>
      <c r="M828" s="6"/>
    </row>
    <row r="829" spans="1:13" ht="13">
      <c r="A829" s="16"/>
      <c r="B829" s="6"/>
      <c r="C829" s="6"/>
      <c r="D829" s="6"/>
      <c r="E829" s="6"/>
      <c r="F829" s="6"/>
      <c r="G829" s="6"/>
      <c r="H829" s="16"/>
      <c r="I829" s="16"/>
      <c r="J829" s="6"/>
      <c r="K829" s="6"/>
      <c r="L829" s="6"/>
      <c r="M829" s="6"/>
    </row>
    <row r="830" spans="1:13" ht="13">
      <c r="A830" s="16"/>
      <c r="B830" s="6"/>
      <c r="C830" s="6"/>
      <c r="D830" s="6"/>
      <c r="E830" s="6"/>
      <c r="F830" s="6"/>
      <c r="G830" s="6"/>
      <c r="H830" s="16"/>
      <c r="I830" s="16"/>
      <c r="J830" s="6"/>
      <c r="K830" s="6"/>
      <c r="L830" s="6"/>
      <c r="M830" s="6"/>
    </row>
    <row r="831" spans="1:13" ht="13">
      <c r="A831" s="16"/>
      <c r="B831" s="6"/>
      <c r="C831" s="6"/>
      <c r="D831" s="6"/>
      <c r="E831" s="6"/>
      <c r="F831" s="6"/>
      <c r="G831" s="6"/>
      <c r="H831" s="16"/>
      <c r="I831" s="16"/>
      <c r="J831" s="6"/>
      <c r="K831" s="6"/>
      <c r="L831" s="6"/>
      <c r="M831" s="6"/>
    </row>
    <row r="832" spans="1:13" ht="13">
      <c r="A832" s="16"/>
      <c r="B832" s="6"/>
      <c r="C832" s="6"/>
      <c r="D832" s="6"/>
      <c r="E832" s="6"/>
      <c r="F832" s="6"/>
      <c r="G832" s="6"/>
      <c r="H832" s="16"/>
      <c r="I832" s="16"/>
      <c r="J832" s="6"/>
      <c r="K832" s="6"/>
      <c r="L832" s="6"/>
      <c r="M832" s="6"/>
    </row>
    <row r="833" spans="1:13" ht="13">
      <c r="A833" s="16"/>
      <c r="B833" s="6"/>
      <c r="C833" s="6"/>
      <c r="D833" s="6"/>
      <c r="E833" s="6"/>
      <c r="F833" s="6"/>
      <c r="G833" s="6"/>
      <c r="H833" s="16"/>
      <c r="I833" s="16"/>
      <c r="J833" s="6"/>
      <c r="K833" s="6"/>
      <c r="L833" s="6"/>
      <c r="M833" s="6"/>
    </row>
    <row r="834" spans="1:13" ht="13">
      <c r="A834" s="16"/>
      <c r="B834" s="6"/>
      <c r="C834" s="6"/>
      <c r="D834" s="6"/>
      <c r="E834" s="6"/>
      <c r="F834" s="6"/>
      <c r="G834" s="6"/>
      <c r="H834" s="16"/>
      <c r="I834" s="16"/>
      <c r="J834" s="6"/>
      <c r="K834" s="6"/>
      <c r="L834" s="6"/>
      <c r="M834" s="6"/>
    </row>
    <row r="835" spans="1:13" ht="13">
      <c r="A835" s="16"/>
      <c r="B835" s="6"/>
      <c r="C835" s="6"/>
      <c r="D835" s="6"/>
      <c r="E835" s="6"/>
      <c r="F835" s="6"/>
      <c r="G835" s="6"/>
      <c r="H835" s="16"/>
      <c r="I835" s="16"/>
      <c r="J835" s="6"/>
      <c r="K835" s="6"/>
      <c r="L835" s="6"/>
      <c r="M835" s="6"/>
    </row>
    <row r="836" spans="1:13" ht="13">
      <c r="A836" s="16"/>
      <c r="B836" s="6"/>
      <c r="C836" s="6"/>
      <c r="D836" s="6"/>
      <c r="E836" s="6"/>
      <c r="F836" s="6"/>
      <c r="G836" s="6"/>
      <c r="H836" s="16"/>
      <c r="I836" s="16"/>
      <c r="J836" s="6"/>
      <c r="K836" s="6"/>
      <c r="L836" s="6"/>
      <c r="M836" s="6"/>
    </row>
    <row r="837" spans="1:13" ht="13">
      <c r="A837" s="16"/>
      <c r="B837" s="6"/>
      <c r="C837" s="6"/>
      <c r="D837" s="6"/>
      <c r="E837" s="6"/>
      <c r="F837" s="6"/>
      <c r="G837" s="6"/>
      <c r="H837" s="16"/>
      <c r="I837" s="16"/>
      <c r="J837" s="6"/>
      <c r="K837" s="6"/>
      <c r="L837" s="6"/>
      <c r="M837" s="6"/>
    </row>
    <row r="838" spans="1:13" ht="13">
      <c r="A838" s="16"/>
      <c r="B838" s="6"/>
      <c r="C838" s="6"/>
      <c r="D838" s="6"/>
      <c r="E838" s="6"/>
      <c r="F838" s="6"/>
      <c r="G838" s="6"/>
      <c r="H838" s="16"/>
      <c r="I838" s="16"/>
      <c r="J838" s="6"/>
      <c r="K838" s="6"/>
      <c r="L838" s="6"/>
      <c r="M838" s="6"/>
    </row>
    <row r="839" spans="1:13" ht="13">
      <c r="A839" s="16"/>
      <c r="B839" s="6"/>
      <c r="C839" s="6"/>
      <c r="D839" s="6"/>
      <c r="E839" s="6"/>
      <c r="F839" s="6"/>
      <c r="G839" s="6"/>
      <c r="H839" s="16"/>
      <c r="I839" s="16"/>
      <c r="J839" s="6"/>
      <c r="K839" s="6"/>
      <c r="L839" s="6"/>
      <c r="M839" s="6"/>
    </row>
    <row r="840" spans="1:13" ht="13">
      <c r="A840" s="16"/>
      <c r="B840" s="6"/>
      <c r="C840" s="6"/>
      <c r="D840" s="6"/>
      <c r="E840" s="6"/>
      <c r="F840" s="6"/>
      <c r="G840" s="6"/>
      <c r="H840" s="16"/>
      <c r="I840" s="16"/>
      <c r="J840" s="6"/>
      <c r="K840" s="6"/>
      <c r="L840" s="6"/>
      <c r="M840" s="6"/>
    </row>
    <row r="841" spans="1:13" ht="13">
      <c r="A841" s="16"/>
      <c r="B841" s="6"/>
      <c r="C841" s="6"/>
      <c r="D841" s="6"/>
      <c r="E841" s="6"/>
      <c r="F841" s="6"/>
      <c r="G841" s="6"/>
      <c r="H841" s="16"/>
      <c r="I841" s="16"/>
      <c r="J841" s="6"/>
      <c r="K841" s="6"/>
      <c r="L841" s="6"/>
      <c r="M841" s="6"/>
    </row>
    <row r="842" spans="1:13" ht="13">
      <c r="A842" s="16"/>
      <c r="B842" s="6"/>
      <c r="C842" s="6"/>
      <c r="D842" s="6"/>
      <c r="E842" s="6"/>
      <c r="F842" s="6"/>
      <c r="G842" s="6"/>
      <c r="H842" s="16"/>
      <c r="I842" s="16"/>
      <c r="J842" s="6"/>
      <c r="K842" s="6"/>
      <c r="L842" s="6"/>
      <c r="M842" s="6"/>
    </row>
    <row r="843" spans="1:13" ht="13">
      <c r="A843" s="16"/>
      <c r="B843" s="6"/>
      <c r="C843" s="6"/>
      <c r="D843" s="6"/>
      <c r="E843" s="6"/>
      <c r="F843" s="6"/>
      <c r="G843" s="6"/>
      <c r="H843" s="16"/>
      <c r="I843" s="16"/>
      <c r="J843" s="6"/>
      <c r="K843" s="6"/>
      <c r="L843" s="6"/>
      <c r="M843" s="6"/>
    </row>
    <row r="844" spans="1:13" ht="13">
      <c r="A844" s="16"/>
      <c r="B844" s="6"/>
      <c r="C844" s="6"/>
      <c r="D844" s="6"/>
      <c r="E844" s="6"/>
      <c r="F844" s="6"/>
      <c r="G844" s="6"/>
      <c r="H844" s="16"/>
      <c r="I844" s="16"/>
      <c r="J844" s="6"/>
      <c r="K844" s="6"/>
      <c r="L844" s="6"/>
      <c r="M844" s="6"/>
    </row>
    <row r="845" spans="1:13" ht="13">
      <c r="A845" s="16"/>
      <c r="B845" s="6"/>
      <c r="C845" s="6"/>
      <c r="D845" s="6"/>
      <c r="E845" s="6"/>
      <c r="F845" s="6"/>
      <c r="G845" s="6"/>
      <c r="H845" s="16"/>
      <c r="I845" s="16"/>
      <c r="J845" s="6"/>
      <c r="K845" s="6"/>
      <c r="L845" s="6"/>
      <c r="M845" s="6"/>
    </row>
    <row r="846" spans="1:13" ht="13">
      <c r="A846" s="16"/>
      <c r="B846" s="6"/>
      <c r="C846" s="6"/>
      <c r="D846" s="6"/>
      <c r="E846" s="6"/>
      <c r="F846" s="6"/>
      <c r="G846" s="6"/>
      <c r="H846" s="16"/>
      <c r="I846" s="16"/>
      <c r="J846" s="6"/>
      <c r="K846" s="6"/>
      <c r="L846" s="6"/>
      <c r="M846" s="6"/>
    </row>
    <row r="847" spans="1:13" ht="13">
      <c r="A847" s="16"/>
      <c r="B847" s="6"/>
      <c r="C847" s="6"/>
      <c r="D847" s="6"/>
      <c r="E847" s="6"/>
      <c r="F847" s="6"/>
      <c r="G847" s="6"/>
      <c r="H847" s="16"/>
      <c r="I847" s="16"/>
      <c r="J847" s="6"/>
      <c r="K847" s="6"/>
      <c r="L847" s="6"/>
      <c r="M847" s="6"/>
    </row>
    <row r="848" spans="1:13" ht="13">
      <c r="A848" s="16"/>
      <c r="B848" s="6"/>
      <c r="C848" s="6"/>
      <c r="D848" s="6"/>
      <c r="E848" s="6"/>
      <c r="F848" s="6"/>
      <c r="G848" s="6"/>
      <c r="H848" s="16"/>
      <c r="I848" s="16"/>
      <c r="J848" s="6"/>
      <c r="K848" s="6"/>
      <c r="L848" s="6"/>
      <c r="M848" s="6"/>
    </row>
    <row r="849" spans="1:13" ht="13">
      <c r="A849" s="16"/>
      <c r="B849" s="6"/>
      <c r="C849" s="6"/>
      <c r="D849" s="6"/>
      <c r="E849" s="6"/>
      <c r="F849" s="6"/>
      <c r="G849" s="6"/>
      <c r="H849" s="16"/>
      <c r="I849" s="16"/>
      <c r="J849" s="6"/>
      <c r="K849" s="6"/>
      <c r="L849" s="6"/>
      <c r="M849" s="6"/>
    </row>
    <row r="850" spans="1:13" ht="13">
      <c r="A850" s="16"/>
      <c r="B850" s="6"/>
      <c r="C850" s="6"/>
      <c r="D850" s="6"/>
      <c r="E850" s="6"/>
      <c r="F850" s="6"/>
      <c r="G850" s="6"/>
      <c r="H850" s="16"/>
      <c r="I850" s="16"/>
      <c r="J850" s="6"/>
      <c r="K850" s="6"/>
      <c r="L850" s="6"/>
      <c r="M850" s="6"/>
    </row>
    <row r="851" spans="1:13" ht="13">
      <c r="A851" s="16"/>
      <c r="B851" s="6"/>
      <c r="C851" s="6"/>
      <c r="D851" s="6"/>
      <c r="E851" s="6"/>
      <c r="F851" s="6"/>
      <c r="G851" s="6"/>
      <c r="H851" s="16"/>
      <c r="I851" s="16"/>
      <c r="J851" s="6"/>
      <c r="K851" s="6"/>
      <c r="L851" s="6"/>
      <c r="M851" s="6"/>
    </row>
    <row r="852" spans="1:13" ht="13">
      <c r="A852" s="16"/>
      <c r="B852" s="6"/>
      <c r="C852" s="6"/>
      <c r="D852" s="6"/>
      <c r="E852" s="6"/>
      <c r="F852" s="6"/>
      <c r="G852" s="6"/>
      <c r="H852" s="16"/>
      <c r="I852" s="16"/>
      <c r="J852" s="6"/>
      <c r="K852" s="6"/>
      <c r="L852" s="6"/>
      <c r="M852" s="6"/>
    </row>
    <row r="853" spans="1:13" ht="13">
      <c r="A853" s="16"/>
      <c r="B853" s="6"/>
      <c r="C853" s="6"/>
      <c r="D853" s="6"/>
      <c r="E853" s="6"/>
      <c r="F853" s="6"/>
      <c r="G853" s="6"/>
      <c r="H853" s="16"/>
      <c r="I853" s="16"/>
      <c r="J853" s="6"/>
      <c r="K853" s="6"/>
      <c r="L853" s="6"/>
      <c r="M853" s="6"/>
    </row>
    <row r="854" spans="1:13" ht="13">
      <c r="A854" s="16"/>
      <c r="B854" s="6"/>
      <c r="C854" s="6"/>
      <c r="D854" s="6"/>
      <c r="E854" s="6"/>
      <c r="F854" s="6"/>
      <c r="G854" s="6"/>
      <c r="H854" s="16"/>
      <c r="I854" s="16"/>
      <c r="J854" s="6"/>
      <c r="K854" s="6"/>
      <c r="L854" s="6"/>
      <c r="M854" s="6"/>
    </row>
    <row r="855" spans="1:13" ht="13">
      <c r="A855" s="16"/>
      <c r="B855" s="6"/>
      <c r="C855" s="6"/>
      <c r="D855" s="6"/>
      <c r="E855" s="6"/>
      <c r="F855" s="6"/>
      <c r="G855" s="6"/>
      <c r="H855" s="16"/>
      <c r="I855" s="16"/>
      <c r="J855" s="6"/>
      <c r="K855" s="6"/>
      <c r="L855" s="6"/>
      <c r="M855" s="6"/>
    </row>
    <row r="856" spans="1:13" ht="13">
      <c r="A856" s="16"/>
      <c r="B856" s="6"/>
      <c r="C856" s="6"/>
      <c r="D856" s="6"/>
      <c r="E856" s="6"/>
      <c r="F856" s="6"/>
      <c r="G856" s="6"/>
      <c r="H856" s="16"/>
      <c r="I856" s="16"/>
      <c r="J856" s="6"/>
      <c r="K856" s="6"/>
      <c r="L856" s="6"/>
      <c r="M856" s="6"/>
    </row>
    <row r="857" spans="1:13" ht="13">
      <c r="A857" s="16"/>
      <c r="B857" s="6"/>
      <c r="C857" s="6"/>
      <c r="D857" s="6"/>
      <c r="E857" s="6"/>
      <c r="F857" s="6"/>
      <c r="G857" s="6"/>
      <c r="H857" s="16"/>
      <c r="I857" s="16"/>
      <c r="J857" s="6"/>
      <c r="K857" s="6"/>
      <c r="L857" s="6"/>
      <c r="M857" s="6"/>
    </row>
    <row r="858" spans="1:13" ht="13">
      <c r="A858" s="16"/>
      <c r="B858" s="6"/>
      <c r="C858" s="6"/>
      <c r="D858" s="6"/>
      <c r="E858" s="6"/>
      <c r="F858" s="6"/>
      <c r="G858" s="6"/>
      <c r="H858" s="16"/>
      <c r="I858" s="16"/>
      <c r="J858" s="6"/>
      <c r="K858" s="6"/>
      <c r="L858" s="6"/>
      <c r="M858" s="6"/>
    </row>
    <row r="859" spans="1:13" ht="13">
      <c r="A859" s="16"/>
      <c r="B859" s="6"/>
      <c r="C859" s="6"/>
      <c r="D859" s="6"/>
      <c r="E859" s="6"/>
      <c r="F859" s="6"/>
      <c r="G859" s="6"/>
      <c r="H859" s="16"/>
      <c r="I859" s="16"/>
      <c r="J859" s="6"/>
      <c r="K859" s="6"/>
      <c r="L859" s="6"/>
      <c r="M859" s="6"/>
    </row>
    <row r="860" spans="1:13" ht="13">
      <c r="A860" s="16"/>
      <c r="B860" s="6"/>
      <c r="C860" s="6"/>
      <c r="D860" s="6"/>
      <c r="E860" s="6"/>
      <c r="F860" s="6"/>
      <c r="G860" s="6"/>
      <c r="H860" s="16"/>
      <c r="I860" s="16"/>
      <c r="J860" s="6"/>
      <c r="K860" s="6"/>
      <c r="L860" s="6"/>
      <c r="M860" s="6"/>
    </row>
    <row r="861" spans="1:13" ht="13">
      <c r="A861" s="16"/>
      <c r="B861" s="6"/>
      <c r="C861" s="6"/>
      <c r="D861" s="6"/>
      <c r="E861" s="6"/>
      <c r="F861" s="6"/>
      <c r="G861" s="6"/>
      <c r="H861" s="16"/>
      <c r="I861" s="16"/>
      <c r="J861" s="6"/>
      <c r="K861" s="6"/>
      <c r="L861" s="6"/>
      <c r="M861" s="6"/>
    </row>
    <row r="862" spans="1:13" ht="13">
      <c r="A862" s="16"/>
      <c r="B862" s="6"/>
      <c r="C862" s="6"/>
      <c r="D862" s="6"/>
      <c r="E862" s="6"/>
      <c r="F862" s="6"/>
      <c r="G862" s="6"/>
      <c r="H862" s="16"/>
      <c r="I862" s="16"/>
      <c r="J862" s="6"/>
      <c r="K862" s="6"/>
      <c r="L862" s="6"/>
      <c r="M862" s="6"/>
    </row>
    <row r="863" spans="1:13" ht="13">
      <c r="A863" s="16"/>
      <c r="B863" s="6"/>
      <c r="C863" s="6"/>
      <c r="D863" s="6"/>
      <c r="E863" s="6"/>
      <c r="F863" s="6"/>
      <c r="G863" s="6"/>
      <c r="H863" s="16"/>
      <c r="I863" s="16"/>
      <c r="J863" s="6"/>
      <c r="K863" s="6"/>
      <c r="L863" s="6"/>
      <c r="M863" s="6"/>
    </row>
    <row r="864" spans="1:13" ht="13">
      <c r="A864" s="16"/>
      <c r="B864" s="6"/>
      <c r="C864" s="6"/>
      <c r="D864" s="6"/>
      <c r="E864" s="6"/>
      <c r="F864" s="6"/>
      <c r="G864" s="6"/>
      <c r="H864" s="16"/>
      <c r="I864" s="16"/>
      <c r="J864" s="6"/>
      <c r="K864" s="6"/>
      <c r="L864" s="6"/>
      <c r="M864" s="6"/>
    </row>
    <row r="865" spans="1:13" ht="13">
      <c r="A865" s="16"/>
      <c r="B865" s="6"/>
      <c r="C865" s="6"/>
      <c r="D865" s="6"/>
      <c r="E865" s="6"/>
      <c r="F865" s="6"/>
      <c r="G865" s="6"/>
      <c r="H865" s="16"/>
      <c r="I865" s="16"/>
      <c r="J865" s="6"/>
      <c r="K865" s="6"/>
      <c r="L865" s="6"/>
      <c r="M865" s="6"/>
    </row>
    <row r="866" spans="1:13" ht="13">
      <c r="A866" s="16"/>
      <c r="B866" s="6"/>
      <c r="C866" s="6"/>
      <c r="D866" s="6"/>
      <c r="E866" s="6"/>
      <c r="F866" s="6"/>
      <c r="G866" s="6"/>
      <c r="H866" s="16"/>
      <c r="I866" s="16"/>
      <c r="J866" s="6"/>
      <c r="K866" s="6"/>
      <c r="L866" s="6"/>
      <c r="M866" s="6"/>
    </row>
    <row r="867" spans="1:13" ht="13">
      <c r="A867" s="16"/>
      <c r="B867" s="6"/>
      <c r="C867" s="6"/>
      <c r="D867" s="6"/>
      <c r="E867" s="6"/>
      <c r="F867" s="6"/>
      <c r="G867" s="6"/>
      <c r="H867" s="16"/>
      <c r="I867" s="16"/>
      <c r="J867" s="6"/>
      <c r="K867" s="6"/>
      <c r="L867" s="6"/>
      <c r="M867" s="6"/>
    </row>
    <row r="868" spans="1:13" ht="13">
      <c r="A868" s="16"/>
      <c r="B868" s="6"/>
      <c r="C868" s="6"/>
      <c r="D868" s="6"/>
      <c r="E868" s="6"/>
      <c r="F868" s="6"/>
      <c r="G868" s="6"/>
      <c r="H868" s="16"/>
      <c r="I868" s="16"/>
      <c r="J868" s="6"/>
      <c r="K868" s="6"/>
      <c r="L868" s="6"/>
      <c r="M868" s="6"/>
    </row>
    <row r="869" spans="1:13" ht="13">
      <c r="A869" s="16"/>
      <c r="B869" s="6"/>
      <c r="C869" s="6"/>
      <c r="D869" s="6"/>
      <c r="E869" s="6"/>
      <c r="F869" s="6"/>
      <c r="G869" s="6"/>
      <c r="H869" s="16"/>
      <c r="I869" s="16"/>
      <c r="J869" s="6"/>
      <c r="K869" s="6"/>
      <c r="L869" s="6"/>
      <c r="M869" s="6"/>
    </row>
    <row r="870" spans="1:13" ht="13">
      <c r="A870" s="16"/>
      <c r="B870" s="6"/>
      <c r="C870" s="6"/>
      <c r="D870" s="6"/>
      <c r="E870" s="6"/>
      <c r="F870" s="6"/>
      <c r="G870" s="6"/>
      <c r="H870" s="16"/>
      <c r="I870" s="16"/>
      <c r="J870" s="6"/>
      <c r="K870" s="6"/>
      <c r="L870" s="6"/>
      <c r="M870" s="6"/>
    </row>
    <row r="871" spans="1:13" ht="13">
      <c r="A871" s="16"/>
      <c r="B871" s="6"/>
      <c r="C871" s="6"/>
      <c r="D871" s="6"/>
      <c r="E871" s="6"/>
      <c r="F871" s="6"/>
      <c r="G871" s="6"/>
      <c r="H871" s="16"/>
      <c r="I871" s="16"/>
      <c r="J871" s="6"/>
      <c r="K871" s="6"/>
      <c r="L871" s="6"/>
      <c r="M871" s="6"/>
    </row>
    <row r="872" spans="1:13" ht="13">
      <c r="A872" s="16"/>
      <c r="B872" s="6"/>
      <c r="C872" s="6"/>
      <c r="D872" s="6"/>
      <c r="E872" s="6"/>
      <c r="F872" s="6"/>
      <c r="G872" s="6"/>
      <c r="H872" s="16"/>
      <c r="I872" s="16"/>
      <c r="J872" s="6"/>
      <c r="K872" s="6"/>
      <c r="L872" s="6"/>
      <c r="M872" s="6"/>
    </row>
    <row r="873" spans="1:13" ht="13">
      <c r="A873" s="16"/>
      <c r="B873" s="6"/>
      <c r="C873" s="6"/>
      <c r="D873" s="6"/>
      <c r="E873" s="6"/>
      <c r="F873" s="6"/>
      <c r="G873" s="6"/>
      <c r="H873" s="16"/>
      <c r="I873" s="16"/>
      <c r="J873" s="6"/>
      <c r="K873" s="6"/>
      <c r="L873" s="6"/>
      <c r="M873" s="6"/>
    </row>
    <row r="874" spans="1:13" ht="13">
      <c r="A874" s="16"/>
      <c r="B874" s="6"/>
      <c r="C874" s="6"/>
      <c r="D874" s="6"/>
      <c r="E874" s="6"/>
      <c r="F874" s="6"/>
      <c r="G874" s="6"/>
      <c r="H874" s="16"/>
      <c r="I874" s="16"/>
      <c r="J874" s="6"/>
      <c r="K874" s="6"/>
      <c r="L874" s="6"/>
      <c r="M874" s="6"/>
    </row>
    <row r="875" spans="1:13" ht="13">
      <c r="A875" s="16"/>
      <c r="B875" s="6"/>
      <c r="C875" s="6"/>
      <c r="D875" s="6"/>
      <c r="E875" s="6"/>
      <c r="F875" s="6"/>
      <c r="G875" s="6"/>
      <c r="H875" s="16"/>
      <c r="I875" s="16"/>
      <c r="J875" s="6"/>
      <c r="K875" s="6"/>
      <c r="L875" s="6"/>
      <c r="M875" s="6"/>
    </row>
    <row r="876" spans="1:13" ht="13">
      <c r="A876" s="16"/>
      <c r="B876" s="6"/>
      <c r="C876" s="6"/>
      <c r="D876" s="6"/>
      <c r="E876" s="6"/>
      <c r="F876" s="6"/>
      <c r="G876" s="6"/>
      <c r="H876" s="16"/>
      <c r="I876" s="16"/>
      <c r="J876" s="6"/>
      <c r="K876" s="6"/>
      <c r="L876" s="6"/>
      <c r="M876" s="6"/>
    </row>
    <row r="877" spans="1:13" ht="13">
      <c r="A877" s="16"/>
      <c r="B877" s="6"/>
      <c r="C877" s="6"/>
      <c r="D877" s="6"/>
      <c r="E877" s="6"/>
      <c r="F877" s="6"/>
      <c r="G877" s="6"/>
      <c r="H877" s="16"/>
      <c r="I877" s="16"/>
      <c r="J877" s="6"/>
      <c r="K877" s="6"/>
      <c r="L877" s="6"/>
      <c r="M877" s="6"/>
    </row>
    <row r="878" spans="1:13" ht="13">
      <c r="A878" s="16"/>
      <c r="B878" s="6"/>
      <c r="C878" s="6"/>
      <c r="D878" s="6"/>
      <c r="E878" s="6"/>
      <c r="F878" s="6"/>
      <c r="G878" s="6"/>
      <c r="H878" s="16"/>
      <c r="I878" s="16"/>
      <c r="J878" s="6"/>
      <c r="K878" s="6"/>
      <c r="L878" s="6"/>
      <c r="M878" s="6"/>
    </row>
    <row r="879" spans="1:13" ht="13">
      <c r="A879" s="16"/>
      <c r="B879" s="6"/>
      <c r="C879" s="6"/>
      <c r="D879" s="6"/>
      <c r="E879" s="6"/>
      <c r="F879" s="6"/>
      <c r="G879" s="6"/>
      <c r="H879" s="16"/>
      <c r="I879" s="16"/>
      <c r="J879" s="6"/>
      <c r="K879" s="6"/>
      <c r="L879" s="6"/>
      <c r="M879" s="6"/>
    </row>
    <row r="880" spans="1:13" ht="13">
      <c r="A880" s="16"/>
      <c r="B880" s="6"/>
      <c r="C880" s="6"/>
      <c r="D880" s="6"/>
      <c r="E880" s="6"/>
      <c r="F880" s="6"/>
      <c r="G880" s="6"/>
      <c r="H880" s="16"/>
      <c r="I880" s="16"/>
      <c r="J880" s="6"/>
      <c r="K880" s="6"/>
      <c r="L880" s="6"/>
      <c r="M880" s="6"/>
    </row>
    <row r="881" spans="1:13" ht="13">
      <c r="A881" s="16"/>
      <c r="B881" s="6"/>
      <c r="C881" s="6"/>
      <c r="D881" s="6"/>
      <c r="E881" s="6"/>
      <c r="F881" s="6"/>
      <c r="G881" s="6"/>
      <c r="H881" s="16"/>
      <c r="I881" s="16"/>
      <c r="J881" s="6"/>
      <c r="K881" s="6"/>
      <c r="L881" s="6"/>
      <c r="M881" s="6"/>
    </row>
    <row r="882" spans="1:13" ht="13">
      <c r="A882" s="16"/>
      <c r="B882" s="6"/>
      <c r="C882" s="6"/>
      <c r="D882" s="6"/>
      <c r="E882" s="6"/>
      <c r="F882" s="6"/>
      <c r="G882" s="6"/>
      <c r="H882" s="16"/>
      <c r="I882" s="16"/>
      <c r="J882" s="6"/>
      <c r="K882" s="6"/>
      <c r="L882" s="6"/>
      <c r="M882" s="6"/>
    </row>
    <row r="883" spans="1:13" ht="13">
      <c r="A883" s="16"/>
      <c r="B883" s="6"/>
      <c r="C883" s="6"/>
      <c r="D883" s="6"/>
      <c r="E883" s="6"/>
      <c r="F883" s="6"/>
      <c r="G883" s="6"/>
      <c r="H883" s="16"/>
      <c r="I883" s="16"/>
      <c r="J883" s="6"/>
      <c r="K883" s="6"/>
      <c r="L883" s="6"/>
      <c r="M883" s="6"/>
    </row>
    <row r="884" spans="1:13" ht="13">
      <c r="A884" s="16"/>
      <c r="B884" s="6"/>
      <c r="C884" s="6"/>
      <c r="D884" s="6"/>
      <c r="E884" s="6"/>
      <c r="F884" s="6"/>
      <c r="G884" s="6"/>
      <c r="H884" s="16"/>
      <c r="I884" s="16"/>
      <c r="J884" s="6"/>
      <c r="K884" s="6"/>
      <c r="L884" s="6"/>
      <c r="M884" s="6"/>
    </row>
    <row r="885" spans="1:13" ht="13">
      <c r="A885" s="16"/>
      <c r="B885" s="6"/>
      <c r="C885" s="6"/>
      <c r="D885" s="6"/>
      <c r="E885" s="6"/>
      <c r="F885" s="6"/>
      <c r="G885" s="6"/>
      <c r="H885" s="16"/>
      <c r="I885" s="16"/>
      <c r="J885" s="6"/>
      <c r="K885" s="6"/>
      <c r="L885" s="6"/>
      <c r="M885" s="6"/>
    </row>
    <row r="886" spans="1:13" ht="13">
      <c r="A886" s="16"/>
      <c r="B886" s="6"/>
      <c r="C886" s="6"/>
      <c r="D886" s="6"/>
      <c r="E886" s="6"/>
      <c r="F886" s="6"/>
      <c r="G886" s="6"/>
      <c r="H886" s="16"/>
      <c r="I886" s="16"/>
      <c r="J886" s="6"/>
      <c r="K886" s="6"/>
      <c r="L886" s="6"/>
      <c r="M886" s="6"/>
    </row>
    <row r="887" spans="1:13" ht="13">
      <c r="A887" s="16"/>
      <c r="B887" s="6"/>
      <c r="C887" s="6"/>
      <c r="D887" s="6"/>
      <c r="E887" s="6"/>
      <c r="F887" s="6"/>
      <c r="G887" s="6"/>
      <c r="H887" s="16"/>
      <c r="I887" s="16"/>
      <c r="J887" s="6"/>
      <c r="K887" s="6"/>
      <c r="L887" s="6"/>
      <c r="M887" s="6"/>
    </row>
    <row r="888" spans="1:13" ht="13">
      <c r="A888" s="16"/>
      <c r="B888" s="6"/>
      <c r="C888" s="6"/>
      <c r="D888" s="6"/>
      <c r="E888" s="6"/>
      <c r="F888" s="6"/>
      <c r="G888" s="6"/>
      <c r="H888" s="16"/>
      <c r="I888" s="16"/>
      <c r="J888" s="6"/>
      <c r="K888" s="6"/>
      <c r="L888" s="6"/>
      <c r="M888" s="6"/>
    </row>
    <row r="889" spans="1:13" ht="13">
      <c r="A889" s="16"/>
      <c r="B889" s="6"/>
      <c r="C889" s="6"/>
      <c r="D889" s="6"/>
      <c r="E889" s="6"/>
      <c r="F889" s="6"/>
      <c r="G889" s="6"/>
      <c r="H889" s="16"/>
      <c r="I889" s="16"/>
      <c r="J889" s="6"/>
      <c r="K889" s="6"/>
      <c r="L889" s="6"/>
      <c r="M889" s="6"/>
    </row>
    <row r="890" spans="1:13" ht="13">
      <c r="A890" s="16"/>
      <c r="B890" s="6"/>
      <c r="C890" s="6"/>
      <c r="D890" s="6"/>
      <c r="E890" s="6"/>
      <c r="F890" s="6"/>
      <c r="G890" s="6"/>
      <c r="H890" s="16"/>
      <c r="I890" s="16"/>
      <c r="J890" s="6"/>
      <c r="K890" s="6"/>
      <c r="L890" s="6"/>
      <c r="M890" s="6"/>
    </row>
    <row r="891" spans="1:13" ht="13">
      <c r="A891" s="16"/>
      <c r="B891" s="6"/>
      <c r="C891" s="6"/>
      <c r="D891" s="6"/>
      <c r="E891" s="6"/>
      <c r="F891" s="6"/>
      <c r="G891" s="6"/>
      <c r="H891" s="16"/>
      <c r="I891" s="16"/>
      <c r="J891" s="6"/>
      <c r="K891" s="6"/>
      <c r="L891" s="6"/>
      <c r="M891" s="6"/>
    </row>
    <row r="892" spans="1:13" ht="13">
      <c r="A892" s="16"/>
      <c r="B892" s="6"/>
      <c r="C892" s="6"/>
      <c r="D892" s="6"/>
      <c r="E892" s="6"/>
      <c r="F892" s="6"/>
      <c r="G892" s="6"/>
      <c r="H892" s="16"/>
      <c r="I892" s="16"/>
      <c r="J892" s="6"/>
      <c r="K892" s="6"/>
      <c r="L892" s="6"/>
      <c r="M892" s="6"/>
    </row>
    <row r="893" spans="1:13" ht="13">
      <c r="A893" s="16"/>
      <c r="B893" s="6"/>
      <c r="C893" s="6"/>
      <c r="D893" s="6"/>
      <c r="E893" s="6"/>
      <c r="F893" s="6"/>
      <c r="G893" s="6"/>
      <c r="H893" s="16"/>
      <c r="I893" s="16"/>
      <c r="J893" s="6"/>
      <c r="K893" s="6"/>
      <c r="L893" s="6"/>
      <c r="M893" s="6"/>
    </row>
    <row r="894" spans="1:13" ht="13">
      <c r="A894" s="16"/>
      <c r="B894" s="6"/>
      <c r="C894" s="6"/>
      <c r="D894" s="6"/>
      <c r="E894" s="6"/>
      <c r="F894" s="6"/>
      <c r="G894" s="6"/>
      <c r="H894" s="16"/>
      <c r="I894" s="16"/>
      <c r="J894" s="6"/>
      <c r="K894" s="6"/>
      <c r="L894" s="6"/>
      <c r="M894" s="6"/>
    </row>
    <row r="895" spans="1:13" ht="13">
      <c r="A895" s="16"/>
      <c r="B895" s="6"/>
      <c r="C895" s="6"/>
      <c r="D895" s="6"/>
      <c r="E895" s="6"/>
      <c r="F895" s="6"/>
      <c r="G895" s="6"/>
      <c r="H895" s="16"/>
      <c r="I895" s="16"/>
      <c r="J895" s="6"/>
      <c r="K895" s="6"/>
      <c r="L895" s="6"/>
      <c r="M895" s="6"/>
    </row>
    <row r="896" spans="1:13" ht="13">
      <c r="A896" s="16"/>
      <c r="B896" s="6"/>
      <c r="C896" s="6"/>
      <c r="D896" s="6"/>
      <c r="E896" s="6"/>
      <c r="F896" s="6"/>
      <c r="G896" s="6"/>
      <c r="H896" s="16"/>
      <c r="I896" s="16"/>
      <c r="J896" s="6"/>
      <c r="K896" s="6"/>
      <c r="L896" s="6"/>
      <c r="M896" s="6"/>
    </row>
    <row r="897" spans="1:13" ht="13">
      <c r="A897" s="16"/>
      <c r="B897" s="6"/>
      <c r="C897" s="6"/>
      <c r="D897" s="6"/>
      <c r="E897" s="6"/>
      <c r="F897" s="6"/>
      <c r="G897" s="6"/>
      <c r="H897" s="16"/>
      <c r="I897" s="16"/>
      <c r="J897" s="6"/>
      <c r="K897" s="6"/>
      <c r="L897" s="6"/>
      <c r="M897" s="6"/>
    </row>
    <row r="898" spans="1:13" ht="13">
      <c r="A898" s="16"/>
      <c r="B898" s="6"/>
      <c r="C898" s="6"/>
      <c r="D898" s="6"/>
      <c r="E898" s="6"/>
      <c r="F898" s="6"/>
      <c r="G898" s="6"/>
      <c r="H898" s="16"/>
      <c r="I898" s="16"/>
      <c r="J898" s="6"/>
      <c r="K898" s="6"/>
      <c r="L898" s="6"/>
      <c r="M898" s="6"/>
    </row>
    <row r="899" spans="1:13" ht="13">
      <c r="A899" s="16"/>
      <c r="B899" s="6"/>
      <c r="C899" s="6"/>
      <c r="D899" s="6"/>
      <c r="E899" s="6"/>
      <c r="F899" s="6"/>
      <c r="G899" s="6"/>
      <c r="H899" s="16"/>
      <c r="I899" s="16"/>
      <c r="J899" s="6"/>
      <c r="K899" s="6"/>
      <c r="L899" s="6"/>
      <c r="M899" s="6"/>
    </row>
    <row r="900" spans="1:13" ht="13">
      <c r="A900" s="16"/>
      <c r="B900" s="6"/>
      <c r="C900" s="6"/>
      <c r="D900" s="6"/>
      <c r="E900" s="6"/>
      <c r="F900" s="6"/>
      <c r="G900" s="6"/>
      <c r="H900" s="16"/>
      <c r="I900" s="16"/>
      <c r="J900" s="6"/>
      <c r="K900" s="6"/>
      <c r="L900" s="6"/>
      <c r="M900" s="6"/>
    </row>
    <row r="901" spans="1:13" ht="13">
      <c r="A901" s="16"/>
      <c r="B901" s="6"/>
      <c r="C901" s="6"/>
      <c r="D901" s="6"/>
      <c r="E901" s="6"/>
      <c r="F901" s="6"/>
      <c r="G901" s="6"/>
      <c r="H901" s="16"/>
      <c r="I901" s="16"/>
      <c r="J901" s="6"/>
      <c r="K901" s="6"/>
      <c r="L901" s="6"/>
      <c r="M901" s="6"/>
    </row>
    <row r="902" spans="1:13" ht="13">
      <c r="A902" s="16"/>
      <c r="B902" s="6"/>
      <c r="C902" s="6"/>
      <c r="D902" s="6"/>
      <c r="E902" s="6"/>
      <c r="F902" s="6"/>
      <c r="G902" s="6"/>
      <c r="H902" s="16"/>
      <c r="I902" s="16"/>
      <c r="J902" s="6"/>
      <c r="K902" s="6"/>
      <c r="L902" s="6"/>
      <c r="M902" s="6"/>
    </row>
    <row r="903" spans="1:13" ht="13">
      <c r="A903" s="16"/>
      <c r="B903" s="6"/>
      <c r="C903" s="6"/>
      <c r="D903" s="6"/>
      <c r="E903" s="6"/>
      <c r="F903" s="6"/>
      <c r="G903" s="6"/>
      <c r="H903" s="16"/>
      <c r="I903" s="16"/>
      <c r="J903" s="6"/>
      <c r="K903" s="6"/>
      <c r="L903" s="6"/>
      <c r="M903" s="6"/>
    </row>
    <row r="904" spans="1:13" ht="13">
      <c r="A904" s="16"/>
      <c r="B904" s="6"/>
      <c r="C904" s="6"/>
      <c r="D904" s="6"/>
      <c r="E904" s="6"/>
      <c r="F904" s="6"/>
      <c r="G904" s="6"/>
      <c r="H904" s="16"/>
      <c r="I904" s="16"/>
      <c r="J904" s="6"/>
      <c r="K904" s="6"/>
      <c r="L904" s="6"/>
      <c r="M904" s="6"/>
    </row>
    <row r="905" spans="1:13" ht="13">
      <c r="A905" s="16"/>
      <c r="B905" s="6"/>
      <c r="C905" s="6"/>
      <c r="D905" s="6"/>
      <c r="E905" s="6"/>
      <c r="F905" s="6"/>
      <c r="G905" s="6"/>
      <c r="H905" s="16"/>
      <c r="I905" s="16"/>
      <c r="J905" s="6"/>
      <c r="K905" s="6"/>
      <c r="L905" s="6"/>
      <c r="M905" s="6"/>
    </row>
    <row r="906" spans="1:13" ht="13">
      <c r="A906" s="16"/>
      <c r="B906" s="6"/>
      <c r="C906" s="6"/>
      <c r="D906" s="6"/>
      <c r="E906" s="6"/>
      <c r="F906" s="6"/>
      <c r="G906" s="6"/>
      <c r="H906" s="16"/>
      <c r="I906" s="16"/>
      <c r="J906" s="6"/>
      <c r="K906" s="6"/>
      <c r="L906" s="6"/>
      <c r="M906" s="6"/>
    </row>
    <row r="907" spans="1:13" ht="13">
      <c r="A907" s="16"/>
      <c r="B907" s="6"/>
      <c r="C907" s="6"/>
      <c r="D907" s="6"/>
      <c r="E907" s="6"/>
      <c r="F907" s="6"/>
      <c r="G907" s="6"/>
      <c r="H907" s="16"/>
      <c r="I907" s="16"/>
      <c r="J907" s="6"/>
      <c r="K907" s="6"/>
      <c r="L907" s="6"/>
      <c r="M907" s="6"/>
    </row>
    <row r="908" spans="1:13" ht="13">
      <c r="A908" s="16"/>
      <c r="B908" s="6"/>
      <c r="C908" s="6"/>
      <c r="D908" s="6"/>
      <c r="E908" s="6"/>
      <c r="F908" s="6"/>
      <c r="G908" s="6"/>
      <c r="H908" s="16"/>
      <c r="I908" s="16"/>
      <c r="J908" s="6"/>
      <c r="K908" s="6"/>
      <c r="L908" s="6"/>
      <c r="M908" s="6"/>
    </row>
    <row r="909" spans="1:13" ht="13">
      <c r="A909" s="16"/>
      <c r="B909" s="6"/>
      <c r="C909" s="6"/>
      <c r="D909" s="6"/>
      <c r="E909" s="6"/>
      <c r="F909" s="6"/>
      <c r="G909" s="6"/>
      <c r="H909" s="16"/>
      <c r="I909" s="16"/>
      <c r="J909" s="6"/>
      <c r="K909" s="6"/>
      <c r="L909" s="6"/>
      <c r="M909" s="6"/>
    </row>
    <row r="910" spans="1:13" ht="13">
      <c r="A910" s="16"/>
      <c r="B910" s="6"/>
      <c r="C910" s="6"/>
      <c r="D910" s="6"/>
      <c r="E910" s="6"/>
      <c r="F910" s="6"/>
      <c r="G910" s="6"/>
      <c r="H910" s="16"/>
      <c r="I910" s="16"/>
      <c r="J910" s="6"/>
      <c r="K910" s="6"/>
      <c r="L910" s="6"/>
      <c r="M910" s="6"/>
    </row>
    <row r="911" spans="1:13" ht="13">
      <c r="A911" s="16"/>
      <c r="B911" s="6"/>
      <c r="C911" s="6"/>
      <c r="D911" s="6"/>
      <c r="E911" s="6"/>
      <c r="F911" s="6"/>
      <c r="G911" s="6"/>
      <c r="H911" s="16"/>
      <c r="I911" s="16"/>
      <c r="J911" s="6"/>
      <c r="K911" s="6"/>
      <c r="L911" s="6"/>
      <c r="M911" s="6"/>
    </row>
    <row r="912" spans="1:13" ht="13">
      <c r="A912" s="16"/>
      <c r="B912" s="6"/>
      <c r="C912" s="6"/>
      <c r="D912" s="6"/>
      <c r="E912" s="6"/>
      <c r="F912" s="6"/>
      <c r="G912" s="6"/>
      <c r="H912" s="16"/>
      <c r="I912" s="16"/>
      <c r="J912" s="6"/>
      <c r="K912" s="6"/>
      <c r="L912" s="6"/>
      <c r="M912" s="6"/>
    </row>
    <row r="913" spans="1:13" ht="13">
      <c r="A913" s="16"/>
      <c r="B913" s="6"/>
      <c r="C913" s="6"/>
      <c r="D913" s="6"/>
      <c r="E913" s="6"/>
      <c r="F913" s="6"/>
      <c r="G913" s="6"/>
      <c r="H913" s="16"/>
      <c r="I913" s="16"/>
      <c r="J913" s="6"/>
      <c r="K913" s="6"/>
      <c r="L913" s="6"/>
      <c r="M913" s="6"/>
    </row>
    <row r="914" spans="1:13" ht="13">
      <c r="A914" s="16"/>
      <c r="B914" s="6"/>
      <c r="C914" s="6"/>
      <c r="D914" s="6"/>
      <c r="E914" s="6"/>
      <c r="F914" s="6"/>
      <c r="G914" s="6"/>
      <c r="H914" s="16"/>
      <c r="I914" s="16"/>
      <c r="J914" s="6"/>
      <c r="K914" s="6"/>
      <c r="L914" s="6"/>
      <c r="M914" s="6"/>
    </row>
    <row r="915" spans="1:13" ht="13">
      <c r="A915" s="16"/>
      <c r="B915" s="6"/>
      <c r="C915" s="6"/>
      <c r="D915" s="6"/>
      <c r="E915" s="6"/>
      <c r="F915" s="6"/>
      <c r="G915" s="6"/>
      <c r="H915" s="16"/>
      <c r="I915" s="16"/>
      <c r="J915" s="6"/>
      <c r="K915" s="6"/>
      <c r="L915" s="6"/>
      <c r="M915" s="6"/>
    </row>
    <row r="916" spans="1:13" ht="13">
      <c r="A916" s="16"/>
      <c r="B916" s="6"/>
      <c r="C916" s="6"/>
      <c r="D916" s="6"/>
      <c r="E916" s="6"/>
      <c r="F916" s="6"/>
      <c r="G916" s="6"/>
      <c r="H916" s="16"/>
      <c r="I916" s="16"/>
      <c r="J916" s="6"/>
      <c r="K916" s="6"/>
      <c r="L916" s="6"/>
      <c r="M916" s="6"/>
    </row>
    <row r="917" spans="1:13" ht="13">
      <c r="A917" s="16"/>
      <c r="B917" s="6"/>
      <c r="C917" s="6"/>
      <c r="D917" s="6"/>
      <c r="E917" s="6"/>
      <c r="F917" s="6"/>
      <c r="G917" s="6"/>
      <c r="H917" s="16"/>
      <c r="I917" s="16"/>
      <c r="J917" s="6"/>
      <c r="K917" s="6"/>
      <c r="L917" s="6"/>
      <c r="M917" s="6"/>
    </row>
    <row r="918" spans="1:13" ht="13">
      <c r="A918" s="16"/>
      <c r="B918" s="6"/>
      <c r="C918" s="6"/>
      <c r="D918" s="6"/>
      <c r="E918" s="6"/>
      <c r="F918" s="6"/>
      <c r="G918" s="6"/>
      <c r="H918" s="16"/>
      <c r="I918" s="16"/>
      <c r="J918" s="6"/>
      <c r="K918" s="6"/>
      <c r="L918" s="6"/>
      <c r="M918" s="6"/>
    </row>
    <row r="919" spans="1:13" ht="13">
      <c r="A919" s="16"/>
      <c r="B919" s="6"/>
      <c r="C919" s="6"/>
      <c r="D919" s="6"/>
      <c r="E919" s="6"/>
      <c r="F919" s="6"/>
      <c r="G919" s="6"/>
      <c r="H919" s="16"/>
      <c r="I919" s="16"/>
      <c r="J919" s="6"/>
      <c r="K919" s="6"/>
      <c r="L919" s="6"/>
      <c r="M919" s="6"/>
    </row>
    <row r="920" spans="1:13" ht="13">
      <c r="A920" s="16"/>
      <c r="B920" s="6"/>
      <c r="C920" s="6"/>
      <c r="D920" s="6"/>
      <c r="E920" s="6"/>
      <c r="F920" s="6"/>
      <c r="G920" s="6"/>
      <c r="H920" s="16"/>
      <c r="I920" s="16"/>
      <c r="J920" s="6"/>
      <c r="K920" s="6"/>
      <c r="L920" s="6"/>
      <c r="M920" s="6"/>
    </row>
    <row r="921" spans="1:13" ht="13">
      <c r="A921" s="16"/>
      <c r="B921" s="6"/>
      <c r="C921" s="6"/>
      <c r="D921" s="6"/>
      <c r="E921" s="6"/>
      <c r="F921" s="6"/>
      <c r="G921" s="6"/>
      <c r="H921" s="16"/>
      <c r="I921" s="16"/>
      <c r="J921" s="6"/>
      <c r="K921" s="6"/>
      <c r="L921" s="6"/>
      <c r="M921" s="6"/>
    </row>
    <row r="922" spans="1:13" ht="13">
      <c r="A922" s="16"/>
      <c r="B922" s="6"/>
      <c r="C922" s="6"/>
      <c r="D922" s="6"/>
      <c r="E922" s="6"/>
      <c r="F922" s="6"/>
      <c r="G922" s="6"/>
      <c r="H922" s="16"/>
      <c r="I922" s="16"/>
      <c r="J922" s="6"/>
      <c r="K922" s="6"/>
      <c r="L922" s="6"/>
      <c r="M922" s="6"/>
    </row>
    <row r="923" spans="1:13" ht="13">
      <c r="A923" s="16"/>
      <c r="B923" s="6"/>
      <c r="C923" s="6"/>
      <c r="D923" s="6"/>
      <c r="E923" s="6"/>
      <c r="F923" s="6"/>
      <c r="G923" s="6"/>
      <c r="H923" s="16"/>
      <c r="I923" s="16"/>
      <c r="J923" s="6"/>
      <c r="K923" s="6"/>
      <c r="L923" s="6"/>
      <c r="M923" s="6"/>
    </row>
    <row r="924" spans="1:13" ht="13">
      <c r="A924" s="16"/>
      <c r="B924" s="6"/>
      <c r="C924" s="6"/>
      <c r="D924" s="6"/>
      <c r="E924" s="6"/>
      <c r="F924" s="6"/>
      <c r="G924" s="6"/>
      <c r="H924" s="16"/>
      <c r="I924" s="16"/>
      <c r="J924" s="6"/>
      <c r="K924" s="6"/>
      <c r="L924" s="6"/>
      <c r="M924" s="6"/>
    </row>
    <row r="925" spans="1:13" ht="13">
      <c r="A925" s="16"/>
      <c r="B925" s="6"/>
      <c r="C925" s="6"/>
      <c r="D925" s="6"/>
      <c r="E925" s="6"/>
      <c r="F925" s="6"/>
      <c r="G925" s="6"/>
      <c r="H925" s="16"/>
      <c r="I925" s="16"/>
      <c r="J925" s="6"/>
      <c r="K925" s="6"/>
      <c r="L925" s="6"/>
      <c r="M925" s="6"/>
    </row>
    <row r="926" spans="1:13" ht="13">
      <c r="A926" s="16"/>
      <c r="B926" s="6"/>
      <c r="C926" s="6"/>
      <c r="D926" s="6"/>
      <c r="E926" s="6"/>
      <c r="F926" s="6"/>
      <c r="G926" s="6"/>
      <c r="H926" s="16"/>
      <c r="I926" s="16"/>
      <c r="J926" s="6"/>
      <c r="K926" s="6"/>
      <c r="L926" s="6"/>
      <c r="M926" s="6"/>
    </row>
    <row r="927" spans="1:13" ht="13">
      <c r="A927" s="16"/>
      <c r="B927" s="6"/>
      <c r="C927" s="6"/>
      <c r="D927" s="6"/>
      <c r="E927" s="6"/>
      <c r="F927" s="6"/>
      <c r="G927" s="6"/>
      <c r="H927" s="16"/>
      <c r="I927" s="16"/>
      <c r="J927" s="6"/>
      <c r="K927" s="6"/>
      <c r="L927" s="6"/>
      <c r="M927" s="6"/>
    </row>
    <row r="928" spans="1:13" ht="13">
      <c r="A928" s="16"/>
      <c r="B928" s="6"/>
      <c r="C928" s="6"/>
      <c r="D928" s="6"/>
      <c r="E928" s="6"/>
      <c r="F928" s="6"/>
      <c r="G928" s="6"/>
      <c r="H928" s="16"/>
      <c r="I928" s="16"/>
      <c r="J928" s="6"/>
      <c r="K928" s="6"/>
      <c r="L928" s="6"/>
      <c r="M928" s="6"/>
    </row>
    <row r="929" spans="1:13" ht="13">
      <c r="A929" s="16"/>
      <c r="B929" s="6"/>
      <c r="C929" s="6"/>
      <c r="D929" s="6"/>
      <c r="E929" s="6"/>
      <c r="F929" s="6"/>
      <c r="G929" s="6"/>
      <c r="H929" s="16"/>
      <c r="I929" s="16"/>
      <c r="J929" s="6"/>
      <c r="K929" s="6"/>
      <c r="L929" s="6"/>
      <c r="M929" s="6"/>
    </row>
    <row r="930" spans="1:13" ht="13">
      <c r="A930" s="16"/>
      <c r="B930" s="6"/>
      <c r="C930" s="6"/>
      <c r="D930" s="6"/>
      <c r="E930" s="6"/>
      <c r="F930" s="6"/>
      <c r="G930" s="6"/>
      <c r="H930" s="16"/>
      <c r="I930" s="16"/>
      <c r="J930" s="6"/>
      <c r="K930" s="6"/>
      <c r="L930" s="6"/>
      <c r="M930" s="6"/>
    </row>
    <row r="931" spans="1:13" ht="13">
      <c r="A931" s="16"/>
      <c r="B931" s="6"/>
      <c r="C931" s="6"/>
      <c r="D931" s="6"/>
      <c r="E931" s="6"/>
      <c r="F931" s="6"/>
      <c r="G931" s="6"/>
      <c r="H931" s="16"/>
      <c r="I931" s="16"/>
      <c r="J931" s="6"/>
      <c r="K931" s="6"/>
      <c r="L931" s="6"/>
      <c r="M931" s="6"/>
    </row>
    <row r="932" spans="1:13" ht="13">
      <c r="A932" s="16"/>
      <c r="B932" s="6"/>
      <c r="C932" s="6"/>
      <c r="D932" s="6"/>
      <c r="E932" s="6"/>
      <c r="F932" s="6"/>
      <c r="G932" s="6"/>
      <c r="H932" s="16"/>
      <c r="I932" s="16"/>
      <c r="J932" s="6"/>
      <c r="K932" s="6"/>
      <c r="L932" s="6"/>
      <c r="M932" s="6"/>
    </row>
    <row r="933" spans="1:13" ht="13">
      <c r="A933" s="16"/>
      <c r="B933" s="6"/>
      <c r="C933" s="6"/>
      <c r="D933" s="6"/>
      <c r="E933" s="6"/>
      <c r="F933" s="6"/>
      <c r="G933" s="6"/>
      <c r="H933" s="16"/>
      <c r="I933" s="16"/>
      <c r="J933" s="6"/>
      <c r="K933" s="6"/>
      <c r="L933" s="6"/>
      <c r="M933" s="6"/>
    </row>
    <row r="934" spans="1:13" ht="13">
      <c r="A934" s="16"/>
      <c r="B934" s="6"/>
      <c r="C934" s="6"/>
      <c r="D934" s="6"/>
      <c r="E934" s="6"/>
      <c r="F934" s="6"/>
      <c r="G934" s="6"/>
      <c r="H934" s="16"/>
      <c r="I934" s="16"/>
      <c r="J934" s="6"/>
      <c r="K934" s="6"/>
      <c r="L934" s="6"/>
      <c r="M934" s="6"/>
    </row>
    <row r="935" spans="1:13" ht="13">
      <c r="A935" s="16"/>
      <c r="B935" s="6"/>
      <c r="C935" s="6"/>
      <c r="D935" s="6"/>
      <c r="E935" s="6"/>
      <c r="F935" s="6"/>
      <c r="G935" s="6"/>
      <c r="H935" s="16"/>
      <c r="I935" s="16"/>
      <c r="J935" s="6"/>
      <c r="K935" s="6"/>
      <c r="L935" s="6"/>
      <c r="M935" s="6"/>
    </row>
    <row r="936" spans="1:13" ht="13">
      <c r="A936" s="16"/>
      <c r="B936" s="6"/>
      <c r="C936" s="6"/>
      <c r="D936" s="6"/>
      <c r="E936" s="6"/>
      <c r="F936" s="6"/>
      <c r="G936" s="6"/>
      <c r="H936" s="16"/>
      <c r="I936" s="16"/>
      <c r="J936" s="6"/>
      <c r="K936" s="6"/>
      <c r="L936" s="6"/>
      <c r="M936" s="6"/>
    </row>
    <row r="937" spans="1:13" ht="13">
      <c r="A937" s="16"/>
      <c r="B937" s="6"/>
      <c r="C937" s="6"/>
      <c r="D937" s="6"/>
      <c r="E937" s="6"/>
      <c r="F937" s="6"/>
      <c r="G937" s="6"/>
      <c r="H937" s="16"/>
      <c r="I937" s="16"/>
      <c r="J937" s="6"/>
      <c r="K937" s="6"/>
      <c r="L937" s="6"/>
      <c r="M937" s="6"/>
    </row>
    <row r="938" spans="1:13" ht="13">
      <c r="A938" s="16"/>
      <c r="B938" s="6"/>
      <c r="C938" s="6"/>
      <c r="D938" s="6"/>
      <c r="E938" s="6"/>
      <c r="F938" s="6"/>
      <c r="G938" s="6"/>
      <c r="H938" s="16"/>
      <c r="I938" s="16"/>
      <c r="J938" s="6"/>
      <c r="K938" s="6"/>
      <c r="L938" s="6"/>
      <c r="M938" s="6"/>
    </row>
    <row r="939" spans="1:13" ht="13">
      <c r="A939" s="16"/>
      <c r="B939" s="6"/>
      <c r="C939" s="6"/>
      <c r="D939" s="6"/>
      <c r="E939" s="6"/>
      <c r="F939" s="6"/>
      <c r="G939" s="6"/>
      <c r="H939" s="16"/>
      <c r="I939" s="16"/>
      <c r="J939" s="6"/>
      <c r="K939" s="6"/>
      <c r="L939" s="6"/>
      <c r="M939" s="6"/>
    </row>
    <row r="940" spans="1:13" ht="13">
      <c r="A940" s="16"/>
      <c r="B940" s="6"/>
      <c r="C940" s="6"/>
      <c r="D940" s="6"/>
      <c r="E940" s="6"/>
      <c r="F940" s="6"/>
      <c r="G940" s="6"/>
      <c r="H940" s="16"/>
      <c r="I940" s="16"/>
      <c r="J940" s="6"/>
      <c r="K940" s="6"/>
      <c r="L940" s="6"/>
      <c r="M940" s="6"/>
    </row>
    <row r="941" spans="1:13" ht="13">
      <c r="A941" s="16"/>
      <c r="B941" s="6"/>
      <c r="C941" s="6"/>
      <c r="D941" s="6"/>
      <c r="E941" s="6"/>
      <c r="F941" s="6"/>
      <c r="G941" s="6"/>
      <c r="H941" s="16"/>
      <c r="I941" s="16"/>
      <c r="J941" s="6"/>
      <c r="K941" s="6"/>
      <c r="L941" s="6"/>
      <c r="M941" s="6"/>
    </row>
    <row r="942" spans="1:13" ht="13">
      <c r="A942" s="16"/>
      <c r="B942" s="6"/>
      <c r="C942" s="6"/>
      <c r="D942" s="6"/>
      <c r="E942" s="6"/>
      <c r="F942" s="6"/>
      <c r="G942" s="6"/>
      <c r="H942" s="16"/>
      <c r="I942" s="16"/>
      <c r="J942" s="6"/>
      <c r="K942" s="6"/>
      <c r="L942" s="6"/>
      <c r="M942" s="6"/>
    </row>
    <row r="943" spans="1:13" ht="13">
      <c r="A943" s="16"/>
      <c r="B943" s="6"/>
      <c r="C943" s="6"/>
      <c r="D943" s="6"/>
      <c r="E943" s="6"/>
      <c r="F943" s="6"/>
      <c r="G943" s="6"/>
      <c r="H943" s="16"/>
      <c r="I943" s="16"/>
      <c r="J943" s="6"/>
      <c r="K943" s="6"/>
      <c r="L943" s="6"/>
      <c r="M943" s="6"/>
    </row>
    <row r="944" spans="1:13" ht="13">
      <c r="A944" s="16"/>
      <c r="B944" s="6"/>
      <c r="C944" s="6"/>
      <c r="D944" s="6"/>
      <c r="E944" s="6"/>
      <c r="F944" s="6"/>
      <c r="G944" s="6"/>
      <c r="H944" s="16"/>
      <c r="I944" s="16"/>
      <c r="J944" s="6"/>
      <c r="K944" s="6"/>
      <c r="L944" s="6"/>
      <c r="M944" s="6"/>
    </row>
    <row r="945" spans="1:13" ht="13">
      <c r="A945" s="16"/>
      <c r="B945" s="6"/>
      <c r="C945" s="6"/>
      <c r="D945" s="6"/>
      <c r="E945" s="6"/>
      <c r="F945" s="6"/>
      <c r="G945" s="6"/>
      <c r="H945" s="16"/>
      <c r="I945" s="16"/>
      <c r="J945" s="6"/>
      <c r="K945" s="6"/>
      <c r="L945" s="6"/>
      <c r="M945" s="6"/>
    </row>
    <row r="946" spans="1:13" ht="13">
      <c r="A946" s="16"/>
      <c r="B946" s="6"/>
      <c r="C946" s="6"/>
      <c r="D946" s="6"/>
      <c r="E946" s="6"/>
      <c r="F946" s="6"/>
      <c r="G946" s="6"/>
      <c r="H946" s="16"/>
      <c r="I946" s="16"/>
      <c r="J946" s="6"/>
      <c r="K946" s="6"/>
      <c r="L946" s="6"/>
      <c r="M946" s="6"/>
    </row>
    <row r="947" spans="1:13" ht="13">
      <c r="A947" s="16"/>
      <c r="B947" s="6"/>
      <c r="C947" s="6"/>
      <c r="D947" s="6"/>
      <c r="E947" s="6"/>
      <c r="F947" s="6"/>
      <c r="G947" s="6"/>
      <c r="H947" s="16"/>
      <c r="I947" s="16"/>
      <c r="J947" s="6"/>
      <c r="K947" s="6"/>
      <c r="L947" s="6"/>
      <c r="M947" s="6"/>
    </row>
    <row r="948" spans="1:13" ht="13">
      <c r="A948" s="16"/>
      <c r="B948" s="6"/>
      <c r="C948" s="6"/>
      <c r="D948" s="6"/>
      <c r="E948" s="6"/>
      <c r="F948" s="6"/>
      <c r="G948" s="6"/>
      <c r="H948" s="16"/>
      <c r="I948" s="16"/>
      <c r="J948" s="6"/>
      <c r="K948" s="6"/>
      <c r="L948" s="6"/>
      <c r="M948" s="6"/>
    </row>
    <row r="949" spans="1:13" ht="13">
      <c r="A949" s="16"/>
      <c r="B949" s="6"/>
      <c r="C949" s="6"/>
      <c r="D949" s="6"/>
      <c r="E949" s="6"/>
      <c r="F949" s="6"/>
      <c r="G949" s="6"/>
      <c r="H949" s="16"/>
      <c r="I949" s="16"/>
      <c r="J949" s="6"/>
      <c r="K949" s="6"/>
      <c r="L949" s="6"/>
      <c r="M949" s="6"/>
    </row>
    <row r="950" spans="1:13" ht="13">
      <c r="A950" s="16"/>
      <c r="B950" s="6"/>
      <c r="C950" s="6"/>
      <c r="D950" s="6"/>
      <c r="E950" s="6"/>
      <c r="F950" s="6"/>
      <c r="G950" s="6"/>
      <c r="H950" s="16"/>
      <c r="I950" s="16"/>
      <c r="J950" s="6"/>
      <c r="K950" s="6"/>
      <c r="L950" s="6"/>
      <c r="M950" s="6"/>
    </row>
    <row r="951" spans="1:13" ht="13">
      <c r="A951" s="16"/>
      <c r="B951" s="6"/>
      <c r="C951" s="6"/>
      <c r="D951" s="6"/>
      <c r="E951" s="6"/>
      <c r="F951" s="6"/>
      <c r="G951" s="6"/>
      <c r="H951" s="16"/>
      <c r="I951" s="16"/>
      <c r="J951" s="6"/>
      <c r="K951" s="6"/>
      <c r="L951" s="6"/>
      <c r="M951" s="6"/>
    </row>
    <row r="952" spans="1:13" ht="13">
      <c r="A952" s="16"/>
      <c r="B952" s="6"/>
      <c r="C952" s="6"/>
      <c r="D952" s="6"/>
      <c r="E952" s="6"/>
      <c r="F952" s="6"/>
      <c r="G952" s="6"/>
      <c r="H952" s="16"/>
      <c r="I952" s="16"/>
      <c r="J952" s="6"/>
      <c r="K952" s="6"/>
      <c r="L952" s="6"/>
      <c r="M952" s="6"/>
    </row>
    <row r="953" spans="1:13" ht="13">
      <c r="A953" s="16"/>
      <c r="B953" s="6"/>
      <c r="C953" s="6"/>
      <c r="D953" s="6"/>
      <c r="E953" s="6"/>
      <c r="F953" s="6"/>
      <c r="G953" s="6"/>
      <c r="H953" s="16"/>
      <c r="I953" s="16"/>
      <c r="J953" s="6"/>
      <c r="K953" s="6"/>
      <c r="L953" s="6"/>
      <c r="M953" s="6"/>
    </row>
    <row r="954" spans="1:13" ht="13">
      <c r="A954" s="16"/>
      <c r="B954" s="6"/>
      <c r="C954" s="6"/>
      <c r="D954" s="6"/>
      <c r="E954" s="6"/>
      <c r="F954" s="6"/>
      <c r="G954" s="6"/>
      <c r="H954" s="16"/>
      <c r="I954" s="16"/>
      <c r="J954" s="6"/>
      <c r="K954" s="6"/>
      <c r="L954" s="6"/>
      <c r="M954" s="6"/>
    </row>
    <row r="955" spans="1:13" ht="13">
      <c r="A955" s="16"/>
      <c r="B955" s="6"/>
      <c r="C955" s="6"/>
      <c r="D955" s="6"/>
      <c r="E955" s="6"/>
      <c r="F955" s="6"/>
      <c r="G955" s="6"/>
      <c r="H955" s="16"/>
      <c r="I955" s="16"/>
      <c r="J955" s="6"/>
      <c r="K955" s="6"/>
      <c r="L955" s="6"/>
      <c r="M955" s="6"/>
    </row>
    <row r="956" spans="1:13" ht="13">
      <c r="A956" s="16"/>
      <c r="B956" s="6"/>
      <c r="C956" s="6"/>
      <c r="D956" s="6"/>
      <c r="E956" s="6"/>
      <c r="F956" s="6"/>
      <c r="G956" s="6"/>
      <c r="H956" s="16"/>
      <c r="I956" s="16"/>
      <c r="J956" s="6"/>
      <c r="K956" s="6"/>
      <c r="L956" s="6"/>
      <c r="M956" s="6"/>
    </row>
    <row r="957" spans="1:13" ht="13">
      <c r="A957" s="16"/>
      <c r="B957" s="6"/>
      <c r="C957" s="6"/>
      <c r="D957" s="6"/>
      <c r="E957" s="6"/>
      <c r="F957" s="6"/>
      <c r="G957" s="6"/>
      <c r="H957" s="16"/>
      <c r="I957" s="16"/>
      <c r="J957" s="6"/>
      <c r="K957" s="6"/>
      <c r="L957" s="6"/>
      <c r="M957" s="6"/>
    </row>
    <row r="958" spans="1:13" ht="13">
      <c r="A958" s="16"/>
      <c r="B958" s="6"/>
      <c r="C958" s="6"/>
      <c r="D958" s="6"/>
      <c r="E958" s="6"/>
      <c r="F958" s="6"/>
      <c r="G958" s="6"/>
      <c r="H958" s="16"/>
      <c r="I958" s="16"/>
      <c r="J958" s="6"/>
      <c r="K958" s="6"/>
      <c r="L958" s="6"/>
      <c r="M958" s="6"/>
    </row>
    <row r="959" spans="1:13" ht="13">
      <c r="A959" s="16"/>
      <c r="B959" s="6"/>
      <c r="C959" s="6"/>
      <c r="D959" s="6"/>
      <c r="E959" s="6"/>
      <c r="F959" s="6"/>
      <c r="G959" s="6"/>
      <c r="H959" s="16"/>
      <c r="I959" s="16"/>
      <c r="J959" s="6"/>
      <c r="K959" s="6"/>
      <c r="L959" s="6"/>
      <c r="M959" s="6"/>
    </row>
    <row r="960" spans="1:13" ht="13">
      <c r="A960" s="16"/>
      <c r="B960" s="6"/>
      <c r="C960" s="6"/>
      <c r="D960" s="6"/>
      <c r="E960" s="6"/>
      <c r="F960" s="6"/>
      <c r="G960" s="6"/>
      <c r="H960" s="16"/>
      <c r="I960" s="16"/>
      <c r="J960" s="6"/>
      <c r="K960" s="6"/>
      <c r="L960" s="6"/>
      <c r="M960" s="6"/>
    </row>
    <row r="961" spans="1:13" ht="13">
      <c r="A961" s="16"/>
      <c r="B961" s="6"/>
      <c r="C961" s="6"/>
      <c r="D961" s="6"/>
      <c r="E961" s="6"/>
      <c r="F961" s="6"/>
      <c r="G961" s="6"/>
      <c r="H961" s="16"/>
      <c r="I961" s="16"/>
      <c r="J961" s="6"/>
      <c r="K961" s="6"/>
      <c r="L961" s="6"/>
      <c r="M961" s="6"/>
    </row>
    <row r="962" spans="1:13" ht="13">
      <c r="A962" s="16"/>
      <c r="B962" s="6"/>
      <c r="C962" s="6"/>
      <c r="D962" s="6"/>
      <c r="E962" s="6"/>
      <c r="F962" s="6"/>
      <c r="G962" s="6"/>
      <c r="H962" s="16"/>
      <c r="I962" s="16"/>
      <c r="J962" s="6"/>
      <c r="K962" s="6"/>
      <c r="L962" s="6"/>
      <c r="M962" s="6"/>
    </row>
    <row r="963" spans="1:13" ht="13">
      <c r="A963" s="16"/>
      <c r="B963" s="6"/>
      <c r="C963" s="6"/>
      <c r="D963" s="6"/>
      <c r="E963" s="6"/>
      <c r="F963" s="6"/>
      <c r="G963" s="6"/>
      <c r="H963" s="16"/>
      <c r="I963" s="16"/>
      <c r="J963" s="6"/>
      <c r="K963" s="6"/>
      <c r="L963" s="6"/>
      <c r="M963" s="6"/>
    </row>
    <row r="964" spans="1:13" ht="13">
      <c r="A964" s="16"/>
      <c r="B964" s="6"/>
      <c r="C964" s="6"/>
      <c r="D964" s="6"/>
      <c r="E964" s="6"/>
      <c r="F964" s="6"/>
      <c r="G964" s="6"/>
      <c r="H964" s="16"/>
      <c r="I964" s="16"/>
      <c r="J964" s="6"/>
      <c r="K964" s="6"/>
      <c r="L964" s="6"/>
      <c r="M964" s="6"/>
    </row>
    <row r="965" spans="1:13" ht="13">
      <c r="A965" s="16"/>
      <c r="B965" s="6"/>
      <c r="C965" s="6"/>
      <c r="D965" s="6"/>
      <c r="E965" s="6"/>
      <c r="F965" s="6"/>
      <c r="G965" s="6"/>
      <c r="H965" s="16"/>
      <c r="I965" s="16"/>
      <c r="J965" s="6"/>
      <c r="K965" s="6"/>
      <c r="L965" s="6"/>
      <c r="M965" s="6"/>
    </row>
    <row r="966" spans="1:13" ht="13">
      <c r="A966" s="16"/>
      <c r="B966" s="6"/>
      <c r="C966" s="6"/>
      <c r="D966" s="6"/>
      <c r="E966" s="6"/>
      <c r="F966" s="6"/>
      <c r="G966" s="6"/>
      <c r="H966" s="16"/>
      <c r="I966" s="16"/>
      <c r="J966" s="6"/>
      <c r="K966" s="6"/>
      <c r="L966" s="6"/>
      <c r="M966" s="6"/>
    </row>
    <row r="967" spans="1:13" ht="13">
      <c r="A967" s="16"/>
      <c r="B967" s="6"/>
      <c r="C967" s="6"/>
      <c r="D967" s="6"/>
      <c r="E967" s="6"/>
      <c r="F967" s="6"/>
      <c r="G967" s="6"/>
      <c r="H967" s="16"/>
      <c r="I967" s="16"/>
      <c r="J967" s="6"/>
      <c r="K967" s="6"/>
      <c r="L967" s="6"/>
      <c r="M967" s="6"/>
    </row>
    <row r="968" spans="1:13" ht="13">
      <c r="A968" s="16"/>
      <c r="B968" s="6"/>
      <c r="C968" s="6"/>
      <c r="D968" s="6"/>
      <c r="E968" s="6"/>
      <c r="F968" s="6"/>
      <c r="G968" s="6"/>
      <c r="H968" s="16"/>
      <c r="I968" s="16"/>
      <c r="J968" s="6"/>
      <c r="K968" s="6"/>
      <c r="L968" s="6"/>
      <c r="M968" s="6"/>
    </row>
    <row r="969" spans="1:13" ht="13">
      <c r="A969" s="16"/>
      <c r="B969" s="6"/>
      <c r="C969" s="6"/>
      <c r="D969" s="6"/>
      <c r="E969" s="6"/>
      <c r="F969" s="6"/>
      <c r="G969" s="6"/>
      <c r="H969" s="16"/>
      <c r="I969" s="16"/>
      <c r="J969" s="6"/>
      <c r="K969" s="6"/>
      <c r="L969" s="6"/>
      <c r="M969" s="6"/>
    </row>
    <row r="970" spans="1:13" ht="13">
      <c r="A970" s="16"/>
      <c r="B970" s="6"/>
      <c r="C970" s="6"/>
      <c r="D970" s="6"/>
      <c r="E970" s="6"/>
      <c r="F970" s="6"/>
      <c r="G970" s="6"/>
      <c r="H970" s="16"/>
      <c r="I970" s="16"/>
      <c r="J970" s="6"/>
      <c r="K970" s="6"/>
      <c r="L970" s="6"/>
      <c r="M970" s="6"/>
    </row>
    <row r="971" spans="1:13" ht="13">
      <c r="A971" s="16"/>
      <c r="B971" s="6"/>
      <c r="C971" s="6"/>
      <c r="D971" s="6"/>
      <c r="E971" s="6"/>
      <c r="F971" s="6"/>
      <c r="G971" s="6"/>
      <c r="H971" s="16"/>
      <c r="I971" s="16"/>
      <c r="J971" s="6"/>
      <c r="K971" s="6"/>
      <c r="L971" s="6"/>
      <c r="M971" s="6"/>
    </row>
    <row r="972" spans="1:13" ht="13">
      <c r="A972" s="16"/>
      <c r="B972" s="6"/>
      <c r="C972" s="6"/>
      <c r="D972" s="6"/>
      <c r="E972" s="6"/>
      <c r="F972" s="6"/>
      <c r="G972" s="6"/>
      <c r="H972" s="16"/>
      <c r="I972" s="16"/>
      <c r="J972" s="6"/>
      <c r="K972" s="6"/>
      <c r="L972" s="6"/>
      <c r="M972" s="6"/>
    </row>
    <row r="973" spans="1:13" ht="13">
      <c r="A973" s="16"/>
      <c r="B973" s="6"/>
      <c r="C973" s="6"/>
      <c r="D973" s="6"/>
      <c r="E973" s="6"/>
      <c r="F973" s="6"/>
      <c r="G973" s="6"/>
      <c r="H973" s="16"/>
      <c r="I973" s="16"/>
      <c r="J973" s="6"/>
      <c r="K973" s="6"/>
      <c r="L973" s="6"/>
      <c r="M973" s="6"/>
    </row>
    <row r="974" spans="1:13" ht="13">
      <c r="A974" s="16"/>
      <c r="B974" s="6"/>
      <c r="C974" s="6"/>
      <c r="D974" s="6"/>
      <c r="E974" s="6"/>
      <c r="F974" s="6"/>
      <c r="G974" s="6"/>
      <c r="H974" s="16"/>
      <c r="I974" s="16"/>
      <c r="J974" s="6"/>
      <c r="K974" s="6"/>
      <c r="L974" s="6"/>
      <c r="M974" s="6"/>
    </row>
    <row r="975" spans="1:13" ht="13">
      <c r="A975" s="16"/>
      <c r="B975" s="6"/>
      <c r="C975" s="6"/>
      <c r="D975" s="6"/>
      <c r="E975" s="6"/>
      <c r="F975" s="6"/>
      <c r="G975" s="6"/>
      <c r="H975" s="16"/>
      <c r="I975" s="16"/>
      <c r="J975" s="6"/>
      <c r="K975" s="6"/>
      <c r="L975" s="6"/>
      <c r="M975" s="6"/>
    </row>
    <row r="976" spans="1:13" ht="13">
      <c r="A976" s="16"/>
      <c r="B976" s="6"/>
      <c r="C976" s="6"/>
      <c r="D976" s="6"/>
      <c r="E976" s="6"/>
      <c r="F976" s="6"/>
      <c r="G976" s="6"/>
      <c r="H976" s="16"/>
      <c r="I976" s="16"/>
      <c r="J976" s="6"/>
      <c r="K976" s="6"/>
      <c r="L976" s="6"/>
      <c r="M976" s="6"/>
    </row>
    <row r="977" spans="1:13" ht="13">
      <c r="A977" s="16"/>
      <c r="B977" s="6"/>
      <c r="C977" s="6"/>
      <c r="D977" s="6"/>
      <c r="E977" s="6"/>
      <c r="F977" s="6"/>
      <c r="G977" s="6"/>
      <c r="H977" s="16"/>
      <c r="I977" s="16"/>
      <c r="J977" s="6"/>
      <c r="K977" s="6"/>
      <c r="L977" s="6"/>
      <c r="M977" s="6"/>
    </row>
    <row r="978" spans="1:13" ht="13">
      <c r="A978" s="16"/>
      <c r="B978" s="6"/>
      <c r="C978" s="6"/>
      <c r="D978" s="6"/>
      <c r="E978" s="6"/>
      <c r="F978" s="6"/>
      <c r="G978" s="6"/>
      <c r="H978" s="16"/>
      <c r="I978" s="16"/>
      <c r="J978" s="6"/>
      <c r="K978" s="6"/>
      <c r="L978" s="6"/>
      <c r="M978" s="6"/>
    </row>
    <row r="979" spans="1:13" ht="13">
      <c r="A979" s="16"/>
      <c r="B979" s="6"/>
      <c r="C979" s="6"/>
      <c r="D979" s="6"/>
      <c r="E979" s="6"/>
      <c r="F979" s="6"/>
      <c r="G979" s="6"/>
      <c r="H979" s="16"/>
      <c r="I979" s="16"/>
      <c r="J979" s="6"/>
      <c r="K979" s="6"/>
      <c r="L979" s="6"/>
      <c r="M979" s="6"/>
    </row>
    <row r="980" spans="1:13" ht="13">
      <c r="A980" s="16"/>
      <c r="B980" s="6"/>
      <c r="C980" s="6"/>
      <c r="D980" s="6"/>
      <c r="E980" s="6"/>
      <c r="F980" s="6"/>
      <c r="G980" s="6"/>
      <c r="H980" s="16"/>
      <c r="I980" s="16"/>
      <c r="J980" s="6"/>
      <c r="K980" s="6"/>
      <c r="L980" s="6"/>
      <c r="M980" s="6"/>
    </row>
    <row r="981" spans="1:13" ht="13">
      <c r="A981" s="16"/>
      <c r="B981" s="6"/>
      <c r="C981" s="6"/>
      <c r="D981" s="6"/>
      <c r="E981" s="6"/>
      <c r="F981" s="6"/>
      <c r="G981" s="6"/>
      <c r="H981" s="16"/>
      <c r="I981" s="16"/>
      <c r="J981" s="6"/>
      <c r="K981" s="6"/>
      <c r="L981" s="6"/>
      <c r="M981" s="6"/>
    </row>
    <row r="982" spans="1:13" ht="13">
      <c r="A982" s="16"/>
      <c r="B982" s="6"/>
      <c r="C982" s="6"/>
      <c r="D982" s="6"/>
      <c r="E982" s="6"/>
      <c r="F982" s="6"/>
      <c r="G982" s="6"/>
      <c r="H982" s="16"/>
      <c r="I982" s="16"/>
      <c r="J982" s="6"/>
      <c r="K982" s="6"/>
      <c r="L982" s="6"/>
      <c r="M982" s="6"/>
    </row>
    <row r="983" spans="1:13" ht="13">
      <c r="A983" s="16"/>
      <c r="B983" s="6"/>
      <c r="C983" s="6"/>
      <c r="D983" s="6"/>
      <c r="E983" s="6"/>
      <c r="F983" s="6"/>
      <c r="G983" s="6"/>
      <c r="H983" s="16"/>
      <c r="I983" s="16"/>
      <c r="J983" s="6"/>
      <c r="K983" s="6"/>
      <c r="L983" s="6"/>
      <c r="M983" s="6"/>
    </row>
    <row r="984" spans="1:13" ht="13">
      <c r="A984" s="16"/>
      <c r="B984" s="6"/>
      <c r="C984" s="6"/>
      <c r="D984" s="6"/>
      <c r="E984" s="6"/>
      <c r="F984" s="6"/>
      <c r="G984" s="6"/>
      <c r="H984" s="16"/>
      <c r="I984" s="16"/>
      <c r="J984" s="6"/>
      <c r="K984" s="6"/>
      <c r="L984" s="6"/>
      <c r="M984" s="6"/>
    </row>
    <row r="985" spans="1:13" ht="13">
      <c r="A985" s="16"/>
      <c r="B985" s="6"/>
      <c r="C985" s="6"/>
      <c r="D985" s="6"/>
      <c r="E985" s="6"/>
      <c r="F985" s="6"/>
      <c r="G985" s="6"/>
      <c r="H985" s="16"/>
      <c r="I985" s="16"/>
      <c r="J985" s="6"/>
      <c r="K985" s="6"/>
      <c r="L985" s="6"/>
      <c r="M985" s="6"/>
    </row>
    <row r="986" spans="1:13" ht="13">
      <c r="A986" s="16"/>
      <c r="B986" s="6"/>
      <c r="C986" s="6"/>
      <c r="D986" s="6"/>
      <c r="E986" s="6"/>
      <c r="F986" s="6"/>
      <c r="G986" s="6"/>
      <c r="H986" s="16"/>
      <c r="I986" s="16"/>
      <c r="J986" s="6"/>
      <c r="K986" s="6"/>
      <c r="L986" s="6"/>
      <c r="M986" s="6"/>
    </row>
    <row r="987" spans="1:13" ht="13">
      <c r="A987" s="16"/>
      <c r="B987" s="6"/>
      <c r="C987" s="6"/>
      <c r="D987" s="6"/>
      <c r="E987" s="6"/>
      <c r="F987" s="6"/>
      <c r="G987" s="6"/>
      <c r="H987" s="16"/>
      <c r="I987" s="16"/>
      <c r="J987" s="6"/>
      <c r="K987" s="6"/>
      <c r="L987" s="6"/>
      <c r="M987" s="6"/>
    </row>
    <row r="988" spans="1:13" ht="13">
      <c r="A988" s="16"/>
      <c r="B988" s="6"/>
      <c r="C988" s="6"/>
      <c r="D988" s="6"/>
      <c r="E988" s="6"/>
      <c r="F988" s="6"/>
      <c r="G988" s="6"/>
      <c r="H988" s="16"/>
      <c r="I988" s="16"/>
      <c r="J988" s="6"/>
      <c r="K988" s="6"/>
      <c r="L988" s="6"/>
      <c r="M988" s="6"/>
    </row>
    <row r="989" spans="1:13" ht="13">
      <c r="A989" s="16"/>
      <c r="B989" s="6"/>
      <c r="C989" s="6"/>
      <c r="D989" s="6"/>
      <c r="E989" s="6"/>
      <c r="F989" s="6"/>
      <c r="G989" s="6"/>
      <c r="H989" s="16"/>
      <c r="I989" s="16"/>
      <c r="J989" s="6"/>
      <c r="K989" s="6"/>
      <c r="L989" s="6"/>
      <c r="M989" s="6"/>
    </row>
    <row r="990" spans="1:13" ht="13">
      <c r="A990" s="16"/>
      <c r="B990" s="6"/>
      <c r="C990" s="6"/>
      <c r="D990" s="6"/>
      <c r="E990" s="6"/>
      <c r="F990" s="6"/>
      <c r="G990" s="6"/>
      <c r="H990" s="16"/>
      <c r="I990" s="16"/>
      <c r="J990" s="6"/>
      <c r="K990" s="6"/>
      <c r="L990" s="6"/>
      <c r="M990" s="6"/>
    </row>
    <row r="991" spans="1:13" ht="13">
      <c r="A991" s="16"/>
      <c r="B991" s="6"/>
      <c r="C991" s="6"/>
      <c r="D991" s="6"/>
      <c r="E991" s="6"/>
      <c r="F991" s="6"/>
      <c r="G991" s="6"/>
      <c r="H991" s="16"/>
      <c r="I991" s="16"/>
      <c r="J991" s="6"/>
      <c r="K991" s="6"/>
      <c r="L991" s="6"/>
      <c r="M991" s="6"/>
    </row>
    <row r="992" spans="1:13" ht="13">
      <c r="A992" s="16"/>
      <c r="B992" s="6"/>
      <c r="C992" s="6"/>
      <c r="D992" s="6"/>
      <c r="E992" s="6"/>
      <c r="F992" s="6"/>
      <c r="G992" s="6"/>
      <c r="H992" s="16"/>
      <c r="I992" s="16"/>
      <c r="J992" s="6"/>
      <c r="K992" s="6"/>
      <c r="L992" s="6"/>
      <c r="M992" s="6"/>
    </row>
    <row r="993" spans="1:13" ht="13">
      <c r="A993" s="16"/>
      <c r="B993" s="6"/>
      <c r="C993" s="6"/>
      <c r="D993" s="6"/>
      <c r="E993" s="6"/>
      <c r="F993" s="6"/>
      <c r="G993" s="6"/>
      <c r="H993" s="16"/>
      <c r="I993" s="16"/>
      <c r="J993" s="6"/>
      <c r="K993" s="6"/>
      <c r="L993" s="6"/>
      <c r="M993" s="6"/>
    </row>
    <row r="994" spans="1:13" ht="13">
      <c r="A994" s="16"/>
      <c r="B994" s="6"/>
      <c r="C994" s="6"/>
      <c r="D994" s="6"/>
      <c r="E994" s="6"/>
      <c r="F994" s="6"/>
      <c r="G994" s="6"/>
      <c r="H994" s="16"/>
      <c r="I994" s="16"/>
      <c r="J994" s="6"/>
      <c r="K994" s="6"/>
      <c r="L994" s="6"/>
      <c r="M994" s="6"/>
    </row>
    <row r="995" spans="1:13" ht="13">
      <c r="A995" s="16"/>
      <c r="B995" s="6"/>
      <c r="C995" s="6"/>
      <c r="D995" s="6"/>
      <c r="E995" s="6"/>
      <c r="F995" s="6"/>
      <c r="G995" s="6"/>
      <c r="H995" s="16"/>
      <c r="I995" s="16"/>
      <c r="J995" s="6"/>
      <c r="K995" s="6"/>
      <c r="L995" s="6"/>
      <c r="M995" s="6"/>
    </row>
    <row r="996" spans="1:13" ht="13">
      <c r="A996" s="16"/>
      <c r="B996" s="6"/>
      <c r="C996" s="6"/>
      <c r="D996" s="6"/>
      <c r="E996" s="6"/>
      <c r="F996" s="6"/>
      <c r="G996" s="6"/>
      <c r="H996" s="16"/>
      <c r="I996" s="16"/>
      <c r="J996" s="6"/>
      <c r="K996" s="6"/>
      <c r="L996" s="6"/>
      <c r="M996" s="6"/>
    </row>
    <row r="997" spans="1:13" ht="13">
      <c r="A997" s="16"/>
      <c r="B997" s="6"/>
      <c r="C997" s="6"/>
      <c r="D997" s="6"/>
      <c r="E997" s="6"/>
      <c r="F997" s="6"/>
      <c r="G997" s="6"/>
      <c r="H997" s="16"/>
      <c r="I997" s="16"/>
      <c r="J997" s="6"/>
      <c r="K997" s="6"/>
      <c r="L997" s="6"/>
      <c r="M997" s="6"/>
    </row>
    <row r="998" spans="1:13" ht="13">
      <c r="A998" s="16"/>
      <c r="B998" s="6"/>
      <c r="C998" s="6"/>
      <c r="D998" s="6"/>
      <c r="E998" s="6"/>
      <c r="F998" s="6"/>
      <c r="G998" s="6"/>
      <c r="H998" s="16"/>
      <c r="I998" s="16"/>
      <c r="J998" s="6"/>
      <c r="K998" s="6"/>
      <c r="L998" s="6"/>
      <c r="M998" s="6"/>
    </row>
    <row r="999" spans="1:13" ht="13">
      <c r="A999" s="16"/>
      <c r="B999" s="6"/>
      <c r="C999" s="6"/>
      <c r="D999" s="6"/>
      <c r="E999" s="6"/>
      <c r="F999" s="6"/>
      <c r="G999" s="6"/>
      <c r="H999" s="16"/>
      <c r="I999" s="16"/>
      <c r="J999" s="6"/>
      <c r="K999" s="6"/>
      <c r="L999" s="6"/>
      <c r="M999" s="6"/>
    </row>
    <row r="1000" spans="1:13" ht="13">
      <c r="A1000" s="16"/>
      <c r="B1000" s="6"/>
      <c r="C1000" s="6"/>
      <c r="D1000" s="6"/>
      <c r="E1000" s="6"/>
      <c r="F1000" s="6"/>
      <c r="G1000" s="6"/>
      <c r="H1000" s="16"/>
      <c r="I1000" s="16"/>
      <c r="J1000" s="6"/>
      <c r="K1000" s="6"/>
      <c r="L1000" s="6"/>
      <c r="M1000" s="6"/>
    </row>
    <row r="1001" spans="1:13" ht="13">
      <c r="A1001" s="16"/>
      <c r="B1001" s="6"/>
      <c r="C1001" s="6"/>
      <c r="D1001" s="6"/>
      <c r="E1001" s="6"/>
      <c r="F1001" s="6"/>
      <c r="G1001" s="6"/>
      <c r="H1001" s="16"/>
      <c r="I1001" s="16"/>
      <c r="J1001" s="6"/>
      <c r="K1001" s="6"/>
      <c r="L1001" s="6"/>
      <c r="M1001" s="6"/>
    </row>
    <row r="1002" spans="1:13" ht="13">
      <c r="A1002" s="16"/>
      <c r="B1002" s="6"/>
      <c r="C1002" s="6"/>
      <c r="D1002" s="6"/>
      <c r="E1002" s="6"/>
      <c r="F1002" s="6"/>
      <c r="G1002" s="6"/>
      <c r="H1002" s="16"/>
      <c r="I1002" s="16"/>
      <c r="J1002" s="6"/>
      <c r="K1002" s="6"/>
      <c r="L1002" s="6"/>
      <c r="M1002"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Aggregated_Data</vt:lpstr>
      <vt:lpstr>Rationales</vt:lpstr>
      <vt:lpstr>Pivot-agreement-disagreement</vt:lpstr>
      <vt:lpstr>Intermediate_Count</vt:lpstr>
      <vt:lpstr>End_Count</vt:lpstr>
      <vt:lpstr>Pivot_End_Count</vt:lpstr>
      <vt:lpstr>Paper-table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Pooja Rani</cp:lastModifiedBy>
  <dcterms:modified xsi:type="dcterms:W3CDTF">2024-03-27T17:17:20Z</dcterms:modified>
</cp:coreProperties>
</file>