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tables/table1.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https://d.docs.live.net/6bd1bb99408cb844/Desktop/Varun Beverages  PROJECT/Final/"/>
    </mc:Choice>
  </mc:AlternateContent>
  <xr:revisionPtr revIDLastSave="11102" documentId="8_{6CA80CCE-D37F-4C86-A716-8CCF5C978CC6}" xr6:coauthVersionLast="47" xr6:coauthVersionMax="47" xr10:uidLastSave="{AAA65E94-AC82-4840-B1FB-F6104F14939F}"/>
  <bookViews>
    <workbookView xWindow="-108" yWindow="-108" windowWidth="23256" windowHeight="12456" tabRatio="692" activeTab="7" xr2:uid="{5DB57AB0-0760-4DA3-ADAE-3983A06AD74C}"/>
  </bookViews>
  <sheets>
    <sheet name="Input Sheet" sheetId="19" r:id="rId1"/>
    <sheet name="ControlSheet" sheetId="4" r:id="rId2"/>
    <sheet name="Schedules" sheetId="10" r:id="rId3"/>
    <sheet name="3StatementModel" sheetId="11" r:id="rId4"/>
    <sheet name="Common Size Statement" sheetId="20" r:id="rId5"/>
    <sheet name="Ratios" sheetId="13" r:id="rId6"/>
    <sheet name="DCF&gt;" sheetId="29" r:id="rId7"/>
    <sheet name="WACC" sheetId="22" r:id="rId8"/>
    <sheet name="DCF-Valn" sheetId="14" r:id="rId9"/>
    <sheet name="Relative&gt;" sheetId="28" r:id="rId10"/>
    <sheet name="Comps_Description" sheetId="24" r:id="rId11"/>
    <sheet name="Benchmarking" sheetId="25" r:id="rId12"/>
    <sheet name="Relative_Val" sheetId="26" r:id="rId13"/>
    <sheet name="Workings&gt;" sheetId="27" r:id="rId14"/>
    <sheet name="Option value" sheetId="23" r:id="rId15"/>
    <sheet name="Assumptions working" sheetId="18" r:id="rId16"/>
    <sheet name="Report" sheetId="30" r:id="rId17"/>
    <sheet name="Damodaran data" sheetId="21" r:id="rId18"/>
    <sheet name="Data&gt;" sheetId="9" r:id="rId19"/>
    <sheet name="IncomeStatement" sheetId="15" r:id="rId20"/>
    <sheet name="BalanceSheet" sheetId="16" r:id="rId21"/>
    <sheet name="CashFlowStatement" sheetId="17" r:id="rId22"/>
  </sheets>
  <definedNames>
    <definedName name="CIQWBGuid" hidden="1">"9bd8df8b-044c-4dd6-a0df-b0c3f83b8dd9"</definedName>
    <definedName name="IQ_CH">110000</definedName>
    <definedName name="IQ_CQ">5000</definedName>
    <definedName name="IQ_CY">10000</definedName>
    <definedName name="IQ_DAILY">500000</definedName>
    <definedName name="IQ_DNTM" hidden="1">700000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MTD" hidden="1">800000</definedName>
    <definedName name="IQ_NAMES_REVISION_DATE_" hidden="1">"06/08/2021 20:37:46"</definedName>
    <definedName name="IQ_NTM">6000</definedName>
    <definedName name="IQ_QTD" hidden="1">750000</definedName>
    <definedName name="IQ_TODAY" hidden="1">0</definedName>
    <definedName name="IQ_WEEK">50000</definedName>
    <definedName name="IQ_YTD">3000</definedName>
    <definedName name="IQ_YTDMONTH" hidden="1">130000</definedName>
  </definedNames>
  <calcPr calcId="191028" iterate="1" calcCompleted="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6" i="22" l="1"/>
  <c r="C816" i="18"/>
  <c r="C734" i="18"/>
  <c r="C736" i="18" s="1"/>
  <c r="H732" i="18"/>
  <c r="H738" i="18" s="1"/>
  <c r="I732" i="18"/>
  <c r="I738" i="18" s="1"/>
  <c r="J732" i="18"/>
  <c r="J738" i="18" s="1"/>
  <c r="K732" i="18"/>
  <c r="K738" i="18" s="1"/>
  <c r="L732" i="18"/>
  <c r="L738" i="18" s="1"/>
  <c r="M732" i="18"/>
  <c r="N137" i="4"/>
  <c r="N172" i="10" s="1"/>
  <c r="N171" i="10" s="1"/>
  <c r="Q137" i="4"/>
  <c r="Q172" i="10" s="1"/>
  <c r="Q171" i="10" s="1"/>
  <c r="R137" i="4"/>
  <c r="R172" i="10" s="1"/>
  <c r="R171" i="10" s="1"/>
  <c r="P129" i="4"/>
  <c r="P216" i="10" s="1"/>
  <c r="Q129" i="4"/>
  <c r="Q216" i="10" s="1"/>
  <c r="R129" i="4"/>
  <c r="R216" i="10" s="1"/>
  <c r="O129" i="4"/>
  <c r="O216" i="10" s="1"/>
  <c r="E720" i="18"/>
  <c r="F720" i="18"/>
  <c r="G720" i="18"/>
  <c r="H720" i="18"/>
  <c r="I720" i="18"/>
  <c r="J720" i="18"/>
  <c r="K720" i="18"/>
  <c r="L720" i="18"/>
  <c r="M720" i="18"/>
  <c r="D720" i="18"/>
  <c r="P137" i="4"/>
  <c r="P172" i="10" s="1"/>
  <c r="P171" i="10" s="1"/>
  <c r="I75" i="10"/>
  <c r="J75" i="10"/>
  <c r="K75" i="10"/>
  <c r="L75" i="10"/>
  <c r="M75" i="10"/>
  <c r="N75" i="10"/>
  <c r="O75" i="10"/>
  <c r="P75" i="10"/>
  <c r="Q75" i="10"/>
  <c r="R75" i="10"/>
  <c r="B79" i="4"/>
  <c r="I79" i="4"/>
  <c r="J79" i="4"/>
  <c r="K79" i="4"/>
  <c r="L79" i="4"/>
  <c r="M79" i="4"/>
  <c r="N79" i="4"/>
  <c r="O79" i="4"/>
  <c r="P79" i="4"/>
  <c r="Q79" i="4"/>
  <c r="R79" i="4"/>
  <c r="D614" i="18"/>
  <c r="E614" i="18"/>
  <c r="F614" i="18"/>
  <c r="G614" i="18"/>
  <c r="H614" i="18"/>
  <c r="I614" i="18"/>
  <c r="J614" i="18"/>
  <c r="D615" i="18"/>
  <c r="E615" i="18"/>
  <c r="F615" i="18"/>
  <c r="G615" i="18"/>
  <c r="H615" i="18"/>
  <c r="I615" i="18"/>
  <c r="J615" i="18"/>
  <c r="C615" i="18"/>
  <c r="C614" i="18"/>
  <c r="H67" i="10"/>
  <c r="H60" i="10"/>
  <c r="H12" i="22"/>
  <c r="E88" i="13"/>
  <c r="F88" i="13"/>
  <c r="G88" i="13"/>
  <c r="H88" i="13"/>
  <c r="D88" i="13"/>
  <c r="B19" i="26"/>
  <c r="H98" i="20"/>
  <c r="G98" i="20"/>
  <c r="F98" i="20"/>
  <c r="H96" i="20"/>
  <c r="G96" i="20"/>
  <c r="F96" i="20"/>
  <c r="H95" i="20"/>
  <c r="G95" i="20"/>
  <c r="F95" i="20"/>
  <c r="H94" i="20"/>
  <c r="G94" i="20"/>
  <c r="F94" i="20"/>
  <c r="H93" i="20"/>
  <c r="G93" i="20"/>
  <c r="F93" i="20"/>
  <c r="H92" i="20"/>
  <c r="G92" i="20"/>
  <c r="F92" i="20"/>
  <c r="H91" i="20"/>
  <c r="G91" i="20"/>
  <c r="F91" i="20"/>
  <c r="H90" i="20"/>
  <c r="G90" i="20"/>
  <c r="F90" i="20"/>
  <c r="H89" i="20"/>
  <c r="G89" i="20"/>
  <c r="F89" i="20"/>
  <c r="H86" i="20"/>
  <c r="G86" i="20"/>
  <c r="F86" i="20"/>
  <c r="H85" i="20"/>
  <c r="G85" i="20"/>
  <c r="F85" i="20"/>
  <c r="H84" i="20"/>
  <c r="G84" i="20"/>
  <c r="F84" i="20"/>
  <c r="H83" i="20"/>
  <c r="G83" i="20"/>
  <c r="F83" i="20"/>
  <c r="H82" i="20"/>
  <c r="G82" i="20"/>
  <c r="F82" i="20"/>
  <c r="H81" i="20"/>
  <c r="G81" i="20"/>
  <c r="F81" i="20"/>
  <c r="H80" i="20"/>
  <c r="G80" i="20"/>
  <c r="F80" i="20"/>
  <c r="H77" i="20"/>
  <c r="G77" i="20"/>
  <c r="F77" i="20"/>
  <c r="H76" i="20"/>
  <c r="G76" i="20"/>
  <c r="F76" i="20"/>
  <c r="H75" i="20"/>
  <c r="G75" i="20"/>
  <c r="F75" i="20"/>
  <c r="H74" i="20"/>
  <c r="G74" i="20"/>
  <c r="F74" i="20"/>
  <c r="F73" i="20"/>
  <c r="G73" i="20"/>
  <c r="H73" i="20"/>
  <c r="O9" i="14"/>
  <c r="P9" i="14"/>
  <c r="Q9" i="14"/>
  <c r="R9" i="14"/>
  <c r="S9" i="14"/>
  <c r="O25" i="14"/>
  <c r="P25" i="14"/>
  <c r="Q25" i="14"/>
  <c r="R25" i="14"/>
  <c r="S25" i="14"/>
  <c r="O137" i="4"/>
  <c r="O172" i="10" s="1"/>
  <c r="O171" i="10" s="1"/>
  <c r="N129" i="4"/>
  <c r="N216" i="10" s="1"/>
  <c r="N153" i="4"/>
  <c r="N144" i="10" s="1"/>
  <c r="O153" i="4"/>
  <c r="O144" i="10" s="1"/>
  <c r="P153" i="4"/>
  <c r="P144" i="10" s="1"/>
  <c r="Q153" i="4"/>
  <c r="Q144" i="10" s="1"/>
  <c r="R153" i="4"/>
  <c r="R144" i="10" s="1"/>
  <c r="I716" i="18"/>
  <c r="J716" i="18" s="1"/>
  <c r="K716" i="18" s="1"/>
  <c r="L716" i="18" s="1"/>
  <c r="M716" i="18" s="1"/>
  <c r="N110" i="11"/>
  <c r="O110" i="11"/>
  <c r="P110" i="11"/>
  <c r="Q110" i="11"/>
  <c r="R110" i="11"/>
  <c r="N111" i="11"/>
  <c r="O111" i="11"/>
  <c r="P111" i="11"/>
  <c r="Q111" i="11"/>
  <c r="R111" i="11"/>
  <c r="N112" i="11"/>
  <c r="O112" i="11"/>
  <c r="P112" i="11"/>
  <c r="Q112" i="11"/>
  <c r="R112" i="11"/>
  <c r="Q15" i="10"/>
  <c r="R15" i="10"/>
  <c r="O34" i="10"/>
  <c r="P34" i="10"/>
  <c r="Q34" i="10"/>
  <c r="P44" i="10"/>
  <c r="N71" i="10"/>
  <c r="O71" i="10"/>
  <c r="P71" i="10"/>
  <c r="Q71" i="10"/>
  <c r="Q91" i="10"/>
  <c r="O225" i="10"/>
  <c r="R232" i="10"/>
  <c r="N19" i="4"/>
  <c r="N15" i="10" s="1"/>
  <c r="O19" i="4"/>
  <c r="O15" i="10" s="1"/>
  <c r="P19" i="4"/>
  <c r="P15" i="10" s="1"/>
  <c r="Q19" i="4"/>
  <c r="R19" i="4"/>
  <c r="N27" i="4"/>
  <c r="N29" i="4" s="1"/>
  <c r="N22" i="10" s="1"/>
  <c r="O27" i="4"/>
  <c r="O29" i="4" s="1"/>
  <c r="O22" i="10" s="1"/>
  <c r="P27" i="4"/>
  <c r="P29" i="4" s="1"/>
  <c r="P22" i="10" s="1"/>
  <c r="Q27" i="4"/>
  <c r="Q29" i="4" s="1"/>
  <c r="Q22" i="10" s="1"/>
  <c r="R27" i="4"/>
  <c r="R29" i="4" s="1"/>
  <c r="R22" i="10" s="1"/>
  <c r="N37" i="4"/>
  <c r="N29" i="10" s="1"/>
  <c r="O37" i="4"/>
  <c r="O29" i="10" s="1"/>
  <c r="P37" i="4"/>
  <c r="P29" i="10" s="1"/>
  <c r="Q37" i="4"/>
  <c r="Q29" i="10" s="1"/>
  <c r="R37" i="4"/>
  <c r="R29" i="10" s="1"/>
  <c r="N43" i="4"/>
  <c r="N34" i="10" s="1"/>
  <c r="O43" i="4"/>
  <c r="P43" i="4"/>
  <c r="Q43" i="4"/>
  <c r="R43" i="4"/>
  <c r="R34" i="10" s="1"/>
  <c r="N49" i="4"/>
  <c r="N39" i="10" s="1"/>
  <c r="O49" i="4"/>
  <c r="O39" i="10" s="1"/>
  <c r="P49" i="4"/>
  <c r="P39" i="10" s="1"/>
  <c r="Q49" i="4"/>
  <c r="Q39" i="10" s="1"/>
  <c r="R49" i="4"/>
  <c r="R39" i="10" s="1"/>
  <c r="N55" i="4"/>
  <c r="N44" i="10" s="1"/>
  <c r="O55" i="4"/>
  <c r="O44" i="10" s="1"/>
  <c r="P55" i="4"/>
  <c r="Q55" i="4"/>
  <c r="Q44" i="10" s="1"/>
  <c r="R55" i="4"/>
  <c r="R44" i="10" s="1"/>
  <c r="N61" i="4"/>
  <c r="N49" i="10" s="1"/>
  <c r="O61" i="4"/>
  <c r="O49" i="10" s="1"/>
  <c r="P61" i="4"/>
  <c r="P49" i="10" s="1"/>
  <c r="Q61" i="4"/>
  <c r="Q49" i="10" s="1"/>
  <c r="R61" i="4"/>
  <c r="R49" i="10" s="1"/>
  <c r="N63" i="4"/>
  <c r="O63" i="4"/>
  <c r="P63" i="4"/>
  <c r="Q63" i="4"/>
  <c r="R63" i="4"/>
  <c r="N73" i="4"/>
  <c r="O73" i="4"/>
  <c r="P73" i="4"/>
  <c r="Q73" i="4"/>
  <c r="R73" i="4"/>
  <c r="R71" i="10" s="1"/>
  <c r="N88" i="4"/>
  <c r="N79" i="10" s="1"/>
  <c r="O88" i="4"/>
  <c r="O79" i="10" s="1"/>
  <c r="P88" i="4"/>
  <c r="P79" i="10" s="1"/>
  <c r="Q88" i="4"/>
  <c r="Q79" i="10" s="1"/>
  <c r="R88" i="4"/>
  <c r="R79" i="10" s="1"/>
  <c r="N94" i="4"/>
  <c r="N83" i="10" s="1"/>
  <c r="O94" i="4"/>
  <c r="O83" i="10" s="1"/>
  <c r="P94" i="4"/>
  <c r="P83" i="10" s="1"/>
  <c r="Q94" i="4"/>
  <c r="Q83" i="10" s="1"/>
  <c r="R94" i="4"/>
  <c r="R83" i="10" s="1"/>
  <c r="N100" i="4"/>
  <c r="N87" i="10" s="1"/>
  <c r="O100" i="4"/>
  <c r="O87" i="10" s="1"/>
  <c r="P100" i="4"/>
  <c r="P87" i="10" s="1"/>
  <c r="Q100" i="4"/>
  <c r="Q87" i="10" s="1"/>
  <c r="R100" i="4"/>
  <c r="R87" i="10" s="1"/>
  <c r="N106" i="4"/>
  <c r="N91" i="10" s="1"/>
  <c r="O106" i="4"/>
  <c r="O91" i="10" s="1"/>
  <c r="P106" i="4"/>
  <c r="P91" i="10" s="1"/>
  <c r="Q106" i="4"/>
  <c r="R106" i="4"/>
  <c r="R91" i="10" s="1"/>
  <c r="N112" i="4"/>
  <c r="N95" i="10" s="1"/>
  <c r="O112" i="4"/>
  <c r="O95" i="10" s="1"/>
  <c r="P112" i="4"/>
  <c r="P95" i="10" s="1"/>
  <c r="Q112" i="4"/>
  <c r="Q95" i="10" s="1"/>
  <c r="R112" i="4"/>
  <c r="R95" i="10" s="1"/>
  <c r="N121" i="4"/>
  <c r="N135" i="10" s="1"/>
  <c r="O121" i="4"/>
  <c r="O135" i="10" s="1"/>
  <c r="P121" i="4"/>
  <c r="P135" i="10" s="1"/>
  <c r="Q121" i="4"/>
  <c r="Q135" i="10" s="1"/>
  <c r="R121" i="4"/>
  <c r="R135" i="10" s="1"/>
  <c r="N145" i="4"/>
  <c r="N225" i="10" s="1"/>
  <c r="O145" i="4"/>
  <c r="P145" i="4"/>
  <c r="P225" i="10" s="1"/>
  <c r="Q145" i="4"/>
  <c r="Q225" i="10" s="1"/>
  <c r="R145" i="4"/>
  <c r="R225" i="10" s="1"/>
  <c r="N161" i="4"/>
  <c r="N232" i="10" s="1"/>
  <c r="O161" i="4"/>
  <c r="O232" i="10" s="1"/>
  <c r="P161" i="4"/>
  <c r="P232" i="10" s="1"/>
  <c r="Q161" i="4"/>
  <c r="Q232" i="10" s="1"/>
  <c r="R161" i="4"/>
  <c r="AI152" i="30"/>
  <c r="AJ152" i="30" s="1"/>
  <c r="AK152" i="30" s="1"/>
  <c r="AL152" i="30" s="1"/>
  <c r="AM152" i="30" s="1"/>
  <c r="AN152" i="30" s="1"/>
  <c r="AO152" i="30" s="1"/>
  <c r="U153" i="30"/>
  <c r="V153" i="30"/>
  <c r="W153" i="30"/>
  <c r="X153" i="30"/>
  <c r="Y153" i="30"/>
  <c r="Z153" i="30"/>
  <c r="AA153" i="30"/>
  <c r="AB153" i="30"/>
  <c r="AC153" i="30"/>
  <c r="AD153" i="30"/>
  <c r="T153" i="30"/>
  <c r="AA152" i="30"/>
  <c r="AB152" i="30" s="1"/>
  <c r="AC152" i="30" s="1"/>
  <c r="AD152" i="30" s="1"/>
  <c r="V152" i="30"/>
  <c r="W152" i="30" s="1"/>
  <c r="X152" i="30" s="1"/>
  <c r="Y152" i="30" s="1"/>
  <c r="N152" i="30"/>
  <c r="O152" i="30" s="1"/>
  <c r="P152" i="30" s="1"/>
  <c r="Q152" i="30" s="1"/>
  <c r="I152" i="30"/>
  <c r="J152" i="30" s="1"/>
  <c r="K152" i="30" s="1"/>
  <c r="L152" i="30" s="1"/>
  <c r="AJ126" i="30"/>
  <c r="AK126" i="30" s="1"/>
  <c r="AL126" i="30" s="1"/>
  <c r="AM126" i="30" s="1"/>
  <c r="V126" i="30"/>
  <c r="W126" i="30" s="1"/>
  <c r="X126" i="30" s="1"/>
  <c r="Y126" i="30" s="1"/>
  <c r="AO126" i="30"/>
  <c r="AP126" i="30" s="1"/>
  <c r="AQ126" i="30" s="1"/>
  <c r="AR126" i="30" s="1"/>
  <c r="AA126" i="30"/>
  <c r="AB126" i="30" s="1"/>
  <c r="AC126" i="30" s="1"/>
  <c r="AD126" i="30" s="1"/>
  <c r="H126" i="30"/>
  <c r="I126" i="30" s="1"/>
  <c r="J126" i="30" s="1"/>
  <c r="K126" i="30" s="1"/>
  <c r="L126" i="30" s="1"/>
  <c r="M126" i="30" s="1"/>
  <c r="N126" i="30" s="1"/>
  <c r="O126" i="30" s="1"/>
  <c r="P126" i="30" s="1"/>
  <c r="U100" i="30"/>
  <c r="V100" i="30"/>
  <c r="W100" i="30"/>
  <c r="X100" i="30" s="1"/>
  <c r="Y100" i="30" s="1"/>
  <c r="Z100" i="30" s="1"/>
  <c r="AA100" i="30" s="1"/>
  <c r="AB100" i="30" s="1"/>
  <c r="T100" i="30"/>
  <c r="D730" i="18"/>
  <c r="E730" i="18" s="1"/>
  <c r="F730" i="18" s="1"/>
  <c r="G730" i="18" s="1"/>
  <c r="H730" i="18" s="1"/>
  <c r="I730" i="18" s="1"/>
  <c r="J730" i="18" s="1"/>
  <c r="K730" i="18" s="1"/>
  <c r="L730" i="18" s="1"/>
  <c r="M730" i="18" s="1"/>
  <c r="D718" i="18"/>
  <c r="E718" i="18" s="1"/>
  <c r="F718" i="18" s="1"/>
  <c r="G718" i="18" s="1"/>
  <c r="H718" i="18" s="1"/>
  <c r="I718" i="18" s="1"/>
  <c r="C722" i="18"/>
  <c r="C728" i="18" s="1"/>
  <c r="V72" i="30"/>
  <c r="V73" i="30" s="1"/>
  <c r="V74" i="30" s="1"/>
  <c r="V75" i="30" s="1"/>
  <c r="V76" i="30" s="1"/>
  <c r="V77" i="30" s="1"/>
  <c r="V78" i="30" s="1"/>
  <c r="V79" i="30" s="1"/>
  <c r="V80" i="30" s="1"/>
  <c r="V81" i="30" s="1"/>
  <c r="V48" i="30"/>
  <c r="V49" i="30" s="1"/>
  <c r="V50" i="30" s="1"/>
  <c r="V51" i="30" s="1"/>
  <c r="V52" i="30" s="1"/>
  <c r="V53" i="30" s="1"/>
  <c r="V54" i="30" s="1"/>
  <c r="V55" i="30" s="1"/>
  <c r="V56" i="30" s="1"/>
  <c r="V57" i="30" s="1"/>
  <c r="Q8" i="30"/>
  <c r="Q9" i="30" s="1"/>
  <c r="Q10" i="30" s="1"/>
  <c r="Q11" i="30" s="1"/>
  <c r="Q12" i="30" s="1"/>
  <c r="N8" i="30"/>
  <c r="O8" i="30" s="1"/>
  <c r="B29" i="26"/>
  <c r="B28" i="26"/>
  <c r="B27" i="26"/>
  <c r="B26" i="26"/>
  <c r="B25" i="26"/>
  <c r="B24" i="26"/>
  <c r="D22" i="26"/>
  <c r="D21" i="26"/>
  <c r="D20" i="26"/>
  <c r="AB16" i="26"/>
  <c r="AA16" i="26"/>
  <c r="AI10" i="26"/>
  <c r="AH10" i="26"/>
  <c r="AG10" i="26"/>
  <c r="AF10" i="26"/>
  <c r="AE10" i="26"/>
  <c r="AD10" i="26"/>
  <c r="AC10" i="26"/>
  <c r="AB10" i="26"/>
  <c r="AA10" i="26"/>
  <c r="Z10" i="26"/>
  <c r="Y10" i="26"/>
  <c r="X10" i="26"/>
  <c r="T10" i="26"/>
  <c r="S10" i="26"/>
  <c r="R10" i="26"/>
  <c r="N10" i="26"/>
  <c r="M10" i="26"/>
  <c r="AI9" i="26"/>
  <c r="AH9" i="26"/>
  <c r="AG9" i="26"/>
  <c r="AF9" i="26"/>
  <c r="AE9" i="26"/>
  <c r="AD9" i="26"/>
  <c r="AC9" i="26"/>
  <c r="AB9" i="26"/>
  <c r="AB12" i="26" s="1"/>
  <c r="AA9" i="26"/>
  <c r="AA12" i="26" s="1"/>
  <c r="Z9" i="26"/>
  <c r="Y9" i="26"/>
  <c r="X9" i="26"/>
  <c r="T9" i="26"/>
  <c r="S9" i="26"/>
  <c r="R9" i="26"/>
  <c r="N9" i="26"/>
  <c r="M9" i="26"/>
  <c r="AI8" i="26"/>
  <c r="AH8" i="26"/>
  <c r="AG8" i="26"/>
  <c r="AG14" i="26" s="1"/>
  <c r="AF8" i="26"/>
  <c r="AE8" i="26"/>
  <c r="AD8" i="26"/>
  <c r="AD14" i="26" s="1"/>
  <c r="AC8" i="26"/>
  <c r="AC17" i="26" s="1"/>
  <c r="AB8" i="26"/>
  <c r="AA8" i="26"/>
  <c r="Z8" i="26"/>
  <c r="Y8" i="26"/>
  <c r="X8" i="26"/>
  <c r="T8" i="26"/>
  <c r="S8" i="26"/>
  <c r="R8" i="26"/>
  <c r="N8" i="26"/>
  <c r="M8" i="26"/>
  <c r="AI7" i="26"/>
  <c r="AH7" i="26"/>
  <c r="AG7" i="26"/>
  <c r="AF7" i="26"/>
  <c r="AE7" i="26"/>
  <c r="AD7" i="26"/>
  <c r="AC7" i="26"/>
  <c r="AB7" i="26"/>
  <c r="AA7" i="26"/>
  <c r="Z7" i="26"/>
  <c r="Y7" i="26"/>
  <c r="X7" i="26"/>
  <c r="T7" i="26"/>
  <c r="S7" i="26"/>
  <c r="R7" i="26"/>
  <c r="N7" i="26"/>
  <c r="M7" i="26"/>
  <c r="H69" i="25"/>
  <c r="H14" i="25" s="1"/>
  <c r="G69" i="25"/>
  <c r="G14" i="25" s="1"/>
  <c r="F69" i="25"/>
  <c r="F14" i="25" s="1"/>
  <c r="E69" i="25"/>
  <c r="E14" i="25" s="1"/>
  <c r="D69" i="25"/>
  <c r="C69" i="25"/>
  <c r="H68" i="25"/>
  <c r="G68" i="25"/>
  <c r="F68" i="25"/>
  <c r="E68" i="25"/>
  <c r="D68" i="25"/>
  <c r="C68" i="25"/>
  <c r="H59" i="25"/>
  <c r="H13" i="25" s="1"/>
  <c r="G59" i="25"/>
  <c r="G13" i="25" s="1"/>
  <c r="F59" i="25"/>
  <c r="F13" i="25" s="1"/>
  <c r="E59" i="25"/>
  <c r="E13" i="25" s="1"/>
  <c r="D59" i="25"/>
  <c r="C59" i="25"/>
  <c r="H58" i="25"/>
  <c r="H7" i="25" s="1"/>
  <c r="G58" i="25"/>
  <c r="G7" i="25" s="1"/>
  <c r="F58" i="25"/>
  <c r="F7" i="25" s="1"/>
  <c r="E58" i="25"/>
  <c r="E7" i="25" s="1"/>
  <c r="D58" i="25"/>
  <c r="D7" i="25" s="1"/>
  <c r="C58" i="25"/>
  <c r="C7" i="25" s="1"/>
  <c r="H49" i="25"/>
  <c r="G49" i="25"/>
  <c r="F49" i="25"/>
  <c r="E49" i="25"/>
  <c r="E12" i="25" s="1"/>
  <c r="I12" i="25" s="1"/>
  <c r="D49" i="25"/>
  <c r="C49" i="25"/>
  <c r="H48" i="25"/>
  <c r="G48" i="25"/>
  <c r="F48" i="25"/>
  <c r="E48" i="25"/>
  <c r="D48" i="25"/>
  <c r="C48" i="25"/>
  <c r="C6" i="25" s="1"/>
  <c r="I6" i="25" s="1"/>
  <c r="H39" i="25"/>
  <c r="H11" i="25" s="1"/>
  <c r="G39" i="25"/>
  <c r="G11" i="25" s="1"/>
  <c r="F39" i="25"/>
  <c r="F11" i="25" s="1"/>
  <c r="E39" i="25"/>
  <c r="E11" i="25" s="1"/>
  <c r="D39" i="25"/>
  <c r="C39" i="25"/>
  <c r="H38" i="25"/>
  <c r="G38" i="25"/>
  <c r="F38" i="25"/>
  <c r="E38" i="25"/>
  <c r="D38" i="25"/>
  <c r="C38" i="25"/>
  <c r="H29" i="25"/>
  <c r="G29" i="25"/>
  <c r="G10" i="25" s="1"/>
  <c r="F29" i="25"/>
  <c r="F10" i="25" s="1"/>
  <c r="E29" i="25"/>
  <c r="E10" i="25" s="1"/>
  <c r="I10" i="25" s="1"/>
  <c r="D29" i="25"/>
  <c r="H28" i="25"/>
  <c r="G28" i="25"/>
  <c r="F28" i="25"/>
  <c r="E28" i="25"/>
  <c r="E4" i="25" s="1"/>
  <c r="D28" i="25"/>
  <c r="D4" i="25" s="1"/>
  <c r="I4" i="25" s="1"/>
  <c r="D14" i="25"/>
  <c r="C14" i="25"/>
  <c r="D13" i="25"/>
  <c r="C13" i="25"/>
  <c r="H12" i="25"/>
  <c r="G12" i="25"/>
  <c r="F12" i="25"/>
  <c r="D12" i="25"/>
  <c r="C12" i="25"/>
  <c r="D11" i="25"/>
  <c r="C11" i="25"/>
  <c r="I11" i="25" s="1"/>
  <c r="H10" i="25"/>
  <c r="D10" i="25"/>
  <c r="H8" i="25"/>
  <c r="G8" i="25"/>
  <c r="F8" i="25"/>
  <c r="E8" i="25"/>
  <c r="D8" i="25"/>
  <c r="C8" i="25"/>
  <c r="I8" i="25" s="1"/>
  <c r="H6" i="25"/>
  <c r="G6" i="25"/>
  <c r="F6" i="25"/>
  <c r="E6" i="25"/>
  <c r="D6" i="25"/>
  <c r="H5" i="25"/>
  <c r="G5" i="25"/>
  <c r="F5" i="25"/>
  <c r="E5" i="25"/>
  <c r="D5" i="25"/>
  <c r="C5" i="25"/>
  <c r="I5" i="25" s="1"/>
  <c r="H4" i="25"/>
  <c r="G4" i="25"/>
  <c r="F4" i="25"/>
  <c r="E7" i="23"/>
  <c r="G18" i="23" s="1"/>
  <c r="E6" i="23"/>
  <c r="G17" i="23" s="1"/>
  <c r="E5" i="23"/>
  <c r="D18" i="23" s="1"/>
  <c r="E4" i="23"/>
  <c r="D15" i="23" s="1"/>
  <c r="D17" i="23" s="1"/>
  <c r="P9" i="23"/>
  <c r="N9" i="23"/>
  <c r="O9" i="23"/>
  <c r="M9" i="23"/>
  <c r="G15" i="23"/>
  <c r="G14" i="23"/>
  <c r="D14" i="23"/>
  <c r="C616" i="18" l="1"/>
  <c r="M738" i="18"/>
  <c r="C727" i="18"/>
  <c r="H616" i="18"/>
  <c r="H618" i="18" s="1"/>
  <c r="H102" i="10"/>
  <c r="H110" i="10" s="1"/>
  <c r="G616" i="18"/>
  <c r="F616" i="18"/>
  <c r="J616" i="18"/>
  <c r="E616" i="18"/>
  <c r="I616" i="18"/>
  <c r="D616" i="18"/>
  <c r="J718" i="18"/>
  <c r="AE14" i="26"/>
  <c r="AD17" i="26"/>
  <c r="AF14" i="26"/>
  <c r="AE17" i="26"/>
  <c r="AF17" i="26"/>
  <c r="AH12" i="26"/>
  <c r="AC15" i="26"/>
  <c r="AG17" i="26"/>
  <c r="AI15" i="26"/>
  <c r="AD15" i="26"/>
  <c r="AE15" i="26"/>
  <c r="AD13" i="26"/>
  <c r="AF16" i="26"/>
  <c r="AA15" i="26"/>
  <c r="AE13" i="26"/>
  <c r="AG15" i="26"/>
  <c r="AB15" i="26"/>
  <c r="AF13" i="26"/>
  <c r="AA17" i="26"/>
  <c r="AG13" i="26"/>
  <c r="AB17" i="26"/>
  <c r="D24" i="26"/>
  <c r="D25" i="26" s="1"/>
  <c r="I13" i="25"/>
  <c r="I7" i="25"/>
  <c r="I14" i="25"/>
  <c r="AC12" i="26"/>
  <c r="AC16" i="26"/>
  <c r="AD12" i="26"/>
  <c r="AD16" i="26"/>
  <c r="AE12" i="26"/>
  <c r="AH17" i="26"/>
  <c r="AF12" i="26"/>
  <c r="AI17" i="26"/>
  <c r="AG12" i="26"/>
  <c r="AG16" i="26"/>
  <c r="AB14" i="26"/>
  <c r="AH16" i="26"/>
  <c r="AC14" i="26"/>
  <c r="AF15" i="26"/>
  <c r="AB13" i="26"/>
  <c r="AH15" i="26"/>
  <c r="AH14" i="26"/>
  <c r="AI14" i="26"/>
  <c r="AH13" i="26"/>
  <c r="AE16" i="26"/>
  <c r="AI13" i="26"/>
  <c r="AA14" i="26"/>
  <c r="AI12" i="26"/>
  <c r="AI16" i="26"/>
  <c r="AA13" i="26"/>
  <c r="AC13" i="26"/>
  <c r="C43" i="14"/>
  <c r="F9" i="14"/>
  <c r="G9" i="14"/>
  <c r="H9" i="14"/>
  <c r="I9" i="14"/>
  <c r="E9" i="14"/>
  <c r="D17" i="22"/>
  <c r="E17" i="22" s="1"/>
  <c r="F17" i="22" s="1"/>
  <c r="D13" i="22"/>
  <c r="E13" i="22" s="1"/>
  <c r="F13" i="22" s="1"/>
  <c r="E12" i="22"/>
  <c r="B2" i="22"/>
  <c r="C12" i="19"/>
  <c r="D8" i="22" s="1"/>
  <c r="E8" i="22" s="1"/>
  <c r="C11" i="19"/>
  <c r="B11" i="19"/>
  <c r="B24" i="20"/>
  <c r="B23" i="20"/>
  <c r="B22" i="20"/>
  <c r="B21" i="20"/>
  <c r="B20" i="20"/>
  <c r="I9" i="20"/>
  <c r="J9" i="20" s="1"/>
  <c r="K9" i="20" s="1"/>
  <c r="L9" i="20" s="1"/>
  <c r="M9" i="20" s="1"/>
  <c r="N9" i="20" s="1"/>
  <c r="O9" i="20" s="1"/>
  <c r="P9" i="20" s="1"/>
  <c r="Q9" i="20" s="1"/>
  <c r="R9" i="20" s="1"/>
  <c r="B2" i="20"/>
  <c r="I110" i="11"/>
  <c r="J110" i="11"/>
  <c r="K110" i="11"/>
  <c r="L110" i="11"/>
  <c r="M110" i="11"/>
  <c r="I111" i="11"/>
  <c r="J111" i="11"/>
  <c r="K111" i="11"/>
  <c r="L111" i="11"/>
  <c r="M111" i="11"/>
  <c r="I112" i="11"/>
  <c r="J112" i="11"/>
  <c r="K112" i="11"/>
  <c r="L112" i="11"/>
  <c r="M112" i="11"/>
  <c r="B2" i="14"/>
  <c r="B2" i="13"/>
  <c r="B2" i="11"/>
  <c r="B2" i="10"/>
  <c r="B2" i="4"/>
  <c r="D876" i="18"/>
  <c r="E876" i="18" s="1"/>
  <c r="F876" i="18" s="1"/>
  <c r="G876" i="18" s="1"/>
  <c r="H876" i="18" s="1"/>
  <c r="I876" i="18" s="1"/>
  <c r="J876" i="18" s="1"/>
  <c r="K876" i="18" s="1"/>
  <c r="L876" i="18" s="1"/>
  <c r="M876" i="18" s="1"/>
  <c r="N876" i="18" s="1"/>
  <c r="O876" i="18" s="1"/>
  <c r="P876" i="18" s="1"/>
  <c r="Q876" i="18" s="1"/>
  <c r="E452" i="18"/>
  <c r="F452" i="18"/>
  <c r="G452" i="18"/>
  <c r="H452" i="18"/>
  <c r="I452" i="18"/>
  <c r="J452" i="18"/>
  <c r="K452" i="18"/>
  <c r="D452" i="18"/>
  <c r="D161" i="10"/>
  <c r="E161" i="10"/>
  <c r="F161" i="10"/>
  <c r="G161" i="10"/>
  <c r="H161" i="10"/>
  <c r="J137" i="4"/>
  <c r="J172" i="10" s="1"/>
  <c r="J171" i="10" s="1"/>
  <c r="B207" i="10"/>
  <c r="B206" i="10"/>
  <c r="B205" i="10"/>
  <c r="B204" i="10"/>
  <c r="B203" i="10"/>
  <c r="B202" i="10"/>
  <c r="B201" i="10"/>
  <c r="E175" i="10"/>
  <c r="F175" i="10"/>
  <c r="G175" i="10"/>
  <c r="H175" i="10"/>
  <c r="I175" i="10" s="1"/>
  <c r="J175" i="10" s="1"/>
  <c r="K175" i="10" s="1"/>
  <c r="L175" i="10" s="1"/>
  <c r="M175" i="10" s="1"/>
  <c r="D175" i="10"/>
  <c r="B175" i="10"/>
  <c r="E191" i="10"/>
  <c r="F191" i="10"/>
  <c r="G191" i="10"/>
  <c r="H191" i="10"/>
  <c r="I191" i="10" s="1"/>
  <c r="J191" i="10" s="1"/>
  <c r="K191" i="10" s="1"/>
  <c r="L191" i="10" s="1"/>
  <c r="M191" i="10" s="1"/>
  <c r="D191" i="10"/>
  <c r="E187" i="10"/>
  <c r="F187" i="10"/>
  <c r="G187" i="10"/>
  <c r="H187" i="10"/>
  <c r="I187" i="10" s="1"/>
  <c r="J187" i="10" s="1"/>
  <c r="K187" i="10" s="1"/>
  <c r="L187" i="10" s="1"/>
  <c r="M187" i="10" s="1"/>
  <c r="D187" i="10"/>
  <c r="E183" i="10"/>
  <c r="F183" i="10"/>
  <c r="G183" i="10"/>
  <c r="H183" i="10"/>
  <c r="I183" i="10" s="1"/>
  <c r="J183" i="10" s="1"/>
  <c r="K183" i="10" s="1"/>
  <c r="L183" i="10" s="1"/>
  <c r="M183" i="10" s="1"/>
  <c r="D183" i="10"/>
  <c r="E179" i="10"/>
  <c r="F179" i="10"/>
  <c r="G179" i="10"/>
  <c r="H179" i="10"/>
  <c r="I179" i="10" s="1"/>
  <c r="J179" i="10" s="1"/>
  <c r="K179" i="10" s="1"/>
  <c r="L179" i="10" s="1"/>
  <c r="M179" i="10" s="1"/>
  <c r="D179" i="10"/>
  <c r="B191" i="10"/>
  <c r="B187" i="10"/>
  <c r="B183" i="10"/>
  <c r="B179" i="10"/>
  <c r="D868" i="18"/>
  <c r="E868" i="18"/>
  <c r="F868" i="18"/>
  <c r="G868" i="18"/>
  <c r="H868" i="18"/>
  <c r="I868" i="18"/>
  <c r="J868" i="18"/>
  <c r="C868" i="18"/>
  <c r="D867" i="18"/>
  <c r="E867" i="18"/>
  <c r="F867" i="18"/>
  <c r="G867" i="18"/>
  <c r="H867" i="18"/>
  <c r="I867" i="18"/>
  <c r="J867" i="18"/>
  <c r="C867" i="18"/>
  <c r="D866" i="18"/>
  <c r="E866" i="18" s="1"/>
  <c r="F866" i="18" s="1"/>
  <c r="G866" i="18" s="1"/>
  <c r="H866" i="18" s="1"/>
  <c r="I866" i="18" s="1"/>
  <c r="J866" i="18" s="1"/>
  <c r="H132" i="10"/>
  <c r="H130" i="10"/>
  <c r="D858" i="18"/>
  <c r="E858" i="18"/>
  <c r="F858" i="18"/>
  <c r="G858" i="18"/>
  <c r="H858" i="18"/>
  <c r="I858" i="18"/>
  <c r="J858" i="18"/>
  <c r="C858" i="18"/>
  <c r="D856" i="18"/>
  <c r="E856" i="18" s="1"/>
  <c r="F856" i="18" s="1"/>
  <c r="G856" i="18" s="1"/>
  <c r="H856" i="18" s="1"/>
  <c r="I856" i="18" s="1"/>
  <c r="J856" i="18" s="1"/>
  <c r="D802" i="18"/>
  <c r="E802" i="18"/>
  <c r="F802" i="18"/>
  <c r="G802" i="18"/>
  <c r="H802" i="18"/>
  <c r="I802" i="18"/>
  <c r="J802" i="18"/>
  <c r="C802" i="18"/>
  <c r="D800" i="18"/>
  <c r="E800" i="18" s="1"/>
  <c r="F800" i="18" s="1"/>
  <c r="G800" i="18" s="1"/>
  <c r="H800" i="18" s="1"/>
  <c r="I800" i="18" s="1"/>
  <c r="J800" i="18" s="1"/>
  <c r="E171" i="10"/>
  <c r="E218" i="10" s="1"/>
  <c r="F171" i="10"/>
  <c r="F218" i="10" s="1"/>
  <c r="G171" i="10"/>
  <c r="G218" i="10" s="1"/>
  <c r="H171" i="10"/>
  <c r="H218" i="10" s="1"/>
  <c r="D171" i="10"/>
  <c r="D218" i="10" s="1"/>
  <c r="M137" i="4"/>
  <c r="M172" i="10" s="1"/>
  <c r="M171" i="10" s="1"/>
  <c r="L137" i="4"/>
  <c r="L172" i="10" s="1"/>
  <c r="L171" i="10" s="1"/>
  <c r="K137" i="4"/>
  <c r="K172" i="10" s="1"/>
  <c r="K171" i="10" s="1"/>
  <c r="B137" i="4"/>
  <c r="E215" i="10"/>
  <c r="F215" i="10"/>
  <c r="G215" i="10"/>
  <c r="H215" i="10"/>
  <c r="D215" i="10"/>
  <c r="E166" i="10"/>
  <c r="F166" i="10"/>
  <c r="G166" i="10"/>
  <c r="H166" i="10"/>
  <c r="D166" i="10"/>
  <c r="D706" i="18"/>
  <c r="E706" i="18"/>
  <c r="F706" i="18"/>
  <c r="G706" i="18"/>
  <c r="H706" i="18"/>
  <c r="I706" i="18"/>
  <c r="J706" i="18"/>
  <c r="C706" i="18"/>
  <c r="D698" i="18"/>
  <c r="E698" i="18"/>
  <c r="F698" i="18"/>
  <c r="G698" i="18"/>
  <c r="H698" i="18"/>
  <c r="I698" i="18"/>
  <c r="J698" i="18"/>
  <c r="C698" i="18"/>
  <c r="D696" i="18"/>
  <c r="E696" i="18"/>
  <c r="F696" i="18"/>
  <c r="G696" i="18"/>
  <c r="H696" i="18"/>
  <c r="I696" i="18"/>
  <c r="J696" i="18"/>
  <c r="C696" i="18"/>
  <c r="D695" i="18"/>
  <c r="E695" i="18" s="1"/>
  <c r="F695" i="18" s="1"/>
  <c r="G695" i="18" s="1"/>
  <c r="H695" i="18" s="1"/>
  <c r="I695" i="18" s="1"/>
  <c r="J695" i="18" s="1"/>
  <c r="D659" i="18"/>
  <c r="D661" i="18" s="1"/>
  <c r="E659" i="18"/>
  <c r="E661" i="18" s="1"/>
  <c r="F659" i="18"/>
  <c r="F661" i="18" s="1"/>
  <c r="G659" i="18"/>
  <c r="H659" i="18"/>
  <c r="I659" i="18"/>
  <c r="I661" i="18" s="1"/>
  <c r="J659" i="18"/>
  <c r="J661" i="18" s="1"/>
  <c r="K659" i="18"/>
  <c r="K661" i="18" s="1"/>
  <c r="L659" i="18"/>
  <c r="L661" i="18" s="1"/>
  <c r="M659" i="18"/>
  <c r="M661" i="18" s="1"/>
  <c r="N659" i="18"/>
  <c r="N661" i="18" s="1"/>
  <c r="C659" i="18"/>
  <c r="C661" i="18" s="1"/>
  <c r="D652" i="18"/>
  <c r="D654" i="18" s="1"/>
  <c r="E652" i="18"/>
  <c r="E654" i="18" s="1"/>
  <c r="F652" i="18"/>
  <c r="F654" i="18" s="1"/>
  <c r="G652" i="18"/>
  <c r="G654" i="18" s="1"/>
  <c r="H652" i="18"/>
  <c r="H656" i="18" s="1"/>
  <c r="X154" i="30" s="1"/>
  <c r="I652" i="18"/>
  <c r="I654" i="18" s="1"/>
  <c r="J652" i="18"/>
  <c r="J654" i="18" s="1"/>
  <c r="K652" i="18"/>
  <c r="K654" i="18" s="1"/>
  <c r="L652" i="18"/>
  <c r="L654" i="18" s="1"/>
  <c r="M652" i="18"/>
  <c r="M654" i="18" s="1"/>
  <c r="N652" i="18"/>
  <c r="N656" i="18" s="1"/>
  <c r="AD154" i="30" s="1"/>
  <c r="C652" i="18"/>
  <c r="C654" i="18" s="1"/>
  <c r="E650" i="18"/>
  <c r="F650" i="18"/>
  <c r="G650" i="18"/>
  <c r="H650" i="18"/>
  <c r="I650" i="18"/>
  <c r="J650" i="18"/>
  <c r="K650" i="18"/>
  <c r="L650" i="18"/>
  <c r="M650" i="18"/>
  <c r="N650" i="18"/>
  <c r="D650" i="18"/>
  <c r="E142" i="11"/>
  <c r="F142" i="11"/>
  <c r="G142" i="11"/>
  <c r="H142" i="11"/>
  <c r="D142" i="11"/>
  <c r="E120" i="11"/>
  <c r="F21" i="14" s="1"/>
  <c r="F120" i="11"/>
  <c r="G21" i="14" s="1"/>
  <c r="G120" i="11"/>
  <c r="H21" i="14" s="1"/>
  <c r="H120" i="11"/>
  <c r="I21" i="14" s="1"/>
  <c r="E121" i="11"/>
  <c r="F121" i="11"/>
  <c r="G121" i="11"/>
  <c r="H121" i="11"/>
  <c r="D121" i="11"/>
  <c r="D120" i="11"/>
  <c r="E21" i="14" s="1"/>
  <c r="E131" i="11"/>
  <c r="F131" i="11"/>
  <c r="G131" i="11"/>
  <c r="H131" i="11"/>
  <c r="E132" i="11"/>
  <c r="F132" i="11"/>
  <c r="G132" i="11"/>
  <c r="H132" i="11"/>
  <c r="E133" i="11"/>
  <c r="F133" i="11"/>
  <c r="G133" i="11"/>
  <c r="H133" i="11"/>
  <c r="E134" i="11"/>
  <c r="F134" i="11"/>
  <c r="G134" i="11"/>
  <c r="H134" i="11"/>
  <c r="E135" i="11"/>
  <c r="F135" i="11"/>
  <c r="G135" i="11"/>
  <c r="H135" i="11"/>
  <c r="I135" i="11" s="1"/>
  <c r="J135" i="11" s="1"/>
  <c r="K135" i="11" s="1"/>
  <c r="L135" i="11" s="1"/>
  <c r="M135" i="11" s="1"/>
  <c r="N135" i="11" s="1"/>
  <c r="O135" i="11" s="1"/>
  <c r="P135" i="11" s="1"/>
  <c r="Q135" i="11" s="1"/>
  <c r="E136" i="11"/>
  <c r="F136" i="11"/>
  <c r="G136" i="11"/>
  <c r="H136" i="11"/>
  <c r="E137" i="11"/>
  <c r="F137" i="11"/>
  <c r="G137" i="11"/>
  <c r="H137" i="11"/>
  <c r="E138" i="11"/>
  <c r="F138" i="11"/>
  <c r="G138" i="11"/>
  <c r="H138" i="11"/>
  <c r="D138" i="11"/>
  <c r="D137" i="11"/>
  <c r="D136" i="11"/>
  <c r="D135" i="11"/>
  <c r="D134" i="11"/>
  <c r="D133" i="11"/>
  <c r="D132" i="11"/>
  <c r="D131" i="11"/>
  <c r="E124" i="11"/>
  <c r="F22" i="14" s="1"/>
  <c r="F124" i="11"/>
  <c r="G22" i="14" s="1"/>
  <c r="G124" i="11"/>
  <c r="H22" i="14" s="1"/>
  <c r="H124" i="11"/>
  <c r="I22" i="14" s="1"/>
  <c r="E125" i="11"/>
  <c r="F125" i="11"/>
  <c r="G125" i="11"/>
  <c r="H125" i="11"/>
  <c r="E126" i="11"/>
  <c r="F126" i="11"/>
  <c r="G126" i="11"/>
  <c r="H126" i="11"/>
  <c r="E127" i="11"/>
  <c r="F127" i="11"/>
  <c r="G127" i="11"/>
  <c r="H127" i="11"/>
  <c r="E128" i="11"/>
  <c r="F128" i="11"/>
  <c r="G128" i="11"/>
  <c r="H128" i="11"/>
  <c r="D127" i="11"/>
  <c r="D128" i="11"/>
  <c r="D126" i="11"/>
  <c r="D125" i="11"/>
  <c r="D124" i="11"/>
  <c r="E22" i="14" s="1"/>
  <c r="E118" i="11"/>
  <c r="F118" i="11"/>
  <c r="G118" i="11"/>
  <c r="H118" i="11"/>
  <c r="E119" i="11"/>
  <c r="F119" i="11"/>
  <c r="G119" i="11"/>
  <c r="H119" i="11"/>
  <c r="D119" i="11"/>
  <c r="D118" i="11"/>
  <c r="D102" i="11"/>
  <c r="E102" i="11"/>
  <c r="F102" i="11"/>
  <c r="G102" i="11"/>
  <c r="H102" i="11"/>
  <c r="E96" i="11"/>
  <c r="F96" i="11"/>
  <c r="G96" i="11"/>
  <c r="H96" i="11"/>
  <c r="E97" i="11"/>
  <c r="F97" i="11"/>
  <c r="G97" i="11"/>
  <c r="H97" i="11"/>
  <c r="E98" i="11"/>
  <c r="F98" i="11"/>
  <c r="G98" i="11"/>
  <c r="H98" i="11"/>
  <c r="E99" i="11"/>
  <c r="F99" i="11"/>
  <c r="G99" i="11"/>
  <c r="H99" i="11"/>
  <c r="E100" i="11"/>
  <c r="F100" i="11"/>
  <c r="G100" i="11"/>
  <c r="H100" i="11"/>
  <c r="E101" i="11"/>
  <c r="F101" i="11"/>
  <c r="G101" i="11"/>
  <c r="H101" i="11"/>
  <c r="D98" i="11"/>
  <c r="D99" i="11"/>
  <c r="D100" i="11"/>
  <c r="D101" i="11"/>
  <c r="D97" i="11"/>
  <c r="D96" i="11"/>
  <c r="E87" i="11"/>
  <c r="F87" i="11"/>
  <c r="G87" i="11"/>
  <c r="H87" i="11"/>
  <c r="E88" i="11"/>
  <c r="F88" i="11"/>
  <c r="G88" i="11"/>
  <c r="H88" i="11"/>
  <c r="I88" i="11" s="1"/>
  <c r="J88" i="11" s="1"/>
  <c r="K88" i="11" s="1"/>
  <c r="L88" i="11" s="1"/>
  <c r="M88" i="11" s="1"/>
  <c r="N88" i="11" s="1"/>
  <c r="O88" i="11" s="1"/>
  <c r="P88" i="11" s="1"/>
  <c r="Q88" i="11" s="1"/>
  <c r="R88" i="11" s="1"/>
  <c r="E89" i="11"/>
  <c r="F89" i="11"/>
  <c r="G89" i="11"/>
  <c r="H89" i="11"/>
  <c r="I89" i="11" s="1"/>
  <c r="J89" i="11" s="1"/>
  <c r="K89" i="11" s="1"/>
  <c r="L89" i="11" s="1"/>
  <c r="M89" i="11" s="1"/>
  <c r="N89" i="11" s="1"/>
  <c r="O89" i="11" s="1"/>
  <c r="P89" i="11" s="1"/>
  <c r="E90" i="11"/>
  <c r="F90" i="11"/>
  <c r="G90" i="11"/>
  <c r="H90" i="11"/>
  <c r="I90" i="11" s="1"/>
  <c r="J90" i="11" s="1"/>
  <c r="K90" i="11" s="1"/>
  <c r="L90" i="11" s="1"/>
  <c r="M90" i="11" s="1"/>
  <c r="N90" i="11" s="1"/>
  <c r="O90" i="11" s="1"/>
  <c r="P90" i="11" s="1"/>
  <c r="Q90" i="11" s="1"/>
  <c r="R90" i="11" s="1"/>
  <c r="E91" i="11"/>
  <c r="F91" i="11"/>
  <c r="G91" i="11"/>
  <c r="H91" i="11"/>
  <c r="I91" i="11" s="1"/>
  <c r="J91" i="11" s="1"/>
  <c r="K91" i="11" s="1"/>
  <c r="L91" i="11" s="1"/>
  <c r="M91" i="11" s="1"/>
  <c r="N91" i="11" s="1"/>
  <c r="O91" i="11" s="1"/>
  <c r="P91" i="11" s="1"/>
  <c r="Q91" i="11" s="1"/>
  <c r="R91" i="11" s="1"/>
  <c r="E92" i="11"/>
  <c r="F92" i="11"/>
  <c r="G92" i="11"/>
  <c r="H92" i="11"/>
  <c r="I92" i="11" s="1"/>
  <c r="J92" i="11" s="1"/>
  <c r="K92" i="11" s="1"/>
  <c r="L92" i="11" s="1"/>
  <c r="M92" i="11" s="1"/>
  <c r="N92" i="11" s="1"/>
  <c r="O92" i="11" s="1"/>
  <c r="P92" i="11" s="1"/>
  <c r="Q92" i="11" s="1"/>
  <c r="R92" i="11" s="1"/>
  <c r="D88" i="11"/>
  <c r="D89" i="11"/>
  <c r="D90" i="11"/>
  <c r="D91" i="11"/>
  <c r="D92" i="11"/>
  <c r="D87" i="11"/>
  <c r="E80" i="11"/>
  <c r="F80" i="11"/>
  <c r="G80" i="11"/>
  <c r="H80" i="11"/>
  <c r="I80" i="11" s="1"/>
  <c r="J80" i="11" s="1"/>
  <c r="K80" i="11" s="1"/>
  <c r="L80" i="11" s="1"/>
  <c r="M80" i="11" s="1"/>
  <c r="E81" i="11"/>
  <c r="F81" i="11"/>
  <c r="G81" i="11"/>
  <c r="H81" i="11"/>
  <c r="I139" i="10" s="1"/>
  <c r="E83" i="11"/>
  <c r="F83" i="11"/>
  <c r="G83" i="11"/>
  <c r="H83" i="11"/>
  <c r="I83" i="11" s="1"/>
  <c r="J83" i="11" s="1"/>
  <c r="K83" i="11" s="1"/>
  <c r="L83" i="11" s="1"/>
  <c r="M83" i="11" s="1"/>
  <c r="N83" i="11" s="1"/>
  <c r="O83" i="11" s="1"/>
  <c r="P83" i="11" s="1"/>
  <c r="Q83" i="11" s="1"/>
  <c r="R83" i="11" s="1"/>
  <c r="D83" i="11"/>
  <c r="D81" i="11"/>
  <c r="D80" i="11"/>
  <c r="E70" i="11"/>
  <c r="E18" i="13" s="1"/>
  <c r="E78" i="13" s="1"/>
  <c r="F70" i="11"/>
  <c r="G70" i="11"/>
  <c r="H70" i="11"/>
  <c r="E71" i="11"/>
  <c r="F71" i="11"/>
  <c r="G71" i="11"/>
  <c r="H71" i="11"/>
  <c r="E72" i="11"/>
  <c r="F72" i="11"/>
  <c r="G72" i="11"/>
  <c r="H72" i="11"/>
  <c r="D72" i="11"/>
  <c r="D71" i="11"/>
  <c r="D70" i="11"/>
  <c r="D18" i="13" s="1"/>
  <c r="D78" i="13" s="1"/>
  <c r="E69" i="11"/>
  <c r="F69" i="11"/>
  <c r="G69" i="11"/>
  <c r="H69" i="11"/>
  <c r="I69" i="11" s="1"/>
  <c r="J69" i="11" s="1"/>
  <c r="K69" i="11" s="1"/>
  <c r="L69" i="11" s="1"/>
  <c r="M69" i="11" s="1"/>
  <c r="N69" i="11" s="1"/>
  <c r="O69" i="11" s="1"/>
  <c r="P69" i="11" s="1"/>
  <c r="Q69" i="11" s="1"/>
  <c r="R69" i="11" s="1"/>
  <c r="D69" i="11"/>
  <c r="E61" i="10"/>
  <c r="E56" i="11" s="1"/>
  <c r="F61" i="10"/>
  <c r="F56" i="11" s="1"/>
  <c r="G61" i="10"/>
  <c r="G56" i="11" s="1"/>
  <c r="H61" i="10"/>
  <c r="H56" i="11" s="1"/>
  <c r="D61" i="10"/>
  <c r="D56" i="11" s="1"/>
  <c r="E60" i="11"/>
  <c r="F60" i="11"/>
  <c r="G60" i="11"/>
  <c r="H60" i="11"/>
  <c r="I60" i="11" s="1"/>
  <c r="J60" i="11" s="1"/>
  <c r="K60" i="11" s="1"/>
  <c r="L60" i="11" s="1"/>
  <c r="M60" i="11" s="1"/>
  <c r="N60" i="11" s="1"/>
  <c r="D60" i="11"/>
  <c r="E41" i="11"/>
  <c r="F16" i="14" s="1"/>
  <c r="F41" i="11"/>
  <c r="G41" i="11"/>
  <c r="H41" i="11"/>
  <c r="D41" i="11"/>
  <c r="E35" i="11"/>
  <c r="F35" i="11"/>
  <c r="G35" i="11"/>
  <c r="H35" i="11"/>
  <c r="D35" i="11"/>
  <c r="E38" i="11"/>
  <c r="F38" i="11"/>
  <c r="G38" i="11"/>
  <c r="H38" i="11"/>
  <c r="E37" i="11"/>
  <c r="F37" i="11"/>
  <c r="G37" i="11"/>
  <c r="H37" i="11"/>
  <c r="D37" i="11"/>
  <c r="D38" i="11"/>
  <c r="E36" i="11"/>
  <c r="F36" i="11"/>
  <c r="G36" i="11"/>
  <c r="H36" i="11"/>
  <c r="D36" i="11"/>
  <c r="M161" i="4"/>
  <c r="M232" i="10" s="1"/>
  <c r="L161" i="4"/>
  <c r="L232" i="10" s="1"/>
  <c r="K161" i="4"/>
  <c r="K232" i="10" s="1"/>
  <c r="J161" i="4"/>
  <c r="J232" i="10" s="1"/>
  <c r="I161" i="4"/>
  <c r="I232" i="10" s="1"/>
  <c r="B161" i="4"/>
  <c r="E30" i="11"/>
  <c r="E117" i="11" s="1"/>
  <c r="F30" i="11"/>
  <c r="F117" i="11" s="1"/>
  <c r="G30" i="11"/>
  <c r="G117" i="11" s="1"/>
  <c r="H30" i="11"/>
  <c r="H117" i="11" s="1"/>
  <c r="D30" i="11"/>
  <c r="D117" i="11" s="1"/>
  <c r="M112" i="4"/>
  <c r="M95" i="10" s="1"/>
  <c r="L112" i="4"/>
  <c r="L95" i="10" s="1"/>
  <c r="K112" i="4"/>
  <c r="K95" i="10" s="1"/>
  <c r="J112" i="4"/>
  <c r="J95" i="10" s="1"/>
  <c r="I112" i="4"/>
  <c r="I95" i="10" s="1"/>
  <c r="B112" i="4"/>
  <c r="M106" i="4"/>
  <c r="M91" i="10" s="1"/>
  <c r="L106" i="4"/>
  <c r="L91" i="10" s="1"/>
  <c r="K106" i="4"/>
  <c r="K91" i="10" s="1"/>
  <c r="J106" i="4"/>
  <c r="J91" i="10" s="1"/>
  <c r="I106" i="4"/>
  <c r="I91" i="10" s="1"/>
  <c r="B106" i="4"/>
  <c r="M100" i="4"/>
  <c r="M87" i="10" s="1"/>
  <c r="L100" i="4"/>
  <c r="L87" i="10" s="1"/>
  <c r="K100" i="4"/>
  <c r="K87" i="10" s="1"/>
  <c r="J100" i="4"/>
  <c r="J87" i="10" s="1"/>
  <c r="I100" i="4"/>
  <c r="I87" i="10" s="1"/>
  <c r="B100" i="4"/>
  <c r="M94" i="4"/>
  <c r="M83" i="10" s="1"/>
  <c r="L94" i="4"/>
  <c r="L83" i="10" s="1"/>
  <c r="K94" i="4"/>
  <c r="K83" i="10" s="1"/>
  <c r="J94" i="4"/>
  <c r="J83" i="10" s="1"/>
  <c r="I94" i="4"/>
  <c r="I83" i="10" s="1"/>
  <c r="B94" i="4"/>
  <c r="M88" i="4"/>
  <c r="M79" i="10" s="1"/>
  <c r="L88" i="4"/>
  <c r="L79" i="10" s="1"/>
  <c r="K88" i="4"/>
  <c r="K79" i="10" s="1"/>
  <c r="J88" i="4"/>
  <c r="J79" i="10" s="1"/>
  <c r="I88" i="4"/>
  <c r="I79" i="10" s="1"/>
  <c r="B88" i="4"/>
  <c r="D74" i="10"/>
  <c r="D58" i="11" s="1"/>
  <c r="E74" i="10"/>
  <c r="E58" i="11" s="1"/>
  <c r="F74" i="10"/>
  <c r="F58" i="11" s="1"/>
  <c r="G74" i="10"/>
  <c r="G58" i="11" s="1"/>
  <c r="H74" i="10"/>
  <c r="D94" i="10"/>
  <c r="D64" i="11" s="1"/>
  <c r="E94" i="10"/>
  <c r="E64" i="11" s="1"/>
  <c r="F94" i="10"/>
  <c r="F64" i="11" s="1"/>
  <c r="G94" i="10"/>
  <c r="G64" i="11" s="1"/>
  <c r="H94" i="10"/>
  <c r="H64" i="11" s="1"/>
  <c r="H90" i="10"/>
  <c r="H63" i="11" s="1"/>
  <c r="G90" i="10"/>
  <c r="G63" i="11" s="1"/>
  <c r="F90" i="10"/>
  <c r="F63" i="11" s="1"/>
  <c r="E90" i="10"/>
  <c r="E63" i="11" s="1"/>
  <c r="D90" i="10"/>
  <c r="D63" i="11" s="1"/>
  <c r="D86" i="10"/>
  <c r="D62" i="11" s="1"/>
  <c r="E86" i="10"/>
  <c r="E62" i="11" s="1"/>
  <c r="F86" i="10"/>
  <c r="F62" i="11" s="1"/>
  <c r="G86" i="10"/>
  <c r="G62" i="11" s="1"/>
  <c r="H86" i="10"/>
  <c r="H62" i="11" s="1"/>
  <c r="C44" i="14" s="1"/>
  <c r="D82" i="10"/>
  <c r="D59" i="11" s="1"/>
  <c r="E82" i="10"/>
  <c r="E59" i="11" s="1"/>
  <c r="F82" i="10"/>
  <c r="F59" i="11" s="1"/>
  <c r="G82" i="10"/>
  <c r="G59" i="11" s="1"/>
  <c r="H82" i="10"/>
  <c r="H59" i="11" s="1"/>
  <c r="D78" i="10"/>
  <c r="D61" i="11" s="1"/>
  <c r="E78" i="10"/>
  <c r="E61" i="11" s="1"/>
  <c r="F78" i="10"/>
  <c r="F61" i="11" s="1"/>
  <c r="G78" i="10"/>
  <c r="G61" i="11" s="1"/>
  <c r="H78" i="10"/>
  <c r="H61" i="11" s="1"/>
  <c r="D65" i="10"/>
  <c r="D57" i="11" s="1"/>
  <c r="E65" i="10"/>
  <c r="E57" i="11" s="1"/>
  <c r="F65" i="10"/>
  <c r="F57" i="11" s="1"/>
  <c r="G65" i="10"/>
  <c r="G57" i="11" s="1"/>
  <c r="H65" i="10"/>
  <c r="H57" i="11" s="1"/>
  <c r="J59" i="10"/>
  <c r="J124" i="11" s="1"/>
  <c r="J129" i="11" s="1"/>
  <c r="I59" i="10"/>
  <c r="I124" i="11" s="1"/>
  <c r="I129" i="11" s="1"/>
  <c r="D552" i="18"/>
  <c r="D557" i="18"/>
  <c r="E557" i="18" s="1"/>
  <c r="F557" i="18" s="1"/>
  <c r="G557" i="18" s="1"/>
  <c r="H557" i="18" s="1"/>
  <c r="I557" i="18" s="1"/>
  <c r="J557" i="18" s="1"/>
  <c r="K557" i="18" s="1"/>
  <c r="L557" i="18" s="1"/>
  <c r="I58" i="10"/>
  <c r="E156" i="10"/>
  <c r="F156" i="10"/>
  <c r="G156" i="10"/>
  <c r="H156" i="10"/>
  <c r="D156" i="10"/>
  <c r="E6" i="18"/>
  <c r="F6" i="18" s="1"/>
  <c r="G6" i="18" s="1"/>
  <c r="H6" i="18" s="1"/>
  <c r="I6" i="18" s="1"/>
  <c r="J6" i="18" s="1"/>
  <c r="K6" i="18" s="1"/>
  <c r="D7" i="18"/>
  <c r="D236" i="18" s="1"/>
  <c r="E7" i="18"/>
  <c r="E236" i="18" s="1"/>
  <c r="F7" i="18"/>
  <c r="F236" i="18" s="1"/>
  <c r="D8" i="18"/>
  <c r="D237" i="18" s="1"/>
  <c r="E8" i="18"/>
  <c r="E237" i="18" s="1"/>
  <c r="F8" i="18"/>
  <c r="F237" i="18" s="1"/>
  <c r="D104" i="18"/>
  <c r="E104" i="18"/>
  <c r="E153" i="18"/>
  <c r="F153" i="18" s="1"/>
  <c r="G153" i="18" s="1"/>
  <c r="H153" i="18" s="1"/>
  <c r="I153" i="18" s="1"/>
  <c r="J153" i="18" s="1"/>
  <c r="K153" i="18" s="1"/>
  <c r="D154" i="18"/>
  <c r="E154" i="18"/>
  <c r="F154" i="18"/>
  <c r="D172" i="18"/>
  <c r="E172" i="18"/>
  <c r="E235" i="18"/>
  <c r="F235" i="18" s="1"/>
  <c r="G235" i="18" s="1"/>
  <c r="H235" i="18" s="1"/>
  <c r="I235" i="18" s="1"/>
  <c r="J235" i="18" s="1"/>
  <c r="K235" i="18" s="1"/>
  <c r="D239" i="18"/>
  <c r="E239" i="18"/>
  <c r="F239" i="18"/>
  <c r="D254" i="18"/>
  <c r="E254" i="18"/>
  <c r="F254" i="18"/>
  <c r="D269" i="18"/>
  <c r="D278" i="18" s="1"/>
  <c r="E269" i="18"/>
  <c r="E272" i="18" s="1"/>
  <c r="F269" i="18"/>
  <c r="F272" i="18" s="1"/>
  <c r="D280" i="18"/>
  <c r="E280" i="18"/>
  <c r="F280" i="18"/>
  <c r="D283" i="18"/>
  <c r="E283" i="18"/>
  <c r="F283" i="18"/>
  <c r="D298" i="18"/>
  <c r="E298" i="18"/>
  <c r="D319" i="18"/>
  <c r="D327" i="18" s="1"/>
  <c r="E319" i="18"/>
  <c r="E327" i="18" s="1"/>
  <c r="F319" i="18"/>
  <c r="F328" i="18" s="1"/>
  <c r="D336" i="18"/>
  <c r="E336" i="18"/>
  <c r="F336" i="18"/>
  <c r="D339" i="18"/>
  <c r="AH127" i="30" s="1"/>
  <c r="E339" i="18"/>
  <c r="AI127" i="30" s="1"/>
  <c r="F339" i="18"/>
  <c r="AJ127" i="30" s="1"/>
  <c r="D403" i="18"/>
  <c r="E403" i="18"/>
  <c r="F403" i="18"/>
  <c r="D406" i="18"/>
  <c r="G153" i="30" s="1"/>
  <c r="E406" i="18"/>
  <c r="H153" i="30" s="1"/>
  <c r="F406" i="18"/>
  <c r="I153" i="30" s="1"/>
  <c r="D467" i="18"/>
  <c r="E467" i="18"/>
  <c r="F467" i="18"/>
  <c r="D469" i="18"/>
  <c r="E469" i="18"/>
  <c r="F469" i="18"/>
  <c r="D473" i="18"/>
  <c r="E473" i="18"/>
  <c r="F473" i="18"/>
  <c r="D477" i="18"/>
  <c r="E477" i="18"/>
  <c r="F477" i="18"/>
  <c r="D479" i="18"/>
  <c r="D511" i="18" s="1"/>
  <c r="D515" i="18" s="1"/>
  <c r="E479" i="18"/>
  <c r="E511" i="18" s="1"/>
  <c r="E515" i="18" s="1"/>
  <c r="F479" i="18"/>
  <c r="F511" i="18" s="1"/>
  <c r="F515" i="18" s="1"/>
  <c r="D495" i="18"/>
  <c r="D500" i="18" s="1"/>
  <c r="E495" i="18"/>
  <c r="E500" i="18" s="1"/>
  <c r="F495" i="18"/>
  <c r="F505" i="18" s="1"/>
  <c r="D514" i="18"/>
  <c r="E514" i="18"/>
  <c r="F514" i="18"/>
  <c r="D550" i="18"/>
  <c r="E550" i="18"/>
  <c r="F550" i="18"/>
  <c r="D551" i="18"/>
  <c r="E551" i="18"/>
  <c r="F551" i="18"/>
  <c r="E552" i="18"/>
  <c r="F552" i="18"/>
  <c r="D591" i="18"/>
  <c r="E591" i="18"/>
  <c r="F591" i="18"/>
  <c r="D592" i="18"/>
  <c r="E592" i="18"/>
  <c r="F592" i="18"/>
  <c r="D601" i="18"/>
  <c r="E601" i="18"/>
  <c r="F601" i="18"/>
  <c r="H150" i="10"/>
  <c r="E150" i="10"/>
  <c r="F150" i="10"/>
  <c r="G150" i="10"/>
  <c r="D150" i="10"/>
  <c r="O286" i="18"/>
  <c r="C298" i="18"/>
  <c r="C172" i="18"/>
  <c r="E21" i="15"/>
  <c r="F21" i="15"/>
  <c r="G21" i="15"/>
  <c r="H21" i="15"/>
  <c r="I21" i="15"/>
  <c r="J21" i="15"/>
  <c r="K21" i="15"/>
  <c r="D21" i="15"/>
  <c r="C620" i="18"/>
  <c r="D620" i="18"/>
  <c r="E620" i="18"/>
  <c r="E623" i="18" s="1"/>
  <c r="F620" i="18"/>
  <c r="G620" i="18"/>
  <c r="H620" i="18"/>
  <c r="I620" i="18"/>
  <c r="I623" i="18" s="1"/>
  <c r="J620" i="18"/>
  <c r="G601" i="18"/>
  <c r="H601" i="18"/>
  <c r="I601" i="18"/>
  <c r="J601" i="18"/>
  <c r="K601" i="18"/>
  <c r="L601" i="18"/>
  <c r="M601" i="18"/>
  <c r="N601" i="18"/>
  <c r="C601" i="18"/>
  <c r="C592" i="18"/>
  <c r="G592" i="18"/>
  <c r="H592" i="18"/>
  <c r="I592" i="18"/>
  <c r="J592" i="18"/>
  <c r="J552" i="18"/>
  <c r="I552" i="18"/>
  <c r="H552" i="18"/>
  <c r="G552" i="18"/>
  <c r="C552" i="18"/>
  <c r="G550" i="18"/>
  <c r="H550" i="18"/>
  <c r="I550" i="18"/>
  <c r="J550" i="18"/>
  <c r="G551" i="18"/>
  <c r="H551" i="18"/>
  <c r="I551" i="18"/>
  <c r="J551" i="18"/>
  <c r="C551" i="18"/>
  <c r="C550" i="18"/>
  <c r="G467" i="18"/>
  <c r="H467" i="18"/>
  <c r="I467" i="18"/>
  <c r="J467" i="18"/>
  <c r="K467" i="18"/>
  <c r="L467" i="18"/>
  <c r="M467" i="18"/>
  <c r="N467" i="18"/>
  <c r="C467" i="18"/>
  <c r="G477" i="18"/>
  <c r="H477" i="18"/>
  <c r="I477" i="18"/>
  <c r="J477" i="18"/>
  <c r="K477" i="18"/>
  <c r="L477" i="18"/>
  <c r="M477" i="18"/>
  <c r="N477" i="18"/>
  <c r="G514" i="18"/>
  <c r="H514" i="18"/>
  <c r="I514" i="18"/>
  <c r="J514" i="18"/>
  <c r="K514" i="18"/>
  <c r="L514" i="18"/>
  <c r="M514" i="18"/>
  <c r="N514" i="18"/>
  <c r="G479" i="18"/>
  <c r="G511" i="18" s="1"/>
  <c r="G515" i="18" s="1"/>
  <c r="H479" i="18"/>
  <c r="H511" i="18" s="1"/>
  <c r="H515" i="18" s="1"/>
  <c r="I479" i="18"/>
  <c r="I511" i="18" s="1"/>
  <c r="I515" i="18" s="1"/>
  <c r="J479" i="18"/>
  <c r="J511" i="18" s="1"/>
  <c r="J515" i="18" s="1"/>
  <c r="K479" i="18"/>
  <c r="K511" i="18" s="1"/>
  <c r="K515" i="18" s="1"/>
  <c r="L479" i="18"/>
  <c r="L511" i="18" s="1"/>
  <c r="L515" i="18" s="1"/>
  <c r="M479" i="18"/>
  <c r="M511" i="18" s="1"/>
  <c r="M515" i="18" s="1"/>
  <c r="N479" i="18"/>
  <c r="N511" i="18" s="1"/>
  <c r="N515" i="18" s="1"/>
  <c r="G495" i="18"/>
  <c r="H495" i="18"/>
  <c r="I495" i="18"/>
  <c r="I500" i="18" s="1"/>
  <c r="J495" i="18"/>
  <c r="J506" i="18" s="1"/>
  <c r="K495" i="18"/>
  <c r="K506" i="18" s="1"/>
  <c r="L495" i="18"/>
  <c r="L504" i="18" s="1"/>
  <c r="M495" i="18"/>
  <c r="M499" i="18" s="1"/>
  <c r="N495" i="18"/>
  <c r="N503" i="18" s="1"/>
  <c r="C495" i="18"/>
  <c r="C502" i="18" s="1"/>
  <c r="G469" i="18"/>
  <c r="H469" i="18"/>
  <c r="I469" i="18"/>
  <c r="J469" i="18"/>
  <c r="K469" i="18"/>
  <c r="L469" i="18"/>
  <c r="M469" i="18"/>
  <c r="N469" i="18"/>
  <c r="C469" i="18"/>
  <c r="G473" i="18"/>
  <c r="H473" i="18"/>
  <c r="I473" i="18"/>
  <c r="J473" i="18"/>
  <c r="K473" i="18"/>
  <c r="L473" i="18"/>
  <c r="M473" i="18"/>
  <c r="N473" i="18"/>
  <c r="C473" i="18"/>
  <c r="D450" i="18"/>
  <c r="E450" i="18"/>
  <c r="F450" i="18"/>
  <c r="G450" i="18"/>
  <c r="H450" i="18"/>
  <c r="I450" i="18"/>
  <c r="J450" i="18"/>
  <c r="K450" i="18"/>
  <c r="G406" i="18"/>
  <c r="J153" i="30" s="1"/>
  <c r="H406" i="18"/>
  <c r="K153" i="30" s="1"/>
  <c r="I406" i="18"/>
  <c r="L153" i="30" s="1"/>
  <c r="J406" i="18"/>
  <c r="M153" i="30" s="1"/>
  <c r="K406" i="18"/>
  <c r="N153" i="30" s="1"/>
  <c r="L406" i="18"/>
  <c r="O153" i="30" s="1"/>
  <c r="M406" i="18"/>
  <c r="P153" i="30" s="1"/>
  <c r="N406" i="18"/>
  <c r="Q153" i="30" s="1"/>
  <c r="C406" i="18"/>
  <c r="G403" i="18"/>
  <c r="H403" i="18"/>
  <c r="I403" i="18"/>
  <c r="J403" i="18"/>
  <c r="K403" i="18"/>
  <c r="L403" i="18"/>
  <c r="M403" i="18"/>
  <c r="N403" i="18"/>
  <c r="C403" i="18"/>
  <c r="G336" i="18"/>
  <c r="H336" i="18"/>
  <c r="I336" i="18"/>
  <c r="J336" i="18"/>
  <c r="K336" i="18"/>
  <c r="L336" i="18"/>
  <c r="M336" i="18"/>
  <c r="N336" i="18"/>
  <c r="C336" i="18"/>
  <c r="G269" i="18"/>
  <c r="G278" i="18" s="1"/>
  <c r="H269" i="18"/>
  <c r="H278" i="18" s="1"/>
  <c r="I269" i="18"/>
  <c r="I275" i="18" s="1"/>
  <c r="J269" i="18"/>
  <c r="J275" i="18" s="1"/>
  <c r="K269" i="18"/>
  <c r="L269" i="18"/>
  <c r="L275" i="18" s="1"/>
  <c r="M269" i="18"/>
  <c r="N269" i="18"/>
  <c r="N278" i="18" s="1"/>
  <c r="C269" i="18"/>
  <c r="C278" i="18" s="1"/>
  <c r="G339" i="18"/>
  <c r="AK127" i="30" s="1"/>
  <c r="H339" i="18"/>
  <c r="AL127" i="30" s="1"/>
  <c r="I339" i="18"/>
  <c r="AM127" i="30" s="1"/>
  <c r="J339" i="18"/>
  <c r="AN127" i="30" s="1"/>
  <c r="K339" i="18"/>
  <c r="AO127" i="30" s="1"/>
  <c r="L339" i="18"/>
  <c r="AP127" i="30" s="1"/>
  <c r="M339" i="18"/>
  <c r="AQ127" i="30" s="1"/>
  <c r="N339" i="18"/>
  <c r="AR127" i="30" s="1"/>
  <c r="C339" i="18"/>
  <c r="R321" i="18"/>
  <c r="Q321" i="18"/>
  <c r="P321" i="18"/>
  <c r="P315" i="18"/>
  <c r="Q315" i="18"/>
  <c r="R315" i="18"/>
  <c r="P316" i="18"/>
  <c r="Q316" i="18"/>
  <c r="R316" i="18"/>
  <c r="P317" i="18"/>
  <c r="Q317" i="18"/>
  <c r="R317" i="18"/>
  <c r="P318" i="18"/>
  <c r="Q318" i="18"/>
  <c r="R318" i="18"/>
  <c r="R314" i="18"/>
  <c r="Q314" i="18"/>
  <c r="P314" i="18"/>
  <c r="G319" i="18"/>
  <c r="G330" i="18" s="1"/>
  <c r="H319" i="18"/>
  <c r="H327" i="18" s="1"/>
  <c r="I319" i="18"/>
  <c r="J319" i="18"/>
  <c r="J329" i="18" s="1"/>
  <c r="K319" i="18"/>
  <c r="K327" i="18" s="1"/>
  <c r="L319" i="18"/>
  <c r="L329" i="18" s="1"/>
  <c r="M319" i="18"/>
  <c r="M331" i="18" s="1"/>
  <c r="N319" i="18"/>
  <c r="N326" i="18" s="1"/>
  <c r="C319" i="18"/>
  <c r="C326" i="18" s="1"/>
  <c r="B24" i="11"/>
  <c r="B23" i="11"/>
  <c r="B22" i="11"/>
  <c r="B21" i="11"/>
  <c r="B20" i="11"/>
  <c r="E38" i="10"/>
  <c r="E22" i="11" s="1"/>
  <c r="F38" i="10"/>
  <c r="F22" i="11" s="1"/>
  <c r="G38" i="10"/>
  <c r="G22" i="11" s="1"/>
  <c r="H38" i="10"/>
  <c r="H22" i="11" s="1"/>
  <c r="D38" i="10"/>
  <c r="D22" i="11" s="1"/>
  <c r="E33" i="10"/>
  <c r="E21" i="11" s="1"/>
  <c r="F33" i="10"/>
  <c r="F21" i="11" s="1"/>
  <c r="G33" i="10"/>
  <c r="G21" i="11" s="1"/>
  <c r="H33" i="10"/>
  <c r="H21" i="11" s="1"/>
  <c r="D33" i="10"/>
  <c r="D21" i="11" s="1"/>
  <c r="E28" i="10"/>
  <c r="E20" i="11" s="1"/>
  <c r="F28" i="10"/>
  <c r="F20" i="11" s="1"/>
  <c r="G28" i="10"/>
  <c r="G20" i="11" s="1"/>
  <c r="H28" i="10"/>
  <c r="H20" i="11" s="1"/>
  <c r="D28" i="10"/>
  <c r="D20" i="11" s="1"/>
  <c r="Q277" i="18"/>
  <c r="P277" i="18"/>
  <c r="Q274" i="18"/>
  <c r="P274" i="18"/>
  <c r="Q271" i="18"/>
  <c r="P271" i="18"/>
  <c r="G283" i="18"/>
  <c r="H283" i="18"/>
  <c r="I283" i="18"/>
  <c r="J283" i="18"/>
  <c r="D48" i="10" s="1"/>
  <c r="D24" i="11" s="1"/>
  <c r="K283" i="18"/>
  <c r="E48" i="10" s="1"/>
  <c r="L283" i="18"/>
  <c r="F48" i="10" s="1"/>
  <c r="M283" i="18"/>
  <c r="N283" i="18"/>
  <c r="C283" i="18"/>
  <c r="G280" i="18"/>
  <c r="H280" i="18"/>
  <c r="I280" i="18"/>
  <c r="J280" i="18"/>
  <c r="D43" i="10" s="1"/>
  <c r="D23" i="11" s="1"/>
  <c r="K280" i="18"/>
  <c r="E43" i="10" s="1"/>
  <c r="E23" i="11" s="1"/>
  <c r="L280" i="18"/>
  <c r="F43" i="10" s="1"/>
  <c r="F23" i="11" s="1"/>
  <c r="M280" i="18"/>
  <c r="G43" i="10" s="1"/>
  <c r="G23" i="11" s="1"/>
  <c r="N280" i="18"/>
  <c r="C280" i="18"/>
  <c r="G254" i="18"/>
  <c r="H254" i="18"/>
  <c r="I254" i="18"/>
  <c r="J254" i="18"/>
  <c r="J263" i="18" s="1"/>
  <c r="K254" i="18"/>
  <c r="K262" i="18" s="1"/>
  <c r="L254" i="18"/>
  <c r="L262" i="18" s="1"/>
  <c r="M254" i="18"/>
  <c r="N254" i="18"/>
  <c r="C254" i="18"/>
  <c r="C262" i="18" s="1"/>
  <c r="D20" i="10"/>
  <c r="D14" i="11" s="1"/>
  <c r="D77" i="13" s="1"/>
  <c r="I9" i="10"/>
  <c r="J9" i="10" s="1"/>
  <c r="K9" i="10" s="1"/>
  <c r="L9" i="10" s="1"/>
  <c r="M9" i="10" s="1"/>
  <c r="N9" i="10" s="1"/>
  <c r="O9" i="10" s="1"/>
  <c r="P9" i="10" s="1"/>
  <c r="Q9" i="10" s="1"/>
  <c r="R9" i="10" s="1"/>
  <c r="C104" i="18"/>
  <c r="D109" i="18" s="1"/>
  <c r="D6" i="15"/>
  <c r="C591" i="18"/>
  <c r="J40" i="17"/>
  <c r="I40" i="17"/>
  <c r="H40" i="17"/>
  <c r="G40" i="17"/>
  <c r="F40" i="17"/>
  <c r="E40" i="17"/>
  <c r="D40" i="17"/>
  <c r="C40" i="17"/>
  <c r="J30" i="17"/>
  <c r="I30" i="17"/>
  <c r="H30" i="17"/>
  <c r="G30" i="17"/>
  <c r="F30" i="17"/>
  <c r="E30" i="17"/>
  <c r="D30" i="17"/>
  <c r="C30" i="17"/>
  <c r="E25" i="17"/>
  <c r="E28" i="17"/>
  <c r="E7" i="17"/>
  <c r="E55" i="17"/>
  <c r="E57" i="17"/>
  <c r="D25" i="17"/>
  <c r="D28" i="17"/>
  <c r="D7" i="17"/>
  <c r="D55" i="17"/>
  <c r="D57" i="17"/>
  <c r="C25" i="17"/>
  <c r="C28" i="17"/>
  <c r="C7" i="17"/>
  <c r="C55" i="17"/>
  <c r="C57" i="17"/>
  <c r="E21" i="17"/>
  <c r="D21" i="17"/>
  <c r="C21" i="17"/>
  <c r="J19" i="17"/>
  <c r="J21" i="17" s="1"/>
  <c r="J25" i="17" s="1"/>
  <c r="J28" i="17" s="1"/>
  <c r="J7" i="17" s="1"/>
  <c r="J55" i="17" s="1"/>
  <c r="J57" i="17" s="1"/>
  <c r="I19" i="17"/>
  <c r="I21" i="17"/>
  <c r="I25" i="17"/>
  <c r="I28" i="17"/>
  <c r="I7" i="17"/>
  <c r="I55" i="17"/>
  <c r="I57" i="17"/>
  <c r="H19" i="17"/>
  <c r="H21" i="17"/>
  <c r="H25" i="17"/>
  <c r="H28" i="17"/>
  <c r="H7" i="17"/>
  <c r="H55" i="17"/>
  <c r="H57" i="17"/>
  <c r="G19" i="17"/>
  <c r="G21" i="17"/>
  <c r="G25" i="17"/>
  <c r="G28" i="17"/>
  <c r="G7" i="17"/>
  <c r="G55" i="17"/>
  <c r="G57" i="17"/>
  <c r="F19" i="17"/>
  <c r="F21" i="17"/>
  <c r="F25" i="17"/>
  <c r="F28" i="17"/>
  <c r="F7" i="17"/>
  <c r="F55" i="17"/>
  <c r="F57" i="17"/>
  <c r="E19" i="17"/>
  <c r="D19" i="17"/>
  <c r="C19" i="17"/>
  <c r="D3" i="17"/>
  <c r="E3" i="17"/>
  <c r="F3" i="17"/>
  <c r="G3" i="17"/>
  <c r="H3" i="17"/>
  <c r="I3" i="17"/>
  <c r="J3" i="17"/>
  <c r="J64" i="16"/>
  <c r="I64" i="16"/>
  <c r="J57" i="16"/>
  <c r="I57" i="16"/>
  <c r="H57" i="16"/>
  <c r="H64" i="16"/>
  <c r="G57" i="16"/>
  <c r="G64" i="16"/>
  <c r="F57" i="16"/>
  <c r="F64" i="16"/>
  <c r="E57" i="16"/>
  <c r="E64" i="16"/>
  <c r="D57" i="16"/>
  <c r="D64" i="16" s="1"/>
  <c r="C57" i="16"/>
  <c r="C64" i="16" s="1"/>
  <c r="J53" i="16"/>
  <c r="I53" i="16"/>
  <c r="H53" i="16"/>
  <c r="G53" i="16"/>
  <c r="F53" i="16"/>
  <c r="E53" i="16"/>
  <c r="D53" i="16"/>
  <c r="C53" i="16"/>
  <c r="J44" i="16"/>
  <c r="J66" i="16" s="1"/>
  <c r="J41" i="16"/>
  <c r="I41" i="16"/>
  <c r="I44" i="16" s="1"/>
  <c r="I66" i="16" s="1"/>
  <c r="H41" i="16"/>
  <c r="H44" i="16"/>
  <c r="H66" i="16"/>
  <c r="G41" i="16"/>
  <c r="G44" i="16"/>
  <c r="F41" i="16"/>
  <c r="F44" i="16"/>
  <c r="E41" i="16"/>
  <c r="E44" i="16"/>
  <c r="D41" i="16"/>
  <c r="D44" i="16" s="1"/>
  <c r="C41" i="16"/>
  <c r="C44" i="16" s="1"/>
  <c r="J25" i="16"/>
  <c r="J33" i="16" s="1"/>
  <c r="I25" i="16"/>
  <c r="I33" i="16" s="1"/>
  <c r="H25" i="16"/>
  <c r="H33" i="16"/>
  <c r="G25" i="16"/>
  <c r="G33" i="16"/>
  <c r="F25" i="16"/>
  <c r="F33" i="16"/>
  <c r="E25" i="16"/>
  <c r="E33" i="16"/>
  <c r="D25" i="16"/>
  <c r="D33" i="16" s="1"/>
  <c r="C25" i="16"/>
  <c r="C33" i="16" s="1"/>
  <c r="J13" i="16"/>
  <c r="I13" i="16"/>
  <c r="H13" i="16"/>
  <c r="G13" i="16"/>
  <c r="F13" i="16"/>
  <c r="E13" i="16"/>
  <c r="D13" i="16"/>
  <c r="C13" i="16"/>
  <c r="J5" i="16"/>
  <c r="I5" i="16"/>
  <c r="H5" i="16"/>
  <c r="H20" i="16" s="1"/>
  <c r="H35" i="16" s="1"/>
  <c r="H68" i="16" s="1"/>
  <c r="G5" i="16"/>
  <c r="G20" i="16" s="1"/>
  <c r="G35" i="16" s="1"/>
  <c r="F5" i="16"/>
  <c r="E5" i="16"/>
  <c r="D5" i="16"/>
  <c r="C5" i="16"/>
  <c r="C20" i="16" s="1"/>
  <c r="D3" i="16"/>
  <c r="E3" i="16"/>
  <c r="F3" i="16"/>
  <c r="G3" i="16" s="1"/>
  <c r="H3" i="16" s="1"/>
  <c r="I3" i="16" s="1"/>
  <c r="J3" i="16" s="1"/>
  <c r="K31" i="15"/>
  <c r="K239" i="18"/>
  <c r="J31" i="15"/>
  <c r="J239" i="18"/>
  <c r="I31" i="15"/>
  <c r="I239" i="18"/>
  <c r="H31" i="15"/>
  <c r="H239" i="18"/>
  <c r="G31" i="15"/>
  <c r="G239" i="18"/>
  <c r="F31" i="15"/>
  <c r="E31" i="15"/>
  <c r="D31" i="15"/>
  <c r="K16" i="15"/>
  <c r="K18" i="15"/>
  <c r="K19" i="15"/>
  <c r="J16" i="15"/>
  <c r="G20" i="10"/>
  <c r="G14" i="11" s="1"/>
  <c r="G77" i="13" s="1"/>
  <c r="I16" i="15"/>
  <c r="F20" i="10"/>
  <c r="F165" i="10" s="1"/>
  <c r="H16" i="15"/>
  <c r="G16" i="15"/>
  <c r="F16" i="15"/>
  <c r="E16" i="15"/>
  <c r="D16" i="15"/>
  <c r="K6" i="15"/>
  <c r="K7" i="18"/>
  <c r="K236" i="18" s="1"/>
  <c r="J6" i="15"/>
  <c r="J7" i="18"/>
  <c r="J236" i="18" s="1"/>
  <c r="I6" i="15"/>
  <c r="H591" i="18"/>
  <c r="H6" i="15"/>
  <c r="G591" i="18"/>
  <c r="G6" i="15"/>
  <c r="G23" i="15"/>
  <c r="F6" i="15"/>
  <c r="F22" i="15"/>
  <c r="E6" i="15"/>
  <c r="E3" i="15"/>
  <c r="F3" i="15"/>
  <c r="G3" i="15"/>
  <c r="H3" i="15"/>
  <c r="I3" i="15"/>
  <c r="J3" i="15"/>
  <c r="K3" i="15"/>
  <c r="I9" i="4"/>
  <c r="J9" i="4" s="1"/>
  <c r="K9" i="4" s="1"/>
  <c r="L9" i="4" s="1"/>
  <c r="M9" i="4" s="1"/>
  <c r="I9" i="13"/>
  <c r="J9" i="13" s="1"/>
  <c r="K9" i="13" s="1"/>
  <c r="L9" i="13" s="1"/>
  <c r="M9" i="13" s="1"/>
  <c r="B110" i="10"/>
  <c r="B111" i="10" s="1"/>
  <c r="B112" i="10" s="1"/>
  <c r="B113" i="10" s="1"/>
  <c r="B114" i="10" s="1"/>
  <c r="B115" i="10" s="1"/>
  <c r="B116" i="10" s="1"/>
  <c r="B117" i="10" s="1"/>
  <c r="B118" i="10" s="1"/>
  <c r="B119" i="10" s="1"/>
  <c r="B120" i="10" s="1"/>
  <c r="M153" i="4"/>
  <c r="M144" i="10" s="1"/>
  <c r="L153" i="4"/>
  <c r="L144" i="10" s="1"/>
  <c r="K153" i="4"/>
  <c r="K144" i="10" s="1"/>
  <c r="J153" i="4"/>
  <c r="J144" i="10" s="1"/>
  <c r="I153" i="4"/>
  <c r="I144" i="10" s="1"/>
  <c r="B153" i="4"/>
  <c r="I129" i="4"/>
  <c r="I216" i="10" s="1"/>
  <c r="M145" i="4"/>
  <c r="M225" i="10" s="1"/>
  <c r="L145" i="4"/>
  <c r="L225" i="10" s="1"/>
  <c r="K145" i="4"/>
  <c r="K225" i="10" s="1"/>
  <c r="J145" i="4"/>
  <c r="J225" i="10" s="1"/>
  <c r="I145" i="4"/>
  <c r="I225" i="10" s="1"/>
  <c r="B145" i="4"/>
  <c r="M129" i="4"/>
  <c r="M216" i="10" s="1"/>
  <c r="L129" i="4"/>
  <c r="L216" i="10" s="1"/>
  <c r="K129" i="4"/>
  <c r="K216" i="10" s="1"/>
  <c r="J129" i="4"/>
  <c r="J216" i="10" s="1"/>
  <c r="B129" i="4"/>
  <c r="M121" i="4"/>
  <c r="M135" i="10" s="1"/>
  <c r="L121" i="4"/>
  <c r="L135" i="10" s="1"/>
  <c r="K121" i="4"/>
  <c r="K135" i="10" s="1"/>
  <c r="J121" i="4"/>
  <c r="J135" i="10" s="1"/>
  <c r="I121" i="4"/>
  <c r="I135" i="10" s="1"/>
  <c r="B121" i="4"/>
  <c r="M73" i="4"/>
  <c r="M71" i="10" s="1"/>
  <c r="L73" i="4"/>
  <c r="K73" i="4"/>
  <c r="J73" i="4"/>
  <c r="I73" i="4"/>
  <c r="B73" i="4"/>
  <c r="B61" i="4"/>
  <c r="B55" i="4"/>
  <c r="B49" i="4"/>
  <c r="B43" i="4"/>
  <c r="B37" i="4"/>
  <c r="M27" i="4"/>
  <c r="M29" i="4" s="1"/>
  <c r="M22" i="10" s="1"/>
  <c r="I27" i="4"/>
  <c r="I29" i="4" s="1"/>
  <c r="I22" i="10" s="1"/>
  <c r="B27" i="4"/>
  <c r="M19" i="4"/>
  <c r="M15" i="10" s="1"/>
  <c r="I19" i="4"/>
  <c r="I15" i="10" s="1"/>
  <c r="B19" i="4"/>
  <c r="I22" i="15"/>
  <c r="J18" i="15"/>
  <c r="J19" i="15"/>
  <c r="K24" i="15"/>
  <c r="J24" i="15"/>
  <c r="I24" i="15"/>
  <c r="H24" i="15"/>
  <c r="F23" i="15"/>
  <c r="H18" i="15"/>
  <c r="H19" i="15"/>
  <c r="E24" i="4"/>
  <c r="E29" i="4" s="1"/>
  <c r="K22" i="15"/>
  <c r="J22" i="15"/>
  <c r="K154" i="18"/>
  <c r="H24" i="4"/>
  <c r="H29" i="4" s="1"/>
  <c r="J154" i="18"/>
  <c r="G24" i="4"/>
  <c r="G26" i="4" s="1"/>
  <c r="E20" i="10"/>
  <c r="E165" i="10" s="1"/>
  <c r="I18" i="15"/>
  <c r="I19" i="15"/>
  <c r="F24" i="15"/>
  <c r="H23" i="15"/>
  <c r="E23" i="15"/>
  <c r="G18" i="15"/>
  <c r="G19" i="15"/>
  <c r="G24" i="15"/>
  <c r="F18" i="15"/>
  <c r="F19" i="15"/>
  <c r="H22" i="15"/>
  <c r="E18" i="15"/>
  <c r="E19" i="15"/>
  <c r="E24" i="15"/>
  <c r="G22" i="15"/>
  <c r="D18" i="15"/>
  <c r="D19" i="15"/>
  <c r="K23" i="15"/>
  <c r="J23" i="15"/>
  <c r="E22" i="15"/>
  <c r="J591" i="18"/>
  <c r="D24" i="15"/>
  <c r="I23" i="15"/>
  <c r="H20" i="10"/>
  <c r="H165" i="10" s="1"/>
  <c r="I591" i="18"/>
  <c r="D22" i="15"/>
  <c r="D23" i="15"/>
  <c r="D26" i="15"/>
  <c r="D33" i="15"/>
  <c r="D36" i="15"/>
  <c r="D41" i="15"/>
  <c r="D45" i="15"/>
  <c r="D47" i="15"/>
  <c r="F26" i="15"/>
  <c r="F33" i="15"/>
  <c r="F36" i="15"/>
  <c r="F41" i="15"/>
  <c r="F45" i="15"/>
  <c r="F47" i="15"/>
  <c r="G26" i="15"/>
  <c r="G33" i="15"/>
  <c r="G36" i="15"/>
  <c r="G41" i="15"/>
  <c r="G45" i="15"/>
  <c r="G47" i="15"/>
  <c r="H26" i="15"/>
  <c r="H33" i="15"/>
  <c r="H36" i="15"/>
  <c r="H41" i="15"/>
  <c r="H45" i="15"/>
  <c r="H47" i="15"/>
  <c r="I8" i="15"/>
  <c r="J8" i="15"/>
  <c r="I7" i="18"/>
  <c r="I236" i="18" s="1"/>
  <c r="K26" i="15"/>
  <c r="K33" i="15"/>
  <c r="K36" i="15"/>
  <c r="K41" i="15"/>
  <c r="K45" i="15"/>
  <c r="K47" i="15"/>
  <c r="H7" i="18"/>
  <c r="G857" i="18" s="1"/>
  <c r="F8" i="15"/>
  <c r="G7" i="18"/>
  <c r="G236" i="18" s="1"/>
  <c r="D13" i="10"/>
  <c r="D13" i="11" s="1"/>
  <c r="G8" i="15"/>
  <c r="H13" i="10"/>
  <c r="H149" i="10" s="1"/>
  <c r="H8" i="15"/>
  <c r="G13" i="10"/>
  <c r="G149" i="10" s="1"/>
  <c r="F13" i="10"/>
  <c r="F149" i="10" s="1"/>
  <c r="E13" i="10"/>
  <c r="E13" i="11" s="1"/>
  <c r="E26" i="15"/>
  <c r="E33" i="15"/>
  <c r="E36" i="15"/>
  <c r="E41" i="15"/>
  <c r="E45" i="15"/>
  <c r="E47" i="15"/>
  <c r="D8" i="15"/>
  <c r="E8" i="15"/>
  <c r="I26" i="15"/>
  <c r="I33" i="15"/>
  <c r="I36" i="15"/>
  <c r="I41" i="15"/>
  <c r="I45" i="15"/>
  <c r="I47" i="15"/>
  <c r="J26" i="15"/>
  <c r="J33" i="15"/>
  <c r="J36" i="15"/>
  <c r="J41" i="15"/>
  <c r="J45" i="15"/>
  <c r="J47" i="15"/>
  <c r="K8" i="15"/>
  <c r="H154" i="18"/>
  <c r="I154" i="18"/>
  <c r="F24" i="4"/>
  <c r="F25" i="4" s="1"/>
  <c r="G154" i="18"/>
  <c r="D24" i="4"/>
  <c r="D25" i="4" s="1"/>
  <c r="J8" i="18"/>
  <c r="J237" i="18" s="1"/>
  <c r="G16" i="4"/>
  <c r="G17" i="4" s="1"/>
  <c r="G18" i="4" s="1"/>
  <c r="I8" i="18"/>
  <c r="I237" i="18" s="1"/>
  <c r="F16" i="4"/>
  <c r="F17" i="4" s="1"/>
  <c r="F18" i="4" s="1"/>
  <c r="E16" i="4"/>
  <c r="E17" i="4" s="1"/>
  <c r="E18" i="4" s="1"/>
  <c r="H8" i="18"/>
  <c r="H237" i="18" s="1"/>
  <c r="K8" i="18"/>
  <c r="K237" i="18" s="1"/>
  <c r="H16" i="4"/>
  <c r="H17" i="4" s="1"/>
  <c r="H18" i="4" s="1"/>
  <c r="D16" i="4"/>
  <c r="D17" i="4" s="1"/>
  <c r="D18" i="4" s="1"/>
  <c r="G8" i="18"/>
  <c r="G237" i="18" s="1"/>
  <c r="H58" i="11" l="1"/>
  <c r="I74" i="10"/>
  <c r="J74" i="10" s="1"/>
  <c r="K74" i="10" s="1"/>
  <c r="L74" i="10" s="1"/>
  <c r="M74" i="10" s="1"/>
  <c r="N74" i="10" s="1"/>
  <c r="O74" i="10" s="1"/>
  <c r="P74" i="10" s="1"/>
  <c r="Q74" i="10" s="1"/>
  <c r="R74" i="10" s="1"/>
  <c r="J25" i="4"/>
  <c r="N9" i="4"/>
  <c r="O9" i="4" s="1"/>
  <c r="P9" i="4" s="1"/>
  <c r="Q9" i="4" s="1"/>
  <c r="R9" i="4" s="1"/>
  <c r="D79" i="13"/>
  <c r="E66" i="16"/>
  <c r="F66" i="16"/>
  <c r="G66" i="16"/>
  <c r="G68" i="16" s="1"/>
  <c r="K718" i="18"/>
  <c r="M99" i="11"/>
  <c r="N179" i="10"/>
  <c r="O60" i="11"/>
  <c r="P60" i="11" s="1"/>
  <c r="Q60" i="11" s="1"/>
  <c r="R60" i="11" s="1"/>
  <c r="M207" i="10"/>
  <c r="N191" i="10"/>
  <c r="M205" i="10"/>
  <c r="N100" i="11"/>
  <c r="N183" i="10"/>
  <c r="I58" i="11"/>
  <c r="M203" i="10"/>
  <c r="N175" i="10"/>
  <c r="M206" i="10"/>
  <c r="N187" i="10"/>
  <c r="M136" i="11"/>
  <c r="N80" i="11"/>
  <c r="D36" i="20"/>
  <c r="Q89" i="11"/>
  <c r="R135" i="11"/>
  <c r="E38" i="20"/>
  <c r="E14" i="14"/>
  <c r="G14" i="14"/>
  <c r="D22" i="20"/>
  <c r="E37" i="20"/>
  <c r="F14" i="14"/>
  <c r="E18" i="14"/>
  <c r="D30" i="20"/>
  <c r="H29" i="13"/>
  <c r="H33" i="13" s="1"/>
  <c r="G29" i="13"/>
  <c r="G33" i="13" s="1"/>
  <c r="D38" i="20"/>
  <c r="D37" i="20"/>
  <c r="D13" i="20"/>
  <c r="D41" i="20"/>
  <c r="D878" i="18"/>
  <c r="E44" i="13"/>
  <c r="T101" i="30"/>
  <c r="E36" i="20"/>
  <c r="E16" i="14"/>
  <c r="I16" i="14"/>
  <c r="E30" i="20"/>
  <c r="H16" i="14"/>
  <c r="D20" i="20"/>
  <c r="D14" i="20"/>
  <c r="E41" i="20"/>
  <c r="G16" i="14"/>
  <c r="C878" i="18"/>
  <c r="S101" i="30"/>
  <c r="D44" i="13"/>
  <c r="D35" i="20"/>
  <c r="I18" i="14"/>
  <c r="E23" i="20"/>
  <c r="E35" i="20"/>
  <c r="D23" i="20"/>
  <c r="D21" i="20"/>
  <c r="D29" i="13"/>
  <c r="E29" i="13"/>
  <c r="I14" i="14"/>
  <c r="G18" i="14"/>
  <c r="E13" i="20"/>
  <c r="E21" i="20"/>
  <c r="D24" i="20"/>
  <c r="E22" i="20"/>
  <c r="E20" i="20"/>
  <c r="F29" i="13"/>
  <c r="F33" i="13" s="1"/>
  <c r="H18" i="14"/>
  <c r="H14" i="14"/>
  <c r="F18" i="14"/>
  <c r="C41" i="14"/>
  <c r="F260" i="18"/>
  <c r="V127" i="30"/>
  <c r="E261" i="18"/>
  <c r="U127" i="30"/>
  <c r="D262" i="18"/>
  <c r="T127" i="30"/>
  <c r="I261" i="18"/>
  <c r="Y127" i="30"/>
  <c r="H263" i="18"/>
  <c r="X127" i="30"/>
  <c r="G258" i="18"/>
  <c r="W127" i="30"/>
  <c r="I699" i="18"/>
  <c r="D697" i="18"/>
  <c r="E857" i="18"/>
  <c r="E860" i="18" s="1"/>
  <c r="H870" i="18"/>
  <c r="G870" i="18"/>
  <c r="F870" i="18"/>
  <c r="E870" i="18"/>
  <c r="D870" i="18"/>
  <c r="C857" i="18"/>
  <c r="C860" i="18" s="1"/>
  <c r="D857" i="18"/>
  <c r="D860" i="18" s="1"/>
  <c r="C870" i="18"/>
  <c r="J22" i="14"/>
  <c r="J870" i="18"/>
  <c r="I870" i="18"/>
  <c r="G860" i="18"/>
  <c r="J857" i="18"/>
  <c r="J860" i="18" s="1"/>
  <c r="K22" i="14"/>
  <c r="I857" i="18"/>
  <c r="I860" i="18" s="1"/>
  <c r="H857" i="18"/>
  <c r="H860" i="18" s="1"/>
  <c r="F857" i="18"/>
  <c r="F860" i="18" s="1"/>
  <c r="D28" i="26"/>
  <c r="C59" i="14"/>
  <c r="C60" i="14"/>
  <c r="D29" i="26"/>
  <c r="F8" i="22"/>
  <c r="H16" i="22"/>
  <c r="F12" i="22"/>
  <c r="D7" i="22"/>
  <c r="I136" i="11"/>
  <c r="L136" i="11"/>
  <c r="K136" i="11"/>
  <c r="J136" i="11"/>
  <c r="E44" i="11"/>
  <c r="D44" i="11"/>
  <c r="L206" i="10"/>
  <c r="K206" i="10"/>
  <c r="D22" i="10"/>
  <c r="H22" i="10"/>
  <c r="G22" i="10"/>
  <c r="F22" i="10"/>
  <c r="E22" i="10"/>
  <c r="G15" i="10"/>
  <c r="F15" i="10"/>
  <c r="I13" i="10"/>
  <c r="E15" i="10"/>
  <c r="H15" i="10"/>
  <c r="I102" i="11"/>
  <c r="M102" i="11"/>
  <c r="M101" i="11"/>
  <c r="L101" i="11"/>
  <c r="I101" i="11"/>
  <c r="J206" i="10"/>
  <c r="K101" i="11"/>
  <c r="M100" i="11"/>
  <c r="L203" i="10"/>
  <c r="L100" i="11"/>
  <c r="K203" i="10"/>
  <c r="K100" i="11"/>
  <c r="J100" i="11"/>
  <c r="I99" i="11"/>
  <c r="M98" i="11"/>
  <c r="I100" i="11"/>
  <c r="L98" i="11"/>
  <c r="M204" i="10"/>
  <c r="L204" i="10"/>
  <c r="K204" i="10"/>
  <c r="L102" i="11"/>
  <c r="L99" i="11"/>
  <c r="J204" i="10"/>
  <c r="K102" i="11"/>
  <c r="K99" i="11"/>
  <c r="J102" i="11"/>
  <c r="J99" i="11"/>
  <c r="I204" i="10"/>
  <c r="K98" i="11"/>
  <c r="I98" i="11"/>
  <c r="J101" i="11"/>
  <c r="J98" i="11"/>
  <c r="L207" i="10"/>
  <c r="K207" i="10"/>
  <c r="J207" i="10"/>
  <c r="I203" i="10"/>
  <c r="J203" i="10"/>
  <c r="I205" i="10"/>
  <c r="L205" i="10"/>
  <c r="I206" i="10"/>
  <c r="K205" i="10"/>
  <c r="I207" i="10"/>
  <c r="J205" i="10"/>
  <c r="H127" i="10"/>
  <c r="H126" i="10"/>
  <c r="F708" i="18"/>
  <c r="E697" i="18"/>
  <c r="D219" i="10"/>
  <c r="D220" i="10" s="1"/>
  <c r="H219" i="10"/>
  <c r="G219" i="10"/>
  <c r="G220" i="10" s="1"/>
  <c r="F219" i="10"/>
  <c r="F220" i="10" s="1"/>
  <c r="E219" i="10"/>
  <c r="E221" i="10" s="1"/>
  <c r="D709" i="18"/>
  <c r="F216" i="10"/>
  <c r="H170" i="10"/>
  <c r="H172" i="10" s="1"/>
  <c r="F170" i="10"/>
  <c r="F172" i="10" s="1"/>
  <c r="D170" i="10"/>
  <c r="D172" i="10" s="1"/>
  <c r="G170" i="10"/>
  <c r="G172" i="10" s="1"/>
  <c r="E170" i="10"/>
  <c r="E172" i="10" s="1"/>
  <c r="H216" i="10"/>
  <c r="I215" i="10"/>
  <c r="E216" i="10"/>
  <c r="G216" i="10"/>
  <c r="H14" i="11"/>
  <c r="F14" i="11"/>
  <c r="E14" i="11"/>
  <c r="F167" i="10"/>
  <c r="F112" i="11" s="1"/>
  <c r="E167" i="10"/>
  <c r="E112" i="11" s="1"/>
  <c r="E24" i="13" s="1"/>
  <c r="G165" i="10"/>
  <c r="G167" i="10" s="1"/>
  <c r="G112" i="11" s="1"/>
  <c r="G24" i="13" s="1"/>
  <c r="D165" i="10"/>
  <c r="D167" i="10" s="1"/>
  <c r="D112" i="11" s="1"/>
  <c r="D24" i="13" s="1"/>
  <c r="H699" i="18"/>
  <c r="C700" i="18"/>
  <c r="C712" i="18" s="1"/>
  <c r="L662" i="18"/>
  <c r="N654" i="18"/>
  <c r="K662" i="18"/>
  <c r="E708" i="18"/>
  <c r="D708" i="18"/>
  <c r="J699" i="18"/>
  <c r="C709" i="18"/>
  <c r="E700" i="18"/>
  <c r="H700" i="18"/>
  <c r="G700" i="18"/>
  <c r="F697" i="18"/>
  <c r="H709" i="18"/>
  <c r="D700" i="18"/>
  <c r="G709" i="18"/>
  <c r="H708" i="18"/>
  <c r="F700" i="18"/>
  <c r="F801" i="18" s="1"/>
  <c r="F803" i="18" s="1"/>
  <c r="G708" i="18"/>
  <c r="F699" i="18"/>
  <c r="G699" i="18"/>
  <c r="J708" i="18"/>
  <c r="I708" i="18"/>
  <c r="J697" i="18"/>
  <c r="I697" i="18"/>
  <c r="C708" i="18"/>
  <c r="H697" i="18"/>
  <c r="J700" i="18"/>
  <c r="J801" i="18" s="1"/>
  <c r="J803" i="18" s="1"/>
  <c r="F709" i="18"/>
  <c r="G697" i="18"/>
  <c r="I700" i="18"/>
  <c r="I801" i="18" s="1"/>
  <c r="I803" i="18" s="1"/>
  <c r="J709" i="18"/>
  <c r="I709" i="18"/>
  <c r="D699" i="18"/>
  <c r="E709" i="18"/>
  <c r="E699" i="18"/>
  <c r="C656" i="18"/>
  <c r="H662" i="18"/>
  <c r="C662" i="18"/>
  <c r="G662" i="18"/>
  <c r="M656" i="18"/>
  <c r="AC154" i="30" s="1"/>
  <c r="N662" i="18"/>
  <c r="F662" i="18"/>
  <c r="L656" i="18"/>
  <c r="AB154" i="30" s="1"/>
  <c r="M662" i="18"/>
  <c r="J656" i="18"/>
  <c r="Z154" i="30" s="1"/>
  <c r="G656" i="18"/>
  <c r="W154" i="30" s="1"/>
  <c r="F656" i="18"/>
  <c r="V154" i="30" s="1"/>
  <c r="H661" i="18"/>
  <c r="E656" i="18"/>
  <c r="U154" i="30" s="1"/>
  <c r="G661" i="18"/>
  <c r="D656" i="18"/>
  <c r="T154" i="30" s="1"/>
  <c r="J662" i="18"/>
  <c r="K656" i="18"/>
  <c r="AA154" i="30" s="1"/>
  <c r="E662" i="18"/>
  <c r="D662" i="18"/>
  <c r="I656" i="18"/>
  <c r="Y154" i="30" s="1"/>
  <c r="H654" i="18"/>
  <c r="I662" i="18"/>
  <c r="D129" i="11"/>
  <c r="G129" i="11"/>
  <c r="H129" i="11"/>
  <c r="F129" i="11"/>
  <c r="D139" i="11"/>
  <c r="E129" i="11"/>
  <c r="G139" i="11"/>
  <c r="F139" i="11"/>
  <c r="H139" i="11"/>
  <c r="E139" i="11"/>
  <c r="F103" i="11"/>
  <c r="E103" i="11"/>
  <c r="H103" i="11"/>
  <c r="D103" i="11"/>
  <c r="G103" i="11"/>
  <c r="H93" i="11"/>
  <c r="G93" i="11"/>
  <c r="F93" i="11"/>
  <c r="D93" i="11"/>
  <c r="E93" i="11"/>
  <c r="G82" i="11"/>
  <c r="G84" i="11" s="1"/>
  <c r="G30" i="13" s="1"/>
  <c r="F82" i="11"/>
  <c r="F84" i="11" s="1"/>
  <c r="F30" i="13" s="1"/>
  <c r="H82" i="11"/>
  <c r="E82" i="11"/>
  <c r="E84" i="11" s="1"/>
  <c r="E30" i="13" s="1"/>
  <c r="D82" i="11"/>
  <c r="D84" i="11" s="1"/>
  <c r="D30" i="13" s="1"/>
  <c r="I90" i="10"/>
  <c r="J90" i="10" s="1"/>
  <c r="D15" i="11"/>
  <c r="I94" i="10"/>
  <c r="I86" i="10"/>
  <c r="I82" i="10"/>
  <c r="J82" i="10" s="1"/>
  <c r="K82" i="10" s="1"/>
  <c r="L82" i="10" s="1"/>
  <c r="M82" i="10" s="1"/>
  <c r="H65" i="11"/>
  <c r="G65" i="11"/>
  <c r="F65" i="11"/>
  <c r="D65" i="11"/>
  <c r="E65" i="11"/>
  <c r="H25" i="4"/>
  <c r="E26" i="4"/>
  <c r="H26" i="4"/>
  <c r="E25" i="4"/>
  <c r="G25" i="4"/>
  <c r="F26" i="4"/>
  <c r="F29" i="4"/>
  <c r="D29" i="4"/>
  <c r="G29" i="4"/>
  <c r="D26" i="4"/>
  <c r="J26" i="4"/>
  <c r="K26" i="4" s="1"/>
  <c r="L26" i="4" s="1"/>
  <c r="J18" i="4"/>
  <c r="K18" i="4" s="1"/>
  <c r="L18" i="4" s="1"/>
  <c r="J17" i="4"/>
  <c r="K17" i="4" s="1"/>
  <c r="L17" i="4" s="1"/>
  <c r="J16" i="4"/>
  <c r="K16" i="4" s="1"/>
  <c r="I78" i="10"/>
  <c r="J20" i="16"/>
  <c r="J35" i="16" s="1"/>
  <c r="J68" i="16" s="1"/>
  <c r="D20" i="16"/>
  <c r="D35" i="16" s="1"/>
  <c r="E20" i="16"/>
  <c r="E35" i="16" s="1"/>
  <c r="E68" i="16" s="1"/>
  <c r="F20" i="16"/>
  <c r="F35" i="16" s="1"/>
  <c r="I20" i="16"/>
  <c r="I35" i="16" s="1"/>
  <c r="I68" i="16" s="1"/>
  <c r="C66" i="16"/>
  <c r="D66" i="16"/>
  <c r="C35" i="16"/>
  <c r="F68" i="16"/>
  <c r="J71" i="10"/>
  <c r="I71" i="10"/>
  <c r="I65" i="10" s="1"/>
  <c r="L71" i="10"/>
  <c r="K71" i="10"/>
  <c r="D160" i="10"/>
  <c r="D162" i="10" s="1"/>
  <c r="E160" i="10"/>
  <c r="E162" i="10" s="1"/>
  <c r="H160" i="10"/>
  <c r="H162" i="10" s="1"/>
  <c r="G160" i="10"/>
  <c r="G162" i="10" s="1"/>
  <c r="F160" i="10"/>
  <c r="F162" i="10" s="1"/>
  <c r="F155" i="10"/>
  <c r="F157" i="10" s="1"/>
  <c r="F110" i="11" s="1"/>
  <c r="E155" i="10"/>
  <c r="E157" i="10" s="1"/>
  <c r="E110" i="11" s="1"/>
  <c r="E23" i="13" s="1"/>
  <c r="H18" i="13"/>
  <c r="H78" i="13" s="1"/>
  <c r="F18" i="13"/>
  <c r="F78" i="13" s="1"/>
  <c r="G18" i="13"/>
  <c r="G78" i="13" s="1"/>
  <c r="H155" i="10"/>
  <c r="D155" i="10"/>
  <c r="D157" i="10" s="1"/>
  <c r="D110" i="11" s="1"/>
  <c r="D23" i="13" s="1"/>
  <c r="G155" i="10"/>
  <c r="K498" i="18"/>
  <c r="E323" i="18"/>
  <c r="F240" i="18"/>
  <c r="D323" i="18"/>
  <c r="F471" i="18"/>
  <c r="F342" i="18"/>
  <c r="F348" i="18" s="1"/>
  <c r="F351" i="18" s="1"/>
  <c r="D261" i="18"/>
  <c r="K337" i="18"/>
  <c r="F337" i="18"/>
  <c r="E505" i="18"/>
  <c r="D505" i="18"/>
  <c r="D342" i="18"/>
  <c r="D348" i="18" s="1"/>
  <c r="D351" i="18" s="1"/>
  <c r="D258" i="18"/>
  <c r="E284" i="18"/>
  <c r="E553" i="18"/>
  <c r="E330" i="18"/>
  <c r="D553" i="18"/>
  <c r="D407" i="18"/>
  <c r="D330" i="18"/>
  <c r="K404" i="18"/>
  <c r="F594" i="18"/>
  <c r="F323" i="18"/>
  <c r="E240" i="18"/>
  <c r="E281" i="18"/>
  <c r="F281" i="18"/>
  <c r="F278" i="18"/>
  <c r="E278" i="18"/>
  <c r="F275" i="18"/>
  <c r="E275" i="18"/>
  <c r="D337" i="18"/>
  <c r="L404" i="18"/>
  <c r="L480" i="18"/>
  <c r="L482" i="18" s="1"/>
  <c r="F407" i="18"/>
  <c r="E337" i="18"/>
  <c r="F284" i="18"/>
  <c r="E503" i="18"/>
  <c r="D503" i="18"/>
  <c r="E502" i="18"/>
  <c r="E594" i="18"/>
  <c r="D502" i="18"/>
  <c r="E471" i="18"/>
  <c r="D409" i="18"/>
  <c r="D411" i="18" s="1"/>
  <c r="D594" i="18"/>
  <c r="E501" i="18"/>
  <c r="D471" i="18"/>
  <c r="E329" i="18"/>
  <c r="D501" i="18"/>
  <c r="E409" i="18"/>
  <c r="E411" i="18" s="1"/>
  <c r="D329" i="18"/>
  <c r="E499" i="18"/>
  <c r="E407" i="18"/>
  <c r="E328" i="18"/>
  <c r="F553" i="18"/>
  <c r="D499" i="18"/>
  <c r="D328" i="18"/>
  <c r="E506" i="18"/>
  <c r="E498" i="18"/>
  <c r="E483" i="18"/>
  <c r="E326" i="18"/>
  <c r="D506" i="18"/>
  <c r="D498" i="18"/>
  <c r="D483" i="18"/>
  <c r="D326" i="18"/>
  <c r="E404" i="18"/>
  <c r="F404" i="18"/>
  <c r="E258" i="18"/>
  <c r="E262" i="18"/>
  <c r="E259" i="18"/>
  <c r="E263" i="18"/>
  <c r="E260" i="18"/>
  <c r="E264" i="18"/>
  <c r="F501" i="18"/>
  <c r="F475" i="18"/>
  <c r="F483" i="18"/>
  <c r="E340" i="18"/>
  <c r="F340" i="18"/>
  <c r="F506" i="18"/>
  <c r="D340" i="18"/>
  <c r="E342" i="18"/>
  <c r="E349" i="18" s="1"/>
  <c r="E480" i="18"/>
  <c r="E482" i="18" s="1"/>
  <c r="F499" i="18"/>
  <c r="F503" i="18"/>
  <c r="F500" i="18"/>
  <c r="F504" i="18"/>
  <c r="F409" i="18"/>
  <c r="F413" i="18" s="1"/>
  <c r="F502" i="18"/>
  <c r="F326" i="18"/>
  <c r="F330" i="18"/>
  <c r="F327" i="18"/>
  <c r="F331" i="18"/>
  <c r="E475" i="18"/>
  <c r="F329" i="18"/>
  <c r="F258" i="18"/>
  <c r="F262" i="18"/>
  <c r="F259" i="18"/>
  <c r="F263" i="18"/>
  <c r="D475" i="18"/>
  <c r="D272" i="18"/>
  <c r="D275" i="18"/>
  <c r="D404" i="18"/>
  <c r="D259" i="18"/>
  <c r="D263" i="18"/>
  <c r="D260" i="18"/>
  <c r="D264" i="18"/>
  <c r="F480" i="18"/>
  <c r="F482" i="18" s="1"/>
  <c r="D281" i="18"/>
  <c r="D480" i="18"/>
  <c r="D482" i="18" s="1"/>
  <c r="F264" i="18"/>
  <c r="F498" i="18"/>
  <c r="D284" i="18"/>
  <c r="F261" i="18"/>
  <c r="E504" i="18"/>
  <c r="E331" i="18"/>
  <c r="D504" i="18"/>
  <c r="D331" i="18"/>
  <c r="I483" i="18"/>
  <c r="C483" i="18"/>
  <c r="K407" i="18"/>
  <c r="N471" i="18"/>
  <c r="C628" i="18"/>
  <c r="H475" i="18"/>
  <c r="I498" i="18"/>
  <c r="E149" i="10"/>
  <c r="E151" i="10" s="1"/>
  <c r="E111" i="11" s="1"/>
  <c r="E22" i="13" s="1"/>
  <c r="H167" i="10"/>
  <c r="H112" i="11" s="1"/>
  <c r="D149" i="10"/>
  <c r="G152" i="10"/>
  <c r="F13" i="11"/>
  <c r="F21" i="20" s="1"/>
  <c r="F152" i="10"/>
  <c r="G13" i="11"/>
  <c r="G36" i="20" s="1"/>
  <c r="H152" i="10"/>
  <c r="H13" i="11"/>
  <c r="H20" i="20" s="1"/>
  <c r="G151" i="10"/>
  <c r="G111" i="11" s="1"/>
  <c r="G22" i="13" s="1"/>
  <c r="F151" i="10"/>
  <c r="F111" i="11" s="1"/>
  <c r="H151" i="10"/>
  <c r="H111" i="11" s="1"/>
  <c r="N323" i="18"/>
  <c r="G623" i="18"/>
  <c r="H404" i="18"/>
  <c r="H407" i="18"/>
  <c r="H480" i="18"/>
  <c r="H482" i="18" s="1"/>
  <c r="K505" i="18"/>
  <c r="L264" i="18"/>
  <c r="H272" i="18"/>
  <c r="I503" i="18"/>
  <c r="H275" i="18"/>
  <c r="J264" i="18"/>
  <c r="I594" i="18"/>
  <c r="L342" i="18"/>
  <c r="L349" i="18" s="1"/>
  <c r="N284" i="18"/>
  <c r="H49" i="10" s="1"/>
  <c r="G323" i="18"/>
  <c r="N340" i="18"/>
  <c r="N272" i="18"/>
  <c r="H29" i="10" s="1"/>
  <c r="G628" i="18"/>
  <c r="I502" i="18"/>
  <c r="I499" i="18"/>
  <c r="I409" i="18"/>
  <c r="J504" i="18"/>
  <c r="J503" i="18"/>
  <c r="J505" i="18"/>
  <c r="J500" i="18"/>
  <c r="G342" i="18"/>
  <c r="G349" i="18" s="1"/>
  <c r="G454" i="18"/>
  <c r="L331" i="18"/>
  <c r="I501" i="18"/>
  <c r="J618" i="18"/>
  <c r="J625" i="18" s="1"/>
  <c r="M342" i="18"/>
  <c r="M349" i="18" s="1"/>
  <c r="G404" i="18"/>
  <c r="H454" i="18"/>
  <c r="N329" i="18"/>
  <c r="H483" i="18"/>
  <c r="M323" i="18"/>
  <c r="L328" i="18"/>
  <c r="L327" i="18"/>
  <c r="H259" i="18"/>
  <c r="N505" i="18"/>
  <c r="G240" i="18"/>
  <c r="H281" i="18"/>
  <c r="H284" i="18"/>
  <c r="L281" i="18"/>
  <c r="F52" i="4" s="1"/>
  <c r="F54" i="4" s="1"/>
  <c r="J502" i="18"/>
  <c r="H240" i="18"/>
  <c r="C323" i="18"/>
  <c r="L330" i="18"/>
  <c r="K330" i="18"/>
  <c r="K329" i="18"/>
  <c r="C327" i="18"/>
  <c r="G618" i="18"/>
  <c r="G625" i="18" s="1"/>
  <c r="F618" i="18"/>
  <c r="F625" i="18" s="1"/>
  <c r="E618" i="18"/>
  <c r="E625" i="18" s="1"/>
  <c r="I259" i="18"/>
  <c r="J330" i="18"/>
  <c r="K409" i="18"/>
  <c r="K411" i="18" s="1"/>
  <c r="L483" i="18"/>
  <c r="M502" i="18"/>
  <c r="I240" i="18"/>
  <c r="J328" i="18"/>
  <c r="M498" i="18"/>
  <c r="C263" i="18"/>
  <c r="J327" i="18"/>
  <c r="H264" i="18"/>
  <c r="H261" i="18"/>
  <c r="L501" i="18"/>
  <c r="H260" i="18"/>
  <c r="H48" i="10"/>
  <c r="H24" i="11" s="1"/>
  <c r="C331" i="18"/>
  <c r="N331" i="18"/>
  <c r="L503" i="18"/>
  <c r="C499" i="18"/>
  <c r="I475" i="18"/>
  <c r="I260" i="18"/>
  <c r="H258" i="18"/>
  <c r="M7" i="18"/>
  <c r="N7" i="18"/>
  <c r="D107" i="18" s="1"/>
  <c r="N502" i="18"/>
  <c r="H262" i="18"/>
  <c r="N498" i="18"/>
  <c r="I263" i="18"/>
  <c r="M500" i="18"/>
  <c r="M239" i="18"/>
  <c r="N328" i="18"/>
  <c r="I264" i="18"/>
  <c r="H342" i="18"/>
  <c r="M404" i="18"/>
  <c r="N501" i="18"/>
  <c r="J622" i="18"/>
  <c r="J480" i="18"/>
  <c r="J482" i="18" s="1"/>
  <c r="L506" i="18"/>
  <c r="L340" i="18"/>
  <c r="G407" i="18"/>
  <c r="L475" i="18"/>
  <c r="G594" i="18"/>
  <c r="K471" i="18"/>
  <c r="D623" i="18"/>
  <c r="F628" i="18"/>
  <c r="F623" i="18"/>
  <c r="K272" i="18"/>
  <c r="E29" i="10" s="1"/>
  <c r="K275" i="18"/>
  <c r="K278" i="18"/>
  <c r="E39" i="10" s="1"/>
  <c r="H236" i="18"/>
  <c r="M236" i="18" s="1"/>
  <c r="N409" i="18"/>
  <c r="N413" i="18" s="1"/>
  <c r="N407" i="18"/>
  <c r="K454" i="18"/>
  <c r="I323" i="18"/>
  <c r="I326" i="18"/>
  <c r="I327" i="18"/>
  <c r="I328" i="18"/>
  <c r="I329" i="18"/>
  <c r="G260" i="18"/>
  <c r="G262" i="18"/>
  <c r="G264" i="18"/>
  <c r="C260" i="18"/>
  <c r="C259" i="18"/>
  <c r="K284" i="18"/>
  <c r="E58" i="4" s="1"/>
  <c r="E59" i="4" s="1"/>
  <c r="G259" i="18"/>
  <c r="N275" i="18"/>
  <c r="K480" i="18"/>
  <c r="K482" i="18" s="1"/>
  <c r="C623" i="18"/>
  <c r="F454" i="18"/>
  <c r="L261" i="18"/>
  <c r="J483" i="18"/>
  <c r="K342" i="18"/>
  <c r="K348" i="18" s="1"/>
  <c r="K351" i="18" s="1"/>
  <c r="L260" i="18"/>
  <c r="G328" i="18"/>
  <c r="N506" i="18"/>
  <c r="K483" i="18"/>
  <c r="L284" i="18"/>
  <c r="F49" i="10" s="1"/>
  <c r="L259" i="18"/>
  <c r="N499" i="18"/>
  <c r="G622" i="18"/>
  <c r="L258" i="18"/>
  <c r="N504" i="18"/>
  <c r="I262" i="18"/>
  <c r="H409" i="18"/>
  <c r="H411" i="18" s="1"/>
  <c r="J284" i="18"/>
  <c r="J499" i="18"/>
  <c r="H471" i="18"/>
  <c r="I618" i="18"/>
  <c r="I625" i="18" s="1"/>
  <c r="D622" i="18"/>
  <c r="D618" i="18"/>
  <c r="D625" i="18" s="1"/>
  <c r="H504" i="18"/>
  <c r="H505" i="18"/>
  <c r="H506" i="18"/>
  <c r="H498" i="18"/>
  <c r="H499" i="18"/>
  <c r="H500" i="18"/>
  <c r="N262" i="18"/>
  <c r="N261" i="18"/>
  <c r="N259" i="18"/>
  <c r="D40" i="4"/>
  <c r="D42" i="4" s="1"/>
  <c r="D34" i="10"/>
  <c r="N337" i="18"/>
  <c r="N404" i="18"/>
  <c r="N483" i="18"/>
  <c r="N475" i="18"/>
  <c r="C506" i="18"/>
  <c r="C500" i="18"/>
  <c r="C498" i="18"/>
  <c r="C501" i="18"/>
  <c r="C503" i="18"/>
  <c r="C504" i="18"/>
  <c r="C505" i="18"/>
  <c r="G498" i="18"/>
  <c r="G503" i="18"/>
  <c r="G504" i="18"/>
  <c r="G499" i="18"/>
  <c r="G500" i="18"/>
  <c r="G501" i="18"/>
  <c r="L471" i="18"/>
  <c r="M264" i="18"/>
  <c r="M263" i="18"/>
  <c r="M262" i="18"/>
  <c r="M261" i="18"/>
  <c r="M260" i="18"/>
  <c r="M259" i="18"/>
  <c r="M258" i="18"/>
  <c r="J272" i="18"/>
  <c r="J278" i="18"/>
  <c r="J454" i="18"/>
  <c r="H503" i="18"/>
  <c r="H502" i="18"/>
  <c r="N236" i="18"/>
  <c r="J281" i="18"/>
  <c r="H501" i="18"/>
  <c r="G506" i="18"/>
  <c r="I553" i="18"/>
  <c r="G505" i="18"/>
  <c r="I622" i="18"/>
  <c r="N264" i="18"/>
  <c r="G502" i="18"/>
  <c r="E24" i="11"/>
  <c r="E24" i="20" s="1"/>
  <c r="E51" i="10"/>
  <c r="J240" i="18"/>
  <c r="G329" i="18"/>
  <c r="G331" i="18"/>
  <c r="C275" i="18"/>
  <c r="C272" i="18"/>
  <c r="I454" i="18"/>
  <c r="M471" i="18"/>
  <c r="N342" i="18"/>
  <c r="K240" i="18"/>
  <c r="H594" i="18"/>
  <c r="P283" i="18"/>
  <c r="C329" i="18"/>
  <c r="C330" i="18"/>
  <c r="I471" i="18"/>
  <c r="M275" i="18"/>
  <c r="M272" i="18"/>
  <c r="I337" i="18"/>
  <c r="J337" i="18"/>
  <c r="J409" i="18"/>
  <c r="J413" i="18" s="1"/>
  <c r="I407" i="18"/>
  <c r="N239" i="18"/>
  <c r="G272" i="18"/>
  <c r="E454" i="18"/>
  <c r="L499" i="18"/>
  <c r="L498" i="18"/>
  <c r="J407" i="18"/>
  <c r="J340" i="18"/>
  <c r="D454" i="18"/>
  <c r="J553" i="18"/>
  <c r="C604" i="18"/>
  <c r="M329" i="18"/>
  <c r="I272" i="18"/>
  <c r="K340" i="18"/>
  <c r="K475" i="18"/>
  <c r="L323" i="18"/>
  <c r="L326" i="18"/>
  <c r="G409" i="18"/>
  <c r="G411" i="18" s="1"/>
  <c r="G480" i="18"/>
  <c r="G482" i="18" s="1"/>
  <c r="G483" i="18"/>
  <c r="K503" i="18"/>
  <c r="K501" i="18"/>
  <c r="L263" i="18"/>
  <c r="M330" i="18"/>
  <c r="M328" i="18"/>
  <c r="G275" i="18"/>
  <c r="M327" i="18"/>
  <c r="G326" i="18"/>
  <c r="K499" i="18"/>
  <c r="I480" i="18"/>
  <c r="I482" i="18" s="1"/>
  <c r="J331" i="18"/>
  <c r="J323" i="18"/>
  <c r="J326" i="18"/>
  <c r="M278" i="18"/>
  <c r="G46" i="4" s="1"/>
  <c r="G48" i="4" s="1"/>
  <c r="M326" i="18"/>
  <c r="C328" i="18"/>
  <c r="I330" i="18"/>
  <c r="I331" i="18"/>
  <c r="I504" i="18"/>
  <c r="I505" i="18"/>
  <c r="I506" i="18"/>
  <c r="M284" i="18"/>
  <c r="C553" i="18"/>
  <c r="G553" i="18"/>
  <c r="J594" i="18"/>
  <c r="C603" i="18"/>
  <c r="I258" i="18"/>
  <c r="N500" i="18"/>
  <c r="N154" i="18"/>
  <c r="C594" i="18"/>
  <c r="H46" i="4"/>
  <c r="H39" i="10"/>
  <c r="K261" i="18"/>
  <c r="K258" i="18"/>
  <c r="K263" i="18"/>
  <c r="H326" i="18"/>
  <c r="H323" i="18"/>
  <c r="N281" i="18"/>
  <c r="H43" i="10"/>
  <c r="H23" i="11" s="1"/>
  <c r="M154" i="18"/>
  <c r="J260" i="18"/>
  <c r="M281" i="18"/>
  <c r="N480" i="18"/>
  <c r="N482" i="18" s="1"/>
  <c r="M475" i="18"/>
  <c r="I628" i="18"/>
  <c r="M483" i="18"/>
  <c r="H623" i="18"/>
  <c r="H628" i="18"/>
  <c r="H625" i="18"/>
  <c r="C475" i="18"/>
  <c r="C471" i="18"/>
  <c r="K260" i="18"/>
  <c r="I281" i="18"/>
  <c r="C284" i="18"/>
  <c r="M480" i="18"/>
  <c r="M482" i="18" s="1"/>
  <c r="M501" i="18"/>
  <c r="M506" i="18"/>
  <c r="H622" i="18"/>
  <c r="J623" i="18"/>
  <c r="O7" i="18"/>
  <c r="H331" i="18"/>
  <c r="F622" i="18"/>
  <c r="K259" i="18"/>
  <c r="Q283" i="18"/>
  <c r="H330" i="18"/>
  <c r="M503" i="18"/>
  <c r="I342" i="18"/>
  <c r="I349" i="18" s="1"/>
  <c r="L272" i="18"/>
  <c r="L278" i="18"/>
  <c r="G337" i="18"/>
  <c r="C618" i="18"/>
  <c r="C625" i="18" s="1"/>
  <c r="C622" i="18"/>
  <c r="H329" i="18"/>
  <c r="I278" i="18"/>
  <c r="J628" i="18"/>
  <c r="K500" i="18"/>
  <c r="K502" i="18"/>
  <c r="K504" i="18"/>
  <c r="J471" i="18"/>
  <c r="P280" i="18"/>
  <c r="J259" i="18"/>
  <c r="J262" i="18"/>
  <c r="M337" i="18"/>
  <c r="L337" i="18"/>
  <c r="L409" i="18"/>
  <c r="L411" i="18" s="1"/>
  <c r="L407" i="18"/>
  <c r="C281" i="18"/>
  <c r="M504" i="18"/>
  <c r="M407" i="18"/>
  <c r="G281" i="18"/>
  <c r="G284" i="18"/>
  <c r="I404" i="18"/>
  <c r="J404" i="18"/>
  <c r="J258" i="18"/>
  <c r="M340" i="18"/>
  <c r="J475" i="18"/>
  <c r="F34" i="10"/>
  <c r="F40" i="4"/>
  <c r="H337" i="18"/>
  <c r="L505" i="18"/>
  <c r="L500" i="18"/>
  <c r="L502" i="18"/>
  <c r="I284" i="18"/>
  <c r="K328" i="18"/>
  <c r="K331" i="18"/>
  <c r="K323" i="18"/>
  <c r="K326" i="18"/>
  <c r="H553" i="18"/>
  <c r="E628" i="18"/>
  <c r="J261" i="18"/>
  <c r="Q280" i="18"/>
  <c r="J342" i="18"/>
  <c r="J349" i="18" s="1"/>
  <c r="H328" i="18"/>
  <c r="M409" i="18"/>
  <c r="M413" i="18" s="1"/>
  <c r="I340" i="18"/>
  <c r="M505" i="18"/>
  <c r="E622" i="18"/>
  <c r="K264" i="18"/>
  <c r="G340" i="18"/>
  <c r="J498" i="18"/>
  <c r="J501" i="18"/>
  <c r="C264" i="18"/>
  <c r="C258" i="18"/>
  <c r="C261" i="18"/>
  <c r="N263" i="18"/>
  <c r="N258" i="18"/>
  <c r="N260" i="18"/>
  <c r="G261" i="18"/>
  <c r="G263" i="18"/>
  <c r="K281" i="18"/>
  <c r="D628" i="18"/>
  <c r="G48" i="10"/>
  <c r="G24" i="11" s="1"/>
  <c r="G327" i="18"/>
  <c r="N327" i="18"/>
  <c r="N330" i="18"/>
  <c r="G471" i="18"/>
  <c r="G475" i="18"/>
  <c r="H340" i="18"/>
  <c r="F51" i="10"/>
  <c r="F24" i="11"/>
  <c r="D51" i="10"/>
  <c r="K25" i="4" l="1"/>
  <c r="J27" i="4"/>
  <c r="J29" i="4" s="1"/>
  <c r="J22" i="10" s="1"/>
  <c r="I61" i="11"/>
  <c r="J78" i="10"/>
  <c r="E25" i="13"/>
  <c r="H121" i="10"/>
  <c r="H129" i="10" s="1"/>
  <c r="L718" i="18"/>
  <c r="H23" i="20"/>
  <c r="N203" i="10"/>
  <c r="N98" i="11"/>
  <c r="O175" i="10"/>
  <c r="N205" i="10"/>
  <c r="O100" i="11"/>
  <c r="O183" i="10"/>
  <c r="N102" i="11"/>
  <c r="N207" i="10"/>
  <c r="O191" i="10"/>
  <c r="N101" i="11"/>
  <c r="O187" i="10"/>
  <c r="N206" i="10"/>
  <c r="O179" i="10"/>
  <c r="N99" i="11"/>
  <c r="N204" i="10"/>
  <c r="N136" i="11"/>
  <c r="O80" i="11"/>
  <c r="R89" i="11"/>
  <c r="G37" i="20"/>
  <c r="H37" i="20"/>
  <c r="G14" i="20"/>
  <c r="G22" i="20"/>
  <c r="G41" i="20"/>
  <c r="H30" i="20"/>
  <c r="G20" i="20"/>
  <c r="G35" i="20"/>
  <c r="G23" i="20"/>
  <c r="H21" i="20"/>
  <c r="G24" i="20"/>
  <c r="H24" i="20"/>
  <c r="T102" i="30"/>
  <c r="U101" i="30"/>
  <c r="U102" i="30" s="1"/>
  <c r="F38" i="20"/>
  <c r="F36" i="20"/>
  <c r="F13" i="20"/>
  <c r="G19" i="13"/>
  <c r="G14" i="13"/>
  <c r="D19" i="13"/>
  <c r="D14" i="13"/>
  <c r="F20" i="20"/>
  <c r="F41" i="20"/>
  <c r="E19" i="13"/>
  <c r="E14" i="13"/>
  <c r="G878" i="18"/>
  <c r="W101" i="30"/>
  <c r="H35" i="20"/>
  <c r="H36" i="20"/>
  <c r="H13" i="20"/>
  <c r="H38" i="20"/>
  <c r="H84" i="11"/>
  <c r="H30" i="13" s="1"/>
  <c r="F19" i="13"/>
  <c r="F14" i="13"/>
  <c r="G21" i="20"/>
  <c r="H41" i="20"/>
  <c r="H22" i="13"/>
  <c r="H77" i="13"/>
  <c r="H79" i="13" s="1"/>
  <c r="H14" i="20"/>
  <c r="F30" i="20"/>
  <c r="E83" i="13"/>
  <c r="E33" i="13"/>
  <c r="E31" i="13"/>
  <c r="D64" i="13"/>
  <c r="D37" i="13"/>
  <c r="H19" i="13"/>
  <c r="H14" i="13"/>
  <c r="F24" i="20"/>
  <c r="E64" i="13"/>
  <c r="E37" i="13"/>
  <c r="G30" i="20"/>
  <c r="H22" i="20"/>
  <c r="F22" i="13"/>
  <c r="F77" i="13"/>
  <c r="F79" i="13" s="1"/>
  <c r="F14" i="20"/>
  <c r="F23" i="20"/>
  <c r="F35" i="20"/>
  <c r="E52" i="13"/>
  <c r="E48" i="13"/>
  <c r="E69" i="13"/>
  <c r="E56" i="13"/>
  <c r="D43" i="13"/>
  <c r="D45" i="13" s="1"/>
  <c r="D15" i="20"/>
  <c r="D33" i="13"/>
  <c r="D31" i="13"/>
  <c r="D83" i="13"/>
  <c r="D52" i="13"/>
  <c r="D56" i="13"/>
  <c r="D69" i="13"/>
  <c r="D48" i="13"/>
  <c r="F878" i="18"/>
  <c r="V101" i="30"/>
  <c r="G13" i="20"/>
  <c r="G38" i="20"/>
  <c r="E77" i="13"/>
  <c r="E79" i="13" s="1"/>
  <c r="E14" i="20"/>
  <c r="D26" i="26"/>
  <c r="C61" i="14"/>
  <c r="F22" i="20"/>
  <c r="F37" i="20"/>
  <c r="M59" i="11"/>
  <c r="N82" i="10"/>
  <c r="G413" i="18"/>
  <c r="G415" i="18" s="1"/>
  <c r="J154" i="30" s="1"/>
  <c r="F349" i="18"/>
  <c r="F352" i="18" s="1"/>
  <c r="AJ128" i="30" s="1"/>
  <c r="D413" i="18"/>
  <c r="D415" i="18" s="1"/>
  <c r="G154" i="30" s="1"/>
  <c r="E413" i="18"/>
  <c r="E415" i="18" s="1"/>
  <c r="H154" i="30" s="1"/>
  <c r="K413" i="18"/>
  <c r="K415" i="18" s="1"/>
  <c r="N154" i="30" s="1"/>
  <c r="M352" i="18"/>
  <c r="AQ128" i="30" s="1"/>
  <c r="H349" i="18"/>
  <c r="H352" i="18" s="1"/>
  <c r="AL128" i="30" s="1"/>
  <c r="E352" i="18"/>
  <c r="AI128" i="30" s="1"/>
  <c r="K349" i="18"/>
  <c r="K352" i="18" s="1"/>
  <c r="AO128" i="30" s="1"/>
  <c r="G352" i="18"/>
  <c r="AK128" i="30" s="1"/>
  <c r="H413" i="18"/>
  <c r="H415" i="18" s="1"/>
  <c r="K154" i="30" s="1"/>
  <c r="N349" i="18"/>
  <c r="N352" i="18" s="1"/>
  <c r="AR128" i="30" s="1"/>
  <c r="L413" i="18"/>
  <c r="L415" i="18" s="1"/>
  <c r="O154" i="30" s="1"/>
  <c r="I352" i="18"/>
  <c r="AM128" i="30" s="1"/>
  <c r="N415" i="18"/>
  <c r="Q154" i="30" s="1"/>
  <c r="I413" i="18"/>
  <c r="I415" i="18" s="1"/>
  <c r="L154" i="30" s="1"/>
  <c r="L352" i="18"/>
  <c r="AP128" i="30" s="1"/>
  <c r="D349" i="18"/>
  <c r="D352" i="18" s="1"/>
  <c r="AH128" i="30" s="1"/>
  <c r="F52" i="10"/>
  <c r="AB128" i="30" s="1"/>
  <c r="AB127" i="30"/>
  <c r="E52" i="10"/>
  <c r="AA128" i="30" s="1"/>
  <c r="AA127" i="30"/>
  <c r="D52" i="10"/>
  <c r="Z128" i="30" s="1"/>
  <c r="Z127" i="30"/>
  <c r="K19" i="4"/>
  <c r="K15" i="10" s="1"/>
  <c r="E7" i="22"/>
  <c r="D10" i="22"/>
  <c r="E878" i="18"/>
  <c r="D17" i="11"/>
  <c r="D17" i="20" s="1"/>
  <c r="D45" i="11"/>
  <c r="E15" i="11"/>
  <c r="N454" i="18"/>
  <c r="M454" i="18"/>
  <c r="I231" i="10"/>
  <c r="I233" i="10" s="1"/>
  <c r="I36" i="11" s="1"/>
  <c r="I126" i="10"/>
  <c r="H220" i="10"/>
  <c r="C704" i="18"/>
  <c r="AH154" i="30" s="1"/>
  <c r="C801" i="18"/>
  <c r="C803" i="18" s="1"/>
  <c r="G713" i="18"/>
  <c r="G801" i="18"/>
  <c r="G803" i="18" s="1"/>
  <c r="H711" i="18"/>
  <c r="H801" i="18"/>
  <c r="H803" i="18" s="1"/>
  <c r="D704" i="18"/>
  <c r="AI154" i="30" s="1"/>
  <c r="D801" i="18"/>
  <c r="D803" i="18" s="1"/>
  <c r="E704" i="18"/>
  <c r="AJ154" i="30" s="1"/>
  <c r="E801" i="18"/>
  <c r="E803" i="18" s="1"/>
  <c r="D221" i="10"/>
  <c r="H221" i="10"/>
  <c r="F221" i="10"/>
  <c r="G221" i="10"/>
  <c r="J215" i="10"/>
  <c r="I87" i="11"/>
  <c r="E220" i="10"/>
  <c r="I160" i="10"/>
  <c r="I161" i="10" s="1"/>
  <c r="I72" i="11" s="1"/>
  <c r="I170" i="10"/>
  <c r="F24" i="13"/>
  <c r="D152" i="10"/>
  <c r="D151" i="10"/>
  <c r="D111" i="11" s="1"/>
  <c r="D22" i="13" s="1"/>
  <c r="D25" i="13" s="1"/>
  <c r="I59" i="11"/>
  <c r="C713" i="18"/>
  <c r="C711" i="18"/>
  <c r="C703" i="18"/>
  <c r="AH153" i="30" s="1"/>
  <c r="E714" i="18"/>
  <c r="E711" i="18"/>
  <c r="E713" i="18"/>
  <c r="Q654" i="18"/>
  <c r="H713" i="18"/>
  <c r="E703" i="18"/>
  <c r="AJ153" i="30" s="1"/>
  <c r="E712" i="18"/>
  <c r="I701" i="18"/>
  <c r="L697" i="18"/>
  <c r="G703" i="18"/>
  <c r="AL153" i="30" s="1"/>
  <c r="G712" i="18"/>
  <c r="G714" i="18"/>
  <c r="G704" i="18"/>
  <c r="AL154" i="30" s="1"/>
  <c r="L709" i="18"/>
  <c r="J701" i="18"/>
  <c r="G711" i="18"/>
  <c r="H701" i="18"/>
  <c r="H703" i="18"/>
  <c r="AM153" i="30" s="1"/>
  <c r="F701" i="18"/>
  <c r="H712" i="18"/>
  <c r="H714" i="18"/>
  <c r="M709" i="18"/>
  <c r="H704" i="18"/>
  <c r="AM154" i="30" s="1"/>
  <c r="D714" i="18"/>
  <c r="D701" i="18"/>
  <c r="D712" i="18"/>
  <c r="D703" i="18"/>
  <c r="AI153" i="30" s="1"/>
  <c r="G701" i="18"/>
  <c r="F704" i="18"/>
  <c r="AK154" i="30" s="1"/>
  <c r="F703" i="18"/>
  <c r="AK153" i="30" s="1"/>
  <c r="P661" i="18"/>
  <c r="F712" i="18"/>
  <c r="E701" i="18"/>
  <c r="M708" i="18"/>
  <c r="L708" i="18"/>
  <c r="M697" i="18"/>
  <c r="F714" i="18"/>
  <c r="F711" i="18"/>
  <c r="D713" i="18"/>
  <c r="F713" i="18"/>
  <c r="D711" i="18"/>
  <c r="I712" i="18"/>
  <c r="I713" i="18"/>
  <c r="I711" i="18"/>
  <c r="I704" i="18"/>
  <c r="AN154" i="30" s="1"/>
  <c r="I714" i="18"/>
  <c r="I703" i="18"/>
  <c r="AN153" i="30" s="1"/>
  <c r="J712" i="18"/>
  <c r="C14" i="19" s="1"/>
  <c r="D20" i="22" s="1"/>
  <c r="E20" i="22" s="1"/>
  <c r="F20" i="22" s="1"/>
  <c r="J713" i="18"/>
  <c r="J711" i="18"/>
  <c r="J704" i="18"/>
  <c r="AO154" i="30" s="1"/>
  <c r="J714" i="18"/>
  <c r="Q661" i="18"/>
  <c r="M699" i="18"/>
  <c r="L699" i="18"/>
  <c r="J703" i="18"/>
  <c r="AO153" i="30" s="1"/>
  <c r="Q656" i="18"/>
  <c r="P656" i="18"/>
  <c r="Q662" i="18"/>
  <c r="P654" i="18"/>
  <c r="P662" i="18"/>
  <c r="E105" i="11"/>
  <c r="D105" i="11"/>
  <c r="F105" i="11"/>
  <c r="H105" i="11"/>
  <c r="G105" i="11"/>
  <c r="K90" i="10"/>
  <c r="J63" i="11"/>
  <c r="I63" i="11"/>
  <c r="G15" i="11"/>
  <c r="F15" i="11"/>
  <c r="J59" i="11"/>
  <c r="J86" i="10"/>
  <c r="I62" i="11"/>
  <c r="K59" i="11"/>
  <c r="J94" i="10"/>
  <c r="I64" i="11"/>
  <c r="H15" i="11"/>
  <c r="H15" i="20" s="1"/>
  <c r="L59" i="11"/>
  <c r="F64" i="13"/>
  <c r="L16" i="4"/>
  <c r="L19" i="4" s="1"/>
  <c r="L15" i="10" s="1"/>
  <c r="J19" i="4"/>
  <c r="J15" i="10" s="1"/>
  <c r="J13" i="10" s="1"/>
  <c r="I110" i="10"/>
  <c r="J110" i="10" s="1"/>
  <c r="K110" i="10" s="1"/>
  <c r="L110" i="10" s="1"/>
  <c r="M110" i="10" s="1"/>
  <c r="N110" i="10" s="1"/>
  <c r="O110" i="10" s="1"/>
  <c r="P110" i="10" s="1"/>
  <c r="Q110" i="10" s="1"/>
  <c r="R110" i="10" s="1"/>
  <c r="D68" i="16"/>
  <c r="C68" i="16"/>
  <c r="I66" i="10"/>
  <c r="G79" i="13"/>
  <c r="G157" i="10"/>
  <c r="G110" i="11" s="1"/>
  <c r="G23" i="13" s="1"/>
  <c r="G25" i="13" s="1"/>
  <c r="H157" i="10"/>
  <c r="H110" i="11" s="1"/>
  <c r="H23" i="13" s="1"/>
  <c r="I149" i="10"/>
  <c r="I155" i="10"/>
  <c r="I156" i="10" s="1"/>
  <c r="E152" i="10"/>
  <c r="F344" i="18"/>
  <c r="D344" i="18"/>
  <c r="E286" i="18"/>
  <c r="U128" i="30" s="1"/>
  <c r="F286" i="18"/>
  <c r="V128" i="30" s="1"/>
  <c r="D507" i="18"/>
  <c r="E507" i="18"/>
  <c r="D265" i="18"/>
  <c r="F507" i="18"/>
  <c r="D286" i="18"/>
  <c r="T128" i="30" s="1"/>
  <c r="F265" i="18"/>
  <c r="E348" i="18"/>
  <c r="E351" i="18" s="1"/>
  <c r="E344" i="18"/>
  <c r="E265" i="18"/>
  <c r="F411" i="18"/>
  <c r="F415" i="18"/>
  <c r="I154" i="30" s="1"/>
  <c r="I411" i="18"/>
  <c r="G44" i="13"/>
  <c r="G48" i="13" s="1"/>
  <c r="I20" i="10"/>
  <c r="F44" i="11"/>
  <c r="G44" i="11"/>
  <c r="H44" i="11"/>
  <c r="H44" i="13"/>
  <c r="H69" i="13" s="1"/>
  <c r="F23" i="13"/>
  <c r="I13" i="11"/>
  <c r="X101" i="30" s="1"/>
  <c r="F44" i="13"/>
  <c r="F52" i="13" s="1"/>
  <c r="D26" i="11"/>
  <c r="G51" i="10"/>
  <c r="H344" i="18"/>
  <c r="L344" i="18"/>
  <c r="H286" i="18"/>
  <c r="X128" i="30" s="1"/>
  <c r="G348" i="18"/>
  <c r="G351" i="18" s="1"/>
  <c r="E60" i="4"/>
  <c r="H58" i="4"/>
  <c r="H60" i="4" s="1"/>
  <c r="G344" i="18"/>
  <c r="H34" i="4"/>
  <c r="H36" i="4" s="1"/>
  <c r="L348" i="18"/>
  <c r="L351" i="18" s="1"/>
  <c r="I265" i="18"/>
  <c r="E34" i="4"/>
  <c r="E35" i="4" s="1"/>
  <c r="M344" i="18"/>
  <c r="M348" i="18"/>
  <c r="M351" i="18" s="1"/>
  <c r="H348" i="18"/>
  <c r="H351" i="18" s="1"/>
  <c r="F44" i="10"/>
  <c r="E49" i="10"/>
  <c r="H265" i="18"/>
  <c r="I507" i="18"/>
  <c r="N286" i="18"/>
  <c r="K344" i="18"/>
  <c r="N411" i="18"/>
  <c r="F58" i="4"/>
  <c r="F59" i="4" s="1"/>
  <c r="L265" i="18"/>
  <c r="N507" i="18"/>
  <c r="H51" i="10"/>
  <c r="P275" i="18"/>
  <c r="P262" i="18"/>
  <c r="H40" i="4"/>
  <c r="H34" i="10"/>
  <c r="G507" i="18"/>
  <c r="H507" i="18"/>
  <c r="Q275" i="18"/>
  <c r="L628" i="18"/>
  <c r="C507" i="18"/>
  <c r="Q262" i="18"/>
  <c r="D58" i="4"/>
  <c r="D49" i="10"/>
  <c r="E40" i="4"/>
  <c r="E34" i="10"/>
  <c r="D41" i="4"/>
  <c r="E46" i="4"/>
  <c r="E48" i="4" s="1"/>
  <c r="P260" i="18"/>
  <c r="D52" i="4"/>
  <c r="D44" i="10"/>
  <c r="Q337" i="18"/>
  <c r="Q482" i="18"/>
  <c r="L625" i="18"/>
  <c r="G47" i="4"/>
  <c r="P482" i="18"/>
  <c r="J415" i="18"/>
  <c r="M154" i="30" s="1"/>
  <c r="J411" i="18"/>
  <c r="G286" i="18"/>
  <c r="W128" i="30" s="1"/>
  <c r="G58" i="4"/>
  <c r="G49" i="10"/>
  <c r="I286" i="18"/>
  <c r="Y128" i="30" s="1"/>
  <c r="M625" i="18"/>
  <c r="G29" i="10"/>
  <c r="G34" i="4"/>
  <c r="G265" i="18"/>
  <c r="M507" i="18"/>
  <c r="G40" i="4"/>
  <c r="G34" i="10"/>
  <c r="D39" i="10"/>
  <c r="D46" i="4"/>
  <c r="Q259" i="18"/>
  <c r="K507" i="18"/>
  <c r="J286" i="18"/>
  <c r="D34" i="4"/>
  <c r="D29" i="10"/>
  <c r="P259" i="18"/>
  <c r="G39" i="10"/>
  <c r="N344" i="18"/>
  <c r="N348" i="18"/>
  <c r="N351" i="18" s="1"/>
  <c r="J265" i="18"/>
  <c r="Q263" i="18"/>
  <c r="M265" i="18"/>
  <c r="Q483" i="18"/>
  <c r="L507" i="18"/>
  <c r="H47" i="4"/>
  <c r="H48" i="4"/>
  <c r="M628" i="18"/>
  <c r="P483" i="18"/>
  <c r="Q261" i="18"/>
  <c r="P261" i="18"/>
  <c r="M622" i="18"/>
  <c r="L622" i="18"/>
  <c r="C100" i="10" s="1"/>
  <c r="F46" i="4"/>
  <c r="F39" i="10"/>
  <c r="M623" i="18"/>
  <c r="L623" i="18"/>
  <c r="P258" i="18"/>
  <c r="C265" i="18"/>
  <c r="Q258" i="18"/>
  <c r="F29" i="10"/>
  <c r="F34" i="4"/>
  <c r="L286" i="18"/>
  <c r="H52" i="4"/>
  <c r="H44" i="10"/>
  <c r="Q264" i="18"/>
  <c r="P264" i="18"/>
  <c r="I344" i="18"/>
  <c r="I348" i="18"/>
  <c r="I351" i="18" s="1"/>
  <c r="Q284" i="18"/>
  <c r="P284" i="18"/>
  <c r="Q407" i="18"/>
  <c r="P407" i="18"/>
  <c r="F42" i="4"/>
  <c r="F41" i="4"/>
  <c r="Q340" i="18"/>
  <c r="P340" i="18"/>
  <c r="E44" i="10"/>
  <c r="E52" i="4"/>
  <c r="J507" i="18"/>
  <c r="Q404" i="18"/>
  <c r="P404" i="18"/>
  <c r="M411" i="18"/>
  <c r="M415" i="18"/>
  <c r="P154" i="30" s="1"/>
  <c r="P337" i="18"/>
  <c r="P278" i="18"/>
  <c r="Q278" i="18"/>
  <c r="C286" i="18"/>
  <c r="G52" i="4"/>
  <c r="G44" i="10"/>
  <c r="M286" i="18"/>
  <c r="J344" i="18"/>
  <c r="J348" i="18"/>
  <c r="J351" i="18" s="1"/>
  <c r="Q272" i="18"/>
  <c r="P272" i="18"/>
  <c r="Q260" i="18"/>
  <c r="K265" i="18"/>
  <c r="F53" i="4"/>
  <c r="N265" i="18"/>
  <c r="Q281" i="18"/>
  <c r="P281" i="18"/>
  <c r="Q471" i="18"/>
  <c r="P471" i="18"/>
  <c r="P263" i="18"/>
  <c r="Q475" i="18"/>
  <c r="P475" i="18"/>
  <c r="K286" i="18"/>
  <c r="L25" i="4" l="1"/>
  <c r="L27" i="4" s="1"/>
  <c r="L29" i="4" s="1"/>
  <c r="L22" i="10" s="1"/>
  <c r="K27" i="4"/>
  <c r="K29" i="4" s="1"/>
  <c r="K22" i="10" s="1"/>
  <c r="J61" i="11"/>
  <c r="K78" i="10"/>
  <c r="I60" i="10"/>
  <c r="J60" i="10" s="1"/>
  <c r="D98" i="20"/>
  <c r="D93" i="20"/>
  <c r="D89" i="20"/>
  <c r="D83" i="20"/>
  <c r="D77" i="20"/>
  <c r="D73" i="20"/>
  <c r="D96" i="20"/>
  <c r="D92" i="20"/>
  <c r="D82" i="20"/>
  <c r="D76" i="20"/>
  <c r="D95" i="20"/>
  <c r="D91" i="20"/>
  <c r="D85" i="20"/>
  <c r="D75" i="20"/>
  <c r="D94" i="20"/>
  <c r="D90" i="20"/>
  <c r="D84" i="20"/>
  <c r="D80" i="20"/>
  <c r="D74" i="20"/>
  <c r="D81" i="20"/>
  <c r="E73" i="20"/>
  <c r="E98" i="20"/>
  <c r="E93" i="20"/>
  <c r="E89" i="20"/>
  <c r="E83" i="20"/>
  <c r="E77" i="20"/>
  <c r="E96" i="20"/>
  <c r="E92" i="20"/>
  <c r="E82" i="20"/>
  <c r="E76" i="20"/>
  <c r="E95" i="20"/>
  <c r="E91" i="20"/>
  <c r="E85" i="20"/>
  <c r="E75" i="20"/>
  <c r="E94" i="20"/>
  <c r="E90" i="20"/>
  <c r="E84" i="20"/>
  <c r="E80" i="20"/>
  <c r="E74" i="20"/>
  <c r="E81" i="20"/>
  <c r="D86" i="20"/>
  <c r="E86" i="20"/>
  <c r="M718" i="18"/>
  <c r="N58" i="11"/>
  <c r="O204" i="10"/>
  <c r="P179" i="10"/>
  <c r="O99" i="11"/>
  <c r="O82" i="10"/>
  <c r="N59" i="11"/>
  <c r="P187" i="10"/>
  <c r="O101" i="11"/>
  <c r="O206" i="10"/>
  <c r="O102" i="11"/>
  <c r="P191" i="10"/>
  <c r="O207" i="10"/>
  <c r="O205" i="10"/>
  <c r="P100" i="11"/>
  <c r="P183" i="10"/>
  <c r="O203" i="10"/>
  <c r="P175" i="10"/>
  <c r="O98" i="11"/>
  <c r="O136" i="11"/>
  <c r="P80" i="11"/>
  <c r="X102" i="30"/>
  <c r="V102" i="30"/>
  <c r="E73" i="13"/>
  <c r="F43" i="13"/>
  <c r="F45" i="13" s="1"/>
  <c r="F15" i="20"/>
  <c r="G17" i="11"/>
  <c r="G17" i="20" s="1"/>
  <c r="G15" i="20"/>
  <c r="E26" i="11"/>
  <c r="E46" i="11" s="1"/>
  <c r="E43" i="13"/>
  <c r="E45" i="13" s="1"/>
  <c r="E15" i="20"/>
  <c r="W102" i="30"/>
  <c r="G52" i="10"/>
  <c r="AC128" i="30" s="1"/>
  <c r="AC127" i="30"/>
  <c r="H52" i="10"/>
  <c r="AD128" i="30" s="1"/>
  <c r="AD127" i="30"/>
  <c r="K13" i="10"/>
  <c r="K59" i="10" s="1"/>
  <c r="D47" i="13"/>
  <c r="E13" i="14"/>
  <c r="E15" i="14" s="1"/>
  <c r="E17" i="14" s="1"/>
  <c r="E19" i="14" s="1"/>
  <c r="E23" i="14" s="1"/>
  <c r="D26" i="20"/>
  <c r="E8" i="23"/>
  <c r="G16" i="23" s="1"/>
  <c r="G19" i="23" s="1"/>
  <c r="C33" i="14"/>
  <c r="D14" i="22"/>
  <c r="H878" i="18"/>
  <c r="H888" i="18" s="1"/>
  <c r="I38" i="20"/>
  <c r="I13" i="20"/>
  <c r="I37" i="20"/>
  <c r="I36" i="20"/>
  <c r="F7" i="22"/>
  <c r="F10" i="22" s="1"/>
  <c r="F14" i="22" s="1"/>
  <c r="E10" i="22"/>
  <c r="E14" i="22" s="1"/>
  <c r="D31" i="11"/>
  <c r="D46" i="11"/>
  <c r="E17" i="11"/>
  <c r="E17" i="20" s="1"/>
  <c r="E45" i="11"/>
  <c r="J58" i="11"/>
  <c r="I165" i="10"/>
  <c r="I166" i="10" s="1"/>
  <c r="I127" i="10"/>
  <c r="J231" i="10"/>
  <c r="J233" i="10" s="1"/>
  <c r="J36" i="11" s="1"/>
  <c r="J126" i="10"/>
  <c r="I93" i="11"/>
  <c r="I131" i="11"/>
  <c r="K215" i="10"/>
  <c r="J87" i="11"/>
  <c r="F25" i="13"/>
  <c r="J160" i="10"/>
  <c r="J161" i="10" s="1"/>
  <c r="J72" i="11" s="1"/>
  <c r="J170" i="10"/>
  <c r="L703" i="18"/>
  <c r="M704" i="18"/>
  <c r="L712" i="18"/>
  <c r="M711" i="18"/>
  <c r="M703" i="18"/>
  <c r="L704" i="18"/>
  <c r="L713" i="18"/>
  <c r="M712" i="18"/>
  <c r="M701" i="18"/>
  <c r="L701" i="18"/>
  <c r="L714" i="18"/>
  <c r="M714" i="18"/>
  <c r="M713" i="18"/>
  <c r="L711" i="18"/>
  <c r="I67" i="10"/>
  <c r="I68" i="10" s="1"/>
  <c r="L90" i="10"/>
  <c r="K63" i="11"/>
  <c r="I14" i="11"/>
  <c r="I77" i="13" s="1"/>
  <c r="K86" i="10"/>
  <c r="J62" i="11"/>
  <c r="J64" i="11"/>
  <c r="K94" i="10"/>
  <c r="H24" i="13"/>
  <c r="H25" i="13" s="1"/>
  <c r="I9" i="11"/>
  <c r="F37" i="13"/>
  <c r="G31" i="13"/>
  <c r="D28" i="11"/>
  <c r="D28" i="20" s="1"/>
  <c r="F31" i="13"/>
  <c r="F83" i="13"/>
  <c r="G83" i="13"/>
  <c r="I198" i="10"/>
  <c r="G45" i="11"/>
  <c r="G26" i="11"/>
  <c r="G43" i="13"/>
  <c r="G45" i="13" s="1"/>
  <c r="I71" i="11"/>
  <c r="I23" i="13" s="1"/>
  <c r="J155" i="10"/>
  <c r="J156" i="10" s="1"/>
  <c r="J197" i="10" s="1"/>
  <c r="J352" i="18"/>
  <c r="R349" i="18"/>
  <c r="H59" i="4"/>
  <c r="I43" i="4"/>
  <c r="I34" i="10" s="1"/>
  <c r="I33" i="10" s="1"/>
  <c r="I21" i="11" s="1"/>
  <c r="I21" i="20" s="1"/>
  <c r="H48" i="13"/>
  <c r="H52" i="13"/>
  <c r="G56" i="13"/>
  <c r="G52" i="13"/>
  <c r="H45" i="11"/>
  <c r="G69" i="13"/>
  <c r="H56" i="13"/>
  <c r="F26" i="11"/>
  <c r="F45" i="11"/>
  <c r="F17" i="11"/>
  <c r="F17" i="20" s="1"/>
  <c r="J149" i="10"/>
  <c r="J20" i="10"/>
  <c r="J127" i="10" s="1"/>
  <c r="J13" i="11"/>
  <c r="Y101" i="30" s="1"/>
  <c r="Y102" i="30" s="1"/>
  <c r="F69" i="13"/>
  <c r="F73" i="13" s="1"/>
  <c r="F56" i="13"/>
  <c r="F48" i="13"/>
  <c r="I44" i="11"/>
  <c r="I44" i="13"/>
  <c r="I56" i="13" s="1"/>
  <c r="I197" i="10"/>
  <c r="H26" i="11"/>
  <c r="H43" i="13"/>
  <c r="H45" i="13" s="1"/>
  <c r="H17" i="11"/>
  <c r="H17" i="20" s="1"/>
  <c r="H35" i="4"/>
  <c r="E36" i="4"/>
  <c r="H63" i="4"/>
  <c r="F60" i="4"/>
  <c r="H128" i="10"/>
  <c r="H131" i="10" s="1"/>
  <c r="H133" i="10" s="1"/>
  <c r="H42" i="4"/>
  <c r="H41" i="4"/>
  <c r="E41" i="4"/>
  <c r="E42" i="4"/>
  <c r="D59" i="4"/>
  <c r="D60" i="4"/>
  <c r="E47" i="4"/>
  <c r="D48" i="4"/>
  <c r="D47" i="4"/>
  <c r="G60" i="4"/>
  <c r="G59" i="4"/>
  <c r="G41" i="4"/>
  <c r="G42" i="4"/>
  <c r="D35" i="4"/>
  <c r="D36" i="4"/>
  <c r="G35" i="4"/>
  <c r="G36" i="4"/>
  <c r="D54" i="4"/>
  <c r="D53" i="4"/>
  <c r="D63" i="4"/>
  <c r="P286" i="18"/>
  <c r="I63" i="4"/>
  <c r="E54" i="4"/>
  <c r="E63" i="4"/>
  <c r="E53" i="4"/>
  <c r="I61" i="4"/>
  <c r="I49" i="10" s="1"/>
  <c r="I48" i="10" s="1"/>
  <c r="Q411" i="18"/>
  <c r="P411" i="18"/>
  <c r="P349" i="18"/>
  <c r="Q349" i="18"/>
  <c r="Q413" i="18"/>
  <c r="P413" i="18"/>
  <c r="P344" i="18"/>
  <c r="Q344" i="18"/>
  <c r="Q348" i="18"/>
  <c r="P348" i="18"/>
  <c r="J43" i="4"/>
  <c r="J34" i="10" s="1"/>
  <c r="J33" i="10" s="1"/>
  <c r="J21" i="11" s="1"/>
  <c r="I49" i="4"/>
  <c r="I39" i="10" s="1"/>
  <c r="I38" i="10" s="1"/>
  <c r="I22" i="11" s="1"/>
  <c r="I22" i="20" s="1"/>
  <c r="Q286" i="18"/>
  <c r="I55" i="4"/>
  <c r="I44" i="10" s="1"/>
  <c r="I43" i="10" s="1"/>
  <c r="I23" i="11" s="1"/>
  <c r="I23" i="20" s="1"/>
  <c r="H53" i="4"/>
  <c r="H54" i="4"/>
  <c r="G54" i="4"/>
  <c r="G53" i="4"/>
  <c r="G63" i="4"/>
  <c r="F36" i="4"/>
  <c r="F35" i="4"/>
  <c r="F48" i="4"/>
  <c r="F47" i="4"/>
  <c r="F63" i="4"/>
  <c r="C738" i="18" l="1"/>
  <c r="C732" i="18"/>
  <c r="K61" i="11"/>
  <c r="L78" i="10"/>
  <c r="I61" i="10"/>
  <c r="I103" i="10" s="1"/>
  <c r="I102" i="10"/>
  <c r="I111" i="10" s="1"/>
  <c r="I121" i="10" s="1"/>
  <c r="P102" i="11"/>
  <c r="Q191" i="10"/>
  <c r="P207" i="10"/>
  <c r="Q187" i="10"/>
  <c r="P101" i="11"/>
  <c r="P206" i="10"/>
  <c r="Q175" i="10"/>
  <c r="P98" i="11"/>
  <c r="P203" i="10"/>
  <c r="P82" i="10"/>
  <c r="O59" i="11"/>
  <c r="P205" i="10"/>
  <c r="Q183" i="10"/>
  <c r="Q100" i="11"/>
  <c r="P204" i="10"/>
  <c r="P99" i="11"/>
  <c r="Q179" i="10"/>
  <c r="O58" i="11"/>
  <c r="Q80" i="11"/>
  <c r="P136" i="11"/>
  <c r="E26" i="20"/>
  <c r="E31" i="11"/>
  <c r="E33" i="11" s="1"/>
  <c r="E33" i="20" s="1"/>
  <c r="F13" i="14"/>
  <c r="F15" i="14" s="1"/>
  <c r="F17" i="14" s="1"/>
  <c r="F19" i="14" s="1"/>
  <c r="F23" i="14" s="1"/>
  <c r="E47" i="13"/>
  <c r="E84" i="13" s="1"/>
  <c r="E85" i="13" s="1"/>
  <c r="E28" i="11"/>
  <c r="E28" i="20" s="1"/>
  <c r="R352" i="18"/>
  <c r="AN128" i="30"/>
  <c r="L13" i="10"/>
  <c r="I13" i="14"/>
  <c r="I15" i="14" s="1"/>
  <c r="I17" i="14" s="1"/>
  <c r="I19" i="14" s="1"/>
  <c r="I23" i="14" s="1"/>
  <c r="H26" i="20"/>
  <c r="F26" i="20"/>
  <c r="G13" i="14"/>
  <c r="G15" i="14" s="1"/>
  <c r="G17" i="14" s="1"/>
  <c r="G19" i="14" s="1"/>
  <c r="G23" i="14" s="1"/>
  <c r="D33" i="11"/>
  <c r="D33" i="20" s="1"/>
  <c r="D51" i="13"/>
  <c r="D31" i="20"/>
  <c r="H13" i="14"/>
  <c r="H15" i="14" s="1"/>
  <c r="H17" i="14" s="1"/>
  <c r="H19" i="14" s="1"/>
  <c r="H23" i="14" s="1"/>
  <c r="G26" i="20"/>
  <c r="D84" i="13"/>
  <c r="D85" i="13" s="1"/>
  <c r="D49" i="13"/>
  <c r="J9" i="11"/>
  <c r="J9" i="14"/>
  <c r="J25" i="14" s="1"/>
  <c r="K25" i="14" s="1"/>
  <c r="L25" i="14" s="1"/>
  <c r="M25" i="14" s="1"/>
  <c r="N25" i="14" s="1"/>
  <c r="H7" i="22"/>
  <c r="J13" i="20"/>
  <c r="J37" i="20"/>
  <c r="J38" i="20"/>
  <c r="J36" i="20"/>
  <c r="J21" i="20"/>
  <c r="I14" i="20"/>
  <c r="I878" i="18"/>
  <c r="I888" i="18" s="1"/>
  <c r="D39" i="11"/>
  <c r="D39" i="20" s="1"/>
  <c r="D47" i="11"/>
  <c r="K58" i="11"/>
  <c r="J65" i="10"/>
  <c r="I57" i="11"/>
  <c r="I96" i="11"/>
  <c r="I201" i="10"/>
  <c r="K231" i="10"/>
  <c r="K233" i="10" s="1"/>
  <c r="K36" i="11" s="1"/>
  <c r="K126" i="10"/>
  <c r="J198" i="10"/>
  <c r="J93" i="11"/>
  <c r="J131" i="11"/>
  <c r="L215" i="10"/>
  <c r="K87" i="11"/>
  <c r="K124" i="11"/>
  <c r="K170" i="10"/>
  <c r="J14" i="11"/>
  <c r="J77" i="13" s="1"/>
  <c r="J165" i="10"/>
  <c r="J166" i="10" s="1"/>
  <c r="M90" i="10"/>
  <c r="L63" i="11"/>
  <c r="I15" i="11"/>
  <c r="F28" i="11"/>
  <c r="F28" i="20" s="1"/>
  <c r="F31" i="11"/>
  <c r="F31" i="20" s="1"/>
  <c r="G31" i="11"/>
  <c r="G31" i="20" s="1"/>
  <c r="L94" i="10"/>
  <c r="K64" i="11"/>
  <c r="L86" i="10"/>
  <c r="K62" i="11"/>
  <c r="H47" i="13"/>
  <c r="H84" i="13" s="1"/>
  <c r="H31" i="11"/>
  <c r="H37" i="13"/>
  <c r="G64" i="13"/>
  <c r="G37" i="13"/>
  <c r="G46" i="11"/>
  <c r="I24" i="13"/>
  <c r="K160" i="10"/>
  <c r="K161" i="10" s="1"/>
  <c r="G28" i="11"/>
  <c r="G28" i="20" s="1"/>
  <c r="G47" i="13"/>
  <c r="G84" i="13" s="1"/>
  <c r="G85" i="13" s="1"/>
  <c r="K20" i="10"/>
  <c r="J71" i="11"/>
  <c r="J23" i="13" s="1"/>
  <c r="K149" i="10"/>
  <c r="K155" i="10"/>
  <c r="K156" i="10" s="1"/>
  <c r="K13" i="11"/>
  <c r="Z101" i="30" s="1"/>
  <c r="Z102" i="30" s="1"/>
  <c r="H28" i="11"/>
  <c r="H28" i="20" s="1"/>
  <c r="H73" i="13"/>
  <c r="F47" i="13"/>
  <c r="F84" i="13" s="1"/>
  <c r="F85" i="13" s="1"/>
  <c r="F46" i="11"/>
  <c r="I48" i="13"/>
  <c r="I52" i="13"/>
  <c r="I69" i="13"/>
  <c r="I73" i="13" s="1"/>
  <c r="J44" i="13"/>
  <c r="J44" i="11"/>
  <c r="H46" i="11"/>
  <c r="G73" i="13"/>
  <c r="J55" i="4"/>
  <c r="J44" i="10" s="1"/>
  <c r="J43" i="10" s="1"/>
  <c r="J23" i="11" s="1"/>
  <c r="J23" i="20" s="1"/>
  <c r="Q351" i="18"/>
  <c r="P351" i="18"/>
  <c r="I24" i="11"/>
  <c r="I24" i="20" s="1"/>
  <c r="J61" i="4"/>
  <c r="J49" i="10" s="1"/>
  <c r="J48" i="10" s="1"/>
  <c r="J49" i="4"/>
  <c r="J39" i="10" s="1"/>
  <c r="J38" i="10" s="1"/>
  <c r="J22" i="11" s="1"/>
  <c r="J22" i="20" s="1"/>
  <c r="K43" i="4"/>
  <c r="K34" i="10" s="1"/>
  <c r="K33" i="10" s="1"/>
  <c r="K21" i="11" s="1"/>
  <c r="Q415" i="18"/>
  <c r="P415" i="18"/>
  <c r="J63" i="4"/>
  <c r="I37" i="4"/>
  <c r="I29" i="10" s="1"/>
  <c r="I28" i="10" s="1"/>
  <c r="I20" i="11" s="1"/>
  <c r="I20" i="20" s="1"/>
  <c r="Q352" i="18"/>
  <c r="P352" i="18"/>
  <c r="I56" i="11" l="1"/>
  <c r="I65" i="11" s="1"/>
  <c r="J58" i="10"/>
  <c r="J61" i="10" s="1"/>
  <c r="J56" i="11" s="1"/>
  <c r="L61" i="11"/>
  <c r="M78" i="10"/>
  <c r="P58" i="11"/>
  <c r="M13" i="10"/>
  <c r="L59" i="10"/>
  <c r="L124" i="11" s="1"/>
  <c r="Q99" i="11"/>
  <c r="Q204" i="10"/>
  <c r="R179" i="10"/>
  <c r="R187" i="10"/>
  <c r="Q101" i="11"/>
  <c r="Q206" i="10"/>
  <c r="Q102" i="11"/>
  <c r="R191" i="10"/>
  <c r="Q207" i="10"/>
  <c r="Q82" i="10"/>
  <c r="P59" i="11"/>
  <c r="R175" i="10"/>
  <c r="Q98" i="11"/>
  <c r="Q203" i="10"/>
  <c r="Q205" i="10"/>
  <c r="R183" i="10"/>
  <c r="R205" i="10" s="1"/>
  <c r="R100" i="11"/>
  <c r="E31" i="20"/>
  <c r="E47" i="11"/>
  <c r="E39" i="11"/>
  <c r="E116" i="11" s="1"/>
  <c r="E122" i="11" s="1"/>
  <c r="E141" i="11" s="1"/>
  <c r="E143" i="11" s="1"/>
  <c r="E68" i="11" s="1"/>
  <c r="E51" i="13"/>
  <c r="E87" i="13" s="1"/>
  <c r="E89" i="13" s="1"/>
  <c r="R80" i="11"/>
  <c r="R136" i="11" s="1"/>
  <c r="Q136" i="11"/>
  <c r="E49" i="13"/>
  <c r="M63" i="11"/>
  <c r="N90" i="10"/>
  <c r="D87" i="13"/>
  <c r="D89" i="13" s="1"/>
  <c r="D53" i="13"/>
  <c r="H31" i="20"/>
  <c r="C19" i="19"/>
  <c r="C20" i="19" s="1"/>
  <c r="K9" i="11"/>
  <c r="K9" i="14"/>
  <c r="K129" i="11"/>
  <c r="L22" i="14"/>
  <c r="K21" i="20"/>
  <c r="I43" i="13"/>
  <c r="I45" i="13" s="1"/>
  <c r="I15" i="20"/>
  <c r="J15" i="11"/>
  <c r="J15" i="20" s="1"/>
  <c r="J14" i="20"/>
  <c r="K13" i="20"/>
  <c r="K37" i="20"/>
  <c r="K38" i="20"/>
  <c r="K36" i="20"/>
  <c r="J878" i="18"/>
  <c r="J888" i="18" s="1"/>
  <c r="D116" i="11"/>
  <c r="D122" i="11" s="1"/>
  <c r="D141" i="11" s="1"/>
  <c r="D143" i="11" s="1"/>
  <c r="D68" i="11" s="1"/>
  <c r="D48" i="11"/>
  <c r="M58" i="11"/>
  <c r="L58" i="11"/>
  <c r="G39" i="11"/>
  <c r="F39" i="11"/>
  <c r="H39" i="11"/>
  <c r="I30" i="11"/>
  <c r="I129" i="10"/>
  <c r="K165" i="10"/>
  <c r="K166" i="10" s="1"/>
  <c r="K96" i="11" s="1"/>
  <c r="K127" i="10"/>
  <c r="L231" i="10"/>
  <c r="L233" i="10" s="1"/>
  <c r="L36" i="11" s="1"/>
  <c r="L126" i="10"/>
  <c r="K93" i="11"/>
  <c r="K131" i="11"/>
  <c r="M215" i="10"/>
  <c r="N215" i="10" s="1"/>
  <c r="N87" i="11" s="1"/>
  <c r="L87" i="11"/>
  <c r="L170" i="10"/>
  <c r="J24" i="13"/>
  <c r="I105" i="10"/>
  <c r="J96" i="11"/>
  <c r="J201" i="10"/>
  <c r="J111" i="10"/>
  <c r="I106" i="10"/>
  <c r="H49" i="13"/>
  <c r="I45" i="11"/>
  <c r="I17" i="11"/>
  <c r="I17" i="20" s="1"/>
  <c r="H31" i="13"/>
  <c r="L64" i="11"/>
  <c r="M94" i="10"/>
  <c r="H64" i="13"/>
  <c r="M86" i="10"/>
  <c r="L62" i="11"/>
  <c r="K14" i="11"/>
  <c r="K77" i="13" s="1"/>
  <c r="F51" i="13"/>
  <c r="F33" i="11"/>
  <c r="F33" i="20" s="1"/>
  <c r="G33" i="11"/>
  <c r="G33" i="20" s="1"/>
  <c r="H51" i="13"/>
  <c r="H33" i="11"/>
  <c r="H33" i="20" s="1"/>
  <c r="H83" i="13"/>
  <c r="H85" i="13" s="1"/>
  <c r="L160" i="10"/>
  <c r="L161" i="10" s="1"/>
  <c r="L198" i="10" s="1"/>
  <c r="K60" i="10"/>
  <c r="G51" i="13"/>
  <c r="G47" i="11"/>
  <c r="L13" i="11"/>
  <c r="AA101" i="30" s="1"/>
  <c r="AA102" i="30" s="1"/>
  <c r="L20" i="10"/>
  <c r="L155" i="10"/>
  <c r="L156" i="10" s="1"/>
  <c r="L71" i="11" s="1"/>
  <c r="L149" i="10"/>
  <c r="K44" i="11"/>
  <c r="K72" i="11"/>
  <c r="K198" i="10"/>
  <c r="G49" i="13"/>
  <c r="K44" i="13"/>
  <c r="K48" i="13" s="1"/>
  <c r="K197" i="10"/>
  <c r="K71" i="11"/>
  <c r="K23" i="13" s="1"/>
  <c r="F49" i="13"/>
  <c r="F47" i="11"/>
  <c r="H47" i="11"/>
  <c r="J52" i="13"/>
  <c r="J56" i="13"/>
  <c r="J48" i="13"/>
  <c r="J69" i="13"/>
  <c r="J73" i="13" s="1"/>
  <c r="K49" i="4"/>
  <c r="K39" i="10" s="1"/>
  <c r="K38" i="10" s="1"/>
  <c r="K22" i="11" s="1"/>
  <c r="K22" i="20" s="1"/>
  <c r="J24" i="11"/>
  <c r="J24" i="20" s="1"/>
  <c r="J37" i="4"/>
  <c r="J29" i="10" s="1"/>
  <c r="J28" i="10" s="1"/>
  <c r="J20" i="11" s="1"/>
  <c r="J20" i="20" s="1"/>
  <c r="I51" i="10"/>
  <c r="I128" i="10" s="1"/>
  <c r="I26" i="11"/>
  <c r="D732" i="18" s="1"/>
  <c r="D738" i="18" s="1"/>
  <c r="K61" i="4"/>
  <c r="K49" i="10" s="1"/>
  <c r="K48" i="10" s="1"/>
  <c r="L43" i="4"/>
  <c r="L34" i="10" s="1"/>
  <c r="L33" i="10" s="1"/>
  <c r="L21" i="11" s="1"/>
  <c r="K55" i="4"/>
  <c r="K44" i="10" s="1"/>
  <c r="K43" i="10" s="1"/>
  <c r="K23" i="11" s="1"/>
  <c r="K23" i="20" s="1"/>
  <c r="K58" i="10" l="1"/>
  <c r="K61" i="10" s="1"/>
  <c r="J62" i="10"/>
  <c r="M61" i="11"/>
  <c r="N78" i="10"/>
  <c r="E73" i="11"/>
  <c r="E17" i="13" s="1"/>
  <c r="E20" i="13" s="1"/>
  <c r="K111" i="10"/>
  <c r="H87" i="13"/>
  <c r="H89" i="13" s="1"/>
  <c r="F53" i="13"/>
  <c r="E53" i="13"/>
  <c r="G53" i="13"/>
  <c r="R207" i="10"/>
  <c r="R102" i="11"/>
  <c r="E42" i="11"/>
  <c r="E49" i="11" s="1"/>
  <c r="E39" i="20"/>
  <c r="E48" i="11"/>
  <c r="R206" i="10"/>
  <c r="R101" i="11"/>
  <c r="O90" i="10"/>
  <c r="N63" i="11"/>
  <c r="R204" i="10"/>
  <c r="R99" i="11"/>
  <c r="R98" i="11"/>
  <c r="R203" i="10"/>
  <c r="N13" i="10"/>
  <c r="M59" i="10"/>
  <c r="M124" i="11" s="1"/>
  <c r="R82" i="10"/>
  <c r="R59" i="11" s="1"/>
  <c r="Q59" i="11"/>
  <c r="R58" i="11"/>
  <c r="Q58" i="11"/>
  <c r="N93" i="11"/>
  <c r="O215" i="10"/>
  <c r="O87" i="11" s="1"/>
  <c r="M62" i="11"/>
  <c r="N86" i="10"/>
  <c r="M64" i="11"/>
  <c r="N94" i="10"/>
  <c r="I26" i="20"/>
  <c r="G48" i="11"/>
  <c r="G39" i="20"/>
  <c r="D18" i="22"/>
  <c r="D21" i="22" s="1"/>
  <c r="E16" i="22"/>
  <c r="H48" i="11"/>
  <c r="H116" i="11"/>
  <c r="H122" i="11" s="1"/>
  <c r="H141" i="11" s="1"/>
  <c r="H143" i="11" s="1"/>
  <c r="H68" i="11" s="1"/>
  <c r="H39" i="20"/>
  <c r="F48" i="11"/>
  <c r="F39" i="20"/>
  <c r="L9" i="11"/>
  <c r="L9" i="14"/>
  <c r="L129" i="11"/>
  <c r="M22" i="14"/>
  <c r="I30" i="20"/>
  <c r="J18" i="14"/>
  <c r="J14" i="14"/>
  <c r="L21" i="20"/>
  <c r="K15" i="11"/>
  <c r="K43" i="13" s="1"/>
  <c r="K45" i="13" s="1"/>
  <c r="K14" i="20"/>
  <c r="J17" i="11"/>
  <c r="J17" i="20" s="1"/>
  <c r="L13" i="20"/>
  <c r="L37" i="20"/>
  <c r="L38" i="20"/>
  <c r="L36" i="20"/>
  <c r="J43" i="13"/>
  <c r="J45" i="13" s="1"/>
  <c r="J45" i="11"/>
  <c r="D877" i="18"/>
  <c r="D880" i="18" s="1"/>
  <c r="D886" i="18" s="1"/>
  <c r="D888" i="18" s="1"/>
  <c r="D890" i="18" s="1"/>
  <c r="K878" i="18"/>
  <c r="K888" i="18" s="1"/>
  <c r="D73" i="11"/>
  <c r="C877" i="18"/>
  <c r="H42" i="11"/>
  <c r="F42" i="11"/>
  <c r="F42" i="20" s="1"/>
  <c r="F116" i="11"/>
  <c r="F122" i="11" s="1"/>
  <c r="F141" i="11" s="1"/>
  <c r="F143" i="11" s="1"/>
  <c r="F68" i="11" s="1"/>
  <c r="G42" i="11"/>
  <c r="G116" i="11"/>
  <c r="G122" i="11" s="1"/>
  <c r="G141" i="11" s="1"/>
  <c r="G143" i="11" s="1"/>
  <c r="G68" i="11" s="1"/>
  <c r="K201" i="10"/>
  <c r="I31" i="11"/>
  <c r="I31" i="20" s="1"/>
  <c r="L165" i="10"/>
  <c r="L166" i="10" s="1"/>
  <c r="L201" i="10" s="1"/>
  <c r="L127" i="10"/>
  <c r="M231" i="10"/>
  <c r="M233" i="10" s="1"/>
  <c r="M36" i="11" s="1"/>
  <c r="M126" i="10"/>
  <c r="I117" i="11"/>
  <c r="L93" i="11"/>
  <c r="L131" i="11"/>
  <c r="M87" i="11"/>
  <c r="N131" i="11" s="1"/>
  <c r="M170" i="10"/>
  <c r="H53" i="13"/>
  <c r="F87" i="13"/>
  <c r="F89" i="13" s="1"/>
  <c r="K24" i="13"/>
  <c r="L14" i="11"/>
  <c r="L60" i="10"/>
  <c r="L72" i="11"/>
  <c r="M160" i="10"/>
  <c r="M161" i="10" s="1"/>
  <c r="M72" i="11" s="1"/>
  <c r="G87" i="13"/>
  <c r="G89" i="13" s="1"/>
  <c r="M149" i="10"/>
  <c r="L23" i="13"/>
  <c r="M155" i="10"/>
  <c r="M156" i="10" s="1"/>
  <c r="M197" i="10" s="1"/>
  <c r="L44" i="13"/>
  <c r="L56" i="13" s="1"/>
  <c r="L44" i="11"/>
  <c r="M13" i="11"/>
  <c r="L197" i="10"/>
  <c r="M20" i="10"/>
  <c r="K56" i="13"/>
  <c r="K52" i="13"/>
  <c r="K69" i="13"/>
  <c r="K73" i="13" s="1"/>
  <c r="I28" i="11"/>
  <c r="I28" i="20" s="1"/>
  <c r="J13" i="14"/>
  <c r="I47" i="13"/>
  <c r="I46" i="11"/>
  <c r="J26" i="11"/>
  <c r="E732" i="18" s="1"/>
  <c r="E738" i="18" s="1"/>
  <c r="M43" i="4"/>
  <c r="M34" i="10" s="1"/>
  <c r="M33" i="10" s="1"/>
  <c r="M21" i="11" s="1"/>
  <c r="K37" i="4"/>
  <c r="K29" i="10" s="1"/>
  <c r="K28" i="10" s="1"/>
  <c r="K20" i="11" s="1"/>
  <c r="K20" i="20" s="1"/>
  <c r="J51" i="10"/>
  <c r="J128" i="10" s="1"/>
  <c r="K24" i="11"/>
  <c r="K24" i="20" s="1"/>
  <c r="I52" i="10"/>
  <c r="L55" i="4"/>
  <c r="L44" i="10" s="1"/>
  <c r="L43" i="10" s="1"/>
  <c r="L23" i="11" s="1"/>
  <c r="L23" i="20" s="1"/>
  <c r="K63" i="4"/>
  <c r="L61" i="4"/>
  <c r="L49" i="10" s="1"/>
  <c r="L48" i="10" s="1"/>
  <c r="L49" i="4"/>
  <c r="L39" i="10" s="1"/>
  <c r="L38" i="10" s="1"/>
  <c r="L22" i="11" s="1"/>
  <c r="L22" i="20" s="1"/>
  <c r="N61" i="11" l="1"/>
  <c r="O78" i="10"/>
  <c r="K56" i="11"/>
  <c r="E75" i="11"/>
  <c r="E63" i="20" s="1"/>
  <c r="F877" i="18"/>
  <c r="F880" i="18" s="1"/>
  <c r="F886" i="18" s="1"/>
  <c r="F888" i="18" s="1"/>
  <c r="F890" i="18" s="1"/>
  <c r="E877" i="18"/>
  <c r="E880" i="18" s="1"/>
  <c r="E886" i="18" s="1"/>
  <c r="E888" i="18" s="1"/>
  <c r="E890" i="18" s="1"/>
  <c r="E109" i="11"/>
  <c r="E13" i="13"/>
  <c r="E15" i="13" s="1"/>
  <c r="L111" i="10"/>
  <c r="E42" i="20"/>
  <c r="E55" i="13"/>
  <c r="E57" i="13" s="1"/>
  <c r="O94" i="10"/>
  <c r="N64" i="11"/>
  <c r="P90" i="10"/>
  <c r="O63" i="11"/>
  <c r="N59" i="10"/>
  <c r="N124" i="11" s="1"/>
  <c r="O22" i="14" s="1"/>
  <c r="N13" i="11"/>
  <c r="N155" i="10"/>
  <c r="N156" i="10" s="1"/>
  <c r="N71" i="11" s="1"/>
  <c r="N126" i="10"/>
  <c r="N170" i="10"/>
  <c r="N231" i="10"/>
  <c r="N233" i="10" s="1"/>
  <c r="N36" i="11" s="1"/>
  <c r="N36" i="20" s="1"/>
  <c r="N28" i="10"/>
  <c r="N20" i="11" s="1"/>
  <c r="N20" i="10"/>
  <c r="N48" i="10"/>
  <c r="N149" i="10"/>
  <c r="N150" i="10" s="1"/>
  <c r="N43" i="10"/>
  <c r="N23" i="11" s="1"/>
  <c r="N38" i="10"/>
  <c r="N22" i="11" s="1"/>
  <c r="O13" i="10"/>
  <c r="N33" i="10"/>
  <c r="N21" i="11" s="1"/>
  <c r="N21" i="20" s="1"/>
  <c r="N160" i="10"/>
  <c r="N161" i="10" s="1"/>
  <c r="N72" i="11" s="1"/>
  <c r="O86" i="10"/>
  <c r="N62" i="11"/>
  <c r="AB101" i="30"/>
  <c r="AB102" i="30" s="1"/>
  <c r="O131" i="11"/>
  <c r="O93" i="11"/>
  <c r="P215" i="10"/>
  <c r="P87" i="11" s="1"/>
  <c r="L14" i="20"/>
  <c r="L77" i="13"/>
  <c r="J26" i="20"/>
  <c r="G877" i="18"/>
  <c r="G880" i="18" s="1"/>
  <c r="G886" i="18" s="1"/>
  <c r="G888" i="18" s="1"/>
  <c r="G890" i="18" s="1"/>
  <c r="C42" i="14"/>
  <c r="D27" i="26" s="1"/>
  <c r="D30" i="26" s="1"/>
  <c r="G49" i="11"/>
  <c r="G42" i="20"/>
  <c r="H55" i="13"/>
  <c r="H63" i="13" s="1"/>
  <c r="H65" i="13" s="1"/>
  <c r="H42" i="20"/>
  <c r="D13" i="13"/>
  <c r="D15" i="13" s="1"/>
  <c r="D17" i="13"/>
  <c r="D20" i="13" s="1"/>
  <c r="E18" i="22"/>
  <c r="F16" i="22"/>
  <c r="F18" i="22" s="1"/>
  <c r="D22" i="22"/>
  <c r="E21" i="22"/>
  <c r="F49" i="11"/>
  <c r="M9" i="11"/>
  <c r="T13" i="11" s="1"/>
  <c r="M9" i="14"/>
  <c r="M129" i="11"/>
  <c r="N22" i="14"/>
  <c r="M13" i="20"/>
  <c r="M37" i="20"/>
  <c r="M38" i="20"/>
  <c r="M36" i="20"/>
  <c r="K45" i="11"/>
  <c r="K15" i="20"/>
  <c r="K17" i="11"/>
  <c r="K17" i="20" s="1"/>
  <c r="M21" i="20"/>
  <c r="L878" i="18"/>
  <c r="L888" i="18" s="1"/>
  <c r="C880" i="18"/>
  <c r="C886" i="18" s="1"/>
  <c r="C888" i="18" s="1"/>
  <c r="C890" i="18" s="1"/>
  <c r="D75" i="11"/>
  <c r="D66" i="20" s="1"/>
  <c r="D109" i="11"/>
  <c r="F55" i="13"/>
  <c r="F63" i="13" s="1"/>
  <c r="F65" i="13" s="1"/>
  <c r="G73" i="11"/>
  <c r="F73" i="11"/>
  <c r="H73" i="11"/>
  <c r="I142" i="11"/>
  <c r="I33" i="11"/>
  <c r="I33" i="20" s="1"/>
  <c r="J15" i="14"/>
  <c r="L96" i="11"/>
  <c r="M165" i="10"/>
  <c r="M166" i="10" s="1"/>
  <c r="M96" i="11" s="1"/>
  <c r="M127" i="10"/>
  <c r="M93" i="11"/>
  <c r="M131" i="11"/>
  <c r="L24" i="13"/>
  <c r="L15" i="11"/>
  <c r="L15" i="20" s="1"/>
  <c r="M14" i="11"/>
  <c r="M77" i="13" s="1"/>
  <c r="G55" i="13"/>
  <c r="G63" i="13" s="1"/>
  <c r="G65" i="13" s="1"/>
  <c r="M60" i="10"/>
  <c r="L58" i="10"/>
  <c r="L61" i="10" s="1"/>
  <c r="K62" i="10"/>
  <c r="M198" i="10"/>
  <c r="M71" i="11"/>
  <c r="M23" i="13" s="1"/>
  <c r="L52" i="13"/>
  <c r="M44" i="13"/>
  <c r="M69" i="13" s="1"/>
  <c r="L69" i="13"/>
  <c r="L73" i="13" s="1"/>
  <c r="M44" i="11"/>
  <c r="L48" i="13"/>
  <c r="H49" i="11"/>
  <c r="K51" i="10"/>
  <c r="K26" i="11"/>
  <c r="F732" i="18" s="1"/>
  <c r="F738" i="18" s="1"/>
  <c r="L37" i="4"/>
  <c r="L29" i="10" s="1"/>
  <c r="L28" i="10" s="1"/>
  <c r="L20" i="11" s="1"/>
  <c r="L20" i="20" s="1"/>
  <c r="M63" i="4"/>
  <c r="M55" i="4"/>
  <c r="M44" i="10" s="1"/>
  <c r="M43" i="10" s="1"/>
  <c r="M23" i="11" s="1"/>
  <c r="M23" i="20" s="1"/>
  <c r="I47" i="11"/>
  <c r="I51" i="13"/>
  <c r="L24" i="11"/>
  <c r="L24" i="20" s="1"/>
  <c r="J28" i="11"/>
  <c r="J28" i="20" s="1"/>
  <c r="J47" i="13"/>
  <c r="K13" i="14"/>
  <c r="J46" i="11"/>
  <c r="M49" i="4"/>
  <c r="M39" i="10" s="1"/>
  <c r="M38" i="10" s="1"/>
  <c r="M22" i="11" s="1"/>
  <c r="M22" i="20" s="1"/>
  <c r="I49" i="13"/>
  <c r="I84" i="13"/>
  <c r="L63" i="4"/>
  <c r="J52" i="10"/>
  <c r="M61" i="4"/>
  <c r="M49" i="10" s="1"/>
  <c r="M48" i="10" s="1"/>
  <c r="N20" i="20" l="1"/>
  <c r="O61" i="11"/>
  <c r="P78" i="10"/>
  <c r="L56" i="11"/>
  <c r="M878" i="18"/>
  <c r="M888" i="18" s="1"/>
  <c r="N37" i="20"/>
  <c r="N13" i="20"/>
  <c r="N38" i="20"/>
  <c r="N22" i="20"/>
  <c r="N23" i="20"/>
  <c r="E68" i="20"/>
  <c r="E34" i="13"/>
  <c r="E38" i="13" s="1"/>
  <c r="E39" i="13" s="1"/>
  <c r="E54" i="20"/>
  <c r="E49" i="20"/>
  <c r="E64" i="20"/>
  <c r="E65" i="20"/>
  <c r="E107" i="11"/>
  <c r="E50" i="20"/>
  <c r="D882" i="18"/>
  <c r="D884" i="18" s="1"/>
  <c r="E57" i="20"/>
  <c r="E53" i="20"/>
  <c r="E66" i="20"/>
  <c r="E56" i="20"/>
  <c r="E61" i="20"/>
  <c r="E52" i="20"/>
  <c r="E58" i="20"/>
  <c r="E55" i="20"/>
  <c r="E62" i="20"/>
  <c r="E51" i="20"/>
  <c r="M111" i="10"/>
  <c r="D65" i="20"/>
  <c r="D68" i="20"/>
  <c r="D64" i="20"/>
  <c r="D63" i="20"/>
  <c r="D62" i="20"/>
  <c r="D58" i="20"/>
  <c r="D61" i="20"/>
  <c r="E63" i="13"/>
  <c r="E65" i="13" s="1"/>
  <c r="E59" i="13"/>
  <c r="D34" i="13"/>
  <c r="D35" i="13" s="1"/>
  <c r="D54" i="20"/>
  <c r="D49" i="20"/>
  <c r="D51" i="20"/>
  <c r="D55" i="20"/>
  <c r="D52" i="20"/>
  <c r="D56" i="20"/>
  <c r="D53" i="20"/>
  <c r="D57" i="20"/>
  <c r="D50" i="20"/>
  <c r="N60" i="10"/>
  <c r="P86" i="10"/>
  <c r="O62" i="11"/>
  <c r="N197" i="10"/>
  <c r="O13" i="11"/>
  <c r="O59" i="10"/>
  <c r="O124" i="11" s="1"/>
  <c r="O48" i="10"/>
  <c r="O33" i="10"/>
  <c r="O21" i="11" s="1"/>
  <c r="O126" i="10"/>
  <c r="O155" i="10"/>
  <c r="O156" i="10" s="1"/>
  <c r="O43" i="10"/>
  <c r="O23" i="11" s="1"/>
  <c r="O160" i="10"/>
  <c r="O161" i="10" s="1"/>
  <c r="O149" i="10"/>
  <c r="O150" i="10" s="1"/>
  <c r="O170" i="10"/>
  <c r="O28" i="10"/>
  <c r="O20" i="11" s="1"/>
  <c r="O20" i="10"/>
  <c r="O38" i="10"/>
  <c r="O22" i="11" s="1"/>
  <c r="O22" i="20" s="1"/>
  <c r="O231" i="10"/>
  <c r="O233" i="10" s="1"/>
  <c r="O36" i="11" s="1"/>
  <c r="P13" i="10"/>
  <c r="N129" i="11"/>
  <c r="Q90" i="10"/>
  <c r="P63" i="11"/>
  <c r="N70" i="11"/>
  <c r="N152" i="10"/>
  <c r="N24" i="11"/>
  <c r="N24" i="20" s="1"/>
  <c r="N51" i="10"/>
  <c r="N198" i="10"/>
  <c r="N44" i="11"/>
  <c r="N14" i="11"/>
  <c r="N14" i="20" s="1"/>
  <c r="N127" i="10"/>
  <c r="N165" i="10"/>
  <c r="N166" i="10" s="1"/>
  <c r="P94" i="10"/>
  <c r="O64" i="11"/>
  <c r="N9" i="14"/>
  <c r="N9" i="11"/>
  <c r="O9" i="11" s="1"/>
  <c r="P9" i="11" s="1"/>
  <c r="Q9" i="11" s="1"/>
  <c r="R9" i="11" s="1"/>
  <c r="U13" i="11"/>
  <c r="P131" i="11"/>
  <c r="P93" i="11"/>
  <c r="T21" i="11"/>
  <c r="U21" i="11"/>
  <c r="Q215" i="10"/>
  <c r="Q87" i="11" s="1"/>
  <c r="K26" i="20"/>
  <c r="C62" i="14"/>
  <c r="H57" i="13"/>
  <c r="H109" i="11"/>
  <c r="H13" i="13"/>
  <c r="H15" i="13" s="1"/>
  <c r="F109" i="11"/>
  <c r="F13" i="13"/>
  <c r="F15" i="13" s="1"/>
  <c r="G109" i="11"/>
  <c r="G13" i="13"/>
  <c r="G15" i="13" s="1"/>
  <c r="E22" i="22"/>
  <c r="C26" i="14" s="1"/>
  <c r="F21" i="22"/>
  <c r="F22" i="22" s="1"/>
  <c r="H59" i="13"/>
  <c r="T14" i="11"/>
  <c r="M14" i="20"/>
  <c r="C882" i="18"/>
  <c r="C884" i="18" s="1"/>
  <c r="D107" i="11"/>
  <c r="F57" i="13"/>
  <c r="F59" i="13"/>
  <c r="H75" i="11"/>
  <c r="H66" i="20" s="1"/>
  <c r="H17" i="13"/>
  <c r="H20" i="13" s="1"/>
  <c r="F75" i="11"/>
  <c r="F66" i="20" s="1"/>
  <c r="F17" i="13"/>
  <c r="F20" i="13" s="1"/>
  <c r="G75" i="11"/>
  <c r="G17" i="13"/>
  <c r="G20" i="13" s="1"/>
  <c r="M201" i="10"/>
  <c r="K52" i="10"/>
  <c r="K128" i="10"/>
  <c r="L43" i="13"/>
  <c r="L45" i="13" s="1"/>
  <c r="L17" i="11"/>
  <c r="L17" i="20" s="1"/>
  <c r="L45" i="11"/>
  <c r="U14" i="11"/>
  <c r="G59" i="13"/>
  <c r="M24" i="13"/>
  <c r="G57" i="13"/>
  <c r="M15" i="11"/>
  <c r="M58" i="10"/>
  <c r="L62" i="10"/>
  <c r="M48" i="13"/>
  <c r="M73" i="13"/>
  <c r="M56" i="13"/>
  <c r="M52" i="13"/>
  <c r="L51" i="10"/>
  <c r="T23" i="11"/>
  <c r="U23" i="11"/>
  <c r="M37" i="4"/>
  <c r="M29" i="10" s="1"/>
  <c r="M28" i="10" s="1"/>
  <c r="M20" i="11" s="1"/>
  <c r="M20" i="20" s="1"/>
  <c r="L26" i="11"/>
  <c r="G732" i="18" s="1"/>
  <c r="G738" i="18" s="1"/>
  <c r="M24" i="11"/>
  <c r="M24" i="20" s="1"/>
  <c r="J49" i="13"/>
  <c r="J84" i="13"/>
  <c r="L13" i="14"/>
  <c r="K47" i="13"/>
  <c r="K46" i="11"/>
  <c r="K28" i="11"/>
  <c r="K28" i="20" s="1"/>
  <c r="T22" i="11"/>
  <c r="U22" i="11"/>
  <c r="I53" i="13"/>
  <c r="I87" i="13"/>
  <c r="O36" i="20" l="1"/>
  <c r="P61" i="11"/>
  <c r="Q78" i="10"/>
  <c r="O21" i="20"/>
  <c r="N878" i="18"/>
  <c r="N888" i="18" s="1"/>
  <c r="O37" i="20"/>
  <c r="O13" i="20"/>
  <c r="O38" i="20"/>
  <c r="O20" i="20"/>
  <c r="O23" i="20"/>
  <c r="E70" i="13"/>
  <c r="E60" i="13"/>
  <c r="E61" i="13" s="1"/>
  <c r="E35" i="13"/>
  <c r="D60" i="13"/>
  <c r="D38" i="13"/>
  <c r="D39" i="13" s="1"/>
  <c r="G56" i="20"/>
  <c r="G64" i="20"/>
  <c r="G58" i="20"/>
  <c r="G57" i="20"/>
  <c r="G65" i="20"/>
  <c r="G63" i="20"/>
  <c r="G62" i="20"/>
  <c r="G55" i="20"/>
  <c r="G54" i="20"/>
  <c r="G53" i="20"/>
  <c r="G52" i="20"/>
  <c r="G51" i="20"/>
  <c r="G49" i="20"/>
  <c r="G68" i="20"/>
  <c r="G50" i="20"/>
  <c r="G61" i="20"/>
  <c r="H34" i="13"/>
  <c r="H64" i="20"/>
  <c r="H58" i="20"/>
  <c r="H55" i="20"/>
  <c r="H56" i="20"/>
  <c r="H62" i="20"/>
  <c r="H54" i="20"/>
  <c r="H52" i="20"/>
  <c r="H57" i="20"/>
  <c r="H53" i="20"/>
  <c r="H51" i="20"/>
  <c r="H49" i="20"/>
  <c r="H63" i="20"/>
  <c r="H50" i="20"/>
  <c r="H68" i="20"/>
  <c r="H65" i="20"/>
  <c r="H61" i="20"/>
  <c r="N111" i="10"/>
  <c r="O111" i="10" s="1"/>
  <c r="P111" i="10" s="1"/>
  <c r="Q111" i="10" s="1"/>
  <c r="R111" i="10" s="1"/>
  <c r="G66" i="20"/>
  <c r="F57" i="20"/>
  <c r="F49" i="20"/>
  <c r="F64" i="20"/>
  <c r="F55" i="20"/>
  <c r="F65" i="20"/>
  <c r="F63" i="20"/>
  <c r="F54" i="20"/>
  <c r="F62" i="20"/>
  <c r="F58" i="20"/>
  <c r="F53" i="20"/>
  <c r="F52" i="20"/>
  <c r="F51" i="20"/>
  <c r="F68" i="20"/>
  <c r="F56" i="20"/>
  <c r="F50" i="20"/>
  <c r="F61" i="20"/>
  <c r="S27" i="14"/>
  <c r="R27" i="14"/>
  <c r="Q27" i="14"/>
  <c r="P27" i="14"/>
  <c r="O27" i="14"/>
  <c r="D70" i="13"/>
  <c r="D71" i="13" s="1"/>
  <c r="O129" i="11"/>
  <c r="P22" i="14"/>
  <c r="P13" i="11"/>
  <c r="P59" i="10"/>
  <c r="P124" i="11" s="1"/>
  <c r="P38" i="10"/>
  <c r="P22" i="11" s="1"/>
  <c r="P33" i="10"/>
  <c r="P21" i="11" s="1"/>
  <c r="P20" i="10"/>
  <c r="P48" i="10"/>
  <c r="P43" i="10"/>
  <c r="P23" i="11" s="1"/>
  <c r="P28" i="10"/>
  <c r="P20" i="11" s="1"/>
  <c r="P231" i="10"/>
  <c r="P233" i="10" s="1"/>
  <c r="P36" i="11" s="1"/>
  <c r="P170" i="10"/>
  <c r="Q13" i="10"/>
  <c r="P155" i="10"/>
  <c r="P156" i="10" s="1"/>
  <c r="P160" i="10"/>
  <c r="P161" i="10" s="1"/>
  <c r="P149" i="10"/>
  <c r="P150" i="10" s="1"/>
  <c r="P126" i="10"/>
  <c r="O44" i="11"/>
  <c r="O14" i="11"/>
  <c r="O165" i="10"/>
  <c r="O166" i="10" s="1"/>
  <c r="O127" i="10"/>
  <c r="N15" i="11"/>
  <c r="N15" i="20" s="1"/>
  <c r="N52" i="10"/>
  <c r="N128" i="10"/>
  <c r="O70" i="11"/>
  <c r="O196" i="10"/>
  <c r="O152" i="10"/>
  <c r="O24" i="11"/>
  <c r="O24" i="20" s="1"/>
  <c r="O51" i="10"/>
  <c r="O198" i="10"/>
  <c r="O72" i="11"/>
  <c r="O60" i="10"/>
  <c r="R90" i="10"/>
  <c r="R63" i="11" s="1"/>
  <c r="Q63" i="11"/>
  <c r="O197" i="10"/>
  <c r="O71" i="11"/>
  <c r="Q94" i="10"/>
  <c r="P64" i="11"/>
  <c r="Q86" i="10"/>
  <c r="P62" i="11"/>
  <c r="N96" i="11"/>
  <c r="N201" i="10"/>
  <c r="Q131" i="11"/>
  <c r="Q93" i="11"/>
  <c r="R215" i="10"/>
  <c r="R87" i="11" s="1"/>
  <c r="M26" i="11"/>
  <c r="L26" i="20"/>
  <c r="L27" i="14"/>
  <c r="K27" i="14"/>
  <c r="J27" i="14"/>
  <c r="N27" i="14"/>
  <c r="M27" i="14"/>
  <c r="F882" i="18"/>
  <c r="F884" i="18" s="1"/>
  <c r="G34" i="13"/>
  <c r="E882" i="18"/>
  <c r="E884" i="18" s="1"/>
  <c r="F34" i="13"/>
  <c r="M43" i="13"/>
  <c r="M45" i="13" s="1"/>
  <c r="M15" i="20"/>
  <c r="G882" i="18"/>
  <c r="G884" i="18" s="1"/>
  <c r="G107" i="11"/>
  <c r="F107" i="11"/>
  <c r="H107" i="11"/>
  <c r="L52" i="10"/>
  <c r="L128" i="10"/>
  <c r="U15" i="11"/>
  <c r="M17" i="11"/>
  <c r="M17" i="20" s="1"/>
  <c r="T15" i="11"/>
  <c r="M45" i="11"/>
  <c r="M61" i="10"/>
  <c r="K84" i="13"/>
  <c r="K49" i="13"/>
  <c r="M51" i="10"/>
  <c r="M128" i="10" s="1"/>
  <c r="T24" i="11"/>
  <c r="U24" i="11"/>
  <c r="T20" i="11"/>
  <c r="U20" i="11"/>
  <c r="L46" i="11"/>
  <c r="L28" i="11"/>
  <c r="L28" i="20" s="1"/>
  <c r="L47" i="13"/>
  <c r="M13" i="14"/>
  <c r="Q61" i="11" l="1"/>
  <c r="R78" i="10"/>
  <c r="R61" i="11" s="1"/>
  <c r="O878" i="18"/>
  <c r="O888" i="18" s="1"/>
  <c r="P37" i="20"/>
  <c r="P13" i="20"/>
  <c r="P38" i="20"/>
  <c r="P36" i="20"/>
  <c r="P20" i="20"/>
  <c r="P23" i="20"/>
  <c r="O15" i="11"/>
  <c r="O15" i="20" s="1"/>
  <c r="O14" i="20"/>
  <c r="P21" i="20"/>
  <c r="P22" i="20"/>
  <c r="E74" i="13"/>
  <c r="E75" i="13" s="1"/>
  <c r="E71" i="13"/>
  <c r="P60" i="10"/>
  <c r="P129" i="11"/>
  <c r="Q22" i="14"/>
  <c r="P197" i="10"/>
  <c r="P71" i="11"/>
  <c r="O52" i="10"/>
  <c r="O128" i="10"/>
  <c r="Q13" i="11"/>
  <c r="Q59" i="10"/>
  <c r="Q124" i="11" s="1"/>
  <c r="Q38" i="10"/>
  <c r="Q22" i="11" s="1"/>
  <c r="Q48" i="10"/>
  <c r="R13" i="10"/>
  <c r="Q33" i="10"/>
  <c r="Q21" i="11" s="1"/>
  <c r="Q126" i="10"/>
  <c r="Q43" i="10"/>
  <c r="Q23" i="11" s="1"/>
  <c r="Q231" i="10"/>
  <c r="Q233" i="10" s="1"/>
  <c r="Q36" i="11" s="1"/>
  <c r="Q170" i="10"/>
  <c r="Q155" i="10"/>
  <c r="Q156" i="10" s="1"/>
  <c r="Q149" i="10"/>
  <c r="Q150" i="10" s="1"/>
  <c r="Q20" i="10"/>
  <c r="Q28" i="10"/>
  <c r="Q20" i="11" s="1"/>
  <c r="Q160" i="10"/>
  <c r="Q161" i="10" s="1"/>
  <c r="R86" i="10"/>
  <c r="R62" i="11" s="1"/>
  <c r="Q62" i="11"/>
  <c r="N26" i="11"/>
  <c r="N45" i="11"/>
  <c r="N17" i="11"/>
  <c r="N17" i="20" s="1"/>
  <c r="R94" i="10"/>
  <c r="R64" i="11" s="1"/>
  <c r="Q64" i="11"/>
  <c r="O201" i="10"/>
  <c r="O96" i="11"/>
  <c r="O199" i="10"/>
  <c r="P24" i="11"/>
  <c r="P24" i="20" s="1"/>
  <c r="P51" i="10"/>
  <c r="P14" i="11"/>
  <c r="P127" i="10"/>
  <c r="P165" i="10"/>
  <c r="P166" i="10" s="1"/>
  <c r="P70" i="11"/>
  <c r="P152" i="10"/>
  <c r="P196" i="10"/>
  <c r="P198" i="10"/>
  <c r="P72" i="11"/>
  <c r="P44" i="11"/>
  <c r="R131" i="11"/>
  <c r="R93" i="11"/>
  <c r="M56" i="11"/>
  <c r="N58" i="10"/>
  <c r="N61" i="10" s="1"/>
  <c r="M26" i="20"/>
  <c r="H38" i="13"/>
  <c r="H39" i="13" s="1"/>
  <c r="H60" i="13"/>
  <c r="H61" i="13" s="1"/>
  <c r="H70" i="13"/>
  <c r="H35" i="13"/>
  <c r="F70" i="13"/>
  <c r="F35" i="13"/>
  <c r="F60" i="13"/>
  <c r="F61" i="13" s="1"/>
  <c r="F38" i="13"/>
  <c r="F39" i="13" s="1"/>
  <c r="G70" i="13"/>
  <c r="G35" i="13"/>
  <c r="G38" i="13"/>
  <c r="G39" i="13" s="1"/>
  <c r="G60" i="13"/>
  <c r="G61" i="13" s="1"/>
  <c r="M62" i="10"/>
  <c r="C52" i="14"/>
  <c r="C53" i="14" s="1"/>
  <c r="C54" i="14" s="1"/>
  <c r="T26" i="11"/>
  <c r="U26" i="11"/>
  <c r="N13" i="14"/>
  <c r="M28" i="11"/>
  <c r="M28" i="20" s="1"/>
  <c r="M46" i="11"/>
  <c r="M47" i="13"/>
  <c r="L84" i="13"/>
  <c r="L49" i="13"/>
  <c r="M52" i="10"/>
  <c r="O45" i="11" l="1"/>
  <c r="O17" i="11"/>
  <c r="O17" i="20" s="1"/>
  <c r="N56" i="11"/>
  <c r="P878" i="18"/>
  <c r="P888" i="18" s="1"/>
  <c r="Q37" i="20"/>
  <c r="Q38" i="20"/>
  <c r="Q13" i="20"/>
  <c r="P15" i="11"/>
  <c r="P15" i="20" s="1"/>
  <c r="P14" i="20"/>
  <c r="O13" i="14"/>
  <c r="N26" i="20"/>
  <c r="Q36" i="20"/>
  <c r="Q23" i="20"/>
  <c r="Q21" i="20"/>
  <c r="Q22" i="20"/>
  <c r="O26" i="11"/>
  <c r="O46" i="11" s="1"/>
  <c r="Q20" i="20"/>
  <c r="Q129" i="11"/>
  <c r="R22" i="14"/>
  <c r="Q60" i="10"/>
  <c r="P199" i="10"/>
  <c r="P128" i="10"/>
  <c r="P52" i="10"/>
  <c r="O210" i="10"/>
  <c r="O120" i="11" s="1"/>
  <c r="P21" i="14" s="1"/>
  <c r="R13" i="11"/>
  <c r="R59" i="10"/>
  <c r="R124" i="11" s="1"/>
  <c r="R20" i="10"/>
  <c r="R155" i="10"/>
  <c r="R156" i="10" s="1"/>
  <c r="R38" i="10"/>
  <c r="R22" i="11" s="1"/>
  <c r="R22" i="20" s="1"/>
  <c r="R28" i="10"/>
  <c r="R20" i="11" s="1"/>
  <c r="R20" i="20" s="1"/>
  <c r="R43" i="10"/>
  <c r="R23" i="11" s="1"/>
  <c r="R23" i="20" s="1"/>
  <c r="R126" i="10"/>
  <c r="R231" i="10"/>
  <c r="R233" i="10" s="1"/>
  <c r="R36" i="11" s="1"/>
  <c r="R170" i="10"/>
  <c r="R149" i="10"/>
  <c r="R150" i="10" s="1"/>
  <c r="R48" i="10"/>
  <c r="R160" i="10"/>
  <c r="R161" i="10" s="1"/>
  <c r="R33" i="10"/>
  <c r="R21" i="11" s="1"/>
  <c r="R21" i="20" s="1"/>
  <c r="Q24" i="11"/>
  <c r="Q24" i="20" s="1"/>
  <c r="Q51" i="10"/>
  <c r="Q198" i="10"/>
  <c r="Q72" i="11"/>
  <c r="P201" i="10"/>
  <c r="P96" i="11"/>
  <c r="Q14" i="11"/>
  <c r="Q165" i="10"/>
  <c r="Q166" i="10" s="1"/>
  <c r="Q127" i="10"/>
  <c r="Q44" i="11"/>
  <c r="Q70" i="11"/>
  <c r="Q196" i="10"/>
  <c r="Q152" i="10"/>
  <c r="P45" i="11"/>
  <c r="P17" i="11"/>
  <c r="P17" i="20" s="1"/>
  <c r="Q197" i="10"/>
  <c r="Q71" i="11"/>
  <c r="N28" i="11"/>
  <c r="N28" i="20" s="1"/>
  <c r="N46" i="11"/>
  <c r="O58" i="10"/>
  <c r="O61" i="10" s="1"/>
  <c r="N62" i="10"/>
  <c r="F71" i="13"/>
  <c r="F74" i="13"/>
  <c r="F75" i="13" s="1"/>
  <c r="G71" i="13"/>
  <c r="G74" i="13"/>
  <c r="G75" i="13" s="1"/>
  <c r="H71" i="13"/>
  <c r="H74" i="13"/>
  <c r="H75" i="13" s="1"/>
  <c r="M84" i="13"/>
  <c r="M49" i="13"/>
  <c r="O28" i="11" l="1"/>
  <c r="O28" i="20" s="1"/>
  <c r="P26" i="11"/>
  <c r="P28" i="11" s="1"/>
  <c r="P28" i="20" s="1"/>
  <c r="R36" i="20"/>
  <c r="O56" i="11"/>
  <c r="Q15" i="11"/>
  <c r="Q15" i="20" s="1"/>
  <c r="Q14" i="20"/>
  <c r="Q878" i="18"/>
  <c r="Q888" i="18" s="1"/>
  <c r="R37" i="20"/>
  <c r="R38" i="20"/>
  <c r="R13" i="20"/>
  <c r="P13" i="14"/>
  <c r="O26" i="20"/>
  <c r="R129" i="11"/>
  <c r="S22" i="14"/>
  <c r="R197" i="10"/>
  <c r="R71" i="11"/>
  <c r="Q201" i="10"/>
  <c r="Q96" i="11"/>
  <c r="R14" i="11"/>
  <c r="R165" i="10"/>
  <c r="R166" i="10" s="1"/>
  <c r="R127" i="10"/>
  <c r="R198" i="10"/>
  <c r="R72" i="11"/>
  <c r="R44" i="11"/>
  <c r="R24" i="11"/>
  <c r="R24" i="20" s="1"/>
  <c r="R51" i="10"/>
  <c r="R70" i="11"/>
  <c r="R152" i="10"/>
  <c r="R196" i="10"/>
  <c r="P210" i="10"/>
  <c r="P120" i="11" s="1"/>
  <c r="Q21" i="14" s="1"/>
  <c r="R60" i="10"/>
  <c r="Q199" i="10"/>
  <c r="Q52" i="10"/>
  <c r="Q128" i="10"/>
  <c r="O62" i="10"/>
  <c r="P58" i="10"/>
  <c r="P61" i="10" s="1"/>
  <c r="J150" i="10"/>
  <c r="J152" i="10" s="1"/>
  <c r="I150" i="10"/>
  <c r="P46" i="11" l="1"/>
  <c r="P26" i="20"/>
  <c r="Q13" i="14"/>
  <c r="Q17" i="11"/>
  <c r="Q17" i="20" s="1"/>
  <c r="Q26" i="11"/>
  <c r="R13" i="14" s="1"/>
  <c r="Q45" i="11"/>
  <c r="P56" i="11"/>
  <c r="R15" i="11"/>
  <c r="R15" i="20" s="1"/>
  <c r="R14" i="20"/>
  <c r="R17" i="11"/>
  <c r="R17" i="20" s="1"/>
  <c r="R52" i="10"/>
  <c r="R128" i="10"/>
  <c r="Q210" i="10"/>
  <c r="Q120" i="11" s="1"/>
  <c r="R21" i="14" s="1"/>
  <c r="R201" i="10"/>
  <c r="R96" i="11"/>
  <c r="R199" i="10"/>
  <c r="Q58" i="10"/>
  <c r="Q61" i="10" s="1"/>
  <c r="P62" i="10"/>
  <c r="I70" i="11"/>
  <c r="I196" i="10"/>
  <c r="I199" i="10" s="1"/>
  <c r="K150" i="10"/>
  <c r="K70" i="11" s="1"/>
  <c r="K22" i="13" s="1"/>
  <c r="K25" i="13" s="1"/>
  <c r="I152" i="10"/>
  <c r="L150" i="10"/>
  <c r="L152" i="10" s="1"/>
  <c r="M150" i="10"/>
  <c r="J70" i="11"/>
  <c r="J196" i="10"/>
  <c r="J199" i="10" s="1"/>
  <c r="Q46" i="11" l="1"/>
  <c r="R45" i="11"/>
  <c r="Q28" i="11"/>
  <c r="Q28" i="20" s="1"/>
  <c r="Q26" i="20"/>
  <c r="R26" i="11"/>
  <c r="R26" i="20" s="1"/>
  <c r="Q56" i="11"/>
  <c r="R210" i="10"/>
  <c r="R120" i="11" s="1"/>
  <c r="S21" i="14" s="1"/>
  <c r="Q62" i="10"/>
  <c r="R58" i="10"/>
  <c r="R61" i="10" s="1"/>
  <c r="M152" i="10"/>
  <c r="N196" i="10"/>
  <c r="N199" i="10" s="1"/>
  <c r="I210" i="10"/>
  <c r="I120" i="11" s="1"/>
  <c r="J210" i="10"/>
  <c r="J120" i="11" s="1"/>
  <c r="K21" i="14" s="1"/>
  <c r="K18" i="13"/>
  <c r="K78" i="13" s="1"/>
  <c r="K79" i="13" s="1"/>
  <c r="K196" i="10"/>
  <c r="K199" i="10" s="1"/>
  <c r="K152" i="10"/>
  <c r="I22" i="13"/>
  <c r="I25" i="13" s="1"/>
  <c r="I18" i="13"/>
  <c r="J18" i="13"/>
  <c r="J22" i="13"/>
  <c r="J25" i="13" s="1"/>
  <c r="M196" i="10"/>
  <c r="M199" i="10" s="1"/>
  <c r="M70" i="11"/>
  <c r="L196" i="10"/>
  <c r="L199" i="10" s="1"/>
  <c r="L70" i="11"/>
  <c r="R28" i="11" l="1"/>
  <c r="R28" i="20" s="1"/>
  <c r="R46" i="11"/>
  <c r="S13" i="14"/>
  <c r="R56" i="11"/>
  <c r="N210" i="10"/>
  <c r="N120" i="11" s="1"/>
  <c r="O21" i="14" s="1"/>
  <c r="R62" i="10"/>
  <c r="J21" i="14"/>
  <c r="K210" i="10"/>
  <c r="K120" i="11" s="1"/>
  <c r="L21" i="14" s="1"/>
  <c r="L210" i="10"/>
  <c r="L120" i="11" s="1"/>
  <c r="M21" i="14" s="1"/>
  <c r="M210" i="10"/>
  <c r="M120" i="11" s="1"/>
  <c r="N21" i="14" s="1"/>
  <c r="I78" i="13"/>
  <c r="I79" i="13" s="1"/>
  <c r="L22" i="13"/>
  <c r="L25" i="13" s="1"/>
  <c r="L18" i="13"/>
  <c r="M22" i="13"/>
  <c r="M25" i="13" s="1"/>
  <c r="M18" i="13"/>
  <c r="J78" i="13"/>
  <c r="J79" i="13" s="1"/>
  <c r="M78" i="13" l="1"/>
  <c r="M79" i="13" s="1"/>
  <c r="L78" i="13"/>
  <c r="L79" i="13" s="1"/>
  <c r="J66" i="10"/>
  <c r="J67" i="10" s="1"/>
  <c r="J102" i="10" l="1"/>
  <c r="J112" i="10" s="1"/>
  <c r="J68" i="10"/>
  <c r="J103" i="10" s="1"/>
  <c r="J105" i="10" l="1"/>
  <c r="J121" i="10"/>
  <c r="J30" i="11" s="1"/>
  <c r="K112" i="10"/>
  <c r="L112" i="10" s="1"/>
  <c r="J106" i="10"/>
  <c r="J57" i="11"/>
  <c r="K65" i="10"/>
  <c r="J69" i="10"/>
  <c r="J129" i="10" l="1"/>
  <c r="J65" i="11"/>
  <c r="K18" i="14"/>
  <c r="K14" i="14"/>
  <c r="J117" i="11"/>
  <c r="J30" i="20"/>
  <c r="J31" i="11"/>
  <c r="K66" i="10"/>
  <c r="K67" i="10" s="1"/>
  <c r="K102" i="10" s="1"/>
  <c r="M112" i="10"/>
  <c r="N112" i="10" l="1"/>
  <c r="O112" i="10" s="1"/>
  <c r="P112" i="10" s="1"/>
  <c r="Q112" i="10" s="1"/>
  <c r="R112" i="10" s="1"/>
  <c r="J31" i="20"/>
  <c r="J33" i="11"/>
  <c r="J33" i="20" s="1"/>
  <c r="K68" i="10"/>
  <c r="K103" i="10" s="1"/>
  <c r="K105" i="10"/>
  <c r="K113" i="10"/>
  <c r="J51" i="13"/>
  <c r="J47" i="11"/>
  <c r="K15" i="14"/>
  <c r="L113" i="10" l="1"/>
  <c r="K121" i="10"/>
  <c r="K129" i="10" s="1"/>
  <c r="K106" i="10"/>
  <c r="K57" i="11"/>
  <c r="K69" i="10"/>
  <c r="L65" i="10"/>
  <c r="J87" i="13"/>
  <c r="J53" i="13"/>
  <c r="K65" i="11" l="1"/>
  <c r="M113" i="10"/>
  <c r="K30" i="11"/>
  <c r="L66" i="10"/>
  <c r="L67" i="10" s="1"/>
  <c r="L102" i="10" s="1"/>
  <c r="N113" i="10" l="1"/>
  <c r="O113" i="10" s="1"/>
  <c r="P113" i="10" s="1"/>
  <c r="Q113" i="10" s="1"/>
  <c r="R113" i="10" s="1"/>
  <c r="L14" i="14"/>
  <c r="L18" i="14"/>
  <c r="K117" i="11"/>
  <c r="K30" i="20"/>
  <c r="K31" i="11"/>
  <c r="L114" i="10"/>
  <c r="L121" i="10" s="1"/>
  <c r="L105" i="10"/>
  <c r="L68" i="10"/>
  <c r="L57" i="11" l="1"/>
  <c r="L65" i="11" s="1"/>
  <c r="L103" i="10"/>
  <c r="L106" i="10" s="1"/>
  <c r="K31" i="20"/>
  <c r="K47" i="11"/>
  <c r="K33" i="11"/>
  <c r="K33" i="20" s="1"/>
  <c r="K51" i="13"/>
  <c r="L15" i="14"/>
  <c r="M114" i="10"/>
  <c r="L69" i="10"/>
  <c r="M65" i="10"/>
  <c r="N114" i="10" l="1"/>
  <c r="O114" i="10" s="1"/>
  <c r="P114" i="10" s="1"/>
  <c r="Q114" i="10" s="1"/>
  <c r="R114" i="10" s="1"/>
  <c r="K87" i="13"/>
  <c r="K53" i="13"/>
  <c r="L30" i="11"/>
  <c r="L129" i="10"/>
  <c r="M66" i="10"/>
  <c r="M18" i="14" l="1"/>
  <c r="M14" i="14"/>
  <c r="L117" i="11"/>
  <c r="L30" i="20"/>
  <c r="L31" i="11"/>
  <c r="M67" i="10"/>
  <c r="M102" i="10" l="1"/>
  <c r="M115" i="10" s="1"/>
  <c r="L31" i="20"/>
  <c r="L33" i="11"/>
  <c r="L33" i="20" s="1"/>
  <c r="M68" i="10"/>
  <c r="M15" i="14"/>
  <c r="L47" i="11"/>
  <c r="L51" i="13"/>
  <c r="N115" i="10" l="1"/>
  <c r="O115" i="10" s="1"/>
  <c r="P115" i="10" s="1"/>
  <c r="Q115" i="10" s="1"/>
  <c r="R115" i="10" s="1"/>
  <c r="M121" i="10"/>
  <c r="M30" i="11" s="1"/>
  <c r="M105" i="10"/>
  <c r="N65" i="10"/>
  <c r="N66" i="10" s="1"/>
  <c r="N67" i="10" s="1"/>
  <c r="M103" i="10"/>
  <c r="M106" i="10" s="1"/>
  <c r="M69" i="10"/>
  <c r="M57" i="11"/>
  <c r="L87" i="13"/>
  <c r="L53" i="13"/>
  <c r="M129" i="10" l="1"/>
  <c r="N102" i="10"/>
  <c r="N116" i="10" s="1"/>
  <c r="M65" i="11"/>
  <c r="N68" i="10"/>
  <c r="N14" i="14"/>
  <c r="N18" i="14"/>
  <c r="M117" i="11"/>
  <c r="M30" i="20"/>
  <c r="M31" i="11"/>
  <c r="U30" i="11"/>
  <c r="T30" i="11"/>
  <c r="N105" i="10" l="1"/>
  <c r="O116" i="10"/>
  <c r="P116" i="10" s="1"/>
  <c r="N121" i="10"/>
  <c r="N30" i="11" s="1"/>
  <c r="N30" i="20" s="1"/>
  <c r="N57" i="11"/>
  <c r="N65" i="11" s="1"/>
  <c r="N103" i="10"/>
  <c r="N106" i="10" s="1"/>
  <c r="O65" i="10"/>
  <c r="N69" i="10"/>
  <c r="M31" i="20"/>
  <c r="M33" i="11"/>
  <c r="M33" i="20" s="1"/>
  <c r="N15" i="14"/>
  <c r="U31" i="11"/>
  <c r="T31" i="11"/>
  <c r="M51" i="13"/>
  <c r="M47" i="11"/>
  <c r="N129" i="10" l="1"/>
  <c r="O14" i="14"/>
  <c r="O15" i="14" s="1"/>
  <c r="O18" i="14"/>
  <c r="Q116" i="10"/>
  <c r="N117" i="11"/>
  <c r="N31" i="11"/>
  <c r="N31" i="20" s="1"/>
  <c r="O66" i="10"/>
  <c r="O67" i="10" s="1"/>
  <c r="M53" i="13"/>
  <c r="M87" i="13"/>
  <c r="O102" i="10" l="1"/>
  <c r="O117" i="10" s="1"/>
  <c r="R116" i="10"/>
  <c r="O68" i="10"/>
  <c r="N47" i="11"/>
  <c r="N33" i="11"/>
  <c r="N33" i="20" s="1"/>
  <c r="O105" i="10" l="1"/>
  <c r="P117" i="10"/>
  <c r="Q117" i="10" s="1"/>
  <c r="O121" i="10"/>
  <c r="O129" i="10" s="1"/>
  <c r="O57" i="11"/>
  <c r="O65" i="11" s="1"/>
  <c r="O103" i="10"/>
  <c r="O106" i="10" s="1"/>
  <c r="P65" i="10"/>
  <c r="P66" i="10" s="1"/>
  <c r="P67" i="10" s="1"/>
  <c r="O69" i="10"/>
  <c r="O30" i="11" l="1"/>
  <c r="O30" i="20" s="1"/>
  <c r="P102" i="10"/>
  <c r="P105" i="10" s="1"/>
  <c r="R117" i="10"/>
  <c r="P68" i="10"/>
  <c r="O31" i="11" l="1"/>
  <c r="O31" i="20" s="1"/>
  <c r="O117" i="11"/>
  <c r="P118" i="10"/>
  <c r="P57" i="11"/>
  <c r="P65" i="11" s="1"/>
  <c r="P103" i="10"/>
  <c r="P106" i="10" s="1"/>
  <c r="P18" i="14"/>
  <c r="P14" i="14"/>
  <c r="P15" i="14" s="1"/>
  <c r="Q65" i="10"/>
  <c r="Q66" i="10" s="1"/>
  <c r="P69" i="10"/>
  <c r="O47" i="11" l="1"/>
  <c r="O33" i="11"/>
  <c r="O33" i="20" s="1"/>
  <c r="Q118" i="10"/>
  <c r="R118" i="10" s="1"/>
  <c r="P121" i="10"/>
  <c r="Q67" i="10"/>
  <c r="Q102" i="10" l="1"/>
  <c r="Q119" i="10" s="1"/>
  <c r="P129" i="10"/>
  <c r="P30" i="11"/>
  <c r="Q68" i="10"/>
  <c r="Q103" i="10" s="1"/>
  <c r="D42" i="11"/>
  <c r="Q105" i="10" l="1"/>
  <c r="R119" i="10"/>
  <c r="Q121" i="10"/>
  <c r="Q129" i="10" s="1"/>
  <c r="P30" i="20"/>
  <c r="P31" i="11"/>
  <c r="Q14" i="14"/>
  <c r="Q15" i="14" s="1"/>
  <c r="Q18" i="14"/>
  <c r="P117" i="11"/>
  <c r="Q57" i="11"/>
  <c r="Q65" i="11" s="1"/>
  <c r="Q106" i="10"/>
  <c r="Q69" i="10"/>
  <c r="R65" i="10"/>
  <c r="R66" i="10" s="1"/>
  <c r="R67" i="10" s="1"/>
  <c r="D49" i="11"/>
  <c r="D55" i="13"/>
  <c r="D42" i="20"/>
  <c r="Q30" i="11" l="1"/>
  <c r="Q30" i="20" s="1"/>
  <c r="P31" i="20"/>
  <c r="P33" i="11"/>
  <c r="P33" i="20" s="1"/>
  <c r="P47" i="11"/>
  <c r="R102" i="10"/>
  <c r="R120" i="10" s="1"/>
  <c r="R121" i="10" s="1"/>
  <c r="R68" i="10"/>
  <c r="D59" i="13"/>
  <c r="D61" i="13" s="1"/>
  <c r="D57" i="13"/>
  <c r="D63" i="13"/>
  <c r="D65" i="13" s="1"/>
  <c r="R14" i="14" l="1"/>
  <c r="R15" i="14" s="1"/>
  <c r="R18" i="14"/>
  <c r="Q117" i="11"/>
  <c r="Q31" i="11"/>
  <c r="Q31" i="20" s="1"/>
  <c r="R105" i="10"/>
  <c r="R129" i="10"/>
  <c r="R30" i="11"/>
  <c r="R30" i="20" s="1"/>
  <c r="R57" i="11"/>
  <c r="R65" i="11" s="1"/>
  <c r="R103" i="10"/>
  <c r="R106" i="10" s="1"/>
  <c r="R69" i="10"/>
  <c r="Q47" i="11" l="1"/>
  <c r="Q33" i="11"/>
  <c r="Q33" i="20" s="1"/>
  <c r="R117" i="11"/>
  <c r="S14" i="14"/>
  <c r="S15" i="14" s="1"/>
  <c r="S18" i="14"/>
  <c r="R31" i="11"/>
  <c r="R31" i="20" s="1"/>
  <c r="R33" i="11" l="1"/>
  <c r="R33" i="20" s="1"/>
  <c r="R47" i="11"/>
  <c r="D722" i="18" l="1"/>
  <c r="E722" i="18"/>
  <c r="F722" i="18"/>
  <c r="I137" i="4"/>
  <c r="I172" i="10" s="1"/>
  <c r="I171" i="10" s="1"/>
  <c r="F728" i="18" l="1"/>
  <c r="F727" i="18"/>
  <c r="E728" i="18"/>
  <c r="E727" i="18"/>
  <c r="D728" i="18"/>
  <c r="D727" i="18"/>
  <c r="J202" i="10"/>
  <c r="J208" i="10" s="1"/>
  <c r="J211" i="10" s="1"/>
  <c r="I97" i="11"/>
  <c r="I218" i="10"/>
  <c r="G722" i="18" l="1"/>
  <c r="J97" i="11"/>
  <c r="J132" i="11" s="1"/>
  <c r="J218" i="10"/>
  <c r="I202" i="10"/>
  <c r="I208" i="10" s="1"/>
  <c r="I211" i="10" s="1"/>
  <c r="I219" i="10"/>
  <c r="I132" i="11"/>
  <c r="I103" i="11"/>
  <c r="I29" i="13"/>
  <c r="G728" i="18" l="1"/>
  <c r="G727" i="18"/>
  <c r="H722" i="18"/>
  <c r="J219" i="10"/>
  <c r="J220" i="10" s="1"/>
  <c r="J29" i="13"/>
  <c r="J103" i="11"/>
  <c r="K202" i="10"/>
  <c r="K208" i="10" s="1"/>
  <c r="K211" i="10" s="1"/>
  <c r="K97" i="11"/>
  <c r="K218" i="10"/>
  <c r="I83" i="13"/>
  <c r="I85" i="13" s="1"/>
  <c r="I33" i="13"/>
  <c r="I19" i="13"/>
  <c r="I14" i="13"/>
  <c r="I226" i="10"/>
  <c r="I227" i="10" s="1"/>
  <c r="I220" i="10"/>
  <c r="I221" i="10"/>
  <c r="H728" i="18" l="1"/>
  <c r="H727" i="18"/>
  <c r="J226" i="10"/>
  <c r="J227" i="10" s="1"/>
  <c r="J130" i="10" s="1"/>
  <c r="J131" i="10" s="1"/>
  <c r="J221" i="10"/>
  <c r="I722" i="18"/>
  <c r="K219" i="10"/>
  <c r="K221" i="10" s="1"/>
  <c r="K132" i="11"/>
  <c r="K103" i="11"/>
  <c r="K29" i="13"/>
  <c r="L202" i="10"/>
  <c r="L208" i="10" s="1"/>
  <c r="L211" i="10" s="1"/>
  <c r="L97" i="11"/>
  <c r="L218" i="10"/>
  <c r="J14" i="13"/>
  <c r="J19" i="13"/>
  <c r="J33" i="13"/>
  <c r="J83" i="13"/>
  <c r="J85" i="13" s="1"/>
  <c r="I35" i="11"/>
  <c r="I130" i="10"/>
  <c r="I131" i="10" s="1"/>
  <c r="I728" i="18" l="1"/>
  <c r="I727" i="18"/>
  <c r="J35" i="11"/>
  <c r="J118" i="11" s="1"/>
  <c r="J722" i="18"/>
  <c r="L219" i="10"/>
  <c r="L221" i="10" s="1"/>
  <c r="L132" i="11"/>
  <c r="L29" i="13"/>
  <c r="L103" i="11"/>
  <c r="M97" i="11"/>
  <c r="M218" i="10"/>
  <c r="M202" i="10"/>
  <c r="M208" i="10" s="1"/>
  <c r="M211" i="10" s="1"/>
  <c r="K33" i="13"/>
  <c r="K83" i="13"/>
  <c r="K85" i="13" s="1"/>
  <c r="K14" i="13"/>
  <c r="K19" i="13"/>
  <c r="K226" i="10"/>
  <c r="K227" i="10" s="1"/>
  <c r="K220" i="10"/>
  <c r="I132" i="10"/>
  <c r="I41" i="11" s="1"/>
  <c r="I35" i="20"/>
  <c r="I118" i="11"/>
  <c r="I88" i="13"/>
  <c r="I89" i="13" s="1"/>
  <c r="I134" i="11"/>
  <c r="I39" i="11"/>
  <c r="J132" i="10"/>
  <c r="J41" i="11" s="1"/>
  <c r="J728" i="18" l="1"/>
  <c r="J727" i="18"/>
  <c r="J39" i="11"/>
  <c r="J42" i="11" s="1"/>
  <c r="J88" i="13"/>
  <c r="J89" i="13" s="1"/>
  <c r="J134" i="11"/>
  <c r="J35" i="20"/>
  <c r="K722" i="18"/>
  <c r="M219" i="10"/>
  <c r="M221" i="10" s="1"/>
  <c r="M103" i="11"/>
  <c r="M132" i="11"/>
  <c r="M29" i="13"/>
  <c r="N97" i="11"/>
  <c r="N202" i="10"/>
  <c r="N208" i="10" s="1"/>
  <c r="N211" i="10" s="1"/>
  <c r="N218" i="10"/>
  <c r="L19" i="13"/>
  <c r="L14" i="13"/>
  <c r="L33" i="13"/>
  <c r="L83" i="13"/>
  <c r="L85" i="13" s="1"/>
  <c r="K35" i="11"/>
  <c r="K130" i="10"/>
  <c r="K131" i="10" s="1"/>
  <c r="L226" i="10"/>
  <c r="L227" i="10" s="1"/>
  <c r="L220" i="10"/>
  <c r="I133" i="10"/>
  <c r="J133" i="10"/>
  <c r="I42" i="11"/>
  <c r="I116" i="11"/>
  <c r="I39" i="20"/>
  <c r="I41" i="20"/>
  <c r="J16" i="14"/>
  <c r="J17" i="14" s="1"/>
  <c r="J19" i="14" s="1"/>
  <c r="J23" i="14" s="1"/>
  <c r="J29" i="14" s="1"/>
  <c r="I48" i="11"/>
  <c r="I121" i="11"/>
  <c r="J41" i="20"/>
  <c r="K16" i="14"/>
  <c r="K17" i="14" s="1"/>
  <c r="K19" i="14" s="1"/>
  <c r="K23" i="14" s="1"/>
  <c r="K29" i="14" s="1"/>
  <c r="J121" i="11"/>
  <c r="K728" i="18" l="1"/>
  <c r="K727" i="18"/>
  <c r="J48" i="11"/>
  <c r="J39" i="20"/>
  <c r="J116" i="11"/>
  <c r="J122" i="11" s="1"/>
  <c r="M226" i="10"/>
  <c r="M227" i="10" s="1"/>
  <c r="M35" i="11" s="1"/>
  <c r="L722" i="18"/>
  <c r="M722" i="18"/>
  <c r="N219" i="10"/>
  <c r="N226" i="10" s="1"/>
  <c r="N227" i="10" s="1"/>
  <c r="N132" i="11"/>
  <c r="N103" i="11"/>
  <c r="O97" i="11"/>
  <c r="O202" i="10"/>
  <c r="O208" i="10" s="1"/>
  <c r="O211" i="10" s="1"/>
  <c r="O218" i="10"/>
  <c r="L35" i="11"/>
  <c r="L130" i="10"/>
  <c r="L131" i="10" s="1"/>
  <c r="M33" i="13"/>
  <c r="M83" i="13"/>
  <c r="M85" i="13" s="1"/>
  <c r="K132" i="10"/>
  <c r="K41" i="11" s="1"/>
  <c r="K88" i="13"/>
  <c r="K89" i="13" s="1"/>
  <c r="K118" i="11"/>
  <c r="K134" i="11"/>
  <c r="K35" i="20"/>
  <c r="K39" i="11"/>
  <c r="M14" i="13"/>
  <c r="M19" i="13"/>
  <c r="M220" i="10"/>
  <c r="J140" i="10"/>
  <c r="J141" i="10" s="1"/>
  <c r="J133" i="11" s="1"/>
  <c r="J139" i="11" s="1"/>
  <c r="J49" i="11"/>
  <c r="J42" i="20"/>
  <c r="J55" i="13"/>
  <c r="I122" i="11"/>
  <c r="I140" i="10"/>
  <c r="I49" i="11"/>
  <c r="I55" i="13"/>
  <c r="I42" i="20"/>
  <c r="M728" i="18" l="1"/>
  <c r="M727" i="18"/>
  <c r="L728" i="18"/>
  <c r="L727" i="18"/>
  <c r="J141" i="11"/>
  <c r="K133" i="10"/>
  <c r="N221" i="10"/>
  <c r="M130" i="10"/>
  <c r="M131" i="10" s="1"/>
  <c r="M132" i="10" s="1"/>
  <c r="M41" i="11" s="1"/>
  <c r="O219" i="10"/>
  <c r="O226" i="10" s="1"/>
  <c r="O227" i="10" s="1"/>
  <c r="K48" i="11"/>
  <c r="K116" i="11"/>
  <c r="K39" i="20"/>
  <c r="K42" i="11"/>
  <c r="O132" i="11"/>
  <c r="O103" i="11"/>
  <c r="P202" i="10"/>
  <c r="P208" i="10" s="1"/>
  <c r="P211" i="10" s="1"/>
  <c r="P218" i="10"/>
  <c r="P219" i="10" s="1"/>
  <c r="P97" i="11"/>
  <c r="M88" i="13"/>
  <c r="M89" i="13" s="1"/>
  <c r="M134" i="11"/>
  <c r="M35" i="20"/>
  <c r="M118" i="11"/>
  <c r="M39" i="11"/>
  <c r="K41" i="20"/>
  <c r="L16" i="14"/>
  <c r="L17" i="14" s="1"/>
  <c r="L19" i="14" s="1"/>
  <c r="L23" i="14" s="1"/>
  <c r="L29" i="14" s="1"/>
  <c r="K121" i="11"/>
  <c r="N130" i="10"/>
  <c r="N131" i="10" s="1"/>
  <c r="N35" i="11"/>
  <c r="N220" i="10"/>
  <c r="L132" i="10"/>
  <c r="L41" i="11" s="1"/>
  <c r="L88" i="13"/>
  <c r="L89" i="13" s="1"/>
  <c r="L134" i="11"/>
  <c r="L35" i="20"/>
  <c r="L118" i="11"/>
  <c r="L39" i="11"/>
  <c r="I59" i="13"/>
  <c r="I63" i="13"/>
  <c r="I57" i="13"/>
  <c r="I141" i="10"/>
  <c r="I133" i="11" s="1"/>
  <c r="I139" i="11" s="1"/>
  <c r="I141" i="11" s="1"/>
  <c r="I143" i="11" s="1"/>
  <c r="J57" i="13"/>
  <c r="J63" i="13"/>
  <c r="J59" i="13"/>
  <c r="O221" i="10" l="1"/>
  <c r="L133" i="10"/>
  <c r="M133" i="10"/>
  <c r="L42" i="11"/>
  <c r="L116" i="11"/>
  <c r="L39" i="20"/>
  <c r="Q97" i="11"/>
  <c r="Q202" i="10"/>
  <c r="Q208" i="10" s="1"/>
  <c r="Q211" i="10" s="1"/>
  <c r="Q218" i="10"/>
  <c r="M42" i="11"/>
  <c r="M116" i="11"/>
  <c r="M39" i="20"/>
  <c r="K42" i="20"/>
  <c r="K140" i="10"/>
  <c r="K141" i="10" s="1"/>
  <c r="K133" i="11" s="1"/>
  <c r="K139" i="11" s="1"/>
  <c r="K55" i="13"/>
  <c r="K49" i="11"/>
  <c r="L41" i="20"/>
  <c r="M16" i="14"/>
  <c r="M17" i="14" s="1"/>
  <c r="M19" i="14" s="1"/>
  <c r="M23" i="14" s="1"/>
  <c r="M29" i="14" s="1"/>
  <c r="L121" i="11"/>
  <c r="L48" i="11"/>
  <c r="K122" i="11"/>
  <c r="O130" i="10"/>
  <c r="O131" i="10" s="1"/>
  <c r="O35" i="11"/>
  <c r="N118" i="11"/>
  <c r="N134" i="11"/>
  <c r="N35" i="20"/>
  <c r="N39" i="11"/>
  <c r="M121" i="11"/>
  <c r="T41" i="11"/>
  <c r="M41" i="20"/>
  <c r="N16" i="14"/>
  <c r="N17" i="14" s="1"/>
  <c r="N19" i="14" s="1"/>
  <c r="N23" i="14" s="1"/>
  <c r="N29" i="14" s="1"/>
  <c r="M48" i="11"/>
  <c r="U41" i="11"/>
  <c r="O220" i="10"/>
  <c r="P226" i="10"/>
  <c r="P227" i="10" s="1"/>
  <c r="N132" i="10"/>
  <c r="N41" i="11" s="1"/>
  <c r="P132" i="11"/>
  <c r="P103" i="11"/>
  <c r="P221" i="10"/>
  <c r="P220" i="10"/>
  <c r="I68" i="11"/>
  <c r="J142" i="11"/>
  <c r="J143" i="11" s="1"/>
  <c r="I142" i="10"/>
  <c r="I81" i="11" s="1"/>
  <c r="M122" i="11" l="1"/>
  <c r="N133" i="10"/>
  <c r="P130" i="10"/>
  <c r="P131" i="10" s="1"/>
  <c r="P35" i="11"/>
  <c r="O134" i="11"/>
  <c r="O118" i="11"/>
  <c r="O35" i="20"/>
  <c r="O39" i="11"/>
  <c r="O132" i="10"/>
  <c r="O41" i="11" s="1"/>
  <c r="M140" i="10"/>
  <c r="M141" i="10" s="1"/>
  <c r="M133" i="11" s="1"/>
  <c r="M139" i="11" s="1"/>
  <c r="M42" i="20"/>
  <c r="M49" i="11"/>
  <c r="M55" i="13"/>
  <c r="T42" i="11"/>
  <c r="U42" i="11"/>
  <c r="Q219" i="10"/>
  <c r="Q221" i="10" s="1"/>
  <c r="Q132" i="11"/>
  <c r="Q103" i="11"/>
  <c r="R97" i="11"/>
  <c r="R202" i="10"/>
  <c r="R208" i="10" s="1"/>
  <c r="R211" i="10" s="1"/>
  <c r="R218" i="10"/>
  <c r="N39" i="20"/>
  <c r="N116" i="11"/>
  <c r="N42" i="11"/>
  <c r="K57" i="13"/>
  <c r="K59" i="13"/>
  <c r="K63" i="13"/>
  <c r="L122" i="11"/>
  <c r="K141" i="11"/>
  <c r="L140" i="10"/>
  <c r="L141" i="10" s="1"/>
  <c r="L133" i="11" s="1"/>
  <c r="L139" i="11" s="1"/>
  <c r="L42" i="20"/>
  <c r="L49" i="11"/>
  <c r="L55" i="13"/>
  <c r="N121" i="11"/>
  <c r="O16" i="14"/>
  <c r="O17" i="14" s="1"/>
  <c r="O19" i="14" s="1"/>
  <c r="O23" i="14" s="1"/>
  <c r="O29" i="14" s="1"/>
  <c r="N41" i="20"/>
  <c r="N48" i="11"/>
  <c r="I82" i="11"/>
  <c r="J139" i="10"/>
  <c r="J142" i="10" s="1"/>
  <c r="J81" i="11" s="1"/>
  <c r="J68" i="11"/>
  <c r="K142" i="11"/>
  <c r="I73" i="11"/>
  <c r="H877" i="18"/>
  <c r="N122" i="11" l="1"/>
  <c r="M141" i="11"/>
  <c r="O133" i="10"/>
  <c r="K143" i="11"/>
  <c r="K68" i="11" s="1"/>
  <c r="L141" i="11"/>
  <c r="L63" i="13"/>
  <c r="L57" i="13"/>
  <c r="L59" i="13"/>
  <c r="R219" i="10"/>
  <c r="R220" i="10" s="1"/>
  <c r="R132" i="11"/>
  <c r="R103" i="11"/>
  <c r="O121" i="11"/>
  <c r="P16" i="14"/>
  <c r="P17" i="14" s="1"/>
  <c r="P19" i="14" s="1"/>
  <c r="P23" i="14" s="1"/>
  <c r="P29" i="14" s="1"/>
  <c r="O41" i="20"/>
  <c r="O48" i="11"/>
  <c r="O39" i="20"/>
  <c r="O116" i="11"/>
  <c r="O42" i="11"/>
  <c r="Q220" i="10"/>
  <c r="Q226" i="10"/>
  <c r="Q227" i="10" s="1"/>
  <c r="P35" i="20"/>
  <c r="P118" i="11"/>
  <c r="P134" i="11"/>
  <c r="P39" i="11"/>
  <c r="P132" i="10"/>
  <c r="P41" i="11" s="1"/>
  <c r="N42" i="20"/>
  <c r="N140" i="10"/>
  <c r="N141" i="10" s="1"/>
  <c r="N133" i="11" s="1"/>
  <c r="N139" i="11" s="1"/>
  <c r="N49" i="11"/>
  <c r="M63" i="13"/>
  <c r="M57" i="13"/>
  <c r="M59" i="13"/>
  <c r="I84" i="11"/>
  <c r="D734" i="18" s="1"/>
  <c r="H880" i="18"/>
  <c r="D724" i="18" s="1"/>
  <c r="H890" i="18"/>
  <c r="I13" i="13"/>
  <c r="I15" i="13" s="1"/>
  <c r="I17" i="13"/>
  <c r="I20" i="13" s="1"/>
  <c r="I109" i="11"/>
  <c r="I75" i="11"/>
  <c r="J73" i="11"/>
  <c r="I877" i="18"/>
  <c r="J82" i="11"/>
  <c r="K139" i="10"/>
  <c r="K142" i="10" s="1"/>
  <c r="K81" i="11" s="1"/>
  <c r="D736" i="18" l="1"/>
  <c r="N141" i="11"/>
  <c r="R221" i="10"/>
  <c r="L142" i="11"/>
  <c r="L143" i="11" s="1"/>
  <c r="L68" i="11" s="1"/>
  <c r="Q16" i="14"/>
  <c r="Q17" i="14" s="1"/>
  <c r="Q19" i="14" s="1"/>
  <c r="Q23" i="14" s="1"/>
  <c r="Q29" i="14" s="1"/>
  <c r="P41" i="20"/>
  <c r="P121" i="11"/>
  <c r="P48" i="11"/>
  <c r="P42" i="11"/>
  <c r="P39" i="20"/>
  <c r="P116" i="11"/>
  <c r="Q35" i="11"/>
  <c r="Q130" i="10"/>
  <c r="Q131" i="10" s="1"/>
  <c r="R226" i="10"/>
  <c r="R227" i="10" s="1"/>
  <c r="O42" i="20"/>
  <c r="O140" i="10"/>
  <c r="O141" i="10" s="1"/>
  <c r="O133" i="11" s="1"/>
  <c r="O139" i="11" s="1"/>
  <c r="O49" i="11"/>
  <c r="O122" i="11"/>
  <c r="P133" i="10"/>
  <c r="I51" i="20"/>
  <c r="H882" i="18"/>
  <c r="H884" i="18" s="1"/>
  <c r="I65" i="20"/>
  <c r="I54" i="20"/>
  <c r="I50" i="20"/>
  <c r="I58" i="20"/>
  <c r="I64" i="20"/>
  <c r="I57" i="20"/>
  <c r="I63" i="20"/>
  <c r="I56" i="20"/>
  <c r="I52" i="20"/>
  <c r="I62" i="20"/>
  <c r="I53" i="20"/>
  <c r="I49" i="20"/>
  <c r="I55" i="20"/>
  <c r="I68" i="20"/>
  <c r="I34" i="13"/>
  <c r="I61" i="20"/>
  <c r="I66" i="20"/>
  <c r="K82" i="11"/>
  <c r="L139" i="10"/>
  <c r="L142" i="10" s="1"/>
  <c r="L81" i="11" s="1"/>
  <c r="J84" i="11"/>
  <c r="E734" i="18" s="1"/>
  <c r="I880" i="18"/>
  <c r="E724" i="18" s="1"/>
  <c r="I890" i="18"/>
  <c r="J13" i="13"/>
  <c r="J15" i="13" s="1"/>
  <c r="J75" i="11"/>
  <c r="J66" i="20" s="1"/>
  <c r="J109" i="11"/>
  <c r="J17" i="13"/>
  <c r="J20" i="13" s="1"/>
  <c r="K73" i="11"/>
  <c r="J877" i="18"/>
  <c r="I30" i="13"/>
  <c r="I105" i="11"/>
  <c r="E736" i="18" l="1"/>
  <c r="M142" i="11"/>
  <c r="M143" i="11" s="1"/>
  <c r="M68" i="11" s="1"/>
  <c r="P122" i="11"/>
  <c r="R130" i="10"/>
  <c r="R131" i="10" s="1"/>
  <c r="R35" i="11"/>
  <c r="Q132" i="10"/>
  <c r="Q41" i="11" s="1"/>
  <c r="Q35" i="20"/>
  <c r="Q134" i="11"/>
  <c r="Q118" i="11"/>
  <c r="Q39" i="11"/>
  <c r="P42" i="20"/>
  <c r="P49" i="11"/>
  <c r="P140" i="10"/>
  <c r="P141" i="10" s="1"/>
  <c r="P133" i="11" s="1"/>
  <c r="P139" i="11" s="1"/>
  <c r="O141" i="11"/>
  <c r="I37" i="13"/>
  <c r="I64" i="13"/>
  <c r="I65" i="13" s="1"/>
  <c r="I31" i="13"/>
  <c r="K84" i="11"/>
  <c r="F734" i="18" s="1"/>
  <c r="J51" i="20"/>
  <c r="J57" i="20"/>
  <c r="J65" i="20"/>
  <c r="I882" i="18"/>
  <c r="I884" i="18" s="1"/>
  <c r="J55" i="20"/>
  <c r="J54" i="20"/>
  <c r="J53" i="20"/>
  <c r="J50" i="20"/>
  <c r="J58" i="20"/>
  <c r="J64" i="20"/>
  <c r="J56" i="20"/>
  <c r="J52" i="20"/>
  <c r="J62" i="20"/>
  <c r="J63" i="20"/>
  <c r="J49" i="20"/>
  <c r="J34" i="13"/>
  <c r="J68" i="20"/>
  <c r="J61" i="20"/>
  <c r="I70" i="13"/>
  <c r="I38" i="13"/>
  <c r="I60" i="13"/>
  <c r="I61" i="13" s="1"/>
  <c r="I35" i="13"/>
  <c r="I95" i="20"/>
  <c r="I80" i="20"/>
  <c r="I84" i="20"/>
  <c r="I91" i="20"/>
  <c r="I92" i="20"/>
  <c r="I94" i="20"/>
  <c r="I73" i="20"/>
  <c r="I93" i="20"/>
  <c r="I86" i="20"/>
  <c r="I98" i="20"/>
  <c r="I81" i="20"/>
  <c r="I83" i="20"/>
  <c r="I89" i="20"/>
  <c r="I82" i="20"/>
  <c r="I76" i="20"/>
  <c r="I85" i="20"/>
  <c r="I90" i="20"/>
  <c r="I96" i="20"/>
  <c r="I74" i="20"/>
  <c r="I75" i="20"/>
  <c r="I77" i="20"/>
  <c r="J890" i="18"/>
  <c r="J880" i="18"/>
  <c r="F724" i="18" s="1"/>
  <c r="J30" i="13"/>
  <c r="J105" i="11"/>
  <c r="J107" i="11" s="1"/>
  <c r="I107" i="11"/>
  <c r="K877" i="18"/>
  <c r="L73" i="11"/>
  <c r="K13" i="13"/>
  <c r="K15" i="13" s="1"/>
  <c r="K75" i="11"/>
  <c r="K109" i="11"/>
  <c r="K17" i="13"/>
  <c r="K20" i="13" s="1"/>
  <c r="L82" i="11"/>
  <c r="M139" i="10"/>
  <c r="M142" i="10" s="1"/>
  <c r="M81" i="11" s="1"/>
  <c r="F736" i="18" l="1"/>
  <c r="P141" i="11"/>
  <c r="N142" i="11"/>
  <c r="N143" i="11" s="1"/>
  <c r="O142" i="11" s="1"/>
  <c r="O143" i="11" s="1"/>
  <c r="Q133" i="10"/>
  <c r="Q48" i="11"/>
  <c r="Q39" i="20"/>
  <c r="Q116" i="11"/>
  <c r="Q42" i="11"/>
  <c r="R16" i="14"/>
  <c r="R17" i="14" s="1"/>
  <c r="R19" i="14" s="1"/>
  <c r="R23" i="14" s="1"/>
  <c r="R29" i="14" s="1"/>
  <c r="Q41" i="20"/>
  <c r="Q121" i="11"/>
  <c r="R134" i="11"/>
  <c r="R35" i="20"/>
  <c r="R118" i="11"/>
  <c r="R39" i="11"/>
  <c r="R132" i="10"/>
  <c r="R41" i="11" s="1"/>
  <c r="L13" i="13"/>
  <c r="L15" i="13" s="1"/>
  <c r="L17" i="13"/>
  <c r="L20" i="13" s="1"/>
  <c r="L75" i="11"/>
  <c r="L109" i="11"/>
  <c r="J70" i="13"/>
  <c r="J35" i="13"/>
  <c r="J60" i="13"/>
  <c r="J61" i="13" s="1"/>
  <c r="J38" i="13"/>
  <c r="K890" i="18"/>
  <c r="K880" i="18"/>
  <c r="G724" i="18" s="1"/>
  <c r="L877" i="18"/>
  <c r="M73" i="11"/>
  <c r="J76" i="20"/>
  <c r="J84" i="20"/>
  <c r="J92" i="20"/>
  <c r="J85" i="20"/>
  <c r="J91" i="20"/>
  <c r="J95" i="20"/>
  <c r="J80" i="20"/>
  <c r="J82" i="20"/>
  <c r="J73" i="20"/>
  <c r="J93" i="20"/>
  <c r="J86" i="20"/>
  <c r="J90" i="20"/>
  <c r="J98" i="20"/>
  <c r="J81" i="20"/>
  <c r="J83" i="20"/>
  <c r="J94" i="20"/>
  <c r="J89" i="20"/>
  <c r="J96" i="20"/>
  <c r="J74" i="20"/>
  <c r="J75" i="20"/>
  <c r="J31" i="13"/>
  <c r="J37" i="13"/>
  <c r="J64" i="13"/>
  <c r="J65" i="13" s="1"/>
  <c r="L84" i="11"/>
  <c r="G734" i="18" s="1"/>
  <c r="K105" i="11"/>
  <c r="K107" i="11" s="1"/>
  <c r="K30" i="13"/>
  <c r="K52" i="20"/>
  <c r="J882" i="18"/>
  <c r="J884" i="18" s="1"/>
  <c r="K51" i="20"/>
  <c r="K55" i="20"/>
  <c r="K65" i="20"/>
  <c r="K34" i="13"/>
  <c r="K54" i="20"/>
  <c r="K50" i="20"/>
  <c r="K58" i="20"/>
  <c r="K64" i="20"/>
  <c r="K56" i="20"/>
  <c r="K62" i="20"/>
  <c r="K68" i="20"/>
  <c r="K63" i="20"/>
  <c r="K57" i="20"/>
  <c r="K53" i="20"/>
  <c r="K49" i="20"/>
  <c r="K61" i="20"/>
  <c r="M82" i="11"/>
  <c r="N139" i="10"/>
  <c r="N142" i="10" s="1"/>
  <c r="N81" i="11" s="1"/>
  <c r="J77" i="20"/>
  <c r="I71" i="13"/>
  <c r="I74" i="13"/>
  <c r="I75" i="13" s="1"/>
  <c r="K66" i="20"/>
  <c r="I39" i="13"/>
  <c r="G736" i="18" l="1"/>
  <c r="R133" i="10"/>
  <c r="N68" i="11"/>
  <c r="N73" i="11" s="1"/>
  <c r="Q42" i="20"/>
  <c r="Q140" i="10"/>
  <c r="Q141" i="10" s="1"/>
  <c r="Q133" i="11" s="1"/>
  <c r="Q139" i="11" s="1"/>
  <c r="Q49" i="11"/>
  <c r="Q122" i="11"/>
  <c r="R41" i="20"/>
  <c r="S16" i="14"/>
  <c r="S17" i="14" s="1"/>
  <c r="S19" i="14" s="1"/>
  <c r="S23" i="14" s="1"/>
  <c r="R121" i="11"/>
  <c r="R48" i="11"/>
  <c r="R39" i="20"/>
  <c r="R42" i="11"/>
  <c r="R116" i="11"/>
  <c r="K77" i="20"/>
  <c r="K31" i="13"/>
  <c r="K37" i="13"/>
  <c r="K64" i="13"/>
  <c r="K65" i="13" s="1"/>
  <c r="L52" i="20"/>
  <c r="L58" i="20"/>
  <c r="L62" i="20"/>
  <c r="K882" i="18"/>
  <c r="K884" i="18" s="1"/>
  <c r="L51" i="20"/>
  <c r="L55" i="20"/>
  <c r="L65" i="20"/>
  <c r="L34" i="13"/>
  <c r="L54" i="20"/>
  <c r="L50" i="20"/>
  <c r="L64" i="20"/>
  <c r="L56" i="20"/>
  <c r="L63" i="20"/>
  <c r="L49" i="20"/>
  <c r="L57" i="20"/>
  <c r="L68" i="20"/>
  <c r="L53" i="20"/>
  <c r="L61" i="20"/>
  <c r="K38" i="13"/>
  <c r="K35" i="13"/>
  <c r="K60" i="13"/>
  <c r="K61" i="13" s="1"/>
  <c r="K70" i="13"/>
  <c r="N82" i="11"/>
  <c r="O139" i="10"/>
  <c r="O142" i="10" s="1"/>
  <c r="O81" i="11" s="1"/>
  <c r="M84" i="11"/>
  <c r="H734" i="18" s="1"/>
  <c r="K81" i="20"/>
  <c r="K85" i="20"/>
  <c r="K91" i="20"/>
  <c r="K95" i="20"/>
  <c r="K96" i="20"/>
  <c r="K83" i="20"/>
  <c r="K82" i="20"/>
  <c r="K84" i="20"/>
  <c r="K73" i="20"/>
  <c r="K93" i="20"/>
  <c r="K86" i="20"/>
  <c r="K90" i="20"/>
  <c r="K98" i="20"/>
  <c r="K80" i="20"/>
  <c r="K94" i="20"/>
  <c r="K89" i="20"/>
  <c r="K76" i="20"/>
  <c r="K92" i="20"/>
  <c r="K74" i="20"/>
  <c r="K75" i="20"/>
  <c r="J71" i="13"/>
  <c r="J74" i="13"/>
  <c r="J75" i="13" s="1"/>
  <c r="O68" i="11"/>
  <c r="P142" i="11"/>
  <c r="P143" i="11" s="1"/>
  <c r="L105" i="11"/>
  <c r="L30" i="13"/>
  <c r="M17" i="13"/>
  <c r="M20" i="13" s="1"/>
  <c r="M13" i="13"/>
  <c r="M15" i="13" s="1"/>
  <c r="M75" i="11"/>
  <c r="M109" i="11"/>
  <c r="J39" i="13"/>
  <c r="L890" i="18"/>
  <c r="L880" i="18"/>
  <c r="H724" i="18" s="1"/>
  <c r="L66" i="20"/>
  <c r="H736" i="18" l="1"/>
  <c r="M877" i="18"/>
  <c r="M880" i="18" s="1"/>
  <c r="I724" i="18" s="1"/>
  <c r="R122" i="11"/>
  <c r="R42" i="20"/>
  <c r="R140" i="10"/>
  <c r="R141" i="10" s="1"/>
  <c r="R133" i="11" s="1"/>
  <c r="R139" i="11" s="1"/>
  <c r="R49" i="11"/>
  <c r="C34" i="14"/>
  <c r="C35" i="14" s="1"/>
  <c r="C36" i="14" s="1"/>
  <c r="S29" i="14"/>
  <c r="C37" i="14" s="1"/>
  <c r="C55" i="14" s="1"/>
  <c r="C56" i="14" s="1"/>
  <c r="Q141" i="11"/>
  <c r="N75" i="11"/>
  <c r="N66" i="20" s="1"/>
  <c r="N109" i="11"/>
  <c r="Q142" i="11"/>
  <c r="P68" i="11"/>
  <c r="M56" i="20"/>
  <c r="M62" i="20"/>
  <c r="L882" i="18"/>
  <c r="L884" i="18" s="1"/>
  <c r="M51" i="20"/>
  <c r="M55" i="20"/>
  <c r="M49" i="20"/>
  <c r="M68" i="20"/>
  <c r="M34" i="13"/>
  <c r="M54" i="20"/>
  <c r="M58" i="20"/>
  <c r="M50" i="20"/>
  <c r="M52" i="20"/>
  <c r="M64" i="20"/>
  <c r="M53" i="20"/>
  <c r="M63" i="20"/>
  <c r="M65" i="20"/>
  <c r="M57" i="20"/>
  <c r="M61" i="20"/>
  <c r="L85" i="20"/>
  <c r="L93" i="20"/>
  <c r="L96" i="20"/>
  <c r="L81" i="20"/>
  <c r="L91" i="20"/>
  <c r="L89" i="20"/>
  <c r="L90" i="20"/>
  <c r="L98" i="20"/>
  <c r="L82" i="20"/>
  <c r="L84" i="20"/>
  <c r="L73" i="20"/>
  <c r="L95" i="20"/>
  <c r="L86" i="20"/>
  <c r="L83" i="20"/>
  <c r="L76" i="20"/>
  <c r="L80" i="20"/>
  <c r="L94" i="20"/>
  <c r="L92" i="20"/>
  <c r="L74" i="20"/>
  <c r="L75" i="20"/>
  <c r="L35" i="13"/>
  <c r="L60" i="13"/>
  <c r="L61" i="13" s="1"/>
  <c r="L70" i="13"/>
  <c r="L38" i="13"/>
  <c r="O73" i="11"/>
  <c r="N877" i="18"/>
  <c r="L107" i="11"/>
  <c r="M30" i="13"/>
  <c r="M105" i="11"/>
  <c r="M77" i="20" s="1"/>
  <c r="O82" i="11"/>
  <c r="P139" i="10"/>
  <c r="P142" i="10" s="1"/>
  <c r="P81" i="11" s="1"/>
  <c r="M66" i="20"/>
  <c r="N84" i="11"/>
  <c r="I734" i="18" s="1"/>
  <c r="I736" i="18" s="1"/>
  <c r="L64" i="13"/>
  <c r="L65" i="13" s="1"/>
  <c r="L31" i="13"/>
  <c r="L37" i="13"/>
  <c r="K74" i="13"/>
  <c r="K75" i="13" s="1"/>
  <c r="K71" i="13"/>
  <c r="K39" i="13"/>
  <c r="L77" i="20"/>
  <c r="M890" i="18" l="1"/>
  <c r="R141" i="11"/>
  <c r="C63" i="14"/>
  <c r="C57" i="14"/>
  <c r="C58" i="14"/>
  <c r="C38" i="14"/>
  <c r="Q143" i="11"/>
  <c r="R142" i="11" s="1"/>
  <c r="L39" i="13"/>
  <c r="M86" i="20"/>
  <c r="M92" i="20"/>
  <c r="M96" i="20"/>
  <c r="M81" i="20"/>
  <c r="M85" i="20"/>
  <c r="M76" i="20"/>
  <c r="M80" i="20"/>
  <c r="M90" i="20"/>
  <c r="M89" i="20"/>
  <c r="M91" i="20"/>
  <c r="M82" i="20"/>
  <c r="M84" i="20"/>
  <c r="M93" i="20"/>
  <c r="M73" i="20"/>
  <c r="M95" i="20"/>
  <c r="M94" i="20"/>
  <c r="M83" i="20"/>
  <c r="M98" i="20"/>
  <c r="M74" i="20"/>
  <c r="M75" i="20"/>
  <c r="M64" i="13"/>
  <c r="M65" i="13" s="1"/>
  <c r="M31" i="13"/>
  <c r="M37" i="13"/>
  <c r="N890" i="18"/>
  <c r="N880" i="18"/>
  <c r="J724" i="18" s="1"/>
  <c r="N105" i="11"/>
  <c r="L71" i="13"/>
  <c r="L74" i="13"/>
  <c r="L75" i="13" s="1"/>
  <c r="O84" i="11"/>
  <c r="J734" i="18" s="1"/>
  <c r="J736" i="18" s="1"/>
  <c r="M107" i="11"/>
  <c r="P73" i="11"/>
  <c r="O877" i="18"/>
  <c r="M35" i="13"/>
  <c r="M60" i="13"/>
  <c r="M61" i="13" s="1"/>
  <c r="M38" i="13"/>
  <c r="M70" i="13"/>
  <c r="O109" i="11"/>
  <c r="O75" i="11"/>
  <c r="O66" i="20" s="1"/>
  <c r="P82" i="11"/>
  <c r="Q139" i="10"/>
  <c r="Q142" i="10" s="1"/>
  <c r="Q81" i="11" s="1"/>
  <c r="N53" i="20"/>
  <c r="N68" i="20"/>
  <c r="N49" i="20"/>
  <c r="N52" i="20"/>
  <c r="N56" i="20"/>
  <c r="N62" i="20"/>
  <c r="N63" i="20"/>
  <c r="M882" i="18"/>
  <c r="M884" i="18" s="1"/>
  <c r="N54" i="20"/>
  <c r="N58" i="20"/>
  <c r="N50" i="20"/>
  <c r="N64" i="20"/>
  <c r="N55" i="20"/>
  <c r="N65" i="20"/>
  <c r="N51" i="20"/>
  <c r="N57" i="20"/>
  <c r="N61" i="20"/>
  <c r="Q68" i="11" l="1"/>
  <c r="Q73" i="11" s="1"/>
  <c r="R143" i="11"/>
  <c r="R68" i="11" s="1"/>
  <c r="R73" i="11" s="1"/>
  <c r="C39" i="14"/>
  <c r="C45" i="14"/>
  <c r="C40" i="14"/>
  <c r="M39" i="13"/>
  <c r="Q82" i="11"/>
  <c r="R139" i="10"/>
  <c r="R142" i="10" s="1"/>
  <c r="R81" i="11" s="1"/>
  <c r="P84" i="11"/>
  <c r="K734" i="18" s="1"/>
  <c r="K736" i="18" s="1"/>
  <c r="O63" i="20"/>
  <c r="O68" i="20"/>
  <c r="O49" i="20"/>
  <c r="O52" i="20"/>
  <c r="O56" i="20"/>
  <c r="O62" i="20"/>
  <c r="O57" i="20"/>
  <c r="N882" i="18"/>
  <c r="N884" i="18" s="1"/>
  <c r="O54" i="20"/>
  <c r="O58" i="20"/>
  <c r="O50" i="20"/>
  <c r="O64" i="20"/>
  <c r="O55" i="20"/>
  <c r="O51" i="20"/>
  <c r="O65" i="20"/>
  <c r="O53" i="20"/>
  <c r="O61" i="20"/>
  <c r="P109" i="11"/>
  <c r="P75" i="11"/>
  <c r="P66" i="20" s="1"/>
  <c r="O105" i="11"/>
  <c r="O107" i="11" s="1"/>
  <c r="M71" i="13"/>
  <c r="M74" i="13"/>
  <c r="M75" i="13" s="1"/>
  <c r="N80" i="20"/>
  <c r="N86" i="20"/>
  <c r="N94" i="20"/>
  <c r="N76" i="20"/>
  <c r="N82" i="20"/>
  <c r="N92" i="20"/>
  <c r="N96" i="20"/>
  <c r="N81" i="20"/>
  <c r="N89" i="20"/>
  <c r="N91" i="20"/>
  <c r="N84" i="20"/>
  <c r="N93" i="20"/>
  <c r="N73" i="20"/>
  <c r="N95" i="20"/>
  <c r="N85" i="20"/>
  <c r="N83" i="20"/>
  <c r="N90" i="20"/>
  <c r="N98" i="20"/>
  <c r="N74" i="20"/>
  <c r="N75" i="20"/>
  <c r="N77" i="20"/>
  <c r="N107" i="11"/>
  <c r="O880" i="18"/>
  <c r="K724" i="18" s="1"/>
  <c r="O890" i="18"/>
  <c r="P877" i="18" l="1"/>
  <c r="P880" i="18" s="1"/>
  <c r="L724" i="18" s="1"/>
  <c r="Q877" i="18"/>
  <c r="Q880" i="18" s="1"/>
  <c r="M724" i="18" s="1"/>
  <c r="Q75" i="11"/>
  <c r="Q66" i="20" s="1"/>
  <c r="Q109" i="11"/>
  <c r="P105" i="11"/>
  <c r="P107" i="11" s="1"/>
  <c r="O76" i="20"/>
  <c r="O98" i="20"/>
  <c r="O82" i="20"/>
  <c r="O86" i="20"/>
  <c r="O92" i="20"/>
  <c r="O94" i="20"/>
  <c r="O73" i="20"/>
  <c r="O95" i="20"/>
  <c r="O80" i="20"/>
  <c r="O96" i="20"/>
  <c r="O89" i="20"/>
  <c r="O91" i="20"/>
  <c r="O84" i="20"/>
  <c r="O93" i="20"/>
  <c r="O81" i="20"/>
  <c r="O83" i="20"/>
  <c r="O85" i="20"/>
  <c r="O90" i="20"/>
  <c r="O74" i="20"/>
  <c r="O75" i="20"/>
  <c r="O77" i="20"/>
  <c r="R75" i="11"/>
  <c r="R66" i="20" s="1"/>
  <c r="R109" i="11"/>
  <c r="P54" i="20"/>
  <c r="P62" i="20"/>
  <c r="P57" i="20"/>
  <c r="P63" i="20"/>
  <c r="P68" i="20"/>
  <c r="P49" i="20"/>
  <c r="P52" i="20"/>
  <c r="P56" i="20"/>
  <c r="P53" i="20"/>
  <c r="P65" i="20"/>
  <c r="P50" i="20"/>
  <c r="P64" i="20"/>
  <c r="O882" i="18"/>
  <c r="O884" i="18" s="1"/>
  <c r="P58" i="20"/>
  <c r="P55" i="20"/>
  <c r="P51" i="20"/>
  <c r="P61" i="20"/>
  <c r="R82" i="11"/>
  <c r="Q84" i="11"/>
  <c r="L734" i="18" s="1"/>
  <c r="L736" i="18" s="1"/>
  <c r="P890" i="18" l="1"/>
  <c r="Q890" i="18"/>
  <c r="P77" i="20"/>
  <c r="Q105" i="11"/>
  <c r="Q77" i="20" s="1"/>
  <c r="R84" i="11"/>
  <c r="M734" i="18" s="1"/>
  <c r="M736" i="18" s="1"/>
  <c r="P73" i="20"/>
  <c r="P81" i="20"/>
  <c r="P89" i="20"/>
  <c r="P95" i="20"/>
  <c r="P93" i="20"/>
  <c r="P76" i="20"/>
  <c r="P98" i="20"/>
  <c r="P82" i="20"/>
  <c r="P86" i="20"/>
  <c r="P83" i="20"/>
  <c r="P85" i="20"/>
  <c r="P94" i="20"/>
  <c r="P80" i="20"/>
  <c r="P96" i="20"/>
  <c r="P91" i="20"/>
  <c r="P84" i="20"/>
  <c r="P92" i="20"/>
  <c r="P90" i="20"/>
  <c r="P74" i="20"/>
  <c r="P75" i="20"/>
  <c r="R49" i="20"/>
  <c r="R55" i="20"/>
  <c r="R63" i="20"/>
  <c r="R50" i="20"/>
  <c r="R64" i="20"/>
  <c r="R53" i="20"/>
  <c r="R57" i="20"/>
  <c r="R68" i="20"/>
  <c r="R56" i="20"/>
  <c r="R54" i="20"/>
  <c r="R51" i="20"/>
  <c r="R65" i="20"/>
  <c r="Q882" i="18"/>
  <c r="Q884" i="18" s="1"/>
  <c r="R52" i="20"/>
  <c r="R62" i="20"/>
  <c r="R58" i="20"/>
  <c r="R61" i="20"/>
  <c r="Q49" i="20"/>
  <c r="Q53" i="20"/>
  <c r="Q57" i="20"/>
  <c r="Q63" i="20"/>
  <c r="Q68" i="20"/>
  <c r="Q52" i="20"/>
  <c r="Q51" i="20"/>
  <c r="Q55" i="20"/>
  <c r="Q65" i="20"/>
  <c r="P882" i="18"/>
  <c r="P884" i="18" s="1"/>
  <c r="Q56" i="20"/>
  <c r="Q62" i="20"/>
  <c r="Q54" i="20"/>
  <c r="Q58" i="20"/>
  <c r="Q50" i="20"/>
  <c r="Q64" i="20"/>
  <c r="Q61" i="20"/>
  <c r="Q107" i="11" l="1"/>
  <c r="R105" i="11"/>
  <c r="Q83" i="20"/>
  <c r="Q89" i="20"/>
  <c r="Q93" i="20"/>
  <c r="Q76" i="20"/>
  <c r="Q98" i="20"/>
  <c r="Q86" i="20"/>
  <c r="Q85" i="20"/>
  <c r="Q94" i="20"/>
  <c r="Q80" i="20"/>
  <c r="Q96" i="20"/>
  <c r="Q82" i="20"/>
  <c r="Q91" i="20"/>
  <c r="Q84" i="20"/>
  <c r="Q73" i="20"/>
  <c r="Q81" i="20"/>
  <c r="Q95" i="20"/>
  <c r="Q92" i="20"/>
  <c r="Q90" i="20"/>
  <c r="Q74" i="20"/>
  <c r="Q75" i="20"/>
  <c r="R82" i="20" l="1"/>
  <c r="R90" i="20"/>
  <c r="R96" i="20"/>
  <c r="R73" i="20"/>
  <c r="R83" i="20"/>
  <c r="R89" i="20"/>
  <c r="R93" i="20"/>
  <c r="R92" i="20"/>
  <c r="R76" i="20"/>
  <c r="R85" i="20"/>
  <c r="R94" i="20"/>
  <c r="R80" i="20"/>
  <c r="R91" i="20"/>
  <c r="R98" i="20"/>
  <c r="R86" i="20"/>
  <c r="R81" i="20"/>
  <c r="R95" i="20"/>
  <c r="R84" i="20"/>
  <c r="R74" i="20"/>
  <c r="R107" i="11"/>
  <c r="R75" i="20"/>
  <c r="R77" i="20"/>
  <c r="C46" i="14"/>
  <c r="C47" i="14"/>
  <c r="C64" i="14"/>
  <c r="C65" i="14"/>
  <c r="D70" i="14"/>
  <c r="D78" i="14"/>
  <c r="D16" i="23"/>
  <c r="C21" i="23"/>
  <c r="C22" i="23"/>
  <c r="C24" i="23"/>
  <c r="C25" i="23"/>
  <c r="D27" i="23"/>
  <c r="E28" i="23"/>
  <c r="D31" i="26"/>
  <c r="D32" i="2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Ishan Gupta</author>
  </authors>
  <commentList>
    <comment ref="C10" authorId="0" shapeId="0" xr:uid="{27FD49EE-D08D-4745-9722-B43A02CEBC48}">
      <text>
        <r>
          <rPr>
            <b/>
            <sz val="9"/>
            <color indexed="81"/>
            <rFont val="Tahoma"/>
            <family val="2"/>
          </rPr>
          <t>Ishan Gupta:</t>
        </r>
        <r>
          <rPr>
            <sz val="9"/>
            <color indexed="81"/>
            <rFont val="Tahoma"/>
            <family val="2"/>
          </rPr>
          <t xml:space="preserve">
Taken from Trading Economics.</t>
        </r>
      </text>
    </comment>
    <comment ref="C13" authorId="0" shapeId="0" xr:uid="{D049E004-A044-4714-88C0-3D67EF147FD5}">
      <text>
        <r>
          <rPr>
            <b/>
            <sz val="9"/>
            <color indexed="81"/>
            <rFont val="Tahoma"/>
            <family val="2"/>
          </rPr>
          <t>Ishan Gupta:</t>
        </r>
        <r>
          <rPr>
            <sz val="9"/>
            <color indexed="81"/>
            <rFont val="Tahoma"/>
            <family val="2"/>
          </rPr>
          <t xml:space="preserve">
Taken from Dr Damodaran website.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Ishan Gupta</author>
  </authors>
  <commentList>
    <comment ref="C51" authorId="0" shapeId="0" xr:uid="{7EABF352-3053-48AD-A92D-419DB5DA2516}">
      <text>
        <r>
          <rPr>
            <b/>
            <sz val="9"/>
            <color indexed="81"/>
            <rFont val="Tahoma"/>
            <charset val="1"/>
          </rPr>
          <t>Ishan Gupta:</t>
        </r>
        <r>
          <rPr>
            <sz val="9"/>
            <color indexed="81"/>
            <rFont val="Tahoma"/>
            <charset val="1"/>
          </rPr>
          <t xml:space="preserve">
Taken Exit Multiple similar to that of mature companies in Non-alcoholic beverages Sector.</t>
        </r>
      </text>
    </comment>
  </commentList>
</comments>
</file>

<file path=xl/sharedStrings.xml><?xml version="1.0" encoding="utf-8"?>
<sst xmlns="http://schemas.openxmlformats.org/spreadsheetml/2006/main" count="2157" uniqueCount="994">
  <si>
    <t>Less: Cost of Goods Sold</t>
  </si>
  <si>
    <t>Gross Profit</t>
  </si>
  <si>
    <t>Depreciation</t>
  </si>
  <si>
    <t>Total SG&amp;A</t>
  </si>
  <si>
    <t>Less: Taxes</t>
  </si>
  <si>
    <t>Net Income</t>
  </si>
  <si>
    <t>Assets</t>
  </si>
  <si>
    <t>Cash</t>
  </si>
  <si>
    <t>Inventory</t>
  </si>
  <si>
    <t>Debtors</t>
  </si>
  <si>
    <t>Other Current Assets</t>
  </si>
  <si>
    <t>Total Current Assets</t>
  </si>
  <si>
    <t>Goodwill</t>
  </si>
  <si>
    <t>Total Assets</t>
  </si>
  <si>
    <t>Other Current Liabilities</t>
  </si>
  <si>
    <t>Total Current Liabilities</t>
  </si>
  <si>
    <t>Control Sheet</t>
  </si>
  <si>
    <t>In INR Crores unless stated otherwise</t>
  </si>
  <si>
    <t>Actual</t>
  </si>
  <si>
    <t>Explicit Forecast Period</t>
  </si>
  <si>
    <t>Management Case</t>
  </si>
  <si>
    <t>Down Case</t>
  </si>
  <si>
    <t>Current Case:</t>
  </si>
  <si>
    <t xml:space="preserve"> </t>
  </si>
  <si>
    <t>Total Sales</t>
  </si>
  <si>
    <t>COGS Schedule</t>
  </si>
  <si>
    <t>SG&amp;A (Excluding Depreciation and Interest Expense) Schedule</t>
  </si>
  <si>
    <t xml:space="preserve">Total SG&amp;A (Excluding Depreciation and Interest Expense) </t>
  </si>
  <si>
    <t>Marginal Tax Rate</t>
  </si>
  <si>
    <t>Dividend Payout %</t>
  </si>
  <si>
    <t>Non Current Asset Schedule</t>
  </si>
  <si>
    <t>Depreciation Schedule</t>
  </si>
  <si>
    <t>Less: Depreciation</t>
  </si>
  <si>
    <t>Depreciation Waterfall Schedule</t>
  </si>
  <si>
    <t>Total Depreciation</t>
  </si>
  <si>
    <t>Tax Expense Schedule</t>
  </si>
  <si>
    <t>Revenue</t>
  </si>
  <si>
    <t>Less: SG&amp;A Expenses</t>
  </si>
  <si>
    <t>Less: Interest Expenses</t>
  </si>
  <si>
    <t>Earnings before Tax</t>
  </si>
  <si>
    <t>Less: Tax Expenses</t>
  </si>
  <si>
    <t>Less: Depreciation &amp; Amortization</t>
  </si>
  <si>
    <t>Less: Dividends Paid</t>
  </si>
  <si>
    <t>Retained Earnings - End of the year</t>
  </si>
  <si>
    <t>Divident Payout Rate %</t>
  </si>
  <si>
    <t>Working Capital Schedule</t>
  </si>
  <si>
    <t>COGS</t>
  </si>
  <si>
    <t>Debtor Days</t>
  </si>
  <si>
    <t>Inventory Days</t>
  </si>
  <si>
    <t>Creditor Days</t>
  </si>
  <si>
    <t>Loan Schedule</t>
  </si>
  <si>
    <t>Interest Schedule</t>
  </si>
  <si>
    <t>Schedules</t>
  </si>
  <si>
    <t>3 Statement Model</t>
  </si>
  <si>
    <t>EBITDA</t>
  </si>
  <si>
    <t>EBIT</t>
  </si>
  <si>
    <t>5 Years</t>
  </si>
  <si>
    <t>3 Years</t>
  </si>
  <si>
    <t>CAGR</t>
  </si>
  <si>
    <t>Sales Growth %</t>
  </si>
  <si>
    <t>Gross Profit Margin %</t>
  </si>
  <si>
    <t>EBITDA Margin %</t>
  </si>
  <si>
    <t>EBIT Margin %</t>
  </si>
  <si>
    <t>Actual Tax Rate %</t>
  </si>
  <si>
    <t>Net Income Margin %</t>
  </si>
  <si>
    <t>Income Statement</t>
  </si>
  <si>
    <t>Balance Sheet</t>
  </si>
  <si>
    <t>CHECK</t>
  </si>
  <si>
    <t>Net Working Capital</t>
  </si>
  <si>
    <t>Cash Flow Statement</t>
  </si>
  <si>
    <t>Add: Depreciation</t>
  </si>
  <si>
    <t>Less: Change in Working Capital</t>
  </si>
  <si>
    <t>Cash Flow from Operations</t>
  </si>
  <si>
    <t>Net Change in Cash</t>
  </si>
  <si>
    <t>Opening Cash Balance</t>
  </si>
  <si>
    <t>Closing Cash Balance</t>
  </si>
  <si>
    <t>Change in Working Capital</t>
  </si>
  <si>
    <t>Change in Inventory</t>
  </si>
  <si>
    <t>Change in Other Current Assets</t>
  </si>
  <si>
    <t>Change in Total Current Liabilities</t>
  </si>
  <si>
    <t>Change in Total Current Assets (excluding Cash)</t>
  </si>
  <si>
    <t>Add: Interest Expense</t>
  </si>
  <si>
    <t>Liquidity Ratios</t>
  </si>
  <si>
    <t>Current Assets</t>
  </si>
  <si>
    <t>Current Liabilities</t>
  </si>
  <si>
    <t>Current Ratio</t>
  </si>
  <si>
    <t>Quick Ratio (Acid Test)</t>
  </si>
  <si>
    <t>Cash Conversion Cycle</t>
  </si>
  <si>
    <t>Leverage Ratios/ Solvency Ratios</t>
  </si>
  <si>
    <t>Total Debt</t>
  </si>
  <si>
    <t>Total Equity</t>
  </si>
  <si>
    <t>Debt to Equity Ratio</t>
  </si>
  <si>
    <t>Debt to Assets Ratio</t>
  </si>
  <si>
    <t>Equity Ratio</t>
  </si>
  <si>
    <t>Profitability/Margins Ratio</t>
  </si>
  <si>
    <t>Gross Margin</t>
  </si>
  <si>
    <t>EBITDA Margin</t>
  </si>
  <si>
    <t>EBIT Margin</t>
  </si>
  <si>
    <t>Net Profit</t>
  </si>
  <si>
    <t>Net Profit Margin</t>
  </si>
  <si>
    <t>Return on Assets</t>
  </si>
  <si>
    <t>Return on Equity</t>
  </si>
  <si>
    <t>Efficiency Ratio</t>
  </si>
  <si>
    <t>Total Asset</t>
  </si>
  <si>
    <t>Asset Turnover Ratio</t>
  </si>
  <si>
    <t>Inventory Turnover Ratio</t>
  </si>
  <si>
    <t xml:space="preserve">Inventory </t>
  </si>
  <si>
    <t>Change in Revenue</t>
  </si>
  <si>
    <t>Change in Total Asset</t>
  </si>
  <si>
    <t>Reinvestment Ratio</t>
  </si>
  <si>
    <t>Coverage Ratio</t>
  </si>
  <si>
    <t>`</t>
  </si>
  <si>
    <t>Debt to EBITDA Coverage Ratio</t>
  </si>
  <si>
    <t>Interest Expense</t>
  </si>
  <si>
    <t>Interest Coverage Ratio</t>
  </si>
  <si>
    <t>Free Cash Flow to Firm</t>
  </si>
  <si>
    <t>Less: Tax</t>
  </si>
  <si>
    <t>EBIT(1-t)</t>
  </si>
  <si>
    <t>Less: Reinvestments</t>
  </si>
  <si>
    <t>Discount Period Years</t>
  </si>
  <si>
    <t>Change in Non-Cash Working Capital</t>
  </si>
  <si>
    <t>Yes</t>
  </si>
  <si>
    <t>No</t>
  </si>
  <si>
    <t>Discount Rate (WACC)</t>
  </si>
  <si>
    <t>Present Value Factor</t>
  </si>
  <si>
    <t>Present Value of Free Cash Flow to Firm</t>
  </si>
  <si>
    <t>Weighted Average Cost of Capital</t>
  </si>
  <si>
    <t>Risk Free Rate</t>
  </si>
  <si>
    <t>DCF Calculation - Perpetuity Growth</t>
  </si>
  <si>
    <t>Perpetuity Growth Rate</t>
  </si>
  <si>
    <t>Terminal Year FCFF x (1+PGR)</t>
  </si>
  <si>
    <t>Terminal Value</t>
  </si>
  <si>
    <t>Present Value of Terminal Value</t>
  </si>
  <si>
    <t>Present Value of FCFFs</t>
  </si>
  <si>
    <t>Enterprise Value</t>
  </si>
  <si>
    <t>Implied Exit Multiple</t>
  </si>
  <si>
    <t>Implied EV/EBITDA</t>
  </si>
  <si>
    <t>Less: Debt</t>
  </si>
  <si>
    <t>Add: Cash</t>
  </si>
  <si>
    <t>Equity Value</t>
  </si>
  <si>
    <t>DCF Calculation - Exit Multiple</t>
  </si>
  <si>
    <t>Exit Multiple</t>
  </si>
  <si>
    <t>Terminal Year EBITDA</t>
  </si>
  <si>
    <t>Mid Year?</t>
  </si>
  <si>
    <t>Mid Year Convention</t>
  </si>
  <si>
    <t>Ratios</t>
  </si>
  <si>
    <t>DCF Valuation</t>
  </si>
  <si>
    <t>Particulars</t>
  </si>
  <si>
    <t>Less: Excise Duty</t>
  </si>
  <si>
    <t>Revenue From Operations(Net)</t>
  </si>
  <si>
    <t>Revenue Growth YoY%</t>
  </si>
  <si>
    <t>EXPENSES:</t>
  </si>
  <si>
    <t>Cost of Goods Sold</t>
  </si>
  <si>
    <t>Cost of Materials consumed</t>
  </si>
  <si>
    <t xml:space="preserve">Purchases of Stock-in-Trade </t>
  </si>
  <si>
    <t>Total Cost of Goods Sold</t>
  </si>
  <si>
    <t>SG&amp;A Expenses (Excluding Depreciation and Interest)</t>
  </si>
  <si>
    <t>Employee Benefit Expenses</t>
  </si>
  <si>
    <t xml:space="preserve">Other Expenses </t>
  </si>
  <si>
    <t>Earnings before Interest, Tax, Depreciation and Amortization (EBITDA)</t>
  </si>
  <si>
    <t xml:space="preserve">Less: Depreciation and Amortization </t>
  </si>
  <si>
    <t>Earnings before Interest and Tax (EBIT)</t>
  </si>
  <si>
    <t xml:space="preserve">Less: Finance Cost </t>
  </si>
  <si>
    <t>Add: Other Income</t>
  </si>
  <si>
    <t>Profit before Tax and Exceptional Items</t>
  </si>
  <si>
    <t>Share of Profits / Loss of Associated Companies Before Tax</t>
  </si>
  <si>
    <t xml:space="preserve">Exceptional Items Before Tax </t>
  </si>
  <si>
    <t xml:space="preserve">Profit before Tax </t>
  </si>
  <si>
    <t xml:space="preserve">Profit after Tax </t>
  </si>
  <si>
    <t>Minority Interest After Net Profit</t>
  </si>
  <si>
    <t>Profit After Pre-acquisition Profit</t>
  </si>
  <si>
    <t>Earning Per Share - Basic</t>
  </si>
  <si>
    <t>Total Dividend</t>
  </si>
  <si>
    <t>Non-Current Assets:</t>
  </si>
  <si>
    <t>Fixed Assets</t>
  </si>
  <si>
    <t xml:space="preserve">  Property, Plant and Equipment </t>
  </si>
  <si>
    <t xml:space="preserve">  Capital Work in Progress </t>
  </si>
  <si>
    <t xml:space="preserve">  Right-of-Use Assets </t>
  </si>
  <si>
    <t>-</t>
  </si>
  <si>
    <t xml:space="preserve">  Intangible Assets </t>
  </si>
  <si>
    <t xml:space="preserve">  Investments in Subsidiaries, Associates and Joint venture </t>
  </si>
  <si>
    <t>Financial Assets :</t>
  </si>
  <si>
    <t xml:space="preserve">  Investments - Long-term </t>
  </si>
  <si>
    <t xml:space="preserve">  Loans - Long - Term </t>
  </si>
  <si>
    <t xml:space="preserve">  Other Financial Assets - Long-term </t>
  </si>
  <si>
    <t xml:space="preserve"> Other Non-current Assets </t>
  </si>
  <si>
    <t xml:space="preserve"> Deferred Tax Assets (Net) </t>
  </si>
  <si>
    <t>Total Reported Non-current Assets</t>
  </si>
  <si>
    <t>Current Assets:</t>
  </si>
  <si>
    <t xml:space="preserve">Inventories </t>
  </si>
  <si>
    <t xml:space="preserve">Trade Receivables </t>
  </si>
  <si>
    <t xml:space="preserve">Loans - Short-term </t>
  </si>
  <si>
    <t xml:space="preserve">Others Financial Assets - Short-term </t>
  </si>
  <si>
    <t xml:space="preserve">Current Tax Assets - Short-term </t>
  </si>
  <si>
    <t xml:space="preserve">Other Current Assets </t>
  </si>
  <si>
    <t xml:space="preserve">Assets Classified as Held for Sale </t>
  </si>
  <si>
    <t xml:space="preserve">Cash and Cash Equivalents </t>
  </si>
  <si>
    <t xml:space="preserve">Bank Balances Other Than Cash and Cash Equivalents </t>
  </si>
  <si>
    <t>EQUITIES AND LIABILITIES</t>
  </si>
  <si>
    <t xml:space="preserve">Share Capital </t>
  </si>
  <si>
    <t xml:space="preserve">Other Equity </t>
  </si>
  <si>
    <t>Total Stockholders’ Equity</t>
  </si>
  <si>
    <t>Minority Interest</t>
  </si>
  <si>
    <t>Non-Current Liabilities:</t>
  </si>
  <si>
    <t xml:space="preserve">Long Term Borrowings </t>
  </si>
  <si>
    <t>Lease Liabilities</t>
  </si>
  <si>
    <t xml:space="preserve">Others Financial Liabilities - Long-term </t>
  </si>
  <si>
    <t xml:space="preserve">Long-term Provisions </t>
  </si>
  <si>
    <t xml:space="preserve">Deferred Tax Liabilities (Net) </t>
  </si>
  <si>
    <t xml:space="preserve">Other Non-Current Liabilities </t>
  </si>
  <si>
    <t>Total Non Current Liabilities</t>
  </si>
  <si>
    <t>Current Liabilities:</t>
  </si>
  <si>
    <t xml:space="preserve">Trade Payables </t>
  </si>
  <si>
    <t xml:space="preserve">Other Current Liabilities </t>
  </si>
  <si>
    <t xml:space="preserve">Short Term Borrowings </t>
  </si>
  <si>
    <t xml:space="preserve">Others Financial Liabilities - Short-term </t>
  </si>
  <si>
    <t xml:space="preserve">Current Tax Liabilities - Short-term </t>
  </si>
  <si>
    <t xml:space="preserve">Provisions </t>
  </si>
  <si>
    <t>Total Equities and Liabilities</t>
  </si>
  <si>
    <t>Cash and Cash Equivalents at Beginning of the year</t>
  </si>
  <si>
    <t>#</t>
  </si>
  <si>
    <t xml:space="preserve">Net Cash from Operating Activities </t>
  </si>
  <si>
    <t>Net Profit before Tax &amp; Extraordinary Items</t>
  </si>
  <si>
    <t>Interest (Net)</t>
  </si>
  <si>
    <t>Dividend Received</t>
  </si>
  <si>
    <t>Loss on Sales of Assets</t>
  </si>
  <si>
    <t>Gain on Sales of Investments</t>
  </si>
  <si>
    <t>Prov. &amp; W/O (Net)</t>
  </si>
  <si>
    <t>P/L in Forex</t>
  </si>
  <si>
    <t>Others</t>
  </si>
  <si>
    <t>Total Adjustments (PBT &amp; Extraordinary Items)</t>
  </si>
  <si>
    <t>Op. Profit before Working Capital Changes</t>
  </si>
  <si>
    <t>Trade &amp; 0th receivables</t>
  </si>
  <si>
    <t>Inventories</t>
  </si>
  <si>
    <t>Cash Generated from/(used in) Operations</t>
  </si>
  <si>
    <t>Direct Taxes Paid</t>
  </si>
  <si>
    <t>Cash Flow before Extraordinary Items</t>
  </si>
  <si>
    <t xml:space="preserve">Net Cash Used in Investing Activities </t>
  </si>
  <si>
    <t>Purchased of Fixed Assets</t>
  </si>
  <si>
    <t>Sale of Fixed Assets</t>
  </si>
  <si>
    <t>Purchase of Investments</t>
  </si>
  <si>
    <t>Sale of Investments</t>
  </si>
  <si>
    <t>Interest Received</t>
  </si>
  <si>
    <t>Acquisition of Companies</t>
  </si>
  <si>
    <t xml:space="preserve">Net Cash Used in Financing Activities </t>
  </si>
  <si>
    <t>Proceeds from Issue of shares (incl share premium)</t>
  </si>
  <si>
    <t>Proceed from Issue of Debentures</t>
  </si>
  <si>
    <t>Proceed from 0ther Long Term Borrowings</t>
  </si>
  <si>
    <t>Proceed from Bank Borrowings</t>
  </si>
  <si>
    <t>Proceed from Short Tem Borrowings</t>
  </si>
  <si>
    <t>Share Application Money Refund</t>
  </si>
  <si>
    <t>On Redemption of Debenture</t>
  </si>
  <si>
    <t>Of the Long Tem Borrowings</t>
  </si>
  <si>
    <t>Of the short term Borrowings</t>
  </si>
  <si>
    <t>Of financial Liabilities</t>
  </si>
  <si>
    <t>Dividend Paid</t>
  </si>
  <si>
    <t>Interest Paid</t>
  </si>
  <si>
    <t>Net Inc/(Dec) in Cash and Cash Equivalent</t>
  </si>
  <si>
    <t>Cash and Cash Equivalents at End of the year</t>
  </si>
  <si>
    <t>Revenue Growth</t>
  </si>
  <si>
    <t>Company Historical Growth</t>
  </si>
  <si>
    <t xml:space="preserve">Revenue From Operations </t>
  </si>
  <si>
    <t>Sales Growth</t>
  </si>
  <si>
    <t>7 Years</t>
  </si>
  <si>
    <t>Carbonated Soft Drink Market (India) Growth</t>
  </si>
  <si>
    <t>Statista</t>
  </si>
  <si>
    <t>https://www.statista.com/outlook/cmo/non-alcoholic-drinks/soft-drinks/carbonated-soft-drinks/india</t>
  </si>
  <si>
    <t>US$2.3bn</t>
  </si>
  <si>
    <t>CAGR Growth 2024-28</t>
  </si>
  <si>
    <t>2024 Revenue</t>
  </si>
  <si>
    <t>Volume Growth in 2025</t>
  </si>
  <si>
    <t>https://www.globaldata.com/store/report/india-carbonates-market-analysis/#:~:text=Carbonates%20market%20in%20India%20registered,increase%20of%2055.38%25%20over%202020.</t>
  </si>
  <si>
    <t>GlobalData</t>
  </si>
  <si>
    <t>The market achieved its strongest performance in 2021, when it grew by 55.38% over its previous year and its weakest performance in 2020, when it fell by -16.23% over 2019.</t>
  </si>
  <si>
    <t>Live Mint</t>
  </si>
  <si>
    <t>https://www.livemint.com/news/india/nonalcoholic-beverage-market-to-hit-147trillion-11653673841898.html</t>
  </si>
  <si>
    <t>The sector is also heavily taxed to deter consumers from excessive consumption of sugary beverages. Most non-alcoholic beverages are taxed at a standard rate of 12-18% or at the highest rate of 28%.</t>
  </si>
  <si>
    <t>ICRIER</t>
  </si>
  <si>
    <t>https://icrier.org/pdf/ICRIER-IBA_Report_Release_May_27_2022.pdf</t>
  </si>
  <si>
    <t>Both globally and in India, CSDs is the largest segment, but per capita consumption of CSDs is lower in India compared to many countries.</t>
  </si>
  <si>
    <t>Mineral water (packaged drinking water/ natural mineral water) has the highest growth projection in Asia, with India being one of the largest markets</t>
  </si>
  <si>
    <t>50% growth in sales through e-commerce between 2019 and 2020</t>
  </si>
  <si>
    <t>Economic Times</t>
  </si>
  <si>
    <t>https://economictimes.indiatimes.com/industry/cons-products/food/indian-soft-drink-market-expected-to-see-significant-growth-says-pepsico-bottler-varun-beverages/articleshow/98579808.cms?from=mdr</t>
  </si>
  <si>
    <t>Business Wire</t>
  </si>
  <si>
    <t>https://www.businesswire.com/news/home/20230329005511/en/Non-alcoholic-Beverages-Market-in-India-2022-2027-Sector-Set-to-Grow-by-8.85-Annually-on-the-Back-of-Shifting-Consumer-Preferences---ResearchAndMarkets.com</t>
  </si>
  <si>
    <t>The use of non-alcoholic beverages has increased nationwide due to consumer preferences shifting and advances in product packaging and to increase affordability</t>
  </si>
  <si>
    <t>The non-alcoholic beverages market is segmented into carbonated and non-carbonated beverages. The market for carbonated beverages is projected to surge at a CAGR of 5.57% during FY 2022 to FY 2027 to reach INR 185.96 billion at the end of the forecast period.</t>
  </si>
  <si>
    <t xml:space="preserve">The category of carbonated beverages is anticipated to lose market share during the projected period because of the non-carbonated beverages segment's quick expansion. </t>
  </si>
  <si>
    <t xml:space="preserve">Aerated beverages that aren't cola, in particular fruit drinks, have grown in popularity recently. Leading companies are changing their business strategies in response to consumer worries about their health. </t>
  </si>
  <si>
    <t>The market for non-carbonated beverages has expanded rapidly because of growing consumer health consciousness and easier accessibility.</t>
  </si>
  <si>
    <t>Consensus estimate</t>
  </si>
  <si>
    <t>CY24E</t>
  </si>
  <si>
    <t>CY25E</t>
  </si>
  <si>
    <t>CY26E</t>
  </si>
  <si>
    <t>Keynote</t>
  </si>
  <si>
    <t>KRChoksey</t>
  </si>
  <si>
    <t>Motilal Oswal</t>
  </si>
  <si>
    <t>Axis Securities</t>
  </si>
  <si>
    <t>Estimates for Revenue Growth YoY%</t>
  </si>
  <si>
    <t>Name</t>
  </si>
  <si>
    <t>AVERAGE</t>
  </si>
  <si>
    <t xml:space="preserve">5 year CAGR </t>
  </si>
  <si>
    <t>Last year's Management guidance</t>
  </si>
  <si>
    <r>
      <t>The non-alcoholic beverage industry in India is anticipated to expand at a compound annual growth rate (CAGR) of</t>
    </r>
    <r>
      <rPr>
        <b/>
        <sz val="11"/>
        <color theme="1"/>
        <rFont val="Calibri"/>
        <family val="2"/>
      </rPr>
      <t xml:space="preserve"> </t>
    </r>
    <r>
      <rPr>
        <b/>
        <sz val="11"/>
        <color rgb="FFFF0000"/>
        <rFont val="Calibri"/>
        <family val="2"/>
      </rPr>
      <t>8.85%</t>
    </r>
    <r>
      <rPr>
        <sz val="11"/>
        <color theme="1"/>
        <rFont val="Calibri"/>
        <family val="2"/>
      </rPr>
      <t xml:space="preserve"> during 2022-27 to reach INR 601.80 Bn by the end of FY 2027.</t>
    </r>
  </si>
  <si>
    <t>A growth forecasting model with three scenarios, namely realistic, optimistic, and pessimistic from 2020 to 2030 found that if the GDP grows at 7.88%, 9.76%, and 6.0% respectively, the sector is expected</t>
  </si>
  <si>
    <r>
      <t xml:space="preserve"> to grow at </t>
    </r>
    <r>
      <rPr>
        <b/>
        <sz val="11"/>
        <color rgb="FFFF0000"/>
        <rFont val="Calibri"/>
        <family val="2"/>
      </rPr>
      <t>8.70%</t>
    </r>
    <r>
      <rPr>
        <sz val="11"/>
        <color theme="1"/>
        <rFont val="Calibri"/>
        <family val="2"/>
      </rPr>
      <t xml:space="preserve"> in the realistic scenario, </t>
    </r>
    <r>
      <rPr>
        <b/>
        <sz val="11"/>
        <color rgb="FFFF0000"/>
        <rFont val="Calibri"/>
        <family val="2"/>
      </rPr>
      <t>10.77%</t>
    </r>
    <r>
      <rPr>
        <sz val="11"/>
        <color theme="1"/>
        <rFont val="Calibri"/>
        <family val="2"/>
      </rPr>
      <t xml:space="preserve"> in the optimistic scenario and </t>
    </r>
    <r>
      <rPr>
        <b/>
        <sz val="11"/>
        <color rgb="FFFF0000"/>
        <rFont val="Calibri"/>
        <family val="2"/>
      </rPr>
      <t>6.66%</t>
    </r>
    <r>
      <rPr>
        <sz val="11"/>
        <color theme="1"/>
        <rFont val="Calibri"/>
        <family val="2"/>
      </rPr>
      <t xml:space="preserve"> in the pessimistic scenario</t>
    </r>
  </si>
  <si>
    <r>
      <t>The global non-alcoholic beverage market was worth USD1180 billion in 2020 and is projected to reach USD2175 billion in 2026, with a CAGR of</t>
    </r>
    <r>
      <rPr>
        <b/>
        <sz val="11"/>
        <color theme="1"/>
        <rFont val="Calibri"/>
        <family val="2"/>
      </rPr>
      <t xml:space="preserve"> </t>
    </r>
    <r>
      <rPr>
        <b/>
        <sz val="11"/>
        <rFont val="Calibri"/>
        <family val="2"/>
      </rPr>
      <t>7.3%</t>
    </r>
    <r>
      <rPr>
        <b/>
        <sz val="11"/>
        <color theme="1"/>
        <rFont val="Calibri"/>
        <family val="2"/>
      </rPr>
      <t xml:space="preserve"> </t>
    </r>
    <r>
      <rPr>
        <sz val="11"/>
        <color theme="1"/>
        <rFont val="Calibri"/>
        <family val="2"/>
      </rPr>
      <t>(2013 to 2026)</t>
    </r>
  </si>
  <si>
    <r>
      <t xml:space="preserve">Between 2010 and 2019, India’s non-alcoholic beverages market grew at 14.5% in terms of total sales volume, and </t>
    </r>
    <r>
      <rPr>
        <b/>
        <sz val="11"/>
        <color rgb="FFFF0000"/>
        <rFont val="Calibri"/>
        <family val="2"/>
      </rPr>
      <t>13.72%</t>
    </r>
    <r>
      <rPr>
        <sz val="11"/>
        <color theme="1"/>
        <rFont val="Calibri"/>
        <family val="2"/>
      </rPr>
      <t xml:space="preserve"> in terms of total sales value</t>
    </r>
  </si>
  <si>
    <r>
      <t>Carbonates market in India registered a positive compound annual growth rate (CAGR) of</t>
    </r>
    <r>
      <rPr>
        <sz val="11"/>
        <color rgb="FFFF0000"/>
        <rFont val="Calibri"/>
        <family val="2"/>
      </rPr>
      <t xml:space="preserve"> </t>
    </r>
    <r>
      <rPr>
        <b/>
        <sz val="11"/>
        <rFont val="Calibri"/>
        <family val="2"/>
      </rPr>
      <t>9.78%</t>
    </r>
    <r>
      <rPr>
        <sz val="11"/>
        <color theme="1"/>
        <rFont val="Calibri"/>
        <family val="2"/>
      </rPr>
      <t xml:space="preserve"> during the period 2016 to 2021</t>
    </r>
  </si>
  <si>
    <t>8% - 10%</t>
  </si>
  <si>
    <t xml:space="preserve">India Non-alcoholic beverage market </t>
  </si>
  <si>
    <t>Revenue - yoy % Growth</t>
  </si>
  <si>
    <t>COGS % Sales</t>
  </si>
  <si>
    <t>Cost of Materials % Sales</t>
  </si>
  <si>
    <t>Stock in Trade % Sales</t>
  </si>
  <si>
    <t>Change in Inventory % Sales</t>
  </si>
  <si>
    <t>Gross margin</t>
  </si>
  <si>
    <t>Company Historical Margin</t>
  </si>
  <si>
    <t>Median</t>
  </si>
  <si>
    <t>Average</t>
  </si>
  <si>
    <t>Gross Margin %</t>
  </si>
  <si>
    <t>Base Case</t>
  </si>
  <si>
    <t>SG&amp;A Expenses</t>
  </si>
  <si>
    <t>Growth YoY%</t>
  </si>
  <si>
    <t>Historical SG&amp;A Analysis</t>
  </si>
  <si>
    <t>Dec2012</t>
  </si>
  <si>
    <t>Dec2013</t>
  </si>
  <si>
    <t>Dec2014</t>
  </si>
  <si>
    <t>Dec2015</t>
  </si>
  <si>
    <t>Dec2016</t>
  </si>
  <si>
    <t>Dec2017</t>
  </si>
  <si>
    <t>Dec2018</t>
  </si>
  <si>
    <t>Dec2019</t>
  </si>
  <si>
    <t>Dec2020</t>
  </si>
  <si>
    <t>Dec2021</t>
  </si>
  <si>
    <t>Dec2022</t>
  </si>
  <si>
    <t>Dec2023</t>
  </si>
  <si>
    <t>Employee Cost</t>
  </si>
  <si>
    <t>Power &amp; Fuel Cost</t>
  </si>
  <si>
    <t>General and Administration Cost</t>
  </si>
  <si>
    <t>Selling and Distribution Cost</t>
  </si>
  <si>
    <t>Misc. Cost</t>
  </si>
  <si>
    <t>Repairs and Maintenance</t>
  </si>
  <si>
    <t>Other manufacturing expense</t>
  </si>
  <si>
    <t>Total SG&amp;A Expense</t>
  </si>
  <si>
    <t>Other Operating Expenses</t>
  </si>
  <si>
    <t>Other SG&amp;A Expenses</t>
  </si>
  <si>
    <t>Total SG&amp;A % Sales</t>
  </si>
  <si>
    <t>Employee Cost % Revenue</t>
  </si>
  <si>
    <t>Power &amp; Fuel Cost % Revenue</t>
  </si>
  <si>
    <t>Selling and Distribution Cost % Revenue</t>
  </si>
  <si>
    <t>Other Operating Expenses % Revenue</t>
  </si>
  <si>
    <t>Other SG&amp;A Expenses % Revenue</t>
  </si>
  <si>
    <t>Total SG&amp;A Expenses</t>
  </si>
  <si>
    <t>Less: Total SG&amp;A Expenses (excluding Depreciation &amp; Interest)</t>
  </si>
  <si>
    <t>Gross Profit Margin</t>
  </si>
  <si>
    <t>Trade Receivables</t>
  </si>
  <si>
    <t>Cash and Cash Equivalents</t>
  </si>
  <si>
    <t>Other Current Asset</t>
  </si>
  <si>
    <t>Current Assets % Total Assets</t>
  </si>
  <si>
    <t>Inventory Growth YoY%</t>
  </si>
  <si>
    <t xml:space="preserve">Average Inventory </t>
  </si>
  <si>
    <t>Average Inventory % Revenue</t>
  </si>
  <si>
    <t>Inventory Turnover Ratio (COGS)</t>
  </si>
  <si>
    <t>Inventory Turnover Ratio (Revenue)</t>
  </si>
  <si>
    <t>Inventory Days (COGS)</t>
  </si>
  <si>
    <t>Inventory Days (Revenue)</t>
  </si>
  <si>
    <t>Trade Receivable</t>
  </si>
  <si>
    <t>Trade Receivable Growth YoY%</t>
  </si>
  <si>
    <t>Average Trade Receivable</t>
  </si>
  <si>
    <t>Average Trade Receivable % Revenue</t>
  </si>
  <si>
    <t>Receivable Turnover Ratio (Revenue)</t>
  </si>
  <si>
    <t>Receivable Days (Revenue)</t>
  </si>
  <si>
    <t>Other Current Assets % Revenue</t>
  </si>
  <si>
    <t>Gross Block</t>
  </si>
  <si>
    <t>Net Fixed Assets</t>
  </si>
  <si>
    <t>Net Fixed Assets % Total Assets</t>
  </si>
  <si>
    <t>Total Revenue</t>
  </si>
  <si>
    <t>Net Fixed Assets % Revenue</t>
  </si>
  <si>
    <t>Land</t>
  </si>
  <si>
    <t>Building</t>
  </si>
  <si>
    <t>Plant Machinery</t>
  </si>
  <si>
    <t>Equipments</t>
  </si>
  <si>
    <t>Computers</t>
  </si>
  <si>
    <t>Furniture n fittings</t>
  </si>
  <si>
    <t>Vehicles</t>
  </si>
  <si>
    <t>Intangible Assets</t>
  </si>
  <si>
    <t>Other fixed assets</t>
  </si>
  <si>
    <t>Total Fixed Assets</t>
  </si>
  <si>
    <t>93% of Intangible Assets is Franchise rights - have an indefinite life - Expected to remain flat</t>
  </si>
  <si>
    <t xml:space="preserve"> Breakup of Gross Fixed Assets</t>
  </si>
  <si>
    <t xml:space="preserve"> Breakup of Gross Fixed Assets - Common Size</t>
  </si>
  <si>
    <t>Exclude Land from Gross Block- being non-depreciable and approx 15% of Total Gross Asset</t>
  </si>
  <si>
    <t>Change in Gross Block</t>
  </si>
  <si>
    <t>Change in Revenue / Change in Gross Block</t>
  </si>
  <si>
    <t>Depreciation &amp; Amortization</t>
  </si>
  <si>
    <t>Maintenance Capex</t>
  </si>
  <si>
    <t>Growth Capex</t>
  </si>
  <si>
    <t>Growth in Gross Block YoY%</t>
  </si>
  <si>
    <t xml:space="preserve">Property, Plant and Equipment </t>
  </si>
  <si>
    <t xml:space="preserve">Right-of-Use Assets </t>
  </si>
  <si>
    <t xml:space="preserve">Total </t>
  </si>
  <si>
    <t>Other Non Current Assets</t>
  </si>
  <si>
    <t xml:space="preserve">Other Non-current Assets </t>
  </si>
  <si>
    <t>Other Non-current Assets % Revenue</t>
  </si>
  <si>
    <t>CWIP</t>
  </si>
  <si>
    <t>CWIP % Net Fixed Assets</t>
  </si>
  <si>
    <t>No concrete guidance available</t>
  </si>
  <si>
    <t xml:space="preserve">Depreciable Gross Block </t>
  </si>
  <si>
    <t>Less: Accumulated Depreciation &amp; Amort.</t>
  </si>
  <si>
    <t>Net Depreciable Fixed Assets</t>
  </si>
  <si>
    <t>Depreciation for the year</t>
  </si>
  <si>
    <t>Average Life of Assets</t>
  </si>
  <si>
    <t>Average Age of Assets</t>
  </si>
  <si>
    <t>Depreciation % Net Fixed Assets</t>
  </si>
  <si>
    <t>Depreciation % Revenue</t>
  </si>
  <si>
    <t>Sector Data - Damodaran</t>
  </si>
  <si>
    <t>Sector - Beverage (Soft)</t>
  </si>
  <si>
    <t>Geography</t>
  </si>
  <si>
    <t>Just India</t>
  </si>
  <si>
    <t>All Emerging Markets</t>
  </si>
  <si>
    <t>Global</t>
  </si>
  <si>
    <t>Non Current Assets</t>
  </si>
  <si>
    <t>Revenue VS SG&amp;A - Growth</t>
  </si>
  <si>
    <t>Cost of Materials % COGS</t>
  </si>
  <si>
    <t>Street Estimates</t>
  </si>
  <si>
    <t>Axis</t>
  </si>
  <si>
    <t>KR Choksey</t>
  </si>
  <si>
    <t>MEDIAN</t>
  </si>
  <si>
    <t>Estimates for Gross Margin</t>
  </si>
  <si>
    <t>Concall / Annual Report / Investor presentation</t>
  </si>
  <si>
    <t>Q1 CY24 Concall</t>
  </si>
  <si>
    <t>Annual Report CY23</t>
  </si>
  <si>
    <t>CWIP % Net Fixed Assets - Aggresive Capex                        =</t>
  </si>
  <si>
    <t>CWIP % Net Fixed Assets - Moderate Capex                       =</t>
  </si>
  <si>
    <t>Estimates for EBITDA Margin</t>
  </si>
  <si>
    <t>Sharekhan</t>
  </si>
  <si>
    <t>Peer inventory Days Analysis</t>
  </si>
  <si>
    <t>No comparable peer data available</t>
  </si>
  <si>
    <t>Estimates for Inventory Days</t>
  </si>
  <si>
    <t>CY23</t>
  </si>
  <si>
    <t>Estimates for Receivable Days</t>
  </si>
  <si>
    <t>Peer Receivable Days Analysis</t>
  </si>
  <si>
    <t>Revenue Schedule</t>
  </si>
  <si>
    <t>COGS % Revenue</t>
  </si>
  <si>
    <t>Total SG&amp;A - % of Revenue</t>
  </si>
  <si>
    <t>Inventory % Revenue</t>
  </si>
  <si>
    <t>Q4 CY23 Concall</t>
  </si>
  <si>
    <t>Q1 CY23 Concall</t>
  </si>
  <si>
    <t>Change in Trade Receivables</t>
  </si>
  <si>
    <t>Trade Receivables Days</t>
  </si>
  <si>
    <t>Short-term Loans and Other Financial assets</t>
  </si>
  <si>
    <t>Intangible Assets (excluding Goodwill)</t>
  </si>
  <si>
    <t>Property, Plant &amp; Equipment</t>
  </si>
  <si>
    <t>Opening PP&amp;E</t>
  </si>
  <si>
    <t>Add: Capex during the Year</t>
  </si>
  <si>
    <t>Capex</t>
  </si>
  <si>
    <t>Change in Revenue/Change in Capex Ratio</t>
  </si>
  <si>
    <t>cy23 q1</t>
  </si>
  <si>
    <t>cy23 q2</t>
  </si>
  <si>
    <t>Less: Interest Expense</t>
  </si>
  <si>
    <t>Closing PP&amp;E</t>
  </si>
  <si>
    <r>
      <t xml:space="preserve">YoY Growth </t>
    </r>
    <r>
      <rPr>
        <strike/>
        <sz val="11"/>
        <color theme="1"/>
        <rFont val="Calibri"/>
        <family val="2"/>
      </rPr>
      <t>%</t>
    </r>
  </si>
  <si>
    <t>Right of Use Asset Growth %</t>
  </si>
  <si>
    <t>Right of Use Asset</t>
  </si>
  <si>
    <t>Capital Work in Progress</t>
  </si>
  <si>
    <t>Total Net Fixed Assets</t>
  </si>
  <si>
    <t>Addition during the Year</t>
  </si>
  <si>
    <t>Intangible Assets (excluding goodwill)</t>
  </si>
  <si>
    <t>  Goodwill</t>
  </si>
  <si>
    <t>Non Current Financial Asset</t>
  </si>
  <si>
    <t>Other Non Current Asset</t>
  </si>
  <si>
    <t>Deferred Tax Asset</t>
  </si>
  <si>
    <t xml:space="preserve">Capital Work in Progress </t>
  </si>
  <si>
    <t>Other Intangible Assets</t>
  </si>
  <si>
    <t>Non Current Financial Assets</t>
  </si>
  <si>
    <t>Deferred Tax Assets</t>
  </si>
  <si>
    <t>Total Non Current Assets</t>
  </si>
  <si>
    <t>Intangible Assets (excluding goodwill) Growth %</t>
  </si>
  <si>
    <t>Goodwill Growth %</t>
  </si>
  <si>
    <t>Other Non Current Asset Growth %</t>
  </si>
  <si>
    <t>Non Current Financial Asset Growth %</t>
  </si>
  <si>
    <t>Deferred Tax Asset Growth %</t>
  </si>
  <si>
    <t>Other Income</t>
  </si>
  <si>
    <t>Other Income % Revenue</t>
  </si>
  <si>
    <t>Profit Before Tax</t>
  </si>
  <si>
    <t xml:space="preserve">Investments in Subsidiaries, Associates and Joint venture </t>
  </si>
  <si>
    <t>Bank Balances</t>
  </si>
  <si>
    <t>Equities &amp; Liabilities</t>
  </si>
  <si>
    <t>Equity</t>
  </si>
  <si>
    <t>Share Capital</t>
  </si>
  <si>
    <t>Other Equity</t>
  </si>
  <si>
    <t>Total Shareholder's Equity</t>
  </si>
  <si>
    <t>Non-Current Liabilities</t>
  </si>
  <si>
    <t>Total Equities &amp; Liabilities</t>
  </si>
  <si>
    <t>Add: Other Items</t>
  </si>
  <si>
    <t>Net Purchase of Fixed Assets</t>
  </si>
  <si>
    <t>Net Purchase of Investments</t>
  </si>
  <si>
    <t>Cash Flow from Investing</t>
  </si>
  <si>
    <t>Net Proceeds from Long term Borrowings</t>
  </si>
  <si>
    <t>Net Proceeds from Short term Borrowings</t>
  </si>
  <si>
    <t>Net Proceeds from Issue of Debentures</t>
  </si>
  <si>
    <t>Proceeds from Share Issue</t>
  </si>
  <si>
    <t>Redemption of Financial Liabilities</t>
  </si>
  <si>
    <t>Cash Flow from Financing</t>
  </si>
  <si>
    <t>Trade Payables</t>
  </si>
  <si>
    <t>Trade Payables % COGS</t>
  </si>
  <si>
    <t>Trade Payable Days</t>
  </si>
  <si>
    <t>Trade Payable % Revenue</t>
  </si>
  <si>
    <t>Trade Receivable % Revenue</t>
  </si>
  <si>
    <t>Estimates for Payable Days</t>
  </si>
  <si>
    <t>We assume other current liabilities excluding short term borrowings to remain flat at 2023 levels. The short term borrowings is calculated seperately</t>
  </si>
  <si>
    <t>Debt</t>
  </si>
  <si>
    <t>Long Term Borrowings</t>
  </si>
  <si>
    <t>Short Term Borrowings</t>
  </si>
  <si>
    <t>YoY Growth%</t>
  </si>
  <si>
    <t>Total Borrowings</t>
  </si>
  <si>
    <t>LTB % TB</t>
  </si>
  <si>
    <t>STB % TB</t>
  </si>
  <si>
    <t>LTB % Revenue</t>
  </si>
  <si>
    <t>STB % Revenue</t>
  </si>
  <si>
    <t>Debt to Equity</t>
  </si>
  <si>
    <t>Debt to Asset</t>
  </si>
  <si>
    <t>Debt to EBITDA</t>
  </si>
  <si>
    <t>Debt to Capital</t>
  </si>
  <si>
    <t>Short Term Borrowing % Revenue</t>
  </si>
  <si>
    <t>Short Term Borrowings % Revenue</t>
  </si>
  <si>
    <t>Total Borrowing</t>
  </si>
  <si>
    <t>Interest Cost</t>
  </si>
  <si>
    <t>Interest Cost % TB</t>
  </si>
  <si>
    <t>Interest rate</t>
  </si>
  <si>
    <t>Average Total Borrowing</t>
  </si>
  <si>
    <t>Interest Rate %</t>
  </si>
  <si>
    <t>Interest Expenses</t>
  </si>
  <si>
    <t>Average Interest rate</t>
  </si>
  <si>
    <t>We assume Other income to remain flat at 0.5% of Revenue</t>
  </si>
  <si>
    <t>Dividend</t>
  </si>
  <si>
    <t>Dividend Payout Ratio</t>
  </si>
  <si>
    <t>Other Equity Schedule</t>
  </si>
  <si>
    <t>Other Equity - Beginning of the year</t>
  </si>
  <si>
    <t>Add: Net Profit</t>
  </si>
  <si>
    <t>Current Tax Liabilities - Short-term</t>
  </si>
  <si>
    <t>Change in Operating Working Capital</t>
  </si>
  <si>
    <t>Change in Total Working Capital excluding Cash</t>
  </si>
  <si>
    <t>Profit before tax and share of profit in associate</t>
  </si>
  <si>
    <t>Closing Right of Use Asset</t>
  </si>
  <si>
    <t xml:space="preserve">We assume Other Current Assets to remain flat at 6.5% of Revenue. </t>
  </si>
  <si>
    <t>Cash Analysis</t>
  </si>
  <si>
    <t>Cash % Revenue</t>
  </si>
  <si>
    <t>Cash % Total Asset</t>
  </si>
  <si>
    <t>Assumed Operating Cash % Revenue</t>
  </si>
  <si>
    <t>Operating Cash</t>
  </si>
  <si>
    <t>Excess Cash</t>
  </si>
  <si>
    <t>Name of the company</t>
  </si>
  <si>
    <t>Please provide the below inputs</t>
  </si>
  <si>
    <t>Varun Beverages Ltd.</t>
  </si>
  <si>
    <t>Assumptions</t>
  </si>
  <si>
    <t xml:space="preserve">Revenue </t>
  </si>
  <si>
    <t xml:space="preserve">COGS </t>
  </si>
  <si>
    <t xml:space="preserve">Selling, General &amp; Administration (SG&amp;A) </t>
  </si>
  <si>
    <t xml:space="preserve">Non Current Asset </t>
  </si>
  <si>
    <t xml:space="preserve">Tax Rate </t>
  </si>
  <si>
    <t xml:space="preserve">Long Term Borrowing Growth </t>
  </si>
  <si>
    <t xml:space="preserve">Short Term Borrowing Growth </t>
  </si>
  <si>
    <t xml:space="preserve">Interest Rate </t>
  </si>
  <si>
    <t xml:space="preserve">Dividend Payout </t>
  </si>
  <si>
    <t>Current Case - COGS % Sales</t>
  </si>
  <si>
    <t>Capital Work in Progress Growth %</t>
  </si>
  <si>
    <t>WACC Inputs</t>
  </si>
  <si>
    <t xml:space="preserve">Country </t>
  </si>
  <si>
    <t>Local Currency 10Y Government Bond Yield</t>
  </si>
  <si>
    <t>Implied US Equity Risk Premium</t>
  </si>
  <si>
    <t>Debt to Capital (Gearing)</t>
  </si>
  <si>
    <t>Company Credit Rating Available?</t>
  </si>
  <si>
    <t>Provide Credit Rating</t>
  </si>
  <si>
    <t>Small Size Premium</t>
  </si>
  <si>
    <t>Asset Specific Risk Premium</t>
  </si>
  <si>
    <t>Country</t>
  </si>
  <si>
    <t>Africa</t>
  </si>
  <si>
    <t>Moody's rating</t>
  </si>
  <si>
    <t>Rating-based Default Spread</t>
  </si>
  <si>
    <t>Abu Dhabi</t>
  </si>
  <si>
    <t>Middle East</t>
  </si>
  <si>
    <t>Aa2</t>
  </si>
  <si>
    <t>Albania</t>
  </si>
  <si>
    <t>Eastern Europe &amp; Russia</t>
  </si>
  <si>
    <t>B1</t>
  </si>
  <si>
    <t>Andorra (Principality of)</t>
  </si>
  <si>
    <t>Western Europe</t>
  </si>
  <si>
    <t>Baa2</t>
  </si>
  <si>
    <t>Angola</t>
  </si>
  <si>
    <t>B3</t>
  </si>
  <si>
    <t>Argentina</t>
  </si>
  <si>
    <t>Central and South America</t>
  </si>
  <si>
    <t>Ca</t>
  </si>
  <si>
    <t>Armenia</t>
  </si>
  <si>
    <t>Ba3</t>
  </si>
  <si>
    <t>Aruba</t>
  </si>
  <si>
    <t>Caribbean</t>
  </si>
  <si>
    <t>Australia</t>
  </si>
  <si>
    <t>Australia &amp; New Zealand</t>
  </si>
  <si>
    <t>Aaa</t>
  </si>
  <si>
    <t>Austria</t>
  </si>
  <si>
    <t>Aa1</t>
  </si>
  <si>
    <t>Azerbaijan</t>
  </si>
  <si>
    <t>Ba1</t>
  </si>
  <si>
    <t>Bahamas</t>
  </si>
  <si>
    <t>Bahrain</t>
  </si>
  <si>
    <t>B2</t>
  </si>
  <si>
    <t>Bangladesh</t>
  </si>
  <si>
    <t>Asia</t>
  </si>
  <si>
    <t>Barbados</t>
  </si>
  <si>
    <t>Caa1</t>
  </si>
  <si>
    <t>Belarus</t>
  </si>
  <si>
    <t>C</t>
  </si>
  <si>
    <t>Belgium</t>
  </si>
  <si>
    <t>Aa3</t>
  </si>
  <si>
    <t>Belize</t>
  </si>
  <si>
    <t>Caa2</t>
  </si>
  <si>
    <t>Benin</t>
  </si>
  <si>
    <t>Bermuda</t>
  </si>
  <si>
    <t>A2</t>
  </si>
  <si>
    <t>Bolivia</t>
  </si>
  <si>
    <t>Bosnia and Herzegovina</t>
  </si>
  <si>
    <t>Botswana</t>
  </si>
  <si>
    <t>A3</t>
  </si>
  <si>
    <t>Brazil</t>
  </si>
  <si>
    <t>Ba2</t>
  </si>
  <si>
    <t>Bulgaria</t>
  </si>
  <si>
    <t>Baa1</t>
  </si>
  <si>
    <t>Burkina Faso</t>
  </si>
  <si>
    <t>Cambodia</t>
  </si>
  <si>
    <t>Cameroon</t>
  </si>
  <si>
    <t>Canada</t>
  </si>
  <si>
    <t>North America</t>
  </si>
  <si>
    <t>Cape Verde</t>
  </si>
  <si>
    <t>Cayman Islands</t>
  </si>
  <si>
    <t>Chile</t>
  </si>
  <si>
    <t>China</t>
  </si>
  <si>
    <t>A1</t>
  </si>
  <si>
    <t>Colombia</t>
  </si>
  <si>
    <t>Congo (Democratic Republic of)</t>
  </si>
  <si>
    <t>Congo (Republic of)</t>
  </si>
  <si>
    <t>Cook Islands</t>
  </si>
  <si>
    <t>Costa Rica</t>
  </si>
  <si>
    <t>Côte d'Ivoire</t>
  </si>
  <si>
    <t>Croatia</t>
  </si>
  <si>
    <t>Cuba</t>
  </si>
  <si>
    <t>Curacao</t>
  </si>
  <si>
    <t>Cyprus</t>
  </si>
  <si>
    <t>Czech Republic</t>
  </si>
  <si>
    <t>Denmark</t>
  </si>
  <si>
    <t>Dominican Republic</t>
  </si>
  <si>
    <t>Ecuador</t>
  </si>
  <si>
    <t>Caa3</t>
  </si>
  <si>
    <t>Egypt</t>
  </si>
  <si>
    <t>El Salvador</t>
  </si>
  <si>
    <t>Estonia</t>
  </si>
  <si>
    <t>Ethiopia</t>
  </si>
  <si>
    <t>Fiji</t>
  </si>
  <si>
    <t>Finland</t>
  </si>
  <si>
    <t>France</t>
  </si>
  <si>
    <t>Gabon</t>
  </si>
  <si>
    <t>Georgia</t>
  </si>
  <si>
    <t>Germany</t>
  </si>
  <si>
    <t>Ghana</t>
  </si>
  <si>
    <t>Greece</t>
  </si>
  <si>
    <t>Guatemala</t>
  </si>
  <si>
    <t>Guernsey (States of)</t>
  </si>
  <si>
    <t>Honduras</t>
  </si>
  <si>
    <t>Hong Kong</t>
  </si>
  <si>
    <t>Hungary</t>
  </si>
  <si>
    <t>Iceland</t>
  </si>
  <si>
    <t>India</t>
  </si>
  <si>
    <t>Baa3</t>
  </si>
  <si>
    <t>Indonesia</t>
  </si>
  <si>
    <t>Iraq</t>
  </si>
  <si>
    <t>Ireland</t>
  </si>
  <si>
    <t>Isle of Man</t>
  </si>
  <si>
    <t>Israel</t>
  </si>
  <si>
    <t>Italy</t>
  </si>
  <si>
    <t>Jamaica</t>
  </si>
  <si>
    <t>Japan</t>
  </si>
  <si>
    <t>Jersey (States of)</t>
  </si>
  <si>
    <t>Jordan</t>
  </si>
  <si>
    <t>Kazakhstan</t>
  </si>
  <si>
    <t>Kenya</t>
  </si>
  <si>
    <t>Korea</t>
  </si>
  <si>
    <t>Kuwait</t>
  </si>
  <si>
    <t>Kyrgyzstan</t>
  </si>
  <si>
    <t>Laos</t>
  </si>
  <si>
    <t>Latvia</t>
  </si>
  <si>
    <t>Lebanon</t>
  </si>
  <si>
    <t>Liechtenstein</t>
  </si>
  <si>
    <t>Lithuania</t>
  </si>
  <si>
    <t>Luxembourg</t>
  </si>
  <si>
    <t>Macao</t>
  </si>
  <si>
    <t>Macedonia</t>
  </si>
  <si>
    <t>Malaysia</t>
  </si>
  <si>
    <t>Maldives</t>
  </si>
  <si>
    <t>Mali</t>
  </si>
  <si>
    <t>Malta</t>
  </si>
  <si>
    <t>Mauritius</t>
  </si>
  <si>
    <t>Mexico</t>
  </si>
  <si>
    <t>Moldova</t>
  </si>
  <si>
    <t>Mongolia</t>
  </si>
  <si>
    <t>Montenegro</t>
  </si>
  <si>
    <t>Montserrat</t>
  </si>
  <si>
    <t>Morocco</t>
  </si>
  <si>
    <t>Mozambique</t>
  </si>
  <si>
    <t>Namibia</t>
  </si>
  <si>
    <t>Netherlands</t>
  </si>
  <si>
    <t>New Zealand</t>
  </si>
  <si>
    <t>Nicaragua</t>
  </si>
  <si>
    <t>Niger</t>
  </si>
  <si>
    <t>Nigeria</t>
  </si>
  <si>
    <t>Norway</t>
  </si>
  <si>
    <t>Oman</t>
  </si>
  <si>
    <t>Pakistan</t>
  </si>
  <si>
    <t>Panama</t>
  </si>
  <si>
    <t>Papua New Guinea</t>
  </si>
  <si>
    <t>Paraguay</t>
  </si>
  <si>
    <t>Peru</t>
  </si>
  <si>
    <t>Philippines</t>
  </si>
  <si>
    <t>Poland</t>
  </si>
  <si>
    <t>Portugal</t>
  </si>
  <si>
    <t>Qatar</t>
  </si>
  <si>
    <t>Ras Al Khaimah (Emirate of)</t>
  </si>
  <si>
    <t>Romania</t>
  </si>
  <si>
    <t>Russia</t>
  </si>
  <si>
    <t>Rwanda</t>
  </si>
  <si>
    <t>Saudi Arabia</t>
  </si>
  <si>
    <t>Senegal</t>
  </si>
  <si>
    <t>Serbia</t>
  </si>
  <si>
    <t>Sharjah</t>
  </si>
  <si>
    <t>Singapore</t>
  </si>
  <si>
    <t>Slovakia</t>
  </si>
  <si>
    <t>Slovenia</t>
  </si>
  <si>
    <t>Solomon Islands</t>
  </si>
  <si>
    <t>South Africa</t>
  </si>
  <si>
    <t>Spain</t>
  </si>
  <si>
    <t>Sri Lanka</t>
  </si>
  <si>
    <t>St. Maarten</t>
  </si>
  <si>
    <t>St. Vincent &amp; the Grenadines</t>
  </si>
  <si>
    <t>Suriname</t>
  </si>
  <si>
    <t>Swaziland</t>
  </si>
  <si>
    <t>Sweden</t>
  </si>
  <si>
    <t>Switzerland</t>
  </si>
  <si>
    <t>Taiwan</t>
  </si>
  <si>
    <t>Tajikistan</t>
  </si>
  <si>
    <t>Tanzania</t>
  </si>
  <si>
    <t>Thailand</t>
  </si>
  <si>
    <t>Togo</t>
  </si>
  <si>
    <t>Trinidad and Tobago</t>
  </si>
  <si>
    <t>Tunisia</t>
  </si>
  <si>
    <t>Turkey</t>
  </si>
  <si>
    <t>Turks and Caicos Islands</t>
  </si>
  <si>
    <t>Uganda</t>
  </si>
  <si>
    <t>Ukraine</t>
  </si>
  <si>
    <t>United Arab Emirates</t>
  </si>
  <si>
    <t>United Kingdom</t>
  </si>
  <si>
    <t>United States</t>
  </si>
  <si>
    <t>Uruguay</t>
  </si>
  <si>
    <t>Uzbekistan</t>
  </si>
  <si>
    <t>Venezuela</t>
  </si>
  <si>
    <t>Vietnam</t>
  </si>
  <si>
    <t>Zambia</t>
  </si>
  <si>
    <t>Company is Large firm or Small firm?</t>
  </si>
  <si>
    <t>L</t>
  </si>
  <si>
    <t>S</t>
  </si>
  <si>
    <t>Country Data</t>
  </si>
  <si>
    <t>Company Data</t>
  </si>
  <si>
    <t>For large non-financial service firms</t>
  </si>
  <si>
    <t>If interest coverage ratio is</t>
  </si>
  <si>
    <t>&gt;</t>
  </si>
  <si>
    <t>≤ to</t>
  </si>
  <si>
    <t>Rating is</t>
  </si>
  <si>
    <t>Spread is</t>
  </si>
  <si>
    <t>D2/D</t>
  </si>
  <si>
    <t>C2/C</t>
  </si>
  <si>
    <t>Ca2/CC</t>
  </si>
  <si>
    <t>Caa/CCC</t>
  </si>
  <si>
    <t>B3/B-</t>
  </si>
  <si>
    <t>B2/B</t>
  </si>
  <si>
    <t>B1/B+</t>
  </si>
  <si>
    <t>Ba2/BB</t>
  </si>
  <si>
    <t>Ba1/BB+</t>
  </si>
  <si>
    <t>Baa2/BBB</t>
  </si>
  <si>
    <t>A3/A-</t>
  </si>
  <si>
    <t>A2/A</t>
  </si>
  <si>
    <t>A1/A+</t>
  </si>
  <si>
    <t>Aa2/AA</t>
  </si>
  <si>
    <t>Aaa/AAA</t>
  </si>
  <si>
    <t>For smaller and riskier firms</t>
  </si>
  <si>
    <t>greater than</t>
  </si>
  <si>
    <t>Low</t>
  </si>
  <si>
    <t xml:space="preserve">Mid </t>
  </si>
  <si>
    <t>High</t>
  </si>
  <si>
    <t>Equity Risk Premium</t>
  </si>
  <si>
    <t>Equity Beta</t>
  </si>
  <si>
    <t>CAPM Cost of Equity</t>
  </si>
  <si>
    <t>Asset Specific Premium</t>
  </si>
  <si>
    <t>Modified Cost of Equity</t>
  </si>
  <si>
    <t>Post Tax Cost of Debt</t>
  </si>
  <si>
    <t>Pre Tax Cost of Debt</t>
  </si>
  <si>
    <t>Capital Gearing (D/D+E)</t>
  </si>
  <si>
    <t>Weighted Average Cost of Capital (Rounded)</t>
  </si>
  <si>
    <t>ICR Based Corporate Default Spread</t>
  </si>
  <si>
    <t>Add: Depreciation &amp; Amortization</t>
  </si>
  <si>
    <t>Cash NOPAT</t>
  </si>
  <si>
    <t>Capex during the Year</t>
  </si>
  <si>
    <t>Less: Minority Interest</t>
  </si>
  <si>
    <t>Add: Non Operating Asset</t>
  </si>
  <si>
    <t>Less: Value of Options</t>
  </si>
  <si>
    <t>Equity Value for Shareholders</t>
  </si>
  <si>
    <t>Valuing Options or Warrants</t>
  </si>
  <si>
    <t>Enter the current stock price =</t>
  </si>
  <si>
    <t>Enter the strike price on the option =</t>
  </si>
  <si>
    <t>Enter the expiration of the option =</t>
  </si>
  <si>
    <t>Enter the standard deviation in stock prices =</t>
  </si>
  <si>
    <t>(volatility)</t>
  </si>
  <si>
    <t>Enter the annualized dividend yield on stock =</t>
  </si>
  <si>
    <t>Enter the Risk Free rate =</t>
  </si>
  <si>
    <t>Enter the number of options outstanding =</t>
  </si>
  <si>
    <t>Enter the number of shares outstanding =</t>
  </si>
  <si>
    <t>Do not input any numbers below this line</t>
  </si>
  <si>
    <t>VALUING OPTIONS WHEN THERE IS DILUTION</t>
  </si>
  <si>
    <t>Stock Price=</t>
  </si>
  <si>
    <t># Warrants issued=</t>
  </si>
  <si>
    <t>Strike Price=</t>
  </si>
  <si>
    <t># Shares outstanding=</t>
  </si>
  <si>
    <t>Adjusted S =</t>
  </si>
  <si>
    <t>T.Bond rate=</t>
  </si>
  <si>
    <t>Adjusted K =</t>
  </si>
  <si>
    <t>Variance=</t>
  </si>
  <si>
    <t>Expiration (in years) =</t>
  </si>
  <si>
    <t>Annualized dividend yield=</t>
  </si>
  <si>
    <t>Div. Adj. interest rate=</t>
  </si>
  <si>
    <t xml:space="preserve">d1 = </t>
  </si>
  <si>
    <t>N (d1) =</t>
  </si>
  <si>
    <t xml:space="preserve">d2 = </t>
  </si>
  <si>
    <t>N (d2) =</t>
  </si>
  <si>
    <t xml:space="preserve">Value per option = </t>
  </si>
  <si>
    <t>Value of all options outstanding =</t>
  </si>
  <si>
    <t>Expected volatility</t>
  </si>
  <si>
    <t>Expected Dividends</t>
  </si>
  <si>
    <t>Maturity</t>
  </si>
  <si>
    <t>Exercise Price</t>
  </si>
  <si>
    <t>Grant Date</t>
  </si>
  <si>
    <t>Tranche</t>
  </si>
  <si>
    <t>No. of Options granted</t>
  </si>
  <si>
    <t>Weighted Average</t>
  </si>
  <si>
    <t>Tax rate is considered as Marginal Tax rate of India</t>
  </si>
  <si>
    <t>Cost of Debt</t>
  </si>
  <si>
    <t>Equity Risk Premium (ERP)</t>
  </si>
  <si>
    <t>For the purpose of assessing the cost of debt, we have used country's risk free rate, country's default spread and corporate default spread based on company's debt rating and interest coverage ratio.</t>
  </si>
  <si>
    <t xml:space="preserve">Small Size Premium </t>
  </si>
  <si>
    <t>Less: COGS</t>
  </si>
  <si>
    <t>Comparable Companies</t>
  </si>
  <si>
    <t>Description</t>
  </si>
  <si>
    <t xml:space="preserve">Varun Beverages Ltd has been associated with PepsiCo since the 1990s and is a key player in beverage industry and one of the largest franchisee of PepsiCo in the world. The company produces and distributes a wide range of carbonated soft drinks, non-carbonated drinks and packaged water sold under trademarks owned by PepsiCo. PepsiCo brands produced and sold by the company include Pepsi, Seven-up, Mirinda Orange, Mountain Dew, Tropicana Juices and many more. </t>
  </si>
  <si>
    <t>Nestle India Ltd.</t>
  </si>
  <si>
    <t>Nestle India Ltd. is one of the leading food and beverage companies in India. It is a subsidiary of Nestle S.A. The company operates in multiple lines of business, including nutrition, health and wellness, beverages, prepared dishes and cooking aids, confectionery, and dairy products. It is well-known for its wide range of products, including coffee, tea, chocolate, breakfast cereals, infant nutrition, dairy products, pet food, and bottled water. Some of the popular brands from Nestle India Ltd. are Nescafe, Maggi, KitKat, Milkmaid, Cerelac, and Nestea</t>
  </si>
  <si>
    <t>Britannia Industries Limited</t>
  </si>
  <si>
    <t>Britannia Industries Limited is an India-based food products company. The Company is primarily engaged in the manufacturing and sale of various food products including biscuits, dairy, breads, rusk, cakes and snacking. It also has a range of popular brands such as Good Day, Tiger, NutriChoice, Marie Gold, Milk Bikis, 50-50, Little Hearts, and Britannia.</t>
  </si>
  <si>
    <t>Bikaji Foods International Ltd.</t>
  </si>
  <si>
    <t>Bikaji Foods International Ltd is an India-based ethnic snacking company. The company's product range includes six principal categories: bhujia, namkeen, packaged sweets, papad, western snacks as well as other snacks which primarily include gift packs (assortment), frozen food, mathri range, and cookies.</t>
  </si>
  <si>
    <t xml:space="preserve">Summary </t>
  </si>
  <si>
    <t>Historical Average</t>
  </si>
  <si>
    <t xml:space="preserve">Average Revenue Growth </t>
  </si>
  <si>
    <t>n/a</t>
  </si>
  <si>
    <t xml:space="preserve">Average EBITDA Margin </t>
  </si>
  <si>
    <t xml:space="preserve">Average EBIT Margin </t>
  </si>
  <si>
    <t xml:space="preserve">Average PBT Margin </t>
  </si>
  <si>
    <t>Average PAT Margin</t>
  </si>
  <si>
    <t xml:space="preserve">Median Revenue Growth </t>
  </si>
  <si>
    <t xml:space="preserve">Median EBITDA Margin </t>
  </si>
  <si>
    <t xml:space="preserve">Median EBIT Margin </t>
  </si>
  <si>
    <t xml:space="preserve">Median PBT Margin </t>
  </si>
  <si>
    <t>Median PAT Margin</t>
  </si>
  <si>
    <t xml:space="preserve">Revenue Growth </t>
  </si>
  <si>
    <t>Mean</t>
  </si>
  <si>
    <t xml:space="preserve">EBITDA Margin </t>
  </si>
  <si>
    <t xml:space="preserve">EBIT Margin </t>
  </si>
  <si>
    <t xml:space="preserve">PBT Margin </t>
  </si>
  <si>
    <t>PAT Margin</t>
  </si>
  <si>
    <t>Market Data</t>
  </si>
  <si>
    <t>Financials</t>
  </si>
  <si>
    <t>Multiples</t>
  </si>
  <si>
    <t>2024A</t>
  </si>
  <si>
    <t>2025F</t>
  </si>
  <si>
    <t>2026F</t>
  </si>
  <si>
    <t>Relative Valuation</t>
  </si>
  <si>
    <t>Ticker</t>
  </si>
  <si>
    <t>Share Price</t>
  </si>
  <si>
    <t>Market Cap</t>
  </si>
  <si>
    <t>Sales</t>
  </si>
  <si>
    <t>Sales Growth (%)</t>
  </si>
  <si>
    <t>EBITDA Margin (%)</t>
  </si>
  <si>
    <t>PAT</t>
  </si>
  <si>
    <t>PAT Margin (%)</t>
  </si>
  <si>
    <t>EV/Sales</t>
  </si>
  <si>
    <t>EV/EBITDA</t>
  </si>
  <si>
    <t>NSE: VBL</t>
  </si>
  <si>
    <t>NSE: NESTLEIND</t>
  </si>
  <si>
    <t>BRITANNIA</t>
  </si>
  <si>
    <t>P/E</t>
  </si>
  <si>
    <t>BIKAJI</t>
  </si>
  <si>
    <t>75th Percentile</t>
  </si>
  <si>
    <t>25th Percentile</t>
  </si>
  <si>
    <t>Earnings</t>
  </si>
  <si>
    <t>Valution Multiple</t>
  </si>
  <si>
    <t>Juice Based Drink</t>
  </si>
  <si>
    <t>Packaged Drinking Water</t>
  </si>
  <si>
    <t>Carbonated Soft Drink</t>
  </si>
  <si>
    <t>Date</t>
  </si>
  <si>
    <t>Adj Close</t>
  </si>
  <si>
    <t>Global GDP Predictions</t>
  </si>
  <si>
    <t>World</t>
  </si>
  <si>
    <t>Advanced Economies</t>
  </si>
  <si>
    <t>Emerging Economies</t>
  </si>
  <si>
    <t>US</t>
  </si>
  <si>
    <t>UK</t>
  </si>
  <si>
    <t>Euro Area</t>
  </si>
  <si>
    <t>2023A</t>
  </si>
  <si>
    <t>2024P</t>
  </si>
  <si>
    <t>2025P</t>
  </si>
  <si>
    <t>India GDP growth</t>
  </si>
  <si>
    <t>Quarterly</t>
  </si>
  <si>
    <t>Projected</t>
  </si>
  <si>
    <t>May 31, 2024 (Q4)</t>
  </si>
  <si>
    <t>Feb 29, 2024 (Q3)</t>
  </si>
  <si>
    <t>Nov 30, 2023 (Q2)</t>
  </si>
  <si>
    <t>Aug 31, 2023 (Q1)</t>
  </si>
  <si>
    <t>May 31, 2023 (Q4)</t>
  </si>
  <si>
    <t>Feb 28, 2023 (Q3)</t>
  </si>
  <si>
    <t>Nov 30, 2022 (Q2)</t>
  </si>
  <si>
    <t>Aug 31, 2022 (Q1)</t>
  </si>
  <si>
    <t>actual</t>
  </si>
  <si>
    <t>Forecast</t>
  </si>
  <si>
    <t>Q1FY23</t>
  </si>
  <si>
    <t>Q2FY23</t>
  </si>
  <si>
    <t>Q3FY23</t>
  </si>
  <si>
    <t>Q4FY23</t>
  </si>
  <si>
    <t>Q1FY24</t>
  </si>
  <si>
    <t>Q3FY24</t>
  </si>
  <si>
    <t>Q2FY24</t>
  </si>
  <si>
    <t>Q4FY24</t>
  </si>
  <si>
    <t>In Billion Litres</t>
  </si>
  <si>
    <t>CSD (at home)</t>
  </si>
  <si>
    <t>CSD (out of home)</t>
  </si>
  <si>
    <t>Profit &amp; Loss Statement</t>
  </si>
  <si>
    <t xml:space="preserve">Balance Sheet </t>
  </si>
  <si>
    <t>LTB</t>
  </si>
  <si>
    <t>STB</t>
  </si>
  <si>
    <t>TB</t>
  </si>
  <si>
    <t>(in crores)</t>
  </si>
  <si>
    <t>CAPEX Chart</t>
  </si>
  <si>
    <t>Mirinda</t>
  </si>
  <si>
    <t>Pepsi</t>
  </si>
  <si>
    <t>Mountain Dew</t>
  </si>
  <si>
    <t>Seven-Up</t>
  </si>
  <si>
    <t>Revnue chart</t>
  </si>
  <si>
    <t>Growth</t>
  </si>
  <si>
    <t>Cash/Revenue</t>
  </si>
  <si>
    <t>SG&amp;A % Revenue</t>
  </si>
  <si>
    <t>Trade Receivable Days</t>
  </si>
  <si>
    <t>Trade Payable</t>
  </si>
  <si>
    <t>STB % revenue</t>
  </si>
  <si>
    <t>Maturity Period</t>
  </si>
  <si>
    <t>Sensitivity Analysis</t>
  </si>
  <si>
    <t>WACC</t>
  </si>
  <si>
    <t>Terminal Growth %</t>
  </si>
  <si>
    <t>PE</t>
  </si>
  <si>
    <t>The Indian soft drink market is expected to see "significant growth" as consumption is anticipated to increase steadily, which will deliver sustainable and healthy volume growth across all product categories, said Varun Beverages Ltd (VBL), PepsiCo's largest franchise bottler. This would be driven by factors such as shifting population demographics, the rising spending power of young consumers, accelerated urbanisation, and growing rural consumption.</t>
  </si>
  <si>
    <t>Credit Default spread as per Dr. Damodaran</t>
  </si>
  <si>
    <t>Empirically small sized assets have exceeded the returns as compared to large sized assets. We have used the study on size premium conducted by Incwert which is based on difference between actual returns and CAPM expected returns arranged in decile basis market capitalization of Indian companies.</t>
  </si>
  <si>
    <t>Criteria :- Indian listed companies which derive majority of their revenues from Food &amp; Beverages segment.</t>
  </si>
  <si>
    <t>Keynote (COGS)</t>
  </si>
  <si>
    <t>Motilal Oswal (Revenue)</t>
  </si>
  <si>
    <t>Axis (Revenue)</t>
  </si>
  <si>
    <t>Intangible Non Current Asset</t>
  </si>
  <si>
    <t>Gross Fixed Assets</t>
  </si>
  <si>
    <t>PP&amp;E</t>
  </si>
  <si>
    <t>Right of Use Assets</t>
  </si>
  <si>
    <t xml:space="preserve">Useful Life - </t>
  </si>
  <si>
    <t>LTB growth %</t>
  </si>
  <si>
    <t>We assume Dividend Payout Ratio to remain flat at 15% initially and then increase at regular intervals reaching a ratio of 70% in the terminal year, being reflective of a mature company.</t>
  </si>
  <si>
    <t xml:space="preserve">Keynote </t>
  </si>
  <si>
    <t xml:space="preserve">Motilal Oswal </t>
  </si>
  <si>
    <t xml:space="preserve">Axis </t>
  </si>
  <si>
    <t>Liabilities</t>
  </si>
  <si>
    <t>Amount (in INR millions)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</si>
</sst>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164" formatCode="#,##0;\(#,##0\);\-"/>
    <numFmt numFmtId="165" formatCode="0.0%"/>
    <numFmt numFmtId="166" formatCode="&quot;FY&quot;0"/>
    <numFmt numFmtId="167" formatCode="&quot;₹&quot;\ #,##0.00"/>
    <numFmt numFmtId="168" formatCode="&quot;₹&quot;\ #,##0"/>
    <numFmt numFmtId="169" formatCode="0&quot; Years&quot;"/>
    <numFmt numFmtId="170" formatCode="&quot;₹&quot;\ #,##0;\(&quot;₹&quot;\ #,##0\);\-"/>
    <numFmt numFmtId="171" formatCode="0&quot; Days&quot;"/>
    <numFmt numFmtId="172" formatCode="0&quot; days&quot;"/>
    <numFmt numFmtId="173" formatCode="&quot;Debt Tenure - &quot;0&quot; years&quot;"/>
    <numFmt numFmtId="174" formatCode="0.0&quot;x&quot;"/>
    <numFmt numFmtId="175" formatCode="0.0\ &quot;days&quot;"/>
    <numFmt numFmtId="176" formatCode="0.000"/>
    <numFmt numFmtId="177" formatCode="0&quot;x&quot;"/>
    <numFmt numFmtId="178" formatCode="#,##0.00;\(#,##0.00\);\-"/>
    <numFmt numFmtId="179" formatCode="&quot;CY&quot;0"/>
    <numFmt numFmtId="180" formatCode="0.00&quot;x&quot;"/>
    <numFmt numFmtId="181" formatCode="0.0"/>
    <numFmt numFmtId="182" formatCode="&quot;CY&quot;0&quot;E&quot;"/>
    <numFmt numFmtId="183" formatCode="_(&quot;$&quot;* #,##0.00_);_(&quot;$&quot;* \(#,##0.00\);_(&quot;$&quot;* &quot;-&quot;??_);_(@_)"/>
    <numFmt numFmtId="184" formatCode="_(* #,##0.00_);_(* \(#,##0.00\);_(* &quot;-&quot;??_);_(@_)"/>
    <numFmt numFmtId="185" formatCode="#,##0.0000"/>
    <numFmt numFmtId="186" formatCode="0.0000"/>
    <numFmt numFmtId="187" formatCode="0&quot;A&quot;"/>
    <numFmt numFmtId="188" formatCode="0&quot;F&quot;"/>
  </numFmts>
  <fonts count="100">
    <font>
      <sz val="11"/>
      <color theme="1"/>
      <name val="Calibr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1"/>
      <name val="Calibri"/>
      <family val="2"/>
      <scheme val="minor"/>
    </font>
    <font>
      <sz val="12"/>
      <name val="Arial"/>
      <family val="2"/>
    </font>
    <font>
      <b/>
      <sz val="11"/>
      <color rgb="FF000000"/>
      <name val="Calibri"/>
      <family val="2"/>
      <scheme val="minor"/>
    </font>
    <font>
      <sz val="10"/>
      <name val="Calibri"/>
      <family val="2"/>
      <scheme val="minor"/>
    </font>
    <font>
      <b/>
      <sz val="11"/>
      <color theme="1"/>
      <name val="Calibri"/>
      <family val="2"/>
      <scheme val="minor"/>
    </font>
    <font>
      <i/>
      <sz val="11"/>
      <color theme="1"/>
      <name val="Calibri"/>
      <family val="2"/>
      <scheme val="minor"/>
    </font>
    <font>
      <sz val="11"/>
      <color theme="1"/>
      <name val="Calibri"/>
      <family val="2"/>
      <scheme val="minor"/>
    </font>
    <font>
      <b/>
      <sz val="11"/>
      <color theme="0"/>
      <name val="Calibri"/>
      <family val="2"/>
      <scheme val="minor"/>
    </font>
    <font>
      <b/>
      <sz val="10"/>
      <color theme="1"/>
      <name val="Calibri"/>
      <family val="2"/>
      <scheme val="minor"/>
    </font>
    <font>
      <sz val="10"/>
      <color theme="1"/>
      <name val="Calibri"/>
      <family val="2"/>
      <scheme val="minor"/>
    </font>
    <font>
      <b/>
      <u/>
      <sz val="11"/>
      <name val="Calibri"/>
      <family val="2"/>
      <scheme val="minor"/>
    </font>
    <font>
      <b/>
      <sz val="11"/>
      <color theme="0"/>
      <name val="Calibri"/>
      <family val="2"/>
    </font>
    <font>
      <b/>
      <sz val="11"/>
      <color theme="1"/>
      <name val="Calibri"/>
      <family val="2"/>
    </font>
    <font>
      <i/>
      <sz val="10"/>
      <color theme="1"/>
      <name val="Calibri"/>
      <family val="2"/>
    </font>
    <font>
      <b/>
      <sz val="16"/>
      <color rgb="FF0000FF"/>
      <name val="Calibri"/>
      <family val="2"/>
    </font>
    <font>
      <b/>
      <sz val="14"/>
      <color theme="1"/>
      <name val="Calibri"/>
      <family val="2"/>
    </font>
    <font>
      <b/>
      <sz val="11"/>
      <name val="Calibri"/>
      <family val="2"/>
    </font>
    <font>
      <b/>
      <sz val="14"/>
      <color theme="0"/>
      <name val="Calibri"/>
      <family val="2"/>
    </font>
    <font>
      <sz val="11"/>
      <color rgb="FF3333FF"/>
      <name val="Calibri"/>
      <family val="2"/>
    </font>
    <font>
      <sz val="11"/>
      <name val="Calibri"/>
      <family val="2"/>
    </font>
    <font>
      <sz val="11"/>
      <color theme="9" tint="-0.249977111117893"/>
      <name val="Calibri"/>
      <family val="2"/>
    </font>
    <font>
      <b/>
      <sz val="11"/>
      <color theme="9" tint="-0.249977111117893"/>
      <name val="Calibri"/>
      <family val="2"/>
    </font>
    <font>
      <sz val="11"/>
      <color rgb="FF0000FF"/>
      <name val="Calibri"/>
      <family val="2"/>
    </font>
    <font>
      <sz val="11"/>
      <color theme="1"/>
      <name val="Calibri"/>
      <family val="2"/>
    </font>
    <font>
      <b/>
      <u/>
      <sz val="11"/>
      <color theme="1"/>
      <name val="Calibri"/>
      <family val="2"/>
    </font>
    <font>
      <b/>
      <sz val="11"/>
      <color rgb="FF0000FF"/>
      <name val="Calibri"/>
      <family val="2"/>
    </font>
    <font>
      <sz val="11"/>
      <color rgb="FF000000"/>
      <name val="Calibri"/>
      <family val="2"/>
      <scheme val="minor"/>
    </font>
    <font>
      <b/>
      <u/>
      <sz val="11"/>
      <color rgb="FF000000"/>
      <name val="Calibri"/>
      <family val="2"/>
      <scheme val="minor"/>
    </font>
    <font>
      <b/>
      <sz val="11"/>
      <name val="Calibri"/>
      <family val="2"/>
      <scheme val="minor"/>
    </font>
    <font>
      <b/>
      <sz val="11"/>
      <color rgb="FF3333FF"/>
      <name val="Calibri"/>
      <family val="2"/>
    </font>
    <font>
      <sz val="11"/>
      <color theme="0" tint="-0.14999847407452621"/>
      <name val="Calibri"/>
      <family val="2"/>
    </font>
    <font>
      <b/>
      <sz val="10"/>
      <color theme="0"/>
      <name val="Calibri"/>
      <family val="2"/>
      <scheme val="minor"/>
    </font>
    <font>
      <i/>
      <sz val="10"/>
      <color theme="1"/>
      <name val="Calibri"/>
      <family val="2"/>
      <scheme val="minor"/>
    </font>
    <font>
      <b/>
      <sz val="12"/>
      <color theme="1"/>
      <name val="Calibri"/>
      <family val="2"/>
    </font>
    <font>
      <u/>
      <sz val="11"/>
      <color theme="10"/>
      <name val="Calibri"/>
      <family val="2"/>
    </font>
    <font>
      <b/>
      <sz val="11"/>
      <color rgb="FFFF0000"/>
      <name val="Calibri"/>
      <family val="2"/>
    </font>
    <font>
      <sz val="11"/>
      <color rgb="FFFF0000"/>
      <name val="Calibri"/>
      <family val="2"/>
    </font>
    <font>
      <b/>
      <sz val="24"/>
      <color theme="1"/>
      <name val="Calibri"/>
      <family val="2"/>
    </font>
    <font>
      <i/>
      <sz val="11"/>
      <color theme="1"/>
      <name val="Calibri"/>
      <family val="2"/>
    </font>
    <font>
      <sz val="11"/>
      <color theme="9" tint="-0.249977111117893"/>
      <name val="Calibri"/>
      <family val="2"/>
      <scheme val="minor"/>
    </font>
    <font>
      <b/>
      <i/>
      <sz val="11"/>
      <color rgb="FF000000"/>
      <name val="Calibri"/>
      <family val="2"/>
      <scheme val="minor"/>
    </font>
    <font>
      <b/>
      <sz val="11"/>
      <color rgb="FF22222F"/>
      <name val="Calibri"/>
      <family val="2"/>
    </font>
    <font>
      <b/>
      <sz val="16"/>
      <color theme="1"/>
      <name val="Calibri"/>
      <family val="2"/>
    </font>
    <font>
      <sz val="11"/>
      <color rgb="FF22222F"/>
      <name val="Calibri"/>
      <family val="2"/>
      <scheme val="minor"/>
    </font>
    <font>
      <b/>
      <u/>
      <sz val="12"/>
      <color theme="4" tint="-0.499984740745262"/>
      <name val="Calibri"/>
      <family val="2"/>
      <scheme val="minor"/>
    </font>
    <font>
      <sz val="11"/>
      <color rgb="FF22222F"/>
      <name val="Arial"/>
      <family val="2"/>
    </font>
    <font>
      <strike/>
      <sz val="11"/>
      <color theme="1"/>
      <name val="Calibri"/>
      <family val="2"/>
    </font>
    <font>
      <sz val="11"/>
      <color theme="0"/>
      <name val="Calibri"/>
      <family val="2"/>
    </font>
    <font>
      <b/>
      <sz val="14"/>
      <color rgb="FF002060"/>
      <name val="Calibri"/>
      <family val="2"/>
    </font>
    <font>
      <sz val="12"/>
      <color theme="1"/>
      <name val="Calibri"/>
      <family val="2"/>
    </font>
    <font>
      <b/>
      <sz val="12"/>
      <name val="Calibri"/>
      <family val="2"/>
    </font>
    <font>
      <b/>
      <sz val="12"/>
      <color theme="0"/>
      <name val="Calibri"/>
      <family val="2"/>
    </font>
    <font>
      <b/>
      <sz val="14"/>
      <name val="Calibri"/>
      <family val="2"/>
    </font>
    <font>
      <sz val="9"/>
      <color indexed="81"/>
      <name val="Tahoma"/>
      <family val="2"/>
    </font>
    <font>
      <b/>
      <sz val="9"/>
      <color indexed="81"/>
      <name val="Tahoma"/>
      <family val="2"/>
    </font>
    <font>
      <sz val="11"/>
      <color theme="2"/>
      <name val="Calibri"/>
      <family val="2"/>
    </font>
    <font>
      <b/>
      <sz val="10"/>
      <name val="Times"/>
      <family val="1"/>
    </font>
    <font>
      <sz val="10"/>
      <name val="Geneva"/>
      <family val="2"/>
      <charset val="1"/>
    </font>
    <font>
      <i/>
      <sz val="10"/>
      <name val="Times Roman"/>
    </font>
    <font>
      <sz val="10"/>
      <name val="Times Roman"/>
    </font>
    <font>
      <sz val="12"/>
      <name val="Helvetica"/>
      <family val="2"/>
    </font>
    <font>
      <i/>
      <sz val="11"/>
      <name val="Calibri"/>
      <family val="2"/>
    </font>
    <font>
      <sz val="9"/>
      <name val="Geneva"/>
      <family val="2"/>
    </font>
    <font>
      <b/>
      <sz val="14"/>
      <name val="Geneva"/>
      <family val="2"/>
    </font>
    <font>
      <b/>
      <sz val="11"/>
      <color rgb="FF3333FF"/>
      <name val="Calibri"/>
      <family val="2"/>
      <scheme val="minor"/>
    </font>
    <font>
      <b/>
      <i/>
      <sz val="11"/>
      <name val="Calibri"/>
      <family val="2"/>
      <scheme val="minor"/>
    </font>
    <font>
      <i/>
      <sz val="11"/>
      <name val="Calibri"/>
      <family val="2"/>
      <scheme val="minor"/>
    </font>
    <font>
      <i/>
      <sz val="10"/>
      <name val="Geneva"/>
      <family val="2"/>
    </font>
    <font>
      <sz val="10"/>
      <name val="Times"/>
      <family val="1"/>
    </font>
    <font>
      <b/>
      <i/>
      <sz val="9"/>
      <name val="Geneva"/>
    </font>
    <font>
      <sz val="9"/>
      <color indexed="81"/>
      <name val="Tahoma"/>
      <charset val="1"/>
    </font>
    <font>
      <b/>
      <sz val="9"/>
      <color indexed="81"/>
      <name val="Tahoma"/>
      <charset val="1"/>
    </font>
    <font>
      <b/>
      <sz val="11"/>
      <color rgb="FF002060"/>
      <name val="Calibri"/>
      <family val="2"/>
    </font>
    <font>
      <sz val="11"/>
      <color theme="0"/>
      <name val="Calibri"/>
      <family val="2"/>
      <scheme val="minor"/>
    </font>
    <font>
      <b/>
      <sz val="12"/>
      <color theme="0"/>
      <name val="Calibri"/>
      <family val="2"/>
      <scheme val="minor"/>
    </font>
    <font>
      <sz val="10"/>
      <color rgb="FF000000"/>
      <name val="Arial"/>
      <family val="2"/>
    </font>
    <font>
      <sz val="10"/>
      <color rgb="FF000000"/>
      <name val="Arial"/>
      <family val="2"/>
    </font>
    <font>
      <sz val="10"/>
      <color rgb="FF0EA600"/>
      <name val="Arial"/>
      <family val="2"/>
    </font>
    <font>
      <sz val="10"/>
      <color rgb="FFFF0000"/>
      <name val="Arial"/>
      <family val="2"/>
    </font>
    <font>
      <b/>
      <sz val="12"/>
      <color rgb="FF3333FF"/>
      <name val="Calibri"/>
      <family val="2"/>
    </font>
    <font>
      <i/>
      <sz val="10"/>
      <name val="Calibri"/>
      <family val="2"/>
      <scheme val="minor"/>
    </font>
    <font>
      <i/>
      <sz val="9"/>
      <color theme="1"/>
      <name val="Calibri"/>
      <family val="2"/>
      <scheme val="minor"/>
    </font>
    <font>
      <sz val="11"/>
      <color theme="2" tint="-0.249977111117893"/>
      <name val="Calibri"/>
      <family val="2"/>
      <scheme val="minor"/>
    </font>
  </fonts>
  <fills count="14">
    <fill>
      <patternFill patternType="none"/>
    </fill>
    <fill>
      <patternFill patternType="gray125"/>
    </fill>
    <fill>
      <patternFill patternType="solid">
        <fgColor rgb="FF002060"/>
        <bgColor indexed="64"/>
      </patternFill>
    </fill>
    <fill>
      <patternFill patternType="solid">
        <fgColor theme="4" tint="-0.499984740745262"/>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0"/>
        <bgColor indexed="64"/>
      </patternFill>
    </fill>
    <fill>
      <patternFill patternType="solid">
        <fgColor theme="2"/>
        <bgColor indexed="64"/>
      </patternFill>
    </fill>
    <fill>
      <patternFill patternType="solid">
        <fgColor theme="0" tint="-4.9989318521683403E-2"/>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CFDFE"/>
        <bgColor indexed="64"/>
      </patternFill>
    </fill>
    <fill>
      <patternFill patternType="solid">
        <fgColor theme="9" tint="0.79998168889431442"/>
        <bgColor indexed="64"/>
      </patternFill>
    </fill>
    <fill>
      <patternFill patternType="solid">
        <fgColor theme="2" tint="-0.499984740745262"/>
        <bgColor indexed="64"/>
      </patternFill>
    </fill>
  </fills>
  <borders count="27">
    <border>
      <left/>
      <right/>
      <top/>
      <bottom/>
      <diagonal/>
    </border>
    <border>
      <left/>
      <right/>
      <top/>
      <bottom style="thin">
        <color indexed="64"/>
      </bottom>
      <diagonal/>
    </border>
    <border>
      <left/>
      <right/>
      <top style="thin">
        <color indexed="64"/>
      </top>
      <bottom style="medium">
        <color indexed="64"/>
      </bottom>
      <diagonal/>
    </border>
    <border>
      <left/>
      <right/>
      <top style="hair">
        <color auto="1"/>
      </top>
      <bottom style="hair">
        <color auto="1"/>
      </bottom>
      <diagonal/>
    </border>
    <border>
      <left/>
      <right/>
      <top style="thin">
        <color auto="1"/>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top/>
      <bottom style="hair">
        <color auto="1"/>
      </bottom>
      <diagonal/>
    </border>
    <border>
      <left/>
      <right/>
      <top/>
      <bottom style="medium">
        <color auto="1"/>
      </bottom>
      <diagonal/>
    </border>
    <border>
      <left/>
      <right/>
      <top/>
      <bottom style="medium">
        <color rgb="FFE3EAF2"/>
      </bottom>
      <diagonal/>
    </border>
    <border>
      <left style="thin">
        <color auto="1"/>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theme="2" tint="-0.24994659260841701"/>
      </left>
      <right/>
      <top style="medium">
        <color theme="2" tint="-0.24994659260841701"/>
      </top>
      <bottom style="hair">
        <color theme="2" tint="-0.24994659260841701"/>
      </bottom>
      <diagonal/>
    </border>
    <border>
      <left/>
      <right/>
      <top style="medium">
        <color theme="2" tint="-0.24994659260841701"/>
      </top>
      <bottom style="hair">
        <color theme="2" tint="-0.24994659260841701"/>
      </bottom>
      <diagonal/>
    </border>
    <border>
      <left style="medium">
        <color theme="2" tint="-0.24994659260841701"/>
      </left>
      <right/>
      <top style="hair">
        <color theme="2" tint="-0.24994659260841701"/>
      </top>
      <bottom style="hair">
        <color theme="2" tint="-0.24994659260841701"/>
      </bottom>
      <diagonal/>
    </border>
    <border>
      <left/>
      <right/>
      <top style="hair">
        <color theme="2" tint="-0.24994659260841701"/>
      </top>
      <bottom style="hair">
        <color theme="2" tint="-0.24994659260841701"/>
      </bottom>
      <diagonal/>
    </border>
    <border>
      <left style="medium">
        <color theme="2" tint="-0.24994659260841701"/>
      </left>
      <right/>
      <top style="hair">
        <color theme="2" tint="-0.24994659260841701"/>
      </top>
      <bottom/>
      <diagonal/>
    </border>
    <border>
      <left/>
      <right/>
      <top style="hair">
        <color theme="2" tint="-0.24994659260841701"/>
      </top>
      <bottom/>
      <diagonal/>
    </border>
    <border>
      <left style="thin">
        <color auto="1"/>
      </left>
      <right/>
      <top/>
      <bottom/>
      <diagonal/>
    </border>
  </borders>
  <cellStyleXfs count="13">
    <xf numFmtId="0" fontId="0" fillId="0" borderId="0"/>
    <xf numFmtId="9" fontId="23" fillId="0" borderId="0" applyFont="0" applyFill="0" applyBorder="0" applyAlignment="0" applyProtection="0"/>
    <xf numFmtId="0" fontId="16" fillId="0" borderId="0"/>
    <xf numFmtId="0" fontId="18" fillId="0" borderId="0"/>
    <xf numFmtId="0" fontId="15" fillId="0" borderId="0"/>
    <xf numFmtId="9" fontId="15" fillId="0" borderId="0" applyFont="0" applyFill="0" applyBorder="0" applyAlignment="0" applyProtection="0"/>
    <xf numFmtId="0" fontId="51" fillId="0" borderId="0" applyNumberFormat="0" applyFill="0" applyBorder="0" applyAlignment="0" applyProtection="0"/>
    <xf numFmtId="0" fontId="79" fillId="0" borderId="0"/>
    <xf numFmtId="183" fontId="79" fillId="0" borderId="0" applyFont="0" applyFill="0" applyBorder="0" applyAlignment="0" applyProtection="0"/>
    <xf numFmtId="9" fontId="79" fillId="0" borderId="0" applyFont="0" applyFill="0" applyBorder="0" applyAlignment="0" applyProtection="0"/>
    <xf numFmtId="184" fontId="79" fillId="0" borderId="0" applyFont="0" applyFill="0" applyBorder="0" applyAlignment="0" applyProtection="0"/>
    <xf numFmtId="0" fontId="4" fillId="0" borderId="0"/>
    <xf numFmtId="9" fontId="4" fillId="0" borderId="0" applyFont="0" applyFill="0" applyBorder="0" applyAlignment="0" applyProtection="0"/>
  </cellStyleXfs>
  <cellXfs count="573">
    <xf numFmtId="0" fontId="0" fillId="0" borderId="0" xfId="0"/>
    <xf numFmtId="164" fontId="19" fillId="0" borderId="0" xfId="3" applyNumberFormat="1" applyFont="1" applyAlignment="1">
      <alignment vertical="center"/>
    </xf>
    <xf numFmtId="0" fontId="20" fillId="0" borderId="0" xfId="2" applyFont="1"/>
    <xf numFmtId="0" fontId="17" fillId="0" borderId="0" xfId="2" applyFont="1"/>
    <xf numFmtId="0" fontId="20" fillId="0" borderId="0" xfId="2" applyFont="1" applyAlignment="1">
      <alignment horizontal="left" indent="1"/>
    </xf>
    <xf numFmtId="0" fontId="27" fillId="0" borderId="0" xfId="2" applyFont="1"/>
    <xf numFmtId="0" fontId="30" fillId="0" borderId="1" xfId="0" applyFont="1" applyBorder="1"/>
    <xf numFmtId="0" fontId="0" fillId="0" borderId="1" xfId="0" applyBorder="1"/>
    <xf numFmtId="0" fontId="31" fillId="0" borderId="0" xfId="0" applyFont="1"/>
    <xf numFmtId="0" fontId="32" fillId="0" borderId="0" xfId="0" applyFont="1"/>
    <xf numFmtId="0" fontId="34" fillId="3" borderId="0" xfId="0" applyFont="1" applyFill="1"/>
    <xf numFmtId="0" fontId="29" fillId="0" borderId="0" xfId="0" applyFont="1"/>
    <xf numFmtId="0" fontId="35" fillId="0" borderId="3" xfId="0" applyFont="1" applyBorder="1"/>
    <xf numFmtId="0" fontId="0" fillId="0" borderId="3" xfId="0" applyBorder="1"/>
    <xf numFmtId="0" fontId="0" fillId="4" borderId="0" xfId="0" applyFill="1"/>
    <xf numFmtId="0" fontId="29" fillId="4" borderId="0" xfId="0" applyFont="1" applyFill="1"/>
    <xf numFmtId="0" fontId="36" fillId="0" borderId="3" xfId="0" applyFont="1" applyBorder="1"/>
    <xf numFmtId="0" fontId="29" fillId="6" borderId="0" xfId="0" applyFont="1" applyFill="1"/>
    <xf numFmtId="0" fontId="0" fillId="6" borderId="0" xfId="0" applyFill="1"/>
    <xf numFmtId="165" fontId="35" fillId="0" borderId="3" xfId="0" applyNumberFormat="1" applyFont="1" applyBorder="1"/>
    <xf numFmtId="0" fontId="29" fillId="0" borderId="4" xfId="0" applyFont="1" applyBorder="1"/>
    <xf numFmtId="0" fontId="0" fillId="0" borderId="4" xfId="0" applyBorder="1"/>
    <xf numFmtId="0" fontId="35" fillId="0" borderId="0" xfId="0" applyFont="1"/>
    <xf numFmtId="168" fontId="29" fillId="0" borderId="4" xfId="0" applyNumberFormat="1" applyFont="1" applyBorder="1"/>
    <xf numFmtId="165" fontId="0" fillId="4" borderId="0" xfId="1" applyNumberFormat="1" applyFont="1" applyFill="1"/>
    <xf numFmtId="0" fontId="29" fillId="0" borderId="2" xfId="0" applyFont="1" applyBorder="1"/>
    <xf numFmtId="165" fontId="0" fillId="0" borderId="3" xfId="0" applyNumberFormat="1" applyBorder="1"/>
    <xf numFmtId="1" fontId="29" fillId="0" borderId="1" xfId="0" applyNumberFormat="1" applyFont="1" applyBorder="1"/>
    <xf numFmtId="0" fontId="0" fillId="7" borderId="0" xfId="0" applyFill="1"/>
    <xf numFmtId="165" fontId="37" fillId="7" borderId="0" xfId="1" applyNumberFormat="1" applyFont="1" applyFill="1"/>
    <xf numFmtId="167" fontId="0" fillId="0" borderId="0" xfId="0" applyNumberFormat="1"/>
    <xf numFmtId="168" fontId="29" fillId="0" borderId="0" xfId="0" applyNumberFormat="1" applyFont="1"/>
    <xf numFmtId="0" fontId="36" fillId="0" borderId="0" xfId="0" applyFont="1"/>
    <xf numFmtId="168" fontId="35" fillId="0" borderId="0" xfId="0" applyNumberFormat="1" applyFont="1"/>
    <xf numFmtId="168" fontId="36" fillId="0" borderId="0" xfId="0" applyNumberFormat="1" applyFont="1"/>
    <xf numFmtId="168" fontId="0" fillId="0" borderId="0" xfId="0" applyNumberFormat="1"/>
    <xf numFmtId="0" fontId="0" fillId="0" borderId="0" xfId="0" applyAlignment="1">
      <alignment horizontal="right"/>
    </xf>
    <xf numFmtId="165" fontId="0" fillId="0" borderId="0" xfId="1" applyNumberFormat="1" applyFont="1"/>
    <xf numFmtId="168" fontId="38" fillId="0" borderId="4" xfId="0" applyNumberFormat="1" applyFont="1" applyBorder="1"/>
    <xf numFmtId="165" fontId="29" fillId="4" borderId="0" xfId="1" applyNumberFormat="1" applyFont="1" applyFill="1"/>
    <xf numFmtId="0" fontId="0" fillId="0" borderId="0" xfId="0" applyAlignment="1">
      <alignment horizontal="left" indent="1"/>
    </xf>
    <xf numFmtId="168" fontId="38" fillId="0" borderId="0" xfId="0" applyNumberFormat="1" applyFont="1"/>
    <xf numFmtId="168" fontId="33" fillId="0" borderId="0" xfId="0" applyNumberFormat="1" applyFont="1"/>
    <xf numFmtId="0" fontId="41" fillId="0" borderId="0" xfId="0" applyFont="1"/>
    <xf numFmtId="166" fontId="0" fillId="0" borderId="0" xfId="0" applyNumberFormat="1" applyAlignment="1">
      <alignment horizontal="left"/>
    </xf>
    <xf numFmtId="168" fontId="37" fillId="0" borderId="0" xfId="0" applyNumberFormat="1" applyFont="1"/>
    <xf numFmtId="168" fontId="37" fillId="4" borderId="0" xfId="0" applyNumberFormat="1" applyFont="1" applyFill="1"/>
    <xf numFmtId="170" fontId="0" fillId="0" borderId="0" xfId="0" applyNumberFormat="1"/>
    <xf numFmtId="168" fontId="0" fillId="0" borderId="4" xfId="0" applyNumberFormat="1" applyBorder="1"/>
    <xf numFmtId="170" fontId="0" fillId="0" borderId="1" xfId="0" applyNumberFormat="1" applyBorder="1"/>
    <xf numFmtId="170" fontId="37" fillId="0" borderId="1" xfId="0" applyNumberFormat="1" applyFont="1" applyBorder="1"/>
    <xf numFmtId="0" fontId="29" fillId="8" borderId="0" xfId="0" applyFont="1" applyFill="1"/>
    <xf numFmtId="0" fontId="0" fillId="8" borderId="0" xfId="0" applyFill="1"/>
    <xf numFmtId="9" fontId="0" fillId="8" borderId="0" xfId="1" applyFont="1" applyFill="1"/>
    <xf numFmtId="9" fontId="37" fillId="8" borderId="0" xfId="1" applyFont="1" applyFill="1"/>
    <xf numFmtId="171" fontId="35" fillId="0" borderId="0" xfId="0" applyNumberFormat="1" applyFont="1"/>
    <xf numFmtId="172" fontId="29" fillId="8" borderId="0" xfId="0" applyNumberFormat="1" applyFont="1" applyFill="1"/>
    <xf numFmtId="165" fontId="29" fillId="8" borderId="0" xfId="1" applyNumberFormat="1" applyFont="1" applyFill="1"/>
    <xf numFmtId="165" fontId="36" fillId="7" borderId="0" xfId="1" applyNumberFormat="1" applyFont="1" applyFill="1"/>
    <xf numFmtId="168" fontId="39" fillId="0" borderId="0" xfId="0" applyNumberFormat="1" applyFont="1"/>
    <xf numFmtId="165" fontId="0" fillId="0" borderId="0" xfId="0" applyNumberFormat="1"/>
    <xf numFmtId="165" fontId="0" fillId="0" borderId="0" xfId="1" applyNumberFormat="1" applyFont="1" applyFill="1" applyBorder="1"/>
    <xf numFmtId="166" fontId="29" fillId="0" borderId="0" xfId="0" applyNumberFormat="1" applyFont="1"/>
    <xf numFmtId="167" fontId="29" fillId="0" borderId="0" xfId="0" applyNumberFormat="1" applyFont="1"/>
    <xf numFmtId="165" fontId="37" fillId="0" borderId="0" xfId="1" applyNumberFormat="1" applyFont="1" applyFill="1" applyBorder="1"/>
    <xf numFmtId="165" fontId="35" fillId="0" borderId="0" xfId="1" applyNumberFormat="1" applyFont="1" applyFill="1" applyBorder="1"/>
    <xf numFmtId="9" fontId="35" fillId="0" borderId="0" xfId="1" applyFont="1" applyFill="1" applyBorder="1"/>
    <xf numFmtId="165" fontId="36" fillId="0" borderId="0" xfId="1" applyNumberFormat="1" applyFont="1" applyFill="1" applyBorder="1"/>
    <xf numFmtId="169" fontId="39" fillId="0" borderId="0" xfId="0" applyNumberFormat="1" applyFont="1"/>
    <xf numFmtId="170" fontId="37" fillId="0" borderId="0" xfId="0" applyNumberFormat="1" applyFont="1"/>
    <xf numFmtId="9" fontId="0" fillId="0" borderId="0" xfId="1" applyFont="1" applyFill="1" applyBorder="1"/>
    <xf numFmtId="9" fontId="37" fillId="0" borderId="0" xfId="1" applyFont="1" applyFill="1" applyBorder="1"/>
    <xf numFmtId="172" fontId="29" fillId="0" borderId="0" xfId="0" applyNumberFormat="1" applyFont="1"/>
    <xf numFmtId="165" fontId="29" fillId="0" borderId="0" xfId="1" applyNumberFormat="1" applyFont="1" applyFill="1" applyBorder="1"/>
    <xf numFmtId="0" fontId="30" fillId="0" borderId="0" xfId="0" applyFont="1"/>
    <xf numFmtId="166" fontId="42" fillId="0" borderId="0" xfId="0" applyNumberFormat="1" applyFont="1"/>
    <xf numFmtId="164" fontId="43" fillId="0" borderId="0" xfId="3" applyNumberFormat="1" applyFont="1" applyAlignment="1">
      <alignment horizontal="left" vertical="center"/>
    </xf>
    <xf numFmtId="0" fontId="28" fillId="0" borderId="0" xfId="0" applyFont="1"/>
    <xf numFmtId="164" fontId="43" fillId="0" borderId="1" xfId="3" applyNumberFormat="1" applyFont="1" applyBorder="1" applyAlignment="1">
      <alignment horizontal="left" vertical="center" indent="1"/>
    </xf>
    <xf numFmtId="164" fontId="43" fillId="0" borderId="0" xfId="3" applyNumberFormat="1" applyFont="1" applyAlignment="1">
      <alignment vertical="center"/>
    </xf>
    <xf numFmtId="164" fontId="44" fillId="0" borderId="0" xfId="3" applyNumberFormat="1" applyFont="1" applyAlignment="1">
      <alignment horizontal="left" vertical="center"/>
    </xf>
    <xf numFmtId="164" fontId="43" fillId="0" borderId="0" xfId="3" applyNumberFormat="1" applyFont="1" applyAlignment="1">
      <alignment horizontal="left" vertical="center" indent="1"/>
    </xf>
    <xf numFmtId="0" fontId="17" fillId="0" borderId="0" xfId="2" applyFont="1" applyAlignment="1">
      <alignment horizontal="left" indent="1"/>
    </xf>
    <xf numFmtId="164" fontId="19" fillId="0" borderId="0" xfId="3" applyNumberFormat="1" applyFont="1" applyAlignment="1">
      <alignment horizontal="left" vertical="center"/>
    </xf>
    <xf numFmtId="164" fontId="19" fillId="0" borderId="2" xfId="3" applyNumberFormat="1" applyFont="1" applyBorder="1" applyAlignment="1">
      <alignment vertical="center"/>
    </xf>
    <xf numFmtId="1" fontId="0" fillId="0" borderId="0" xfId="0" applyNumberFormat="1"/>
    <xf numFmtId="173" fontId="0" fillId="0" borderId="0" xfId="0" applyNumberFormat="1"/>
    <xf numFmtId="170" fontId="36" fillId="0" borderId="0" xfId="0" applyNumberFormat="1" applyFont="1"/>
    <xf numFmtId="164" fontId="19" fillId="0" borderId="4" xfId="3" applyNumberFormat="1" applyFont="1" applyBorder="1" applyAlignment="1">
      <alignment vertical="center"/>
    </xf>
    <xf numFmtId="164" fontId="19" fillId="0" borderId="4" xfId="3" applyNumberFormat="1" applyFont="1" applyBorder="1" applyAlignment="1">
      <alignment horizontal="left" vertical="center"/>
    </xf>
    <xf numFmtId="0" fontId="28" fillId="3" borderId="0" xfId="0" applyFont="1" applyFill="1"/>
    <xf numFmtId="165" fontId="0" fillId="8" borderId="0" xfId="1" applyNumberFormat="1" applyFont="1" applyFill="1"/>
    <xf numFmtId="0" fontId="45" fillId="0" borderId="0" xfId="2" applyFont="1"/>
    <xf numFmtId="0" fontId="45" fillId="0" borderId="2" xfId="2" applyFont="1" applyBorder="1"/>
    <xf numFmtId="0" fontId="45" fillId="0" borderId="4" xfId="2" applyFont="1" applyBorder="1"/>
    <xf numFmtId="170" fontId="33" fillId="0" borderId="0" xfId="0" applyNumberFormat="1" applyFont="1"/>
    <xf numFmtId="165" fontId="29" fillId="0" borderId="0" xfId="1" applyNumberFormat="1" applyFont="1" applyFill="1"/>
    <xf numFmtId="168" fontId="29" fillId="0" borderId="0" xfId="1" applyNumberFormat="1" applyFont="1" applyFill="1"/>
    <xf numFmtId="168" fontId="40" fillId="0" borderId="0" xfId="1" applyNumberFormat="1" applyFont="1" applyFill="1"/>
    <xf numFmtId="165" fontId="29" fillId="0" borderId="4" xfId="1" applyNumberFormat="1" applyFont="1" applyFill="1" applyBorder="1"/>
    <xf numFmtId="168" fontId="40" fillId="0" borderId="0" xfId="1" applyNumberFormat="1" applyFont="1" applyFill="1" applyBorder="1"/>
    <xf numFmtId="168" fontId="29" fillId="0" borderId="4" xfId="1" applyNumberFormat="1" applyFont="1" applyFill="1" applyBorder="1"/>
    <xf numFmtId="170" fontId="29" fillId="0" borderId="0" xfId="0" applyNumberFormat="1" applyFont="1"/>
    <xf numFmtId="165" fontId="37" fillId="0" borderId="0" xfId="1" applyNumberFormat="1" applyFont="1"/>
    <xf numFmtId="175" fontId="37" fillId="0" borderId="0" xfId="0" applyNumberFormat="1" applyFont="1"/>
    <xf numFmtId="165" fontId="0" fillId="0" borderId="0" xfId="1" applyNumberFormat="1" applyFont="1" applyBorder="1"/>
    <xf numFmtId="174" fontId="29" fillId="0" borderId="4" xfId="0" applyNumberFormat="1" applyFont="1" applyBorder="1"/>
    <xf numFmtId="175" fontId="29" fillId="0" borderId="4" xfId="0" applyNumberFormat="1" applyFont="1" applyBorder="1"/>
    <xf numFmtId="165" fontId="29" fillId="0" borderId="4" xfId="1" applyNumberFormat="1" applyFont="1" applyBorder="1"/>
    <xf numFmtId="174" fontId="29" fillId="0" borderId="4" xfId="1" applyNumberFormat="1" applyFont="1" applyBorder="1"/>
    <xf numFmtId="174" fontId="0" fillId="0" borderId="0" xfId="0" applyNumberFormat="1"/>
    <xf numFmtId="0" fontId="36" fillId="0" borderId="0" xfId="0" applyFont="1" applyAlignment="1">
      <alignment horizontal="left" indent="1"/>
    </xf>
    <xf numFmtId="174" fontId="36" fillId="0" borderId="0" xfId="1" applyNumberFormat="1" applyFont="1" applyFill="1" applyBorder="1"/>
    <xf numFmtId="0" fontId="36" fillId="0" borderId="5" xfId="0" applyFont="1" applyBorder="1"/>
    <xf numFmtId="176" fontId="36" fillId="0" borderId="0" xfId="0" applyNumberFormat="1" applyFont="1"/>
    <xf numFmtId="0" fontId="36" fillId="0" borderId="2" xfId="0" applyFont="1" applyBorder="1"/>
    <xf numFmtId="165" fontId="36" fillId="0" borderId="2" xfId="1" applyNumberFormat="1" applyFont="1" applyFill="1" applyBorder="1"/>
    <xf numFmtId="170" fontId="29" fillId="0" borderId="2" xfId="0" applyNumberFormat="1" applyFont="1" applyBorder="1"/>
    <xf numFmtId="0" fontId="33" fillId="0" borderId="2" xfId="0" applyFont="1" applyBorder="1"/>
    <xf numFmtId="0" fontId="33" fillId="0" borderId="0" xfId="0" applyFont="1"/>
    <xf numFmtId="0" fontId="33" fillId="0" borderId="4" xfId="0" applyFont="1" applyBorder="1"/>
    <xf numFmtId="174" fontId="36" fillId="0" borderId="0" xfId="0" applyNumberFormat="1" applyFont="1"/>
    <xf numFmtId="9" fontId="39" fillId="0" borderId="0" xfId="1" applyFont="1" applyFill="1"/>
    <xf numFmtId="10" fontId="36" fillId="0" borderId="5" xfId="1" applyNumberFormat="1" applyFont="1" applyFill="1" applyBorder="1"/>
    <xf numFmtId="177" fontId="39" fillId="0" borderId="0" xfId="0" applyNumberFormat="1" applyFont="1"/>
    <xf numFmtId="0" fontId="47" fillId="0" borderId="0" xfId="0" applyFont="1"/>
    <xf numFmtId="0" fontId="25" fillId="0" borderId="0" xfId="4" applyFont="1" applyAlignment="1">
      <alignment vertical="center"/>
    </xf>
    <xf numFmtId="164" fontId="26" fillId="0" borderId="0" xfId="4" applyNumberFormat="1" applyFont="1"/>
    <xf numFmtId="0" fontId="15" fillId="0" borderId="0" xfId="4"/>
    <xf numFmtId="0" fontId="48" fillId="2" borderId="0" xfId="4" applyFont="1" applyFill="1" applyAlignment="1">
      <alignment horizontal="left" vertical="center"/>
    </xf>
    <xf numFmtId="0" fontId="48" fillId="2" borderId="0" xfId="4" applyFont="1" applyFill="1" applyAlignment="1">
      <alignment horizontal="center" vertical="center"/>
    </xf>
    <xf numFmtId="0" fontId="48" fillId="2" borderId="0" xfId="4" applyFont="1" applyFill="1" applyAlignment="1">
      <alignment horizontal="right" vertical="center"/>
    </xf>
    <xf numFmtId="0" fontId="26" fillId="0" borderId="0" xfId="4" applyFont="1"/>
    <xf numFmtId="0" fontId="25" fillId="0" borderId="2" xfId="4" applyFont="1" applyBorder="1"/>
    <xf numFmtId="164" fontId="25" fillId="0" borderId="2" xfId="4" applyNumberFormat="1" applyFont="1" applyBorder="1"/>
    <xf numFmtId="0" fontId="25" fillId="0" borderId="0" xfId="4" applyFont="1"/>
    <xf numFmtId="164" fontId="25" fillId="0" borderId="0" xfId="4" applyNumberFormat="1" applyFont="1"/>
    <xf numFmtId="0" fontId="49" fillId="0" borderId="0" xfId="4" applyFont="1"/>
    <xf numFmtId="9" fontId="26" fillId="0" borderId="0" xfId="5" applyFont="1" applyBorder="1"/>
    <xf numFmtId="4" fontId="26" fillId="0" borderId="0" xfId="4" applyNumberFormat="1" applyFont="1"/>
    <xf numFmtId="0" fontId="25" fillId="0" borderId="6" xfId="4" applyFont="1" applyBorder="1"/>
    <xf numFmtId="164" fontId="26" fillId="0" borderId="6" xfId="4" applyNumberFormat="1" applyFont="1" applyBorder="1"/>
    <xf numFmtId="0" fontId="26" fillId="0" borderId="2" xfId="4" applyFont="1" applyBorder="1"/>
    <xf numFmtId="164" fontId="15" fillId="0" borderId="0" xfId="4" applyNumberFormat="1"/>
    <xf numFmtId="164" fontId="25" fillId="0" borderId="6" xfId="4" applyNumberFormat="1" applyFont="1" applyBorder="1"/>
    <xf numFmtId="0" fontId="26" fillId="0" borderId="0" xfId="4" applyFont="1" applyAlignment="1">
      <alignment horizontal="left" indent="1"/>
    </xf>
    <xf numFmtId="178" fontId="15" fillId="0" borderId="0" xfId="4" applyNumberFormat="1"/>
    <xf numFmtId="0" fontId="25" fillId="0" borderId="6" xfId="4" applyFont="1" applyBorder="1" applyAlignment="1">
      <alignment horizontal="left"/>
    </xf>
    <xf numFmtId="164" fontId="21" fillId="0" borderId="6" xfId="4" applyNumberFormat="1" applyFont="1" applyBorder="1"/>
    <xf numFmtId="0" fontId="25" fillId="0" borderId="2" xfId="4" applyFont="1" applyBorder="1" applyAlignment="1">
      <alignment horizontal="left"/>
    </xf>
    <xf numFmtId="164" fontId="21" fillId="0" borderId="2" xfId="4" applyNumberFormat="1" applyFont="1" applyBorder="1"/>
    <xf numFmtId="0" fontId="21" fillId="0" borderId="0" xfId="4" applyFont="1"/>
    <xf numFmtId="0" fontId="15" fillId="0" borderId="0" xfId="4" applyAlignment="1">
      <alignment wrapText="1"/>
    </xf>
    <xf numFmtId="164" fontId="26" fillId="0" borderId="0" xfId="4" applyNumberFormat="1" applyFont="1" applyAlignment="1">
      <alignment wrapText="1"/>
    </xf>
    <xf numFmtId="0" fontId="26" fillId="0" borderId="0" xfId="4" applyFont="1" applyAlignment="1">
      <alignment wrapText="1"/>
    </xf>
    <xf numFmtId="0" fontId="25" fillId="0" borderId="6" xfId="4" applyFont="1" applyBorder="1" applyAlignment="1">
      <alignment wrapText="1"/>
    </xf>
    <xf numFmtId="164" fontId="25" fillId="0" borderId="6" xfId="4" applyNumberFormat="1" applyFont="1" applyBorder="1" applyAlignment="1">
      <alignment wrapText="1"/>
    </xf>
    <xf numFmtId="0" fontId="25" fillId="0" borderId="0" xfId="4" applyFont="1" applyAlignment="1">
      <alignment wrapText="1"/>
    </xf>
    <xf numFmtId="164" fontId="25" fillId="0" borderId="0" xfId="4" applyNumberFormat="1" applyFont="1" applyAlignment="1">
      <alignment wrapText="1"/>
    </xf>
    <xf numFmtId="0" fontId="26" fillId="0" borderId="0" xfId="4" applyFont="1" applyAlignment="1">
      <alignment horizontal="left" wrapText="1" indent="1"/>
    </xf>
    <xf numFmtId="0" fontId="25" fillId="0" borderId="2" xfId="4" applyFont="1" applyBorder="1" applyAlignment="1">
      <alignment wrapText="1"/>
    </xf>
    <xf numFmtId="164" fontId="25" fillId="0" borderId="2" xfId="4" applyNumberFormat="1" applyFont="1" applyBorder="1" applyAlignment="1">
      <alignment wrapText="1"/>
    </xf>
    <xf numFmtId="0" fontId="15" fillId="0" borderId="0" xfId="4" applyAlignment="1">
      <alignment horizontal="right"/>
    </xf>
    <xf numFmtId="0" fontId="50" fillId="0" borderId="0" xfId="0" applyFont="1"/>
    <xf numFmtId="9" fontId="0" fillId="0" borderId="0" xfId="0" applyNumberFormat="1"/>
    <xf numFmtId="165" fontId="0" fillId="4" borderId="0" xfId="1" applyNumberFormat="1" applyFont="1" applyFill="1" applyAlignment="1">
      <alignment horizontal="center"/>
    </xf>
    <xf numFmtId="0" fontId="51" fillId="0" borderId="0" xfId="6"/>
    <xf numFmtId="10" fontId="0" fillId="0" borderId="0" xfId="0" applyNumberFormat="1"/>
    <xf numFmtId="9" fontId="0" fillId="0" borderId="3" xfId="0" applyNumberFormat="1" applyBorder="1"/>
    <xf numFmtId="9" fontId="0" fillId="0" borderId="0" xfId="1" applyFont="1" applyBorder="1"/>
    <xf numFmtId="0" fontId="0" fillId="0" borderId="0" xfId="0" applyAlignment="1">
      <alignment horizontal="center" vertical="center"/>
    </xf>
    <xf numFmtId="9" fontId="0" fillId="0" borderId="0" xfId="1" applyFont="1"/>
    <xf numFmtId="0" fontId="29" fillId="7" borderId="0" xfId="0" applyFont="1" applyFill="1" applyAlignment="1">
      <alignment horizontal="right"/>
    </xf>
    <xf numFmtId="0" fontId="29" fillId="7" borderId="0" xfId="0" applyFont="1" applyFill="1"/>
    <xf numFmtId="9" fontId="29" fillId="0" borderId="4" xfId="0" applyNumberFormat="1" applyFont="1" applyBorder="1"/>
    <xf numFmtId="165" fontId="26" fillId="0" borderId="0" xfId="1" applyNumberFormat="1" applyFont="1"/>
    <xf numFmtId="0" fontId="25" fillId="7" borderId="0" xfId="4" applyFont="1" applyFill="1"/>
    <xf numFmtId="165" fontId="15" fillId="7" borderId="0" xfId="1" applyNumberFormat="1" applyFont="1" applyFill="1"/>
    <xf numFmtId="165" fontId="26" fillId="7" borderId="0" xfId="1" applyNumberFormat="1" applyFont="1" applyFill="1"/>
    <xf numFmtId="0" fontId="26" fillId="7" borderId="0" xfId="4" applyFont="1" applyFill="1"/>
    <xf numFmtId="0" fontId="54" fillId="0" borderId="0" xfId="0" applyFont="1"/>
    <xf numFmtId="0" fontId="14" fillId="0" borderId="0" xfId="4" applyFont="1"/>
    <xf numFmtId="0" fontId="54" fillId="0" borderId="4" xfId="0" applyFont="1" applyBorder="1"/>
    <xf numFmtId="165" fontId="0" fillId="0" borderId="3" xfId="1" applyNumberFormat="1" applyFont="1" applyBorder="1"/>
    <xf numFmtId="0" fontId="24" fillId="2" borderId="0" xfId="4" applyFont="1" applyFill="1" applyAlignment="1">
      <alignment horizontal="left" vertical="center"/>
    </xf>
    <xf numFmtId="0" fontId="24" fillId="2" borderId="0" xfId="4" applyFont="1" applyFill="1" applyAlignment="1">
      <alignment horizontal="center" vertical="center"/>
    </xf>
    <xf numFmtId="0" fontId="24" fillId="2" borderId="0" xfId="4" applyFont="1" applyFill="1" applyAlignment="1">
      <alignment horizontal="right" vertical="center"/>
    </xf>
    <xf numFmtId="0" fontId="40" fillId="0" borderId="0" xfId="0" applyFont="1"/>
    <xf numFmtId="179" fontId="29" fillId="0" borderId="0" xfId="0" applyNumberFormat="1" applyFont="1"/>
    <xf numFmtId="0" fontId="55" fillId="0" borderId="0" xfId="0" applyFont="1"/>
    <xf numFmtId="164" fontId="13" fillId="0" borderId="0" xfId="4" applyNumberFormat="1" applyFont="1"/>
    <xf numFmtId="9" fontId="29" fillId="0" borderId="2" xfId="1" applyFont="1" applyBorder="1"/>
    <xf numFmtId="164" fontId="21" fillId="0" borderId="0" xfId="4" applyNumberFormat="1" applyFont="1"/>
    <xf numFmtId="165" fontId="29" fillId="0" borderId="0" xfId="1" applyNumberFormat="1" applyFont="1" applyBorder="1"/>
    <xf numFmtId="165" fontId="22" fillId="0" borderId="0" xfId="1" applyNumberFormat="1" applyFont="1"/>
    <xf numFmtId="9" fontId="29" fillId="0" borderId="0" xfId="1" applyFont="1" applyBorder="1"/>
    <xf numFmtId="165" fontId="55" fillId="0" borderId="0" xfId="1" applyNumberFormat="1" applyFont="1" applyFill="1" applyAlignment="1">
      <alignment horizontal="right"/>
    </xf>
    <xf numFmtId="165" fontId="29" fillId="0" borderId="0" xfId="1" applyNumberFormat="1" applyFont="1" applyFill="1" applyAlignment="1">
      <alignment horizontal="right"/>
    </xf>
    <xf numFmtId="165" fontId="29" fillId="0" borderId="0" xfId="0" applyNumberFormat="1" applyFont="1"/>
    <xf numFmtId="165" fontId="56" fillId="7" borderId="0" xfId="1" applyNumberFormat="1" applyFont="1" applyFill="1"/>
    <xf numFmtId="164" fontId="29" fillId="0" borderId="2" xfId="0" applyNumberFormat="1" applyFont="1" applyBorder="1"/>
    <xf numFmtId="164" fontId="37" fillId="0" borderId="0" xfId="0" applyNumberFormat="1" applyFont="1"/>
    <xf numFmtId="164" fontId="19" fillId="0" borderId="4" xfId="3" applyNumberFormat="1" applyFont="1" applyBorder="1" applyAlignment="1">
      <alignment horizontal="right" vertical="center"/>
    </xf>
    <xf numFmtId="164" fontId="57" fillId="7" borderId="0" xfId="3" applyNumberFormat="1" applyFont="1" applyFill="1" applyAlignment="1">
      <alignment vertical="center"/>
    </xf>
    <xf numFmtId="165" fontId="33" fillId="7" borderId="0" xfId="1" applyNumberFormat="1" applyFont="1" applyFill="1" applyBorder="1"/>
    <xf numFmtId="164" fontId="19" fillId="0" borderId="0" xfId="3" applyNumberFormat="1" applyFont="1" applyAlignment="1">
      <alignment horizontal="right" vertical="center"/>
    </xf>
    <xf numFmtId="0" fontId="0" fillId="0" borderId="0" xfId="0" applyAlignment="1">
      <alignment horizontal="left"/>
    </xf>
    <xf numFmtId="0" fontId="12" fillId="0" borderId="0" xfId="0" applyFont="1"/>
    <xf numFmtId="0" fontId="24" fillId="2" borderId="0" xfId="4" applyFont="1" applyFill="1" applyAlignment="1">
      <alignment vertical="center"/>
    </xf>
    <xf numFmtId="164" fontId="29" fillId="0" borderId="0" xfId="4" applyNumberFormat="1" applyFont="1"/>
    <xf numFmtId="3" fontId="29" fillId="0" borderId="0" xfId="0" applyNumberFormat="1" applyFont="1"/>
    <xf numFmtId="3" fontId="58" fillId="9" borderId="0" xfId="0" applyNumberFormat="1" applyFont="1" applyFill="1" applyAlignment="1">
      <alignment horizontal="right" vertical="center" wrapText="1"/>
    </xf>
    <xf numFmtId="0" fontId="21" fillId="0" borderId="2" xfId="0" applyFont="1" applyBorder="1"/>
    <xf numFmtId="9" fontId="0" fillId="0" borderId="2" xfId="1" applyFont="1" applyBorder="1"/>
    <xf numFmtId="1" fontId="29" fillId="0" borderId="0" xfId="0" applyNumberFormat="1" applyFont="1"/>
    <xf numFmtId="180" fontId="0" fillId="0" borderId="0" xfId="0" applyNumberFormat="1"/>
    <xf numFmtId="0" fontId="59" fillId="0" borderId="0" xfId="0" applyFont="1"/>
    <xf numFmtId="164" fontId="29" fillId="0" borderId="0" xfId="0" applyNumberFormat="1" applyFont="1"/>
    <xf numFmtId="164" fontId="0" fillId="0" borderId="0" xfId="0" applyNumberFormat="1"/>
    <xf numFmtId="0" fontId="60" fillId="9" borderId="0" xfId="0" applyFont="1" applyFill="1" applyAlignment="1">
      <alignment horizontal="left" vertical="center"/>
    </xf>
    <xf numFmtId="0" fontId="60" fillId="9" borderId="0" xfId="0" applyFont="1" applyFill="1" applyAlignment="1">
      <alignment horizontal="right" vertical="center" wrapText="1"/>
    </xf>
    <xf numFmtId="3" fontId="60" fillId="9" borderId="0" xfId="0" applyNumberFormat="1" applyFont="1" applyFill="1" applyAlignment="1">
      <alignment horizontal="right" vertical="center" wrapText="1"/>
    </xf>
    <xf numFmtId="165" fontId="60" fillId="9" borderId="0" xfId="1" applyNumberFormat="1" applyFont="1" applyFill="1" applyAlignment="1">
      <alignment horizontal="right" vertical="center" wrapText="1"/>
    </xf>
    <xf numFmtId="0" fontId="60" fillId="7" borderId="0" xfId="0" applyFont="1" applyFill="1" applyAlignment="1">
      <alignment horizontal="left" vertical="center"/>
    </xf>
    <xf numFmtId="165" fontId="60" fillId="7" borderId="0" xfId="1" applyNumberFormat="1" applyFont="1" applyFill="1" applyAlignment="1">
      <alignment horizontal="right" vertical="center" wrapText="1"/>
    </xf>
    <xf numFmtId="3" fontId="0" fillId="0" borderId="0" xfId="0" applyNumberFormat="1"/>
    <xf numFmtId="3" fontId="0" fillId="0" borderId="2" xfId="0" applyNumberFormat="1" applyBorder="1"/>
    <xf numFmtId="3" fontId="29" fillId="0" borderId="4" xfId="0" applyNumberFormat="1" applyFont="1" applyBorder="1"/>
    <xf numFmtId="0" fontId="55" fillId="7" borderId="0" xfId="0" applyFont="1" applyFill="1"/>
    <xf numFmtId="164" fontId="55" fillId="7" borderId="0" xfId="0" applyNumberFormat="1" applyFont="1" applyFill="1"/>
    <xf numFmtId="177" fontId="55" fillId="7" borderId="0" xfId="0" applyNumberFormat="1" applyFont="1" applyFill="1"/>
    <xf numFmtId="165" fontId="55" fillId="7" borderId="0" xfId="1" applyNumberFormat="1" applyFont="1" applyFill="1"/>
    <xf numFmtId="165" fontId="55" fillId="7" borderId="0" xfId="0" applyNumberFormat="1" applyFont="1" applyFill="1"/>
    <xf numFmtId="3" fontId="29" fillId="0" borderId="2" xfId="0" applyNumberFormat="1" applyFont="1" applyBorder="1"/>
    <xf numFmtId="164" fontId="0" fillId="0" borderId="4" xfId="0" applyNumberFormat="1" applyBorder="1"/>
    <xf numFmtId="9" fontId="29" fillId="0" borderId="4" xfId="1" applyFont="1" applyBorder="1"/>
    <xf numFmtId="1" fontId="0" fillId="7" borderId="0" xfId="0" applyNumberFormat="1" applyFill="1"/>
    <xf numFmtId="9" fontId="0" fillId="7" borderId="0" xfId="1" applyFont="1" applyFill="1"/>
    <xf numFmtId="0" fontId="11" fillId="0" borderId="0" xfId="4" applyFont="1"/>
    <xf numFmtId="0" fontId="21" fillId="7" borderId="0" xfId="4" applyFont="1" applyFill="1"/>
    <xf numFmtId="0" fontId="55" fillId="0" borderId="1" xfId="0" applyFont="1" applyBorder="1"/>
    <xf numFmtId="2" fontId="26" fillId="0" borderId="0" xfId="1" applyNumberFormat="1" applyFont="1"/>
    <xf numFmtId="0" fontId="10" fillId="0" borderId="0" xfId="4" applyFont="1"/>
    <xf numFmtId="165" fontId="29" fillId="0" borderId="4" xfId="0" applyNumberFormat="1" applyFont="1" applyBorder="1"/>
    <xf numFmtId="9" fontId="55" fillId="0" borderId="0" xfId="0" applyNumberFormat="1" applyFont="1"/>
    <xf numFmtId="165" fontId="55" fillId="0" borderId="1" xfId="1" applyNumberFormat="1" applyFont="1" applyBorder="1"/>
    <xf numFmtId="165" fontId="55" fillId="0" borderId="0" xfId="1" applyNumberFormat="1" applyFont="1"/>
    <xf numFmtId="165" fontId="55" fillId="0" borderId="0" xfId="0" applyNumberFormat="1" applyFont="1"/>
    <xf numFmtId="9" fontId="29" fillId="7" borderId="0" xfId="1" applyFont="1" applyFill="1" applyBorder="1"/>
    <xf numFmtId="0" fontId="9" fillId="0" borderId="0" xfId="4" applyFont="1"/>
    <xf numFmtId="1" fontId="0" fillId="0" borderId="0" xfId="1" applyNumberFormat="1" applyFont="1"/>
    <xf numFmtId="181" fontId="0" fillId="0" borderId="0" xfId="1" applyNumberFormat="1" applyFont="1"/>
    <xf numFmtId="9" fontId="29" fillId="8" borderId="0" xfId="1" applyFont="1" applyFill="1"/>
    <xf numFmtId="181" fontId="29" fillId="0" borderId="0" xfId="0" applyNumberFormat="1" applyFont="1"/>
    <xf numFmtId="0" fontId="61" fillId="0" borderId="0" xfId="4" applyFont="1" applyAlignment="1">
      <alignment horizontal="left" vertical="center"/>
    </xf>
    <xf numFmtId="168" fontId="37" fillId="0" borderId="1" xfId="0" applyNumberFormat="1" applyFont="1" applyBorder="1"/>
    <xf numFmtId="168" fontId="36" fillId="0" borderId="1" xfId="0" applyNumberFormat="1" applyFont="1" applyBorder="1"/>
    <xf numFmtId="172" fontId="46" fillId="8" borderId="0" xfId="0" applyNumberFormat="1" applyFont="1" applyFill="1"/>
    <xf numFmtId="0" fontId="62" fillId="9" borderId="0" xfId="0" applyFont="1" applyFill="1" applyAlignment="1">
      <alignment horizontal="right" vertical="center" wrapText="1"/>
    </xf>
    <xf numFmtId="3" fontId="62" fillId="9" borderId="0" xfId="0" applyNumberFormat="1" applyFont="1" applyFill="1" applyAlignment="1">
      <alignment horizontal="right" vertical="center" wrapText="1"/>
    </xf>
    <xf numFmtId="165" fontId="46" fillId="8" borderId="0" xfId="1" applyNumberFormat="1" applyFont="1" applyFill="1"/>
    <xf numFmtId="0" fontId="29" fillId="5" borderId="0" xfId="0" applyFont="1" applyFill="1"/>
    <xf numFmtId="0" fontId="0" fillId="5" borderId="0" xfId="0" applyFill="1"/>
    <xf numFmtId="1" fontId="29" fillId="0" borderId="2" xfId="0" applyNumberFormat="1" applyFont="1" applyBorder="1"/>
    <xf numFmtId="174" fontId="55" fillId="7" borderId="0" xfId="0" applyNumberFormat="1" applyFont="1" applyFill="1"/>
    <xf numFmtId="164" fontId="8" fillId="0" borderId="0" xfId="4" applyNumberFormat="1" applyFont="1"/>
    <xf numFmtId="182" fontId="28" fillId="2" borderId="0" xfId="0" applyNumberFormat="1" applyFont="1" applyFill="1"/>
    <xf numFmtId="168" fontId="36" fillId="0" borderId="4" xfId="0" applyNumberFormat="1" applyFont="1" applyBorder="1"/>
    <xf numFmtId="165" fontId="0" fillId="7" borderId="0" xfId="1" applyNumberFormat="1" applyFont="1" applyFill="1"/>
    <xf numFmtId="0" fontId="37" fillId="0" borderId="0" xfId="0" applyFont="1"/>
    <xf numFmtId="9" fontId="37" fillId="7" borderId="0" xfId="1" applyFont="1" applyFill="1"/>
    <xf numFmtId="9" fontId="36" fillId="7" borderId="0" xfId="1" applyFont="1" applyFill="1"/>
    <xf numFmtId="168" fontId="0" fillId="0" borderId="1" xfId="0" applyNumberFormat="1" applyBorder="1"/>
    <xf numFmtId="0" fontId="7" fillId="0" borderId="0" xfId="4" applyFont="1" applyAlignment="1">
      <alignment horizontal="left" vertical="center"/>
    </xf>
    <xf numFmtId="164" fontId="43" fillId="0" borderId="4" xfId="3" applyNumberFormat="1" applyFont="1" applyBorder="1" applyAlignment="1">
      <alignment horizontal="left" vertical="center"/>
    </xf>
    <xf numFmtId="164" fontId="43" fillId="0" borderId="1" xfId="3" applyNumberFormat="1" applyFont="1" applyBorder="1" applyAlignment="1">
      <alignment horizontal="left" vertical="center"/>
    </xf>
    <xf numFmtId="0" fontId="6" fillId="0" borderId="0" xfId="4" applyFont="1" applyAlignment="1">
      <alignment horizontal="left" vertical="center"/>
    </xf>
    <xf numFmtId="0" fontId="17" fillId="0" borderId="0" xfId="2" applyFont="1" applyAlignment="1">
      <alignment horizontal="left"/>
    </xf>
    <xf numFmtId="164" fontId="44" fillId="0" borderId="0" xfId="3" applyNumberFormat="1" applyFont="1" applyAlignment="1">
      <alignment vertical="center"/>
    </xf>
    <xf numFmtId="0" fontId="5" fillId="0" borderId="0" xfId="4" applyFont="1" applyAlignment="1">
      <alignment horizontal="left" indent="1"/>
    </xf>
    <xf numFmtId="1" fontId="0" fillId="7" borderId="0" xfId="1" applyNumberFormat="1" applyFont="1" applyFill="1"/>
    <xf numFmtId="9" fontId="55" fillId="0" borderId="0" xfId="1" applyFont="1"/>
    <xf numFmtId="9" fontId="55" fillId="6" borderId="0" xfId="1" applyFont="1" applyFill="1"/>
    <xf numFmtId="9" fontId="40" fillId="7" borderId="0" xfId="1" applyFont="1" applyFill="1"/>
    <xf numFmtId="174" fontId="0" fillId="7" borderId="0" xfId="0" applyNumberFormat="1" applyFill="1"/>
    <xf numFmtId="168" fontId="36" fillId="7" borderId="0" xfId="0" applyNumberFormat="1" applyFont="1" applyFill="1"/>
    <xf numFmtId="10" fontId="0" fillId="0" borderId="0" xfId="1" applyNumberFormat="1" applyFont="1"/>
    <xf numFmtId="0" fontId="0" fillId="0" borderId="6" xfId="0" applyBorder="1"/>
    <xf numFmtId="10" fontId="29" fillId="0" borderId="6" xfId="1" applyNumberFormat="1" applyFont="1" applyBorder="1"/>
    <xf numFmtId="3" fontId="0" fillId="0" borderId="6" xfId="0" applyNumberFormat="1" applyBorder="1"/>
    <xf numFmtId="165" fontId="40" fillId="8" borderId="0" xfId="1" applyNumberFormat="1" applyFont="1" applyFill="1"/>
    <xf numFmtId="0" fontId="55" fillId="8" borderId="0" xfId="0" applyFont="1" applyFill="1"/>
    <xf numFmtId="3" fontId="0" fillId="7" borderId="0" xfId="0" applyNumberFormat="1" applyFill="1"/>
    <xf numFmtId="9" fontId="0" fillId="7" borderId="0" xfId="0" applyNumberFormat="1" applyFill="1"/>
    <xf numFmtId="0" fontId="64" fillId="2" borderId="0" xfId="0" applyFont="1" applyFill="1"/>
    <xf numFmtId="0" fontId="0" fillId="0" borderId="7" xfId="0" applyBorder="1"/>
    <xf numFmtId="0" fontId="46" fillId="6" borderId="8" xfId="0" applyFont="1" applyFill="1" applyBorder="1"/>
    <xf numFmtId="0" fontId="65" fillId="0" borderId="0" xfId="0" applyFont="1"/>
    <xf numFmtId="165" fontId="37" fillId="0" borderId="0" xfId="1" applyNumberFormat="1" applyFont="1" applyBorder="1"/>
    <xf numFmtId="165" fontId="36" fillId="0" borderId="0" xfId="1" applyNumberFormat="1" applyFont="1" applyBorder="1"/>
    <xf numFmtId="9" fontId="40" fillId="0" borderId="0" xfId="1" applyFont="1"/>
    <xf numFmtId="9" fontId="37" fillId="0" borderId="0" xfId="1" applyFont="1"/>
    <xf numFmtId="165" fontId="0" fillId="4" borderId="0" xfId="0" applyNumberFormat="1" applyFill="1"/>
    <xf numFmtId="0" fontId="66" fillId="0" borderId="0" xfId="0" applyFont="1"/>
    <xf numFmtId="0" fontId="66" fillId="0" borderId="1" xfId="0" applyFont="1" applyBorder="1"/>
    <xf numFmtId="179" fontId="50" fillId="0" borderId="1" xfId="0" applyNumberFormat="1" applyFont="1" applyBorder="1"/>
    <xf numFmtId="168" fontId="37" fillId="0" borderId="4" xfId="0" applyNumberFormat="1" applyFont="1" applyBorder="1"/>
    <xf numFmtId="0" fontId="29" fillId="0" borderId="1" xfId="0" applyFont="1" applyBorder="1"/>
    <xf numFmtId="164" fontId="19" fillId="6" borderId="4" xfId="3" applyNumberFormat="1" applyFont="1" applyFill="1" applyBorder="1" applyAlignment="1">
      <alignment horizontal="right" vertical="center"/>
    </xf>
    <xf numFmtId="164" fontId="19" fillId="6" borderId="2" xfId="3" applyNumberFormat="1" applyFont="1" applyFill="1" applyBorder="1" applyAlignment="1">
      <alignment vertical="center"/>
    </xf>
    <xf numFmtId="164" fontId="19" fillId="6" borderId="4" xfId="3" applyNumberFormat="1" applyFont="1" applyFill="1" applyBorder="1" applyAlignment="1">
      <alignment vertical="center"/>
    </xf>
    <xf numFmtId="172" fontId="37" fillId="8" borderId="0" xfId="0" applyNumberFormat="1" applyFont="1" applyFill="1"/>
    <xf numFmtId="164" fontId="36" fillId="0" borderId="0" xfId="0" applyNumberFormat="1" applyFont="1"/>
    <xf numFmtId="164" fontId="17" fillId="0" borderId="0" xfId="3" applyNumberFormat="1" applyFont="1" applyAlignment="1">
      <alignment vertical="center"/>
    </xf>
    <xf numFmtId="164" fontId="27" fillId="0" borderId="0" xfId="3" applyNumberFormat="1" applyFont="1" applyAlignment="1">
      <alignment horizontal="left" vertical="center"/>
    </xf>
    <xf numFmtId="164" fontId="45" fillId="0" borderId="0" xfId="3" applyNumberFormat="1" applyFont="1" applyAlignment="1">
      <alignment horizontal="right" vertical="center"/>
    </xf>
    <xf numFmtId="164" fontId="17" fillId="0" borderId="0" xfId="3" applyNumberFormat="1" applyFont="1" applyAlignment="1">
      <alignment horizontal="left" vertical="center" indent="1"/>
    </xf>
    <xf numFmtId="164" fontId="45" fillId="0" borderId="0" xfId="3" applyNumberFormat="1" applyFont="1" applyAlignment="1">
      <alignment horizontal="left" vertical="center"/>
    </xf>
    <xf numFmtId="0" fontId="69" fillId="3" borderId="0" xfId="0" applyFont="1" applyFill="1"/>
    <xf numFmtId="164" fontId="45" fillId="0" borderId="0" xfId="3" applyNumberFormat="1" applyFont="1" applyAlignment="1">
      <alignment vertical="center"/>
    </xf>
    <xf numFmtId="9" fontId="36" fillId="0" borderId="0" xfId="1" applyFont="1"/>
    <xf numFmtId="9" fontId="33" fillId="6" borderId="4" xfId="1" applyFont="1" applyFill="1" applyBorder="1"/>
    <xf numFmtId="9" fontId="45" fillId="6" borderId="2" xfId="1" applyFont="1" applyFill="1" applyBorder="1" applyAlignment="1">
      <alignment vertical="center"/>
    </xf>
    <xf numFmtId="9" fontId="45" fillId="0" borderId="2" xfId="1" applyFont="1" applyBorder="1" applyAlignment="1">
      <alignment vertical="center"/>
    </xf>
    <xf numFmtId="9" fontId="36" fillId="0" borderId="0" xfId="1" applyFont="1" applyFill="1" applyBorder="1"/>
    <xf numFmtId="9" fontId="33" fillId="0" borderId="4" xfId="1" applyFont="1" applyBorder="1"/>
    <xf numFmtId="9" fontId="45" fillId="6" borderId="4" xfId="1" applyFont="1" applyFill="1" applyBorder="1" applyAlignment="1">
      <alignment horizontal="right" vertical="center"/>
    </xf>
    <xf numFmtId="9" fontId="45" fillId="0" borderId="4" xfId="1" applyFont="1" applyBorder="1" applyAlignment="1">
      <alignment horizontal="right" vertical="center"/>
    </xf>
    <xf numFmtId="0" fontId="28" fillId="2" borderId="0" xfId="0" applyFont="1" applyFill="1"/>
    <xf numFmtId="0" fontId="46" fillId="6" borderId="8" xfId="0" applyFont="1" applyFill="1" applyBorder="1" applyAlignment="1">
      <alignment horizontal="center"/>
    </xf>
    <xf numFmtId="10" fontId="46" fillId="6" borderId="8" xfId="1" applyNumberFormat="1" applyFont="1" applyFill="1" applyBorder="1" applyAlignment="1">
      <alignment horizontal="center"/>
    </xf>
    <xf numFmtId="9" fontId="46" fillId="6" borderId="8" xfId="1" applyFont="1" applyFill="1" applyBorder="1" applyAlignment="1">
      <alignment horizontal="center"/>
    </xf>
    <xf numFmtId="9" fontId="46" fillId="6" borderId="8" xfId="0" applyNumberFormat="1" applyFont="1" applyFill="1" applyBorder="1" applyAlignment="1">
      <alignment horizontal="center"/>
    </xf>
    <xf numFmtId="0" fontId="72" fillId="0" borderId="0" xfId="0" applyFont="1"/>
    <xf numFmtId="0" fontId="73" fillId="0" borderId="0" xfId="0" applyFont="1"/>
    <xf numFmtId="0" fontId="74" fillId="0" borderId="0" xfId="0" applyFont="1"/>
    <xf numFmtId="0" fontId="75" fillId="0" borderId="5" xfId="0" applyFont="1" applyBorder="1" applyAlignment="1">
      <alignment horizontal="centerContinuous"/>
    </xf>
    <xf numFmtId="0" fontId="75" fillId="0" borderId="5" xfId="0" applyFont="1" applyBorder="1"/>
    <xf numFmtId="0" fontId="75" fillId="0" borderId="5" xfId="0" applyFont="1" applyBorder="1" applyAlignment="1">
      <alignment horizontal="center"/>
    </xf>
    <xf numFmtId="0" fontId="76" fillId="0" borderId="5" xfId="0" applyFont="1" applyBorder="1" applyAlignment="1">
      <alignment horizontal="center"/>
    </xf>
    <xf numFmtId="10" fontId="77" fillId="0" borderId="9" xfId="1" applyNumberFormat="1" applyFont="1" applyBorder="1" applyAlignment="1">
      <alignment horizontal="center"/>
    </xf>
    <xf numFmtId="2" fontId="76" fillId="0" borderId="5" xfId="0" applyNumberFormat="1" applyFont="1" applyBorder="1" applyAlignment="1">
      <alignment horizontal="center"/>
    </xf>
    <xf numFmtId="0" fontId="73" fillId="0" borderId="0" xfId="0" applyFont="1" applyAlignment="1">
      <alignment horizontal="center"/>
    </xf>
    <xf numFmtId="0" fontId="74" fillId="0" borderId="0" xfId="0" applyFont="1" applyAlignment="1">
      <alignment horizontal="center"/>
    </xf>
    <xf numFmtId="181" fontId="46" fillId="6" borderId="8" xfId="0" applyNumberFormat="1" applyFont="1" applyFill="1" applyBorder="1" applyAlignment="1">
      <alignment horizontal="center"/>
    </xf>
    <xf numFmtId="0" fontId="29" fillId="7" borderId="6" xfId="0" applyFont="1" applyFill="1" applyBorder="1"/>
    <xf numFmtId="0" fontId="28" fillId="2" borderId="0" xfId="0" applyFont="1" applyFill="1" applyAlignment="1">
      <alignment horizontal="center"/>
    </xf>
    <xf numFmtId="0" fontId="0" fillId="0" borderId="0" xfId="0" applyAlignment="1">
      <alignment horizontal="center"/>
    </xf>
    <xf numFmtId="10" fontId="0" fillId="0" borderId="0" xfId="0" applyNumberFormat="1" applyAlignment="1">
      <alignment horizontal="center"/>
    </xf>
    <xf numFmtId="10" fontId="0" fillId="0" borderId="3" xfId="0" applyNumberFormat="1" applyBorder="1" applyAlignment="1">
      <alignment horizontal="center"/>
    </xf>
    <xf numFmtId="10" fontId="29" fillId="7" borderId="6" xfId="0" applyNumberFormat="1" applyFont="1" applyFill="1" applyBorder="1" applyAlignment="1">
      <alignment horizontal="center"/>
    </xf>
    <xf numFmtId="10" fontId="0" fillId="0" borderId="3" xfId="1" applyNumberFormat="1" applyFont="1" applyBorder="1" applyAlignment="1">
      <alignment horizontal="center"/>
    </xf>
    <xf numFmtId="10" fontId="0" fillId="0" borderId="0" xfId="1" applyNumberFormat="1" applyFont="1" applyAlignment="1">
      <alignment horizontal="center"/>
    </xf>
    <xf numFmtId="9" fontId="0" fillId="0" borderId="3" xfId="0" applyNumberFormat="1" applyBorder="1" applyAlignment="1">
      <alignment horizontal="center"/>
    </xf>
    <xf numFmtId="178" fontId="26" fillId="0" borderId="0" xfId="4" applyNumberFormat="1" applyFont="1"/>
    <xf numFmtId="178" fontId="25" fillId="0" borderId="6" xfId="4" applyNumberFormat="1" applyFont="1" applyBorder="1"/>
    <xf numFmtId="170" fontId="37" fillId="8" borderId="0" xfId="0" applyNumberFormat="1" applyFont="1" applyFill="1"/>
    <xf numFmtId="170" fontId="34" fillId="3" borderId="0" xfId="0" applyNumberFormat="1" applyFont="1" applyFill="1"/>
    <xf numFmtId="0" fontId="29" fillId="0" borderId="4" xfId="0" applyFont="1" applyBorder="1" applyAlignment="1">
      <alignment horizontal="left" indent="1"/>
    </xf>
    <xf numFmtId="0" fontId="78" fillId="0" borderId="0" xfId="0" applyFont="1"/>
    <xf numFmtId="174" fontId="78" fillId="0" borderId="0" xfId="0" applyNumberFormat="1" applyFont="1"/>
    <xf numFmtId="0" fontId="45" fillId="0" borderId="0" xfId="7" applyFont="1"/>
    <xf numFmtId="0" fontId="45" fillId="0" borderId="0" xfId="7" applyFont="1" applyAlignment="1">
      <alignment horizontal="right"/>
    </xf>
    <xf numFmtId="0" fontId="80" fillId="0" borderId="0" xfId="7" applyFont="1"/>
    <xf numFmtId="0" fontId="17" fillId="0" borderId="0" xfId="7" applyFont="1"/>
    <xf numFmtId="2" fontId="81" fillId="0" borderId="5" xfId="7" applyNumberFormat="1" applyFont="1" applyBorder="1" applyAlignment="1">
      <alignment horizontal="right"/>
    </xf>
    <xf numFmtId="0" fontId="79" fillId="0" borderId="0" xfId="7"/>
    <xf numFmtId="2" fontId="81" fillId="0" borderId="5" xfId="8" applyNumberFormat="1" applyFont="1" applyFill="1" applyBorder="1" applyAlignment="1">
      <alignment horizontal="right"/>
    </xf>
    <xf numFmtId="10" fontId="81" fillId="0" borderId="5" xfId="9" applyNumberFormat="1" applyFont="1" applyFill="1" applyBorder="1" applyAlignment="1">
      <alignment horizontal="right"/>
    </xf>
    <xf numFmtId="10" fontId="81" fillId="0" borderId="5" xfId="7" applyNumberFormat="1" applyFont="1" applyBorder="1" applyAlignment="1">
      <alignment horizontal="right"/>
    </xf>
    <xf numFmtId="0" fontId="82" fillId="0" borderId="0" xfId="7" applyFont="1"/>
    <xf numFmtId="0" fontId="83" fillId="0" borderId="0" xfId="7" applyFont="1"/>
    <xf numFmtId="0" fontId="84" fillId="0" borderId="0" xfId="7" applyFont="1"/>
    <xf numFmtId="0" fontId="85" fillId="0" borderId="0" xfId="7" applyFont="1"/>
    <xf numFmtId="2" fontId="45" fillId="0" borderId="5" xfId="7" applyNumberFormat="1" applyFont="1" applyBorder="1" applyAlignment="1">
      <alignment horizontal="right"/>
    </xf>
    <xf numFmtId="2" fontId="17" fillId="0" borderId="5" xfId="7" applyNumberFormat="1" applyFont="1" applyBorder="1"/>
    <xf numFmtId="10" fontId="45" fillId="0" borderId="0" xfId="7" applyNumberFormat="1" applyFont="1"/>
    <xf numFmtId="10" fontId="45" fillId="0" borderId="5" xfId="7" applyNumberFormat="1" applyFont="1" applyBorder="1"/>
    <xf numFmtId="185" fontId="45" fillId="0" borderId="5" xfId="10" applyNumberFormat="1" applyFont="1" applyBorder="1"/>
    <xf numFmtId="10" fontId="17" fillId="0" borderId="5" xfId="7" applyNumberFormat="1" applyFont="1" applyBorder="1"/>
    <xf numFmtId="2" fontId="17" fillId="0" borderId="5" xfId="7" applyNumberFormat="1" applyFont="1" applyBorder="1" applyAlignment="1">
      <alignment horizontal="right"/>
    </xf>
    <xf numFmtId="0" fontId="17" fillId="0" borderId="0" xfId="7" applyFont="1" applyAlignment="1">
      <alignment horizontal="right"/>
    </xf>
    <xf numFmtId="2" fontId="17" fillId="0" borderId="10" xfId="8" applyNumberFormat="1" applyFont="1" applyBorder="1" applyAlignment="1">
      <alignment horizontal="right"/>
    </xf>
    <xf numFmtId="186" fontId="17" fillId="0" borderId="0" xfId="7" applyNumberFormat="1" applyFont="1"/>
    <xf numFmtId="183" fontId="17" fillId="0" borderId="0" xfId="8" applyFont="1"/>
    <xf numFmtId="0" fontId="79" fillId="0" borderId="0" xfId="7" applyAlignment="1">
      <alignment horizontal="center"/>
    </xf>
    <xf numFmtId="0" fontId="79" fillId="0" borderId="0" xfId="7" applyAlignment="1">
      <alignment horizontal="right"/>
    </xf>
    <xf numFmtId="15" fontId="79" fillId="0" borderId="0" xfId="7" applyNumberFormat="1" applyAlignment="1">
      <alignment horizontal="right"/>
    </xf>
    <xf numFmtId="10" fontId="79" fillId="0" borderId="0" xfId="7" applyNumberFormat="1" applyAlignment="1">
      <alignment horizontal="right"/>
    </xf>
    <xf numFmtId="1" fontId="86" fillId="0" borderId="4" xfId="7" applyNumberFormat="1" applyFont="1" applyBorder="1"/>
    <xf numFmtId="2" fontId="86" fillId="0" borderId="4" xfId="7" applyNumberFormat="1" applyFont="1" applyBorder="1"/>
    <xf numFmtId="10" fontId="86" fillId="0" borderId="4" xfId="1" applyNumberFormat="1" applyFont="1" applyBorder="1"/>
    <xf numFmtId="0" fontId="86" fillId="0" borderId="4" xfId="7" applyFont="1" applyBorder="1" applyAlignment="1">
      <alignment horizontal="center"/>
    </xf>
    <xf numFmtId="1" fontId="17" fillId="0" borderId="10" xfId="7" applyNumberFormat="1" applyFont="1" applyBorder="1" applyAlignment="1">
      <alignment horizontal="right"/>
    </xf>
    <xf numFmtId="0" fontId="89" fillId="0" borderId="0" xfId="0" applyFont="1"/>
    <xf numFmtId="0" fontId="0" fillId="0" borderId="0" xfId="0" applyAlignment="1">
      <alignment vertical="top"/>
    </xf>
    <xf numFmtId="0" fontId="91" fillId="2" borderId="0" xfId="11" applyFont="1" applyFill="1"/>
    <xf numFmtId="0" fontId="4" fillId="0" borderId="0" xfId="11"/>
    <xf numFmtId="0" fontId="4" fillId="0" borderId="11" xfId="11" applyBorder="1" applyAlignment="1">
      <alignment horizontal="left" vertical="top"/>
    </xf>
    <xf numFmtId="0" fontId="4" fillId="0" borderId="11" xfId="11" applyBorder="1" applyAlignment="1">
      <alignment horizontal="left" vertical="top" wrapText="1"/>
    </xf>
    <xf numFmtId="0" fontId="4" fillId="0" borderId="3" xfId="11" applyBorder="1" applyAlignment="1">
      <alignment horizontal="left" vertical="top"/>
    </xf>
    <xf numFmtId="0" fontId="4" fillId="0" borderId="3" xfId="11" applyBorder="1" applyAlignment="1">
      <alignment horizontal="left" vertical="top" wrapText="1"/>
    </xf>
    <xf numFmtId="0" fontId="24" fillId="2" borderId="0" xfId="11" applyFont="1" applyFill="1"/>
    <xf numFmtId="0" fontId="90" fillId="2" borderId="0" xfId="11" applyFont="1" applyFill="1"/>
    <xf numFmtId="0" fontId="4" fillId="0" borderId="1" xfId="11" applyBorder="1"/>
    <xf numFmtId="1" fontId="21" fillId="0" borderId="1" xfId="11" applyNumberFormat="1" applyFont="1" applyBorder="1"/>
    <xf numFmtId="1" fontId="25" fillId="0" borderId="1" xfId="11" applyNumberFormat="1" applyFont="1" applyBorder="1" applyAlignment="1">
      <alignment horizontal="center" vertical="center" wrapText="1"/>
    </xf>
    <xf numFmtId="0" fontId="22" fillId="0" borderId="0" xfId="11" applyFont="1" applyAlignment="1">
      <alignment horizontal="center"/>
    </xf>
    <xf numFmtId="165" fontId="4" fillId="0" borderId="0" xfId="11" applyNumberFormat="1"/>
    <xf numFmtId="165" fontId="22" fillId="0" borderId="0" xfId="12" applyNumberFormat="1" applyFont="1" applyAlignment="1">
      <alignment horizontal="center"/>
    </xf>
    <xf numFmtId="165" fontId="0" fillId="0" borderId="0" xfId="12" applyNumberFormat="1" applyFont="1"/>
    <xf numFmtId="0" fontId="4" fillId="0" borderId="4" xfId="11" applyBorder="1"/>
    <xf numFmtId="165" fontId="22" fillId="0" borderId="4" xfId="11" applyNumberFormat="1" applyFont="1" applyBorder="1" applyAlignment="1">
      <alignment horizontal="center"/>
    </xf>
    <xf numFmtId="165" fontId="4" fillId="0" borderId="4" xfId="11" applyNumberFormat="1" applyBorder="1"/>
    <xf numFmtId="0" fontId="4" fillId="0" borderId="12" xfId="11" applyBorder="1"/>
    <xf numFmtId="165" fontId="22" fillId="0" borderId="12" xfId="11" applyNumberFormat="1" applyFont="1" applyBorder="1" applyAlignment="1">
      <alignment horizontal="center"/>
    </xf>
    <xf numFmtId="165" fontId="4" fillId="0" borderId="12" xfId="11" applyNumberFormat="1" applyBorder="1"/>
    <xf numFmtId="0" fontId="4" fillId="2" borderId="0" xfId="11" applyFill="1"/>
    <xf numFmtId="0" fontId="24" fillId="2" borderId="0" xfId="11" applyFont="1" applyFill="1" applyAlignment="1">
      <alignment horizontal="center"/>
    </xf>
    <xf numFmtId="0" fontId="4" fillId="0" borderId="11" xfId="11" applyBorder="1"/>
    <xf numFmtId="3" fontId="4" fillId="0" borderId="11" xfId="11" applyNumberFormat="1" applyBorder="1"/>
    <xf numFmtId="165" fontId="0" fillId="0" borderId="11" xfId="12" applyNumberFormat="1" applyFont="1" applyBorder="1"/>
    <xf numFmtId="174" fontId="4" fillId="0" borderId="11" xfId="11" applyNumberFormat="1" applyBorder="1"/>
    <xf numFmtId="0" fontId="4" fillId="0" borderId="3" xfId="11" applyBorder="1"/>
    <xf numFmtId="3" fontId="4" fillId="0" borderId="3" xfId="11" applyNumberFormat="1" applyBorder="1"/>
    <xf numFmtId="0" fontId="4" fillId="10" borderId="11" xfId="11" applyFill="1" applyBorder="1"/>
    <xf numFmtId="174" fontId="4" fillId="10" borderId="11" xfId="11" applyNumberFormat="1" applyFill="1" applyBorder="1"/>
    <xf numFmtId="0" fontId="4" fillId="10" borderId="3" xfId="11" applyFill="1" applyBorder="1"/>
    <xf numFmtId="0" fontId="21" fillId="10" borderId="3" xfId="11" applyFont="1" applyFill="1" applyBorder="1"/>
    <xf numFmtId="174" fontId="21" fillId="10" borderId="3" xfId="11" applyNumberFormat="1" applyFont="1" applyFill="1" applyBorder="1"/>
    <xf numFmtId="174" fontId="4" fillId="10" borderId="3" xfId="11" applyNumberFormat="1" applyFill="1" applyBorder="1"/>
    <xf numFmtId="0" fontId="4" fillId="10" borderId="0" xfId="11" applyFill="1"/>
    <xf numFmtId="0" fontId="4" fillId="10" borderId="0" xfId="11" applyFill="1" applyAlignment="1">
      <alignment horizontal="right"/>
    </xf>
    <xf numFmtId="174" fontId="4" fillId="0" borderId="0" xfId="11" applyNumberFormat="1"/>
    <xf numFmtId="3" fontId="4" fillId="0" borderId="11" xfId="11" applyNumberFormat="1" applyBorder="1" applyAlignment="1">
      <alignment horizontal="center"/>
    </xf>
    <xf numFmtId="3" fontId="4" fillId="0" borderId="3" xfId="11" applyNumberFormat="1" applyBorder="1" applyAlignment="1">
      <alignment horizontal="center"/>
    </xf>
    <xf numFmtId="3" fontId="4" fillId="0" borderId="0" xfId="11" applyNumberFormat="1" applyAlignment="1">
      <alignment horizontal="center"/>
    </xf>
    <xf numFmtId="3" fontId="4" fillId="0" borderId="0" xfId="11" applyNumberFormat="1"/>
    <xf numFmtId="0" fontId="21" fillId="0" borderId="6" xfId="11" applyFont="1" applyBorder="1"/>
    <xf numFmtId="3" fontId="21" fillId="0" borderId="6" xfId="11" applyNumberFormat="1" applyFont="1" applyBorder="1"/>
    <xf numFmtId="0" fontId="21" fillId="0" borderId="2" xfId="11" applyFont="1" applyBorder="1"/>
    <xf numFmtId="3" fontId="21" fillId="0" borderId="2" xfId="11" applyNumberFormat="1" applyFont="1" applyBorder="1"/>
    <xf numFmtId="14" fontId="0" fillId="0" borderId="0" xfId="0" applyNumberFormat="1"/>
    <xf numFmtId="0" fontId="92" fillId="11" borderId="13" xfId="0" applyFont="1" applyFill="1" applyBorder="1" applyAlignment="1">
      <alignment horizontal="left" vertical="center"/>
    </xf>
    <xf numFmtId="10" fontId="94" fillId="11" borderId="13" xfId="0" applyNumberFormat="1" applyFont="1" applyFill="1" applyBorder="1" applyAlignment="1">
      <alignment horizontal="right" vertical="center"/>
    </xf>
    <xf numFmtId="10" fontId="93" fillId="11" borderId="13" xfId="0" applyNumberFormat="1" applyFont="1" applyFill="1" applyBorder="1" applyAlignment="1">
      <alignment horizontal="right" vertical="center"/>
    </xf>
    <xf numFmtId="0" fontId="92" fillId="0" borderId="13" xfId="0" applyFont="1" applyBorder="1" applyAlignment="1">
      <alignment horizontal="left" vertical="center"/>
    </xf>
    <xf numFmtId="10" fontId="94" fillId="0" borderId="13" xfId="0" applyNumberFormat="1" applyFont="1" applyBorder="1" applyAlignment="1">
      <alignment horizontal="right" vertical="center"/>
    </xf>
    <xf numFmtId="10" fontId="93" fillId="0" borderId="13" xfId="0" applyNumberFormat="1" applyFont="1" applyBorder="1" applyAlignment="1">
      <alignment horizontal="right" vertical="center"/>
    </xf>
    <xf numFmtId="10" fontId="95" fillId="0" borderId="13" xfId="0" applyNumberFormat="1" applyFont="1" applyBorder="1" applyAlignment="1">
      <alignment horizontal="right" vertical="center"/>
    </xf>
    <xf numFmtId="187" fontId="0" fillId="0" borderId="0" xfId="0" applyNumberFormat="1"/>
    <xf numFmtId="188" fontId="0" fillId="0" borderId="0" xfId="0" applyNumberFormat="1"/>
    <xf numFmtId="2" fontId="0" fillId="0" borderId="0" xfId="0" applyNumberFormat="1"/>
    <xf numFmtId="179" fontId="96" fillId="0" borderId="1" xfId="0" applyNumberFormat="1" applyFont="1" applyBorder="1"/>
    <xf numFmtId="179" fontId="50" fillId="0" borderId="0" xfId="0" applyNumberFormat="1" applyFont="1"/>
    <xf numFmtId="166" fontId="50" fillId="0" borderId="0" xfId="0" applyNumberFormat="1" applyFont="1"/>
    <xf numFmtId="0" fontId="0" fillId="0" borderId="14" xfId="0" applyBorder="1"/>
    <xf numFmtId="0" fontId="0" fillId="0" borderId="15" xfId="0" applyBorder="1"/>
    <xf numFmtId="0" fontId="0" fillId="0" borderId="16" xfId="0" applyBorder="1"/>
    <xf numFmtId="0" fontId="0" fillId="0" borderId="9" xfId="0" applyBorder="1"/>
    <xf numFmtId="164" fontId="19" fillId="6" borderId="0" xfId="3" applyNumberFormat="1" applyFont="1" applyFill="1" applyAlignment="1">
      <alignment vertical="center"/>
    </xf>
    <xf numFmtId="174" fontId="55" fillId="5" borderId="0" xfId="0" applyNumberFormat="1" applyFont="1" applyFill="1"/>
    <xf numFmtId="9" fontId="0" fillId="5" borderId="0" xfId="1" applyFont="1" applyFill="1"/>
    <xf numFmtId="165" fontId="35" fillId="6" borderId="3" xfId="0" applyNumberFormat="1" applyFont="1" applyFill="1" applyBorder="1"/>
    <xf numFmtId="174" fontId="0" fillId="6" borderId="0" xfId="0" applyNumberFormat="1" applyFill="1"/>
    <xf numFmtId="174" fontId="29" fillId="6" borderId="0" xfId="0" applyNumberFormat="1" applyFont="1" applyFill="1"/>
    <xf numFmtId="9" fontId="0" fillId="6" borderId="0" xfId="1" applyFont="1" applyFill="1"/>
    <xf numFmtId="174" fontId="55" fillId="6" borderId="0" xfId="0" applyNumberFormat="1" applyFont="1" applyFill="1"/>
    <xf numFmtId="0" fontId="48" fillId="2" borderId="4" xfId="4" applyFont="1" applyFill="1" applyBorder="1" applyAlignment="1">
      <alignment horizontal="right" vertical="center"/>
    </xf>
    <xf numFmtId="0" fontId="48" fillId="2" borderId="15" xfId="4" applyFont="1" applyFill="1" applyBorder="1" applyAlignment="1">
      <alignment horizontal="right" vertical="center"/>
    </xf>
    <xf numFmtId="164" fontId="19" fillId="6" borderId="17" xfId="3" applyNumberFormat="1" applyFont="1" applyFill="1" applyBorder="1" applyAlignment="1">
      <alignment vertical="center"/>
    </xf>
    <xf numFmtId="3" fontId="0" fillId="6" borderId="0" xfId="0" applyNumberFormat="1" applyFill="1"/>
    <xf numFmtId="1" fontId="0" fillId="6" borderId="0" xfId="0" applyNumberFormat="1" applyFill="1"/>
    <xf numFmtId="1" fontId="0" fillId="6" borderId="17" xfId="0" applyNumberFormat="1" applyFill="1" applyBorder="1"/>
    <xf numFmtId="9" fontId="55" fillId="12" borderId="0" xfId="1" applyFont="1" applyFill="1" applyBorder="1"/>
    <xf numFmtId="9" fontId="55" fillId="12" borderId="17" xfId="1" applyFont="1" applyFill="1" applyBorder="1"/>
    <xf numFmtId="3" fontId="0" fillId="6" borderId="6" xfId="0" applyNumberFormat="1" applyFill="1" applyBorder="1"/>
    <xf numFmtId="1" fontId="29" fillId="6" borderId="6" xfId="0" applyNumberFormat="1" applyFont="1" applyFill="1" applyBorder="1"/>
    <xf numFmtId="1" fontId="29" fillId="6" borderId="8" xfId="0" applyNumberFormat="1" applyFont="1" applyFill="1" applyBorder="1"/>
    <xf numFmtId="0" fontId="0" fillId="0" borderId="19" xfId="0" applyBorder="1"/>
    <xf numFmtId="0" fontId="55" fillId="0" borderId="19" xfId="0" applyFont="1" applyBorder="1"/>
    <xf numFmtId="174" fontId="0" fillId="0" borderId="1" xfId="0" applyNumberFormat="1" applyBorder="1"/>
    <xf numFmtId="174" fontId="0" fillId="7" borderId="1" xfId="0" applyNumberFormat="1" applyFill="1" applyBorder="1"/>
    <xf numFmtId="0" fontId="97" fillId="0" borderId="0" xfId="7" applyFont="1"/>
    <xf numFmtId="0" fontId="0" fillId="0" borderId="5" xfId="0" applyBorder="1"/>
    <xf numFmtId="0" fontId="0" fillId="0" borderId="8" xfId="0" applyBorder="1"/>
    <xf numFmtId="3" fontId="39" fillId="0" borderId="0" xfId="0" applyNumberFormat="1" applyFont="1"/>
    <xf numFmtId="174" fontId="39" fillId="0" borderId="0" xfId="1" applyNumberFormat="1" applyFont="1"/>
    <xf numFmtId="1" fontId="37" fillId="0" borderId="0" xfId="0" applyNumberFormat="1" applyFont="1"/>
    <xf numFmtId="0" fontId="29" fillId="0" borderId="18" xfId="0" applyFont="1" applyBorder="1"/>
    <xf numFmtId="0" fontId="48" fillId="13" borderId="0" xfId="4" applyFont="1" applyFill="1" applyAlignment="1">
      <alignment horizontal="right" vertical="center"/>
    </xf>
    <xf numFmtId="9" fontId="36" fillId="6" borderId="0" xfId="1" applyFont="1" applyFill="1"/>
    <xf numFmtId="9" fontId="45" fillId="0" borderId="4" xfId="1" applyFont="1" applyBorder="1" applyAlignment="1">
      <alignment vertical="center"/>
    </xf>
    <xf numFmtId="9" fontId="17" fillId="0" borderId="0" xfId="1" applyFont="1" applyAlignment="1">
      <alignment vertical="center"/>
    </xf>
    <xf numFmtId="9" fontId="17" fillId="0" borderId="0" xfId="1" applyFont="1"/>
    <xf numFmtId="9" fontId="33" fillId="6" borderId="2" xfId="1" applyFont="1" applyFill="1" applyBorder="1"/>
    <xf numFmtId="9" fontId="33" fillId="0" borderId="2" xfId="1" applyFont="1" applyBorder="1"/>
    <xf numFmtId="9" fontId="27" fillId="0" borderId="0" xfId="1" applyFont="1"/>
    <xf numFmtId="9" fontId="45" fillId="6" borderId="4" xfId="1" applyFont="1" applyFill="1" applyBorder="1" applyAlignment="1">
      <alignment vertical="center"/>
    </xf>
    <xf numFmtId="9" fontId="45" fillId="0" borderId="0" xfId="1" applyFont="1" applyAlignment="1">
      <alignment vertical="center"/>
    </xf>
    <xf numFmtId="9" fontId="45" fillId="0" borderId="0" xfId="1" applyFont="1"/>
    <xf numFmtId="9" fontId="33" fillId="0" borderId="0" xfId="1" applyFont="1"/>
    <xf numFmtId="166" fontId="42" fillId="0" borderId="1" xfId="0" applyNumberFormat="1" applyFont="1" applyBorder="1"/>
    <xf numFmtId="179" fontId="38" fillId="0" borderId="1" xfId="0" applyNumberFormat="1" applyFont="1" applyBorder="1"/>
    <xf numFmtId="0" fontId="39" fillId="0" borderId="5" xfId="0" applyFont="1" applyBorder="1" applyAlignment="1">
      <alignment horizontal="center"/>
    </xf>
    <xf numFmtId="164" fontId="37" fillId="6" borderId="0" xfId="0" applyNumberFormat="1" applyFont="1" applyFill="1"/>
    <xf numFmtId="164" fontId="35" fillId="0" borderId="0" xfId="0" applyNumberFormat="1" applyFont="1"/>
    <xf numFmtId="164" fontId="29" fillId="0" borderId="4" xfId="0" applyNumberFormat="1" applyFont="1" applyBorder="1"/>
    <xf numFmtId="164" fontId="35" fillId="6" borderId="0" xfId="0" applyNumberFormat="1" applyFont="1" applyFill="1"/>
    <xf numFmtId="164" fontId="0" fillId="8" borderId="0" xfId="0" applyNumberFormat="1" applyFill="1"/>
    <xf numFmtId="164" fontId="33" fillId="6" borderId="2" xfId="0" applyNumberFormat="1" applyFont="1" applyFill="1" applyBorder="1"/>
    <xf numFmtId="164" fontId="33" fillId="0" borderId="2" xfId="0" applyNumberFormat="1" applyFont="1" applyBorder="1"/>
    <xf numFmtId="164" fontId="36" fillId="6" borderId="0" xfId="0" applyNumberFormat="1" applyFont="1" applyFill="1"/>
    <xf numFmtId="164" fontId="33" fillId="0" borderId="4" xfId="0" applyNumberFormat="1" applyFont="1" applyBorder="1"/>
    <xf numFmtId="164" fontId="37" fillId="0" borderId="0" xfId="1" applyNumberFormat="1" applyFont="1" applyFill="1" applyBorder="1"/>
    <xf numFmtId="164" fontId="33" fillId="6" borderId="4" xfId="0" applyNumberFormat="1" applyFont="1" applyFill="1" applyBorder="1"/>
    <xf numFmtId="164" fontId="33" fillId="0" borderId="0" xfId="0" applyNumberFormat="1" applyFont="1"/>
    <xf numFmtId="9" fontId="89" fillId="0" borderId="0" xfId="1" applyFont="1" applyFill="1"/>
    <xf numFmtId="177" fontId="89" fillId="0" borderId="0" xfId="1" applyNumberFormat="1" applyFont="1" applyFill="1"/>
    <xf numFmtId="164" fontId="36" fillId="0" borderId="20" xfId="0" applyNumberFormat="1" applyFont="1" applyBorder="1"/>
    <xf numFmtId="164" fontId="36" fillId="0" borderId="21" xfId="0" applyNumberFormat="1" applyFont="1" applyBorder="1"/>
    <xf numFmtId="164" fontId="36" fillId="0" borderId="22" xfId="0" applyNumberFormat="1" applyFont="1" applyBorder="1"/>
    <xf numFmtId="164" fontId="36" fillId="0" borderId="23" xfId="0" applyNumberFormat="1" applyFont="1" applyBorder="1"/>
    <xf numFmtId="164" fontId="36" fillId="0" borderId="24" xfId="0" applyNumberFormat="1" applyFont="1" applyBorder="1"/>
    <xf numFmtId="164" fontId="36" fillId="0" borderId="25" xfId="0" applyNumberFormat="1" applyFont="1" applyBorder="1"/>
    <xf numFmtId="164" fontId="36" fillId="7" borderId="23" xfId="0" applyNumberFormat="1" applyFont="1" applyFill="1" applyBorder="1"/>
    <xf numFmtId="168" fontId="64" fillId="0" borderId="0" xfId="0" applyNumberFormat="1" applyFont="1"/>
    <xf numFmtId="0" fontId="0" fillId="0" borderId="0" xfId="0" applyAlignment="1">
      <alignment horizontal="left" vertical="top" wrapText="1"/>
    </xf>
    <xf numFmtId="0" fontId="98" fillId="0" borderId="0" xfId="11" applyFont="1"/>
    <xf numFmtId="0" fontId="49" fillId="0" borderId="0" xfId="11" applyFont="1"/>
    <xf numFmtId="0" fontId="3" fillId="0" borderId="0" xfId="4" applyFont="1"/>
    <xf numFmtId="164" fontId="2" fillId="0" borderId="0" xfId="4" applyNumberFormat="1" applyFont="1"/>
    <xf numFmtId="0" fontId="2" fillId="0" borderId="0" xfId="4" applyFont="1"/>
    <xf numFmtId="0" fontId="39" fillId="0" borderId="0" xfId="0" applyFont="1" applyAlignment="1">
      <alignment horizontal="right"/>
    </xf>
    <xf numFmtId="169" fontId="36" fillId="0" borderId="5" xfId="0" applyNumberFormat="1" applyFont="1" applyBorder="1"/>
    <xf numFmtId="164" fontId="37" fillId="0" borderId="1" xfId="0" applyNumberFormat="1" applyFont="1" applyBorder="1"/>
    <xf numFmtId="164" fontId="36" fillId="0" borderId="1" xfId="0" applyNumberFormat="1" applyFont="1" applyBorder="1"/>
    <xf numFmtId="168" fontId="56" fillId="0" borderId="0" xfId="4" applyNumberFormat="1" applyFont="1"/>
    <xf numFmtId="168" fontId="29" fillId="0" borderId="2" xfId="0" applyNumberFormat="1" applyFont="1" applyBorder="1"/>
    <xf numFmtId="165" fontId="37" fillId="8" borderId="0" xfId="1" applyNumberFormat="1" applyFont="1" applyFill="1"/>
    <xf numFmtId="165" fontId="36" fillId="0" borderId="0" xfId="1" applyNumberFormat="1" applyFont="1"/>
    <xf numFmtId="180" fontId="55" fillId="5" borderId="0" xfId="0" applyNumberFormat="1" applyFont="1" applyFill="1"/>
    <xf numFmtId="0" fontId="29" fillId="0" borderId="19" xfId="0" applyFont="1" applyBorder="1" applyAlignment="1">
      <alignment horizontal="left"/>
    </xf>
    <xf numFmtId="0" fontId="29" fillId="0" borderId="5" xfId="0" applyFont="1" applyBorder="1" applyAlignment="1">
      <alignment horizontal="left"/>
    </xf>
    <xf numFmtId="9" fontId="0" fillId="4" borderId="0" xfId="0" applyNumberFormat="1" applyFill="1"/>
    <xf numFmtId="9" fontId="0" fillId="4" borderId="0" xfId="1" applyFont="1" applyFill="1"/>
    <xf numFmtId="174" fontId="0" fillId="4" borderId="0" xfId="0" applyNumberFormat="1" applyFill="1"/>
    <xf numFmtId="9" fontId="64" fillId="0" borderId="0" xfId="1" applyFont="1"/>
    <xf numFmtId="0" fontId="1" fillId="0" borderId="0" xfId="4" applyFont="1"/>
    <xf numFmtId="10" fontId="29" fillId="0" borderId="0" xfId="1" applyNumberFormat="1" applyFont="1" applyBorder="1"/>
    <xf numFmtId="0" fontId="48" fillId="2" borderId="0" xfId="4" applyFont="1" applyFill="1" applyAlignment="1">
      <alignment vertical="center"/>
    </xf>
    <xf numFmtId="0" fontId="48" fillId="2" borderId="26" xfId="4" applyFont="1" applyFill="1" applyBorder="1" applyAlignment="1">
      <alignment vertical="center"/>
    </xf>
    <xf numFmtId="3" fontId="0" fillId="0" borderId="26" xfId="0" applyNumberFormat="1" applyBorder="1"/>
    <xf numFmtId="3" fontId="0" fillId="0" borderId="16" xfId="0" applyNumberFormat="1" applyBorder="1"/>
    <xf numFmtId="3" fontId="0" fillId="0" borderId="7" xfId="0" applyNumberFormat="1" applyBorder="1"/>
    <xf numFmtId="0" fontId="99" fillId="0" borderId="0" xfId="11" applyFont="1"/>
    <xf numFmtId="9" fontId="0" fillId="0" borderId="11" xfId="1" applyFont="1" applyBorder="1" applyAlignment="1">
      <alignment horizontal="center"/>
    </xf>
    <xf numFmtId="9" fontId="0" fillId="0" borderId="3" xfId="1" applyFont="1" applyBorder="1" applyAlignment="1">
      <alignment horizontal="center"/>
    </xf>
    <xf numFmtId="0" fontId="68" fillId="3" borderId="0" xfId="0" applyFont="1" applyFill="1" applyAlignment="1">
      <alignment horizontal="center"/>
    </xf>
    <xf numFmtId="0" fontId="67" fillId="4" borderId="0" xfId="0" applyFont="1" applyFill="1" applyAlignment="1">
      <alignment horizontal="center"/>
    </xf>
    <xf numFmtId="0" fontId="33" fillId="10" borderId="0" xfId="0" applyFont="1" applyFill="1" applyAlignment="1">
      <alignment horizontal="center"/>
    </xf>
    <xf numFmtId="0" fontId="29" fillId="0" borderId="0" xfId="0" applyFont="1" applyAlignment="1">
      <alignment horizontal="center"/>
    </xf>
    <xf numFmtId="0" fontId="33" fillId="4" borderId="0" xfId="0" applyFont="1" applyFill="1" applyAlignment="1">
      <alignment horizontal="center"/>
    </xf>
    <xf numFmtId="0" fontId="28" fillId="3" borderId="0" xfId="0" applyFont="1" applyFill="1" applyAlignment="1">
      <alignment horizontal="center"/>
    </xf>
    <xf numFmtId="0" fontId="0" fillId="0" borderId="0" xfId="0" applyAlignment="1">
      <alignment horizontal="left" vertical="top" wrapText="1"/>
    </xf>
    <xf numFmtId="0" fontId="0" fillId="0" borderId="0" xfId="0" applyAlignment="1">
      <alignment horizontal="left" vertical="top"/>
    </xf>
    <xf numFmtId="0" fontId="89" fillId="0" borderId="0" xfId="0" applyFont="1" applyAlignment="1">
      <alignment horizontal="center" vertical="center" textRotation="90" wrapText="1"/>
    </xf>
    <xf numFmtId="0" fontId="89" fillId="0" borderId="0" xfId="0" applyFont="1" applyAlignment="1">
      <alignment horizontal="center"/>
    </xf>
    <xf numFmtId="0" fontId="34" fillId="3" borderId="0" xfId="0" applyFont="1" applyFill="1"/>
    <xf numFmtId="0" fontId="24" fillId="2" borderId="0" xfId="11" applyFont="1" applyFill="1" applyAlignment="1">
      <alignment horizontal="center"/>
    </xf>
    <xf numFmtId="0" fontId="24" fillId="2" borderId="0" xfId="4" applyFont="1" applyFill="1" applyAlignment="1">
      <alignment horizontal="center" vertical="center"/>
    </xf>
    <xf numFmtId="0" fontId="75" fillId="0" borderId="7" xfId="0" applyFont="1" applyBorder="1" applyAlignment="1">
      <alignment horizontal="center"/>
    </xf>
    <xf numFmtId="0" fontId="75" fillId="0" borderId="8" xfId="0" applyFont="1" applyBorder="1" applyAlignment="1">
      <alignment horizontal="center"/>
    </xf>
  </cellXfs>
  <cellStyles count="13">
    <cellStyle name="Comma 2" xfId="10" xr:uid="{22DB349F-B61B-4FFB-9E70-13B98813A94A}"/>
    <cellStyle name="Currency 3" xfId="8" xr:uid="{025752F2-D49D-4E78-803A-668580268605}"/>
    <cellStyle name="Hyperlink" xfId="6" builtinId="8"/>
    <cellStyle name="Normal" xfId="0" builtinId="0"/>
    <cellStyle name="Normal 2" xfId="3" xr:uid="{3FDC719C-D55D-47C4-A983-FBE97D19701C}"/>
    <cellStyle name="Normal 3" xfId="2" xr:uid="{A8E48AEC-AEA1-424A-A68B-DCD242593CD0}"/>
    <cellStyle name="Normal 4" xfId="4" xr:uid="{0A386DFB-F94B-4829-B76C-43E2D2A80C69}"/>
    <cellStyle name="Normal 5" xfId="11" xr:uid="{3B0716F2-436E-426E-BEE6-51B06BB4E833}"/>
    <cellStyle name="Normal 6" xfId="7" xr:uid="{2B977B42-00CF-4083-89BC-68AB34B71881}"/>
    <cellStyle name="Percent" xfId="1" builtinId="5"/>
    <cellStyle name="Percent 2" xfId="5" xr:uid="{606C115A-CE43-4857-B8D3-F8020E2C1950}"/>
    <cellStyle name="Percent 3" xfId="12" xr:uid="{23C35C78-8570-4FD1-8266-B354061882B2}"/>
    <cellStyle name="Percent 5" xfId="9" xr:uid="{6532C1C1-DA8C-4B97-A2D1-66EDF2D921B5}"/>
  </cellStyles>
  <dxfs count="1">
    <dxf>
      <numFmt numFmtId="19" formatCode="dd/mm/yyyy"/>
    </dxf>
  </dxfs>
  <tableStyles count="0" defaultTableStyle="TableStyleMedium2" defaultPivotStyle="PivotStyleLight16"/>
  <colors>
    <mruColors>
      <color rgb="FF0000FF"/>
      <color rgb="FF2251A1"/>
      <color rgb="FFEB1934"/>
      <color rgb="FFCDCDCD"/>
      <color rgb="FF3333FF"/>
      <color rgb="FFF98787"/>
      <color rgb="FF00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'Assumptions working'!$B$661</c:f>
              <c:strCache>
                <c:ptCount val="1"/>
                <c:pt idx="0">
                  <c:v>Trade Payable % Revenue</c:v>
                </c:pt>
              </c:strCache>
            </c:strRef>
          </c:tx>
          <c:spPr>
            <a:solidFill>
              <a:schemeClr val="accent1"/>
            </a:solidFill>
            <a:ln>
              <a:noFill/>
            </a:ln>
            <a:effectLst/>
          </c:spPr>
          <c:invertIfNegative val="0"/>
          <c:cat>
            <c:strRef>
              <c:f>'Assumptions working'!$C$648:$N$648</c:f>
              <c:strCache>
                <c:ptCount val="12"/>
                <c:pt idx="0">
                  <c:v>Dec2012</c:v>
                </c:pt>
                <c:pt idx="1">
                  <c:v>Dec2013</c:v>
                </c:pt>
                <c:pt idx="2">
                  <c:v>Dec2014</c:v>
                </c:pt>
                <c:pt idx="3">
                  <c:v>Dec2015</c:v>
                </c:pt>
                <c:pt idx="4">
                  <c:v>Dec2016</c:v>
                </c:pt>
                <c:pt idx="5">
                  <c:v>Dec2017</c:v>
                </c:pt>
                <c:pt idx="6">
                  <c:v>Dec2018</c:v>
                </c:pt>
                <c:pt idx="7">
                  <c:v>Dec2019</c:v>
                </c:pt>
                <c:pt idx="8">
                  <c:v>Dec2020</c:v>
                </c:pt>
                <c:pt idx="9">
                  <c:v>Dec2021</c:v>
                </c:pt>
                <c:pt idx="10">
                  <c:v>Dec2022</c:v>
                </c:pt>
                <c:pt idx="11">
                  <c:v>Dec2023</c:v>
                </c:pt>
              </c:strCache>
            </c:strRef>
          </c:cat>
          <c:val>
            <c:numRef>
              <c:f>'Assumptions working'!$C$661:$N$661</c:f>
              <c:numCache>
                <c:formatCode>0.0%</c:formatCode>
                <c:ptCount val="12"/>
                <c:pt idx="0">
                  <c:v>5.0555555555555555E-2</c:v>
                </c:pt>
                <c:pt idx="1">
                  <c:v>6.5721040189125293E-2</c:v>
                </c:pt>
                <c:pt idx="2">
                  <c:v>7.2342126298960835E-2</c:v>
                </c:pt>
                <c:pt idx="3">
                  <c:v>5.4507955215085446E-2</c:v>
                </c:pt>
                <c:pt idx="4">
                  <c:v>7.1225071225071226E-2</c:v>
                </c:pt>
                <c:pt idx="5">
                  <c:v>4.7702297702297704E-2</c:v>
                </c:pt>
                <c:pt idx="6">
                  <c:v>6.2095984329089131E-2</c:v>
                </c:pt>
                <c:pt idx="7">
                  <c:v>6.7040673211781213E-2</c:v>
                </c:pt>
                <c:pt idx="8">
                  <c:v>7.9224806201550382E-2</c:v>
                </c:pt>
                <c:pt idx="9">
                  <c:v>8.0698175223846758E-2</c:v>
                </c:pt>
                <c:pt idx="10">
                  <c:v>6.2552190085781528E-2</c:v>
                </c:pt>
                <c:pt idx="11">
                  <c:v>4.7248020943713769E-2</c:v>
                </c:pt>
              </c:numCache>
            </c:numRef>
          </c:val>
          <c:extLst>
            <c:ext xmlns:c16="http://schemas.microsoft.com/office/drawing/2014/chart" uri="{C3380CC4-5D6E-409C-BE32-E72D297353CC}">
              <c16:uniqueId val="{00000000-9869-4D9F-AC44-D72FC19A74EA}"/>
            </c:ext>
          </c:extLst>
        </c:ser>
        <c:ser>
          <c:idx val="1"/>
          <c:order val="1"/>
          <c:tx>
            <c:strRef>
              <c:f>'Assumptions working'!$B$662</c:f>
              <c:strCache>
                <c:ptCount val="1"/>
                <c:pt idx="0">
                  <c:v>Trade Receivable % Revenue</c:v>
                </c:pt>
              </c:strCache>
            </c:strRef>
          </c:tx>
          <c:spPr>
            <a:solidFill>
              <a:schemeClr val="accent2"/>
            </a:solidFill>
            <a:ln>
              <a:noFill/>
            </a:ln>
            <a:effectLst/>
          </c:spPr>
          <c:invertIfNegative val="0"/>
          <c:cat>
            <c:strRef>
              <c:f>'Assumptions working'!$C$648:$N$648</c:f>
              <c:strCache>
                <c:ptCount val="12"/>
                <c:pt idx="0">
                  <c:v>Dec2012</c:v>
                </c:pt>
                <c:pt idx="1">
                  <c:v>Dec2013</c:v>
                </c:pt>
                <c:pt idx="2">
                  <c:v>Dec2014</c:v>
                </c:pt>
                <c:pt idx="3">
                  <c:v>Dec2015</c:v>
                </c:pt>
                <c:pt idx="4">
                  <c:v>Dec2016</c:v>
                </c:pt>
                <c:pt idx="5">
                  <c:v>Dec2017</c:v>
                </c:pt>
                <c:pt idx="6">
                  <c:v>Dec2018</c:v>
                </c:pt>
                <c:pt idx="7">
                  <c:v>Dec2019</c:v>
                </c:pt>
                <c:pt idx="8">
                  <c:v>Dec2020</c:v>
                </c:pt>
                <c:pt idx="9">
                  <c:v>Dec2021</c:v>
                </c:pt>
                <c:pt idx="10">
                  <c:v>Dec2022</c:v>
                </c:pt>
                <c:pt idx="11">
                  <c:v>Dec2023</c:v>
                </c:pt>
              </c:strCache>
            </c:strRef>
          </c:cat>
          <c:val>
            <c:numRef>
              <c:f>'Assumptions working'!$C$662:$N$662</c:f>
              <c:numCache>
                <c:formatCode>0.0%</c:formatCode>
                <c:ptCount val="12"/>
                <c:pt idx="0">
                  <c:v>5.0555555555555555E-2</c:v>
                </c:pt>
                <c:pt idx="1">
                  <c:v>3.0732860520094562E-2</c:v>
                </c:pt>
                <c:pt idx="2">
                  <c:v>3.8768984812150277E-2</c:v>
                </c:pt>
                <c:pt idx="3">
                  <c:v>2.8874484384207425E-2</c:v>
                </c:pt>
                <c:pt idx="4">
                  <c:v>3.392903392903393E-2</c:v>
                </c:pt>
                <c:pt idx="5">
                  <c:v>3.7462537462537464E-2</c:v>
                </c:pt>
                <c:pt idx="6">
                  <c:v>2.5073457394711066E-2</c:v>
                </c:pt>
                <c:pt idx="7">
                  <c:v>2.4263674614305751E-2</c:v>
                </c:pt>
                <c:pt idx="8">
                  <c:v>3.7519379844961238E-2</c:v>
                </c:pt>
                <c:pt idx="9">
                  <c:v>2.5048169556840076E-2</c:v>
                </c:pt>
                <c:pt idx="10">
                  <c:v>2.2697942761709559E-2</c:v>
                </c:pt>
                <c:pt idx="11">
                  <c:v>2.2377360842735148E-2</c:v>
                </c:pt>
              </c:numCache>
            </c:numRef>
          </c:val>
          <c:extLst>
            <c:ext xmlns:c16="http://schemas.microsoft.com/office/drawing/2014/chart" uri="{C3380CC4-5D6E-409C-BE32-E72D297353CC}">
              <c16:uniqueId val="{00000001-9869-4D9F-AC44-D72FC19A74EA}"/>
            </c:ext>
          </c:extLst>
        </c:ser>
        <c:dLbls>
          <c:showLegendKey val="0"/>
          <c:showVal val="0"/>
          <c:showCatName val="0"/>
          <c:showSerName val="0"/>
          <c:showPercent val="0"/>
          <c:showBubbleSize val="0"/>
        </c:dLbls>
        <c:gapWidth val="219"/>
        <c:overlap val="-27"/>
        <c:axId val="907752784"/>
        <c:axId val="907753264"/>
      </c:barChart>
      <c:catAx>
        <c:axId val="907752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753264"/>
        <c:crosses val="autoZero"/>
        <c:auto val="1"/>
        <c:lblAlgn val="ctr"/>
        <c:lblOffset val="100"/>
        <c:noMultiLvlLbl val="0"/>
      </c:catAx>
      <c:valAx>
        <c:axId val="90775326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752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Product Wise Breakup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rgbClr val="2251A1"/>
              </a:solidFill>
              <a:ln w="19050">
                <a:solidFill>
                  <a:schemeClr val="lt1"/>
                </a:solidFill>
              </a:ln>
              <a:effectLst/>
            </c:spPr>
            <c:extLst>
              <c:ext xmlns:c16="http://schemas.microsoft.com/office/drawing/2014/chart" uri="{C3380CC4-5D6E-409C-BE32-E72D297353CC}">
                <c16:uniqueId val="{00000003-859B-451C-BFCB-AA7E626B7116}"/>
              </c:ext>
            </c:extLst>
          </c:dPt>
          <c:dPt>
            <c:idx val="1"/>
            <c:bubble3D val="0"/>
            <c:spPr>
              <a:solidFill>
                <a:srgbClr val="EB1934"/>
              </a:solidFill>
              <a:ln w="19050">
                <a:solidFill>
                  <a:schemeClr val="lt1"/>
                </a:solidFill>
              </a:ln>
              <a:effectLst/>
            </c:spPr>
            <c:extLst>
              <c:ext xmlns:c16="http://schemas.microsoft.com/office/drawing/2014/chart" uri="{C3380CC4-5D6E-409C-BE32-E72D297353CC}">
                <c16:uniqueId val="{00000001-859B-451C-BFCB-AA7E626B7116}"/>
              </c:ext>
            </c:extLst>
          </c:dPt>
          <c:dPt>
            <c:idx val="2"/>
            <c:bubble3D val="0"/>
            <c:spPr>
              <a:solidFill>
                <a:srgbClr val="002060"/>
              </a:solidFill>
              <a:ln w="19050">
                <a:solidFill>
                  <a:schemeClr val="lt1"/>
                </a:solidFill>
              </a:ln>
              <a:effectLst/>
            </c:spPr>
            <c:extLst>
              <c:ext xmlns:c16="http://schemas.microsoft.com/office/drawing/2014/chart" uri="{C3380CC4-5D6E-409C-BE32-E72D297353CC}">
                <c16:uniqueId val="{00000002-859B-451C-BFCB-AA7E626B7116}"/>
              </c:ext>
            </c:extLst>
          </c:dPt>
          <c:dLbls>
            <c:dLbl>
              <c:idx val="0"/>
              <c:layout>
                <c:manualLayout>
                  <c:x val="1.1157601115760111E-2"/>
                  <c:y val="-5.96415797540859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59B-451C-BFCB-AA7E626B7116}"/>
                </c:ext>
              </c:extLst>
            </c:dLbl>
            <c:dLbl>
              <c:idx val="1"/>
              <c:layout>
                <c:manualLayout>
                  <c:x val="5.8577405857740586E-2"/>
                  <c:y val="-3.211469679066170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59B-451C-BFCB-AA7E626B7116}"/>
                </c:ext>
              </c:extLst>
            </c:dLbl>
            <c:dLbl>
              <c:idx val="2"/>
              <c:layout>
                <c:manualLayout>
                  <c:x val="-5.8577405857740635E-2"/>
                  <c:y val="9.175627654474761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59B-451C-BFCB-AA7E626B711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Report!$B$5:$B$7</c:f>
              <c:strCache>
                <c:ptCount val="3"/>
                <c:pt idx="0">
                  <c:v>Juice Based Drink</c:v>
                </c:pt>
                <c:pt idx="1">
                  <c:v>Packaged Drinking Water</c:v>
                </c:pt>
                <c:pt idx="2">
                  <c:v>Carbonated Soft Drink</c:v>
                </c:pt>
              </c:strCache>
            </c:strRef>
          </c:cat>
          <c:val>
            <c:numRef>
              <c:f>Report!$C$5:$C$7</c:f>
              <c:numCache>
                <c:formatCode>0%</c:formatCode>
                <c:ptCount val="3"/>
                <c:pt idx="0">
                  <c:v>0.05</c:v>
                </c:pt>
                <c:pt idx="1">
                  <c:v>0.27</c:v>
                </c:pt>
                <c:pt idx="2">
                  <c:v>0.68</c:v>
                </c:pt>
              </c:numCache>
            </c:numRef>
          </c:val>
          <c:extLst>
            <c:ext xmlns:c16="http://schemas.microsoft.com/office/drawing/2014/chart" uri="{C3380CC4-5D6E-409C-BE32-E72D297353CC}">
              <c16:uniqueId val="{00000000-859B-451C-BFCB-AA7E626B711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Report!$C$24</c:f>
              <c:strCache>
                <c:ptCount val="1"/>
                <c:pt idx="0">
                  <c:v>Adj Close</c:v>
                </c:pt>
              </c:strCache>
            </c:strRef>
          </c:tx>
          <c:spPr>
            <a:ln w="28575" cap="rnd">
              <a:solidFill>
                <a:schemeClr val="accent1"/>
              </a:solidFill>
              <a:round/>
            </a:ln>
            <a:effectLst/>
          </c:spPr>
          <c:marker>
            <c:symbol val="none"/>
          </c:marker>
          <c:cat>
            <c:numRef>
              <c:f>Report!$B$25:$B$270</c:f>
              <c:numCache>
                <c:formatCode>m/d/yyyy</c:formatCode>
                <c:ptCount val="246"/>
                <c:pt idx="0">
                  <c:v>45077</c:v>
                </c:pt>
                <c:pt idx="1">
                  <c:v>45078</c:v>
                </c:pt>
                <c:pt idx="2">
                  <c:v>45079</c:v>
                </c:pt>
                <c:pt idx="3">
                  <c:v>45082</c:v>
                </c:pt>
                <c:pt idx="4">
                  <c:v>45083</c:v>
                </c:pt>
                <c:pt idx="5">
                  <c:v>45084</c:v>
                </c:pt>
                <c:pt idx="6">
                  <c:v>45085</c:v>
                </c:pt>
                <c:pt idx="7">
                  <c:v>45086</c:v>
                </c:pt>
                <c:pt idx="8">
                  <c:v>45089</c:v>
                </c:pt>
                <c:pt idx="9">
                  <c:v>45090</c:v>
                </c:pt>
                <c:pt idx="10">
                  <c:v>45091</c:v>
                </c:pt>
                <c:pt idx="11">
                  <c:v>45092</c:v>
                </c:pt>
                <c:pt idx="12">
                  <c:v>45093</c:v>
                </c:pt>
                <c:pt idx="13">
                  <c:v>45096</c:v>
                </c:pt>
                <c:pt idx="14">
                  <c:v>45097</c:v>
                </c:pt>
                <c:pt idx="15">
                  <c:v>45098</c:v>
                </c:pt>
                <c:pt idx="16">
                  <c:v>45099</c:v>
                </c:pt>
                <c:pt idx="17">
                  <c:v>45100</c:v>
                </c:pt>
                <c:pt idx="18">
                  <c:v>45103</c:v>
                </c:pt>
                <c:pt idx="19">
                  <c:v>45104</c:v>
                </c:pt>
                <c:pt idx="20">
                  <c:v>45105</c:v>
                </c:pt>
                <c:pt idx="21">
                  <c:v>45107</c:v>
                </c:pt>
                <c:pt idx="22">
                  <c:v>45110</c:v>
                </c:pt>
                <c:pt idx="23">
                  <c:v>45111</c:v>
                </c:pt>
                <c:pt idx="24">
                  <c:v>45112</c:v>
                </c:pt>
                <c:pt idx="25">
                  <c:v>45113</c:v>
                </c:pt>
                <c:pt idx="26">
                  <c:v>45114</c:v>
                </c:pt>
                <c:pt idx="27">
                  <c:v>45117</c:v>
                </c:pt>
                <c:pt idx="28">
                  <c:v>45118</c:v>
                </c:pt>
                <c:pt idx="29">
                  <c:v>45119</c:v>
                </c:pt>
                <c:pt idx="30">
                  <c:v>45120</c:v>
                </c:pt>
                <c:pt idx="31">
                  <c:v>45121</c:v>
                </c:pt>
                <c:pt idx="32">
                  <c:v>45124</c:v>
                </c:pt>
                <c:pt idx="33">
                  <c:v>45125</c:v>
                </c:pt>
                <c:pt idx="34">
                  <c:v>45126</c:v>
                </c:pt>
                <c:pt idx="35">
                  <c:v>45127</c:v>
                </c:pt>
                <c:pt idx="36">
                  <c:v>45128</c:v>
                </c:pt>
                <c:pt idx="37">
                  <c:v>45131</c:v>
                </c:pt>
                <c:pt idx="38">
                  <c:v>45132</c:v>
                </c:pt>
                <c:pt idx="39">
                  <c:v>45133</c:v>
                </c:pt>
                <c:pt idx="40">
                  <c:v>45134</c:v>
                </c:pt>
                <c:pt idx="41">
                  <c:v>45135</c:v>
                </c:pt>
                <c:pt idx="42">
                  <c:v>45138</c:v>
                </c:pt>
                <c:pt idx="43">
                  <c:v>45139</c:v>
                </c:pt>
                <c:pt idx="44">
                  <c:v>45140</c:v>
                </c:pt>
                <c:pt idx="45">
                  <c:v>45141</c:v>
                </c:pt>
                <c:pt idx="46">
                  <c:v>45142</c:v>
                </c:pt>
                <c:pt idx="47">
                  <c:v>45145</c:v>
                </c:pt>
                <c:pt idx="48">
                  <c:v>45146</c:v>
                </c:pt>
                <c:pt idx="49">
                  <c:v>45147</c:v>
                </c:pt>
                <c:pt idx="50">
                  <c:v>45148</c:v>
                </c:pt>
                <c:pt idx="51">
                  <c:v>45149</c:v>
                </c:pt>
                <c:pt idx="52">
                  <c:v>45152</c:v>
                </c:pt>
                <c:pt idx="53">
                  <c:v>45154</c:v>
                </c:pt>
                <c:pt idx="54">
                  <c:v>45155</c:v>
                </c:pt>
                <c:pt idx="55">
                  <c:v>45156</c:v>
                </c:pt>
                <c:pt idx="56">
                  <c:v>45159</c:v>
                </c:pt>
                <c:pt idx="57">
                  <c:v>45160</c:v>
                </c:pt>
                <c:pt idx="58">
                  <c:v>45161</c:v>
                </c:pt>
                <c:pt idx="59">
                  <c:v>45162</c:v>
                </c:pt>
                <c:pt idx="60">
                  <c:v>45163</c:v>
                </c:pt>
                <c:pt idx="61">
                  <c:v>45166</c:v>
                </c:pt>
                <c:pt idx="62">
                  <c:v>45167</c:v>
                </c:pt>
                <c:pt idx="63">
                  <c:v>45168</c:v>
                </c:pt>
                <c:pt idx="64">
                  <c:v>45169</c:v>
                </c:pt>
                <c:pt idx="65">
                  <c:v>45170</c:v>
                </c:pt>
                <c:pt idx="66">
                  <c:v>45173</c:v>
                </c:pt>
                <c:pt idx="67">
                  <c:v>45174</c:v>
                </c:pt>
                <c:pt idx="68">
                  <c:v>45175</c:v>
                </c:pt>
                <c:pt idx="69">
                  <c:v>45176</c:v>
                </c:pt>
                <c:pt idx="70">
                  <c:v>45177</c:v>
                </c:pt>
                <c:pt idx="71">
                  <c:v>45180</c:v>
                </c:pt>
                <c:pt idx="72">
                  <c:v>45181</c:v>
                </c:pt>
                <c:pt idx="73">
                  <c:v>45182</c:v>
                </c:pt>
                <c:pt idx="74">
                  <c:v>45183</c:v>
                </c:pt>
                <c:pt idx="75">
                  <c:v>45184</c:v>
                </c:pt>
                <c:pt idx="76">
                  <c:v>45187</c:v>
                </c:pt>
                <c:pt idx="77">
                  <c:v>45189</c:v>
                </c:pt>
                <c:pt idx="78">
                  <c:v>45190</c:v>
                </c:pt>
                <c:pt idx="79">
                  <c:v>45191</c:v>
                </c:pt>
                <c:pt idx="80">
                  <c:v>45194</c:v>
                </c:pt>
                <c:pt idx="81">
                  <c:v>45195</c:v>
                </c:pt>
                <c:pt idx="82">
                  <c:v>45196</c:v>
                </c:pt>
                <c:pt idx="83">
                  <c:v>45197</c:v>
                </c:pt>
                <c:pt idx="84">
                  <c:v>45198</c:v>
                </c:pt>
                <c:pt idx="85">
                  <c:v>45202</c:v>
                </c:pt>
                <c:pt idx="86">
                  <c:v>45203</c:v>
                </c:pt>
                <c:pt idx="87">
                  <c:v>45204</c:v>
                </c:pt>
                <c:pt idx="88">
                  <c:v>45205</c:v>
                </c:pt>
                <c:pt idx="89">
                  <c:v>45208</c:v>
                </c:pt>
                <c:pt idx="90">
                  <c:v>45209</c:v>
                </c:pt>
                <c:pt idx="91">
                  <c:v>45210</c:v>
                </c:pt>
                <c:pt idx="92">
                  <c:v>45211</c:v>
                </c:pt>
                <c:pt idx="93">
                  <c:v>45212</c:v>
                </c:pt>
                <c:pt idx="94">
                  <c:v>45215</c:v>
                </c:pt>
                <c:pt idx="95">
                  <c:v>45216</c:v>
                </c:pt>
                <c:pt idx="96">
                  <c:v>45217</c:v>
                </c:pt>
                <c:pt idx="97">
                  <c:v>45218</c:v>
                </c:pt>
                <c:pt idx="98">
                  <c:v>45219</c:v>
                </c:pt>
                <c:pt idx="99">
                  <c:v>45222</c:v>
                </c:pt>
                <c:pt idx="100">
                  <c:v>45224</c:v>
                </c:pt>
                <c:pt idx="101">
                  <c:v>45225</c:v>
                </c:pt>
                <c:pt idx="102">
                  <c:v>45226</c:v>
                </c:pt>
                <c:pt idx="103">
                  <c:v>45229</c:v>
                </c:pt>
                <c:pt idx="104">
                  <c:v>45230</c:v>
                </c:pt>
                <c:pt idx="105">
                  <c:v>45231</c:v>
                </c:pt>
                <c:pt idx="106">
                  <c:v>45232</c:v>
                </c:pt>
                <c:pt idx="107">
                  <c:v>45233</c:v>
                </c:pt>
                <c:pt idx="108">
                  <c:v>45236</c:v>
                </c:pt>
                <c:pt idx="109">
                  <c:v>45237</c:v>
                </c:pt>
                <c:pt idx="110">
                  <c:v>45238</c:v>
                </c:pt>
                <c:pt idx="111">
                  <c:v>45239</c:v>
                </c:pt>
                <c:pt idx="112">
                  <c:v>45240</c:v>
                </c:pt>
                <c:pt idx="113">
                  <c:v>45243</c:v>
                </c:pt>
                <c:pt idx="114">
                  <c:v>45245</c:v>
                </c:pt>
                <c:pt idx="115">
                  <c:v>45246</c:v>
                </c:pt>
                <c:pt idx="116">
                  <c:v>45247</c:v>
                </c:pt>
                <c:pt idx="117">
                  <c:v>45250</c:v>
                </c:pt>
                <c:pt idx="118">
                  <c:v>45251</c:v>
                </c:pt>
                <c:pt idx="119">
                  <c:v>45252</c:v>
                </c:pt>
                <c:pt idx="120">
                  <c:v>45253</c:v>
                </c:pt>
                <c:pt idx="121">
                  <c:v>45254</c:v>
                </c:pt>
                <c:pt idx="122">
                  <c:v>45258</c:v>
                </c:pt>
                <c:pt idx="123">
                  <c:v>45259</c:v>
                </c:pt>
                <c:pt idx="124">
                  <c:v>45260</c:v>
                </c:pt>
                <c:pt idx="125">
                  <c:v>45261</c:v>
                </c:pt>
                <c:pt idx="126">
                  <c:v>45264</c:v>
                </c:pt>
                <c:pt idx="127">
                  <c:v>45265</c:v>
                </c:pt>
                <c:pt idx="128">
                  <c:v>45266</c:v>
                </c:pt>
                <c:pt idx="129">
                  <c:v>45267</c:v>
                </c:pt>
                <c:pt idx="130">
                  <c:v>45268</c:v>
                </c:pt>
                <c:pt idx="131">
                  <c:v>45271</c:v>
                </c:pt>
                <c:pt idx="132">
                  <c:v>45272</c:v>
                </c:pt>
                <c:pt idx="133">
                  <c:v>45273</c:v>
                </c:pt>
                <c:pt idx="134">
                  <c:v>45274</c:v>
                </c:pt>
                <c:pt idx="135">
                  <c:v>45275</c:v>
                </c:pt>
                <c:pt idx="136">
                  <c:v>45278</c:v>
                </c:pt>
                <c:pt idx="137">
                  <c:v>45279</c:v>
                </c:pt>
                <c:pt idx="138">
                  <c:v>45280</c:v>
                </c:pt>
                <c:pt idx="139">
                  <c:v>45281</c:v>
                </c:pt>
                <c:pt idx="140">
                  <c:v>45282</c:v>
                </c:pt>
                <c:pt idx="141">
                  <c:v>45286</c:v>
                </c:pt>
                <c:pt idx="142">
                  <c:v>45287</c:v>
                </c:pt>
                <c:pt idx="143">
                  <c:v>45288</c:v>
                </c:pt>
                <c:pt idx="144">
                  <c:v>45289</c:v>
                </c:pt>
                <c:pt idx="145">
                  <c:v>45292</c:v>
                </c:pt>
                <c:pt idx="146">
                  <c:v>45293</c:v>
                </c:pt>
                <c:pt idx="147">
                  <c:v>45294</c:v>
                </c:pt>
                <c:pt idx="148">
                  <c:v>45295</c:v>
                </c:pt>
                <c:pt idx="149">
                  <c:v>45296</c:v>
                </c:pt>
                <c:pt idx="150">
                  <c:v>45299</c:v>
                </c:pt>
                <c:pt idx="151">
                  <c:v>45300</c:v>
                </c:pt>
                <c:pt idx="152">
                  <c:v>45301</c:v>
                </c:pt>
                <c:pt idx="153">
                  <c:v>45302</c:v>
                </c:pt>
                <c:pt idx="154">
                  <c:v>45303</c:v>
                </c:pt>
                <c:pt idx="155">
                  <c:v>45306</c:v>
                </c:pt>
                <c:pt idx="156">
                  <c:v>45307</c:v>
                </c:pt>
                <c:pt idx="157">
                  <c:v>45308</c:v>
                </c:pt>
                <c:pt idx="158">
                  <c:v>45309</c:v>
                </c:pt>
                <c:pt idx="159">
                  <c:v>45310</c:v>
                </c:pt>
                <c:pt idx="160">
                  <c:v>45314</c:v>
                </c:pt>
                <c:pt idx="161">
                  <c:v>45315</c:v>
                </c:pt>
                <c:pt idx="162">
                  <c:v>45316</c:v>
                </c:pt>
                <c:pt idx="163">
                  <c:v>45320</c:v>
                </c:pt>
                <c:pt idx="164">
                  <c:v>45321</c:v>
                </c:pt>
                <c:pt idx="165">
                  <c:v>45322</c:v>
                </c:pt>
                <c:pt idx="166">
                  <c:v>45323</c:v>
                </c:pt>
                <c:pt idx="167">
                  <c:v>45324</c:v>
                </c:pt>
                <c:pt idx="168">
                  <c:v>45327</c:v>
                </c:pt>
                <c:pt idx="169">
                  <c:v>45328</c:v>
                </c:pt>
                <c:pt idx="170">
                  <c:v>45329</c:v>
                </c:pt>
                <c:pt idx="171">
                  <c:v>45330</c:v>
                </c:pt>
                <c:pt idx="172">
                  <c:v>45331</c:v>
                </c:pt>
                <c:pt idx="173">
                  <c:v>45334</c:v>
                </c:pt>
                <c:pt idx="174">
                  <c:v>45335</c:v>
                </c:pt>
                <c:pt idx="175">
                  <c:v>45336</c:v>
                </c:pt>
                <c:pt idx="176">
                  <c:v>45337</c:v>
                </c:pt>
                <c:pt idx="177">
                  <c:v>45338</c:v>
                </c:pt>
                <c:pt idx="178">
                  <c:v>45341</c:v>
                </c:pt>
                <c:pt idx="179">
                  <c:v>45342</c:v>
                </c:pt>
                <c:pt idx="180">
                  <c:v>45343</c:v>
                </c:pt>
                <c:pt idx="181">
                  <c:v>45344</c:v>
                </c:pt>
                <c:pt idx="182">
                  <c:v>45345</c:v>
                </c:pt>
                <c:pt idx="183">
                  <c:v>45348</c:v>
                </c:pt>
                <c:pt idx="184">
                  <c:v>45349</c:v>
                </c:pt>
                <c:pt idx="185">
                  <c:v>45350</c:v>
                </c:pt>
                <c:pt idx="186">
                  <c:v>45351</c:v>
                </c:pt>
                <c:pt idx="187">
                  <c:v>45352</c:v>
                </c:pt>
                <c:pt idx="188">
                  <c:v>45355</c:v>
                </c:pt>
                <c:pt idx="189">
                  <c:v>45356</c:v>
                </c:pt>
                <c:pt idx="190">
                  <c:v>45357</c:v>
                </c:pt>
                <c:pt idx="191">
                  <c:v>45358</c:v>
                </c:pt>
                <c:pt idx="192">
                  <c:v>45362</c:v>
                </c:pt>
                <c:pt idx="193">
                  <c:v>45363</c:v>
                </c:pt>
                <c:pt idx="194">
                  <c:v>45364</c:v>
                </c:pt>
                <c:pt idx="195">
                  <c:v>45365</c:v>
                </c:pt>
                <c:pt idx="196">
                  <c:v>45366</c:v>
                </c:pt>
                <c:pt idx="197">
                  <c:v>45369</c:v>
                </c:pt>
                <c:pt idx="198">
                  <c:v>45370</c:v>
                </c:pt>
                <c:pt idx="199">
                  <c:v>45371</c:v>
                </c:pt>
                <c:pt idx="200">
                  <c:v>45372</c:v>
                </c:pt>
                <c:pt idx="201">
                  <c:v>45373</c:v>
                </c:pt>
                <c:pt idx="202">
                  <c:v>45377</c:v>
                </c:pt>
                <c:pt idx="203">
                  <c:v>45378</c:v>
                </c:pt>
                <c:pt idx="204">
                  <c:v>45379</c:v>
                </c:pt>
                <c:pt idx="205">
                  <c:v>45383</c:v>
                </c:pt>
                <c:pt idx="206">
                  <c:v>45384</c:v>
                </c:pt>
                <c:pt idx="207">
                  <c:v>45385</c:v>
                </c:pt>
                <c:pt idx="208">
                  <c:v>45386</c:v>
                </c:pt>
                <c:pt idx="209">
                  <c:v>45387</c:v>
                </c:pt>
                <c:pt idx="210">
                  <c:v>45390</c:v>
                </c:pt>
                <c:pt idx="211">
                  <c:v>45391</c:v>
                </c:pt>
                <c:pt idx="212">
                  <c:v>45392</c:v>
                </c:pt>
                <c:pt idx="213">
                  <c:v>45394</c:v>
                </c:pt>
                <c:pt idx="214">
                  <c:v>45397</c:v>
                </c:pt>
                <c:pt idx="215">
                  <c:v>45398</c:v>
                </c:pt>
                <c:pt idx="216">
                  <c:v>45400</c:v>
                </c:pt>
                <c:pt idx="217">
                  <c:v>45401</c:v>
                </c:pt>
                <c:pt idx="218">
                  <c:v>45404</c:v>
                </c:pt>
                <c:pt idx="219">
                  <c:v>45405</c:v>
                </c:pt>
                <c:pt idx="220">
                  <c:v>45406</c:v>
                </c:pt>
                <c:pt idx="221">
                  <c:v>45407</c:v>
                </c:pt>
                <c:pt idx="222">
                  <c:v>45408</c:v>
                </c:pt>
                <c:pt idx="223">
                  <c:v>45411</c:v>
                </c:pt>
                <c:pt idx="224">
                  <c:v>45412</c:v>
                </c:pt>
                <c:pt idx="225">
                  <c:v>45414</c:v>
                </c:pt>
                <c:pt idx="226">
                  <c:v>45415</c:v>
                </c:pt>
                <c:pt idx="227">
                  <c:v>45418</c:v>
                </c:pt>
                <c:pt idx="228">
                  <c:v>45419</c:v>
                </c:pt>
                <c:pt idx="229">
                  <c:v>45420</c:v>
                </c:pt>
                <c:pt idx="230">
                  <c:v>45421</c:v>
                </c:pt>
                <c:pt idx="231">
                  <c:v>45422</c:v>
                </c:pt>
                <c:pt idx="232">
                  <c:v>45425</c:v>
                </c:pt>
                <c:pt idx="233">
                  <c:v>45426</c:v>
                </c:pt>
                <c:pt idx="234">
                  <c:v>45427</c:v>
                </c:pt>
                <c:pt idx="235">
                  <c:v>45428</c:v>
                </c:pt>
                <c:pt idx="236">
                  <c:v>45429</c:v>
                </c:pt>
                <c:pt idx="237">
                  <c:v>45433</c:v>
                </c:pt>
                <c:pt idx="238">
                  <c:v>45434</c:v>
                </c:pt>
                <c:pt idx="239">
                  <c:v>45435</c:v>
                </c:pt>
                <c:pt idx="240">
                  <c:v>45436</c:v>
                </c:pt>
                <c:pt idx="241">
                  <c:v>45439</c:v>
                </c:pt>
                <c:pt idx="242">
                  <c:v>45440</c:v>
                </c:pt>
                <c:pt idx="243">
                  <c:v>45441</c:v>
                </c:pt>
                <c:pt idx="244">
                  <c:v>45442</c:v>
                </c:pt>
                <c:pt idx="245">
                  <c:v>45443</c:v>
                </c:pt>
              </c:numCache>
            </c:numRef>
          </c:cat>
          <c:val>
            <c:numRef>
              <c:f>Report!$C$25:$C$270</c:f>
              <c:numCache>
                <c:formatCode>General</c:formatCode>
                <c:ptCount val="246"/>
                <c:pt idx="0">
                  <c:v>845.26165800000001</c:v>
                </c:pt>
                <c:pt idx="1">
                  <c:v>842.54303000000004</c:v>
                </c:pt>
                <c:pt idx="2">
                  <c:v>845.61090100000001</c:v>
                </c:pt>
                <c:pt idx="3">
                  <c:v>850.574341</c:v>
                </c:pt>
                <c:pt idx="4">
                  <c:v>841.52038600000003</c:v>
                </c:pt>
                <c:pt idx="5">
                  <c:v>821.91589399999998</c:v>
                </c:pt>
                <c:pt idx="6">
                  <c:v>789.09216300000003</c:v>
                </c:pt>
                <c:pt idx="7">
                  <c:v>793.85613999999998</c:v>
                </c:pt>
                <c:pt idx="8">
                  <c:v>796.17578100000003</c:v>
                </c:pt>
                <c:pt idx="9">
                  <c:v>805.628784</c:v>
                </c:pt>
                <c:pt idx="10">
                  <c:v>805.628784</c:v>
                </c:pt>
                <c:pt idx="11">
                  <c:v>825.283142</c:v>
                </c:pt>
                <c:pt idx="12">
                  <c:v>819.34692399999994</c:v>
                </c:pt>
                <c:pt idx="13">
                  <c:v>799.49298099999999</c:v>
                </c:pt>
                <c:pt idx="14">
                  <c:v>811.46520999999996</c:v>
                </c:pt>
                <c:pt idx="15">
                  <c:v>817.80053699999996</c:v>
                </c:pt>
                <c:pt idx="16">
                  <c:v>801.68786599999999</c:v>
                </c:pt>
                <c:pt idx="17">
                  <c:v>764.32464600000003</c:v>
                </c:pt>
                <c:pt idx="18">
                  <c:v>797.34802200000001</c:v>
                </c:pt>
                <c:pt idx="19">
                  <c:v>797.54754600000001</c:v>
                </c:pt>
                <c:pt idx="20">
                  <c:v>791.71105999999997</c:v>
                </c:pt>
                <c:pt idx="21">
                  <c:v>800.69018600000004</c:v>
                </c:pt>
                <c:pt idx="22">
                  <c:v>816.45355199999995</c:v>
                </c:pt>
                <c:pt idx="23">
                  <c:v>802.18670699999996</c:v>
                </c:pt>
                <c:pt idx="24">
                  <c:v>823.73669400000006</c:v>
                </c:pt>
                <c:pt idx="25">
                  <c:v>811.96405000000004</c:v>
                </c:pt>
                <c:pt idx="26">
                  <c:v>819.24719200000004</c:v>
                </c:pt>
                <c:pt idx="27">
                  <c:v>810.36779799999999</c:v>
                </c:pt>
                <c:pt idx="28">
                  <c:v>823.33764599999995</c:v>
                </c:pt>
                <c:pt idx="29">
                  <c:v>839.79937700000005</c:v>
                </c:pt>
                <c:pt idx="30">
                  <c:v>830.919983</c:v>
                </c:pt>
                <c:pt idx="31">
                  <c:v>830.919983</c:v>
                </c:pt>
                <c:pt idx="32">
                  <c:v>826.97918700000002</c:v>
                </c:pt>
                <c:pt idx="33">
                  <c:v>822.19030799999996</c:v>
                </c:pt>
                <c:pt idx="34">
                  <c:v>817.95013400000005</c:v>
                </c:pt>
                <c:pt idx="35">
                  <c:v>810.71691899999996</c:v>
                </c:pt>
                <c:pt idx="36">
                  <c:v>798.34570299999996</c:v>
                </c:pt>
                <c:pt idx="37">
                  <c:v>815.805115</c:v>
                </c:pt>
                <c:pt idx="38">
                  <c:v>802.73547399999995</c:v>
                </c:pt>
                <c:pt idx="39">
                  <c:v>805.03021200000001</c:v>
                </c:pt>
                <c:pt idx="40">
                  <c:v>798.694885</c:v>
                </c:pt>
                <c:pt idx="41">
                  <c:v>802.38629200000003</c:v>
                </c:pt>
                <c:pt idx="42">
                  <c:v>802.53601100000003</c:v>
                </c:pt>
                <c:pt idx="43">
                  <c:v>798.84454300000004</c:v>
                </c:pt>
                <c:pt idx="44">
                  <c:v>806.22735599999999</c:v>
                </c:pt>
                <c:pt idx="45">
                  <c:v>820.69372599999997</c:v>
                </c:pt>
                <c:pt idx="46">
                  <c:v>823.38751200000002</c:v>
                </c:pt>
                <c:pt idx="47">
                  <c:v>822.19030799999996</c:v>
                </c:pt>
                <c:pt idx="48">
                  <c:v>818.349243</c:v>
                </c:pt>
                <c:pt idx="49">
                  <c:v>821.292419</c:v>
                </c:pt>
                <c:pt idx="50">
                  <c:v>816.60327099999995</c:v>
                </c:pt>
                <c:pt idx="51">
                  <c:v>847.43170199999997</c:v>
                </c:pt>
                <c:pt idx="52">
                  <c:v>867.41479500000003</c:v>
                </c:pt>
                <c:pt idx="53">
                  <c:v>889.59594700000002</c:v>
                </c:pt>
                <c:pt idx="54">
                  <c:v>892.89318800000001</c:v>
                </c:pt>
                <c:pt idx="55">
                  <c:v>898.48840299999995</c:v>
                </c:pt>
                <c:pt idx="56">
                  <c:v>898.53832999999997</c:v>
                </c:pt>
                <c:pt idx="57">
                  <c:v>905.23266599999999</c:v>
                </c:pt>
                <c:pt idx="58">
                  <c:v>886.49859600000002</c:v>
                </c:pt>
                <c:pt idx="59">
                  <c:v>884.050659</c:v>
                </c:pt>
                <c:pt idx="60">
                  <c:v>873.10986300000002</c:v>
                </c:pt>
                <c:pt idx="61">
                  <c:v>873.75933799999996</c:v>
                </c:pt>
                <c:pt idx="62">
                  <c:v>888.19714399999998</c:v>
                </c:pt>
                <c:pt idx="63">
                  <c:v>899.78729199999998</c:v>
                </c:pt>
                <c:pt idx="64">
                  <c:v>898.73821999999996</c:v>
                </c:pt>
                <c:pt idx="65">
                  <c:v>909.67895499999997</c:v>
                </c:pt>
                <c:pt idx="66">
                  <c:v>922.26824999999997</c:v>
                </c:pt>
                <c:pt idx="67">
                  <c:v>935.00744599999996</c:v>
                </c:pt>
                <c:pt idx="68">
                  <c:v>924.71618699999999</c:v>
                </c:pt>
                <c:pt idx="69">
                  <c:v>919.72039800000005</c:v>
                </c:pt>
                <c:pt idx="70">
                  <c:v>909.12939500000005</c:v>
                </c:pt>
                <c:pt idx="71">
                  <c:v>918.82116699999995</c:v>
                </c:pt>
                <c:pt idx="72">
                  <c:v>919.17089799999997</c:v>
                </c:pt>
                <c:pt idx="73">
                  <c:v>912.52648899999997</c:v>
                </c:pt>
                <c:pt idx="74">
                  <c:v>913.62561000000005</c:v>
                </c:pt>
                <c:pt idx="75">
                  <c:v>914.87451199999998</c:v>
                </c:pt>
                <c:pt idx="76">
                  <c:v>911.32751499999995</c:v>
                </c:pt>
                <c:pt idx="77">
                  <c:v>903.88385000000005</c:v>
                </c:pt>
                <c:pt idx="78">
                  <c:v>913.72546399999999</c:v>
                </c:pt>
                <c:pt idx="79">
                  <c:v>917.47229000000004</c:v>
                </c:pt>
                <c:pt idx="80">
                  <c:v>925.21575900000005</c:v>
                </c:pt>
                <c:pt idx="81">
                  <c:v>966.73053000000004</c:v>
                </c:pt>
                <c:pt idx="82">
                  <c:v>966.28094499999997</c:v>
                </c:pt>
                <c:pt idx="83">
                  <c:v>945.09893799999998</c:v>
                </c:pt>
                <c:pt idx="84">
                  <c:v>944.89904799999999</c:v>
                </c:pt>
                <c:pt idx="85">
                  <c:v>927.51379399999996</c:v>
                </c:pt>
                <c:pt idx="86">
                  <c:v>919.67047100000002</c:v>
                </c:pt>
                <c:pt idx="87">
                  <c:v>920.319885</c:v>
                </c:pt>
                <c:pt idx="88">
                  <c:v>926.26483199999996</c:v>
                </c:pt>
                <c:pt idx="89">
                  <c:v>928.16326900000001</c:v>
                </c:pt>
                <c:pt idx="90">
                  <c:v>927.16412400000002</c:v>
                </c:pt>
                <c:pt idx="91">
                  <c:v>916.87286400000005</c:v>
                </c:pt>
                <c:pt idx="92">
                  <c:v>923.91687000000002</c:v>
                </c:pt>
                <c:pt idx="93">
                  <c:v>928.71276899999998</c:v>
                </c:pt>
                <c:pt idx="94">
                  <c:v>921.86859100000004</c:v>
                </c:pt>
                <c:pt idx="95">
                  <c:v>929.31225600000005</c:v>
                </c:pt>
                <c:pt idx="96">
                  <c:v>924.566284</c:v>
                </c:pt>
                <c:pt idx="97">
                  <c:v>933.80847200000005</c:v>
                </c:pt>
                <c:pt idx="98">
                  <c:v>925.41558799999996</c:v>
                </c:pt>
                <c:pt idx="99">
                  <c:v>921.96850600000005</c:v>
                </c:pt>
                <c:pt idx="100">
                  <c:v>883.45117200000004</c:v>
                </c:pt>
                <c:pt idx="101">
                  <c:v>871.71112100000005</c:v>
                </c:pt>
                <c:pt idx="102">
                  <c:v>920.66961700000002</c:v>
                </c:pt>
                <c:pt idx="103">
                  <c:v>915.67382799999996</c:v>
                </c:pt>
                <c:pt idx="104">
                  <c:v>908.03033400000004</c:v>
                </c:pt>
                <c:pt idx="105">
                  <c:v>917.47229000000004</c:v>
                </c:pt>
                <c:pt idx="106">
                  <c:v>925.36566200000004</c:v>
                </c:pt>
                <c:pt idx="107">
                  <c:v>951.04382299999997</c:v>
                </c:pt>
                <c:pt idx="108">
                  <c:v>944.84912099999997</c:v>
                </c:pt>
                <c:pt idx="109">
                  <c:v>990.36053500000003</c:v>
                </c:pt>
                <c:pt idx="110">
                  <c:v>1007.995544</c:v>
                </c:pt>
                <c:pt idx="111">
                  <c:v>1001.700928</c:v>
                </c:pt>
                <c:pt idx="112">
                  <c:v>1008.195374</c:v>
                </c:pt>
                <c:pt idx="113">
                  <c:v>1007.8956910000001</c:v>
                </c:pt>
                <c:pt idx="114">
                  <c:v>1013.341064</c:v>
                </c:pt>
                <c:pt idx="115">
                  <c:v>1043.665405</c:v>
                </c:pt>
                <c:pt idx="116">
                  <c:v>1042.566284</c:v>
                </c:pt>
                <c:pt idx="117">
                  <c:v>1046.4628909999999</c:v>
                </c:pt>
                <c:pt idx="118">
                  <c:v>1036.921143</c:v>
                </c:pt>
                <c:pt idx="119">
                  <c:v>1030.4765629999999</c:v>
                </c:pt>
                <c:pt idx="120">
                  <c:v>1053.7067870000001</c:v>
                </c:pt>
                <c:pt idx="121">
                  <c:v>1067.245361</c:v>
                </c:pt>
                <c:pt idx="122">
                  <c:v>1059.052246</c:v>
                </c:pt>
                <c:pt idx="123">
                  <c:v>1059.951538</c:v>
                </c:pt>
                <c:pt idx="124">
                  <c:v>1104.0642089999999</c:v>
                </c:pt>
                <c:pt idx="125">
                  <c:v>1088.127686</c:v>
                </c:pt>
                <c:pt idx="126">
                  <c:v>1069.5433350000001</c:v>
                </c:pt>
                <c:pt idx="127">
                  <c:v>1060.9506839999999</c:v>
                </c:pt>
                <c:pt idx="128">
                  <c:v>1072.6408690000001</c:v>
                </c:pt>
                <c:pt idx="129">
                  <c:v>1076.0878909999999</c:v>
                </c:pt>
                <c:pt idx="130">
                  <c:v>1066.0463870000001</c:v>
                </c:pt>
                <c:pt idx="131">
                  <c:v>1103.3148189999999</c:v>
                </c:pt>
                <c:pt idx="132">
                  <c:v>1079.1851810000001</c:v>
                </c:pt>
                <c:pt idx="133">
                  <c:v>1091.8245850000001</c:v>
                </c:pt>
                <c:pt idx="134">
                  <c:v>1103.2647710000001</c:v>
                </c:pt>
                <c:pt idx="135">
                  <c:v>1098.0692140000001</c:v>
                </c:pt>
                <c:pt idx="136">
                  <c:v>1131.04126</c:v>
                </c:pt>
                <c:pt idx="137">
                  <c:v>1170.6577150000001</c:v>
                </c:pt>
                <c:pt idx="138">
                  <c:v>1252.338501</c:v>
                </c:pt>
                <c:pt idx="139">
                  <c:v>1290.2064210000001</c:v>
                </c:pt>
                <c:pt idx="140">
                  <c:v>1237.551025</c:v>
                </c:pt>
                <c:pt idx="141">
                  <c:v>1248.9913329999999</c:v>
                </c:pt>
                <c:pt idx="142">
                  <c:v>1236.0023189999999</c:v>
                </c:pt>
                <c:pt idx="143">
                  <c:v>1236.7517089999999</c:v>
                </c:pt>
                <c:pt idx="144">
                  <c:v>1235.8524170000001</c:v>
                </c:pt>
                <c:pt idx="145">
                  <c:v>1241.447754</c:v>
                </c:pt>
                <c:pt idx="146">
                  <c:v>1235.103149</c:v>
                </c:pt>
                <c:pt idx="147">
                  <c:v>1224.761841</c:v>
                </c:pt>
                <c:pt idx="148">
                  <c:v>1258.932861</c:v>
                </c:pt>
                <c:pt idx="149">
                  <c:v>1278.06665</c:v>
                </c:pt>
                <c:pt idx="150">
                  <c:v>1268.4248050000001</c:v>
                </c:pt>
                <c:pt idx="151">
                  <c:v>1296.451172</c:v>
                </c:pt>
                <c:pt idx="152">
                  <c:v>1267.6254879999999</c:v>
                </c:pt>
                <c:pt idx="153">
                  <c:v>1277.017578</c:v>
                </c:pt>
                <c:pt idx="154">
                  <c:v>1263.978638</c:v>
                </c:pt>
                <c:pt idx="155">
                  <c:v>1270.6229249999999</c:v>
                </c:pt>
                <c:pt idx="156">
                  <c:v>1265.0277100000001</c:v>
                </c:pt>
                <c:pt idx="157">
                  <c:v>1247.4426269999999</c:v>
                </c:pt>
                <c:pt idx="158">
                  <c:v>1229.108154</c:v>
                </c:pt>
                <c:pt idx="159">
                  <c:v>1266.276611</c:v>
                </c:pt>
                <c:pt idx="160">
                  <c:v>1270.6729740000001</c:v>
                </c:pt>
                <c:pt idx="161">
                  <c:v>1265.277466</c:v>
                </c:pt>
                <c:pt idx="162">
                  <c:v>1256.3350829999999</c:v>
                </c:pt>
                <c:pt idx="163">
                  <c:v>1268.4748540000001</c:v>
                </c:pt>
                <c:pt idx="164">
                  <c:v>1250.140259</c:v>
                </c:pt>
                <c:pt idx="165">
                  <c:v>1279.3156739999999</c:v>
                </c:pt>
                <c:pt idx="166">
                  <c:v>1283.4121090000001</c:v>
                </c:pt>
                <c:pt idx="167">
                  <c:v>1284.6610109999999</c:v>
                </c:pt>
                <c:pt idx="168">
                  <c:v>1301.396851</c:v>
                </c:pt>
                <c:pt idx="169">
                  <c:v>1346.009033</c:v>
                </c:pt>
                <c:pt idx="170">
                  <c:v>1344.060669</c:v>
                </c:pt>
                <c:pt idx="171">
                  <c:v>1374.1851810000001</c:v>
                </c:pt>
                <c:pt idx="172">
                  <c:v>1368.8397219999999</c:v>
                </c:pt>
                <c:pt idx="173">
                  <c:v>1388.1733400000001</c:v>
                </c:pt>
                <c:pt idx="174">
                  <c:v>1393.31897</c:v>
                </c:pt>
                <c:pt idx="175">
                  <c:v>1429.4882809999999</c:v>
                </c:pt>
                <c:pt idx="176">
                  <c:v>1424.0928960000001</c:v>
                </c:pt>
                <c:pt idx="177">
                  <c:v>1421.8448490000001</c:v>
                </c:pt>
                <c:pt idx="178">
                  <c:v>1437.081909</c:v>
                </c:pt>
                <c:pt idx="179">
                  <c:v>1436.2825929999999</c:v>
                </c:pt>
                <c:pt idx="180">
                  <c:v>1462.9598390000001</c:v>
                </c:pt>
                <c:pt idx="181">
                  <c:v>1495.931885</c:v>
                </c:pt>
                <c:pt idx="182">
                  <c:v>1513.2172849999999</c:v>
                </c:pt>
                <c:pt idx="183">
                  <c:v>1534.948975</c:v>
                </c:pt>
                <c:pt idx="184">
                  <c:v>1465.757568</c:v>
                </c:pt>
                <c:pt idx="185">
                  <c:v>1396.666138</c:v>
                </c:pt>
                <c:pt idx="186">
                  <c:v>1407.307129</c:v>
                </c:pt>
                <c:pt idx="187">
                  <c:v>1416.6491699999999</c:v>
                </c:pt>
                <c:pt idx="188">
                  <c:v>1432.9354249999999</c:v>
                </c:pt>
                <c:pt idx="189">
                  <c:v>1378.3817140000001</c:v>
                </c:pt>
                <c:pt idx="190">
                  <c:v>1432.63562</c:v>
                </c:pt>
                <c:pt idx="191">
                  <c:v>1422.1445309999999</c:v>
                </c:pt>
                <c:pt idx="192">
                  <c:v>1413.052246</c:v>
                </c:pt>
                <c:pt idx="193">
                  <c:v>1421.3452150000001</c:v>
                </c:pt>
                <c:pt idx="194">
                  <c:v>1392.719482</c:v>
                </c:pt>
                <c:pt idx="195">
                  <c:v>1416.499268</c:v>
                </c:pt>
                <c:pt idx="196">
                  <c:v>1432.9853519999999</c:v>
                </c:pt>
                <c:pt idx="197">
                  <c:v>1435.2333980000001</c:v>
                </c:pt>
                <c:pt idx="198">
                  <c:v>1397.565308</c:v>
                </c:pt>
                <c:pt idx="199">
                  <c:v>1398.9642329999999</c:v>
                </c:pt>
                <c:pt idx="200">
                  <c:v>1399.064087</c:v>
                </c:pt>
                <c:pt idx="201">
                  <c:v>1401.21228</c:v>
                </c:pt>
                <c:pt idx="202">
                  <c:v>1400.512817</c:v>
                </c:pt>
                <c:pt idx="203">
                  <c:v>1382.8278809999999</c:v>
                </c:pt>
                <c:pt idx="204">
                  <c:v>1397.4155270000001</c:v>
                </c:pt>
                <c:pt idx="205">
                  <c:v>1396.0166019999999</c:v>
                </c:pt>
                <c:pt idx="206">
                  <c:v>1408.256226</c:v>
                </c:pt>
                <c:pt idx="207">
                  <c:v>1474.650024</c:v>
                </c:pt>
                <c:pt idx="208">
                  <c:v>1514.5500489999999</c:v>
                </c:pt>
                <c:pt idx="209">
                  <c:v>1493.75</c:v>
                </c:pt>
                <c:pt idx="210">
                  <c:v>1450.099976</c:v>
                </c:pt>
                <c:pt idx="211">
                  <c:v>1434.8000489999999</c:v>
                </c:pt>
                <c:pt idx="212">
                  <c:v>1423.5500489999999</c:v>
                </c:pt>
                <c:pt idx="213">
                  <c:v>1385.849976</c:v>
                </c:pt>
                <c:pt idx="214">
                  <c:v>1381.099976</c:v>
                </c:pt>
                <c:pt idx="215">
                  <c:v>1403.9499510000001</c:v>
                </c:pt>
                <c:pt idx="216">
                  <c:v>1397.9499510000001</c:v>
                </c:pt>
                <c:pt idx="217">
                  <c:v>1396.099976</c:v>
                </c:pt>
                <c:pt idx="218">
                  <c:v>1430.3000489999999</c:v>
                </c:pt>
                <c:pt idx="219">
                  <c:v>1430.9499510000001</c:v>
                </c:pt>
                <c:pt idx="220">
                  <c:v>1445.099976</c:v>
                </c:pt>
                <c:pt idx="221">
                  <c:v>1441.9499510000001</c:v>
                </c:pt>
                <c:pt idx="222">
                  <c:v>1459.6999510000001</c:v>
                </c:pt>
                <c:pt idx="223">
                  <c:v>1486.150024</c:v>
                </c:pt>
                <c:pt idx="224">
                  <c:v>1479.4499510000001</c:v>
                </c:pt>
                <c:pt idx="225">
                  <c:v>1516.8000489999999</c:v>
                </c:pt>
                <c:pt idx="226">
                  <c:v>1506.6999510000001</c:v>
                </c:pt>
                <c:pt idx="227">
                  <c:v>1507.150024</c:v>
                </c:pt>
                <c:pt idx="228">
                  <c:v>1442.8000489999999</c:v>
                </c:pt>
                <c:pt idx="229">
                  <c:v>1503.3000489999999</c:v>
                </c:pt>
                <c:pt idx="230">
                  <c:v>1445.0500489999999</c:v>
                </c:pt>
                <c:pt idx="231">
                  <c:v>1463.3000489999999</c:v>
                </c:pt>
                <c:pt idx="232">
                  <c:v>1477.3000489999999</c:v>
                </c:pt>
                <c:pt idx="233">
                  <c:v>1489.0500489999999</c:v>
                </c:pt>
                <c:pt idx="234">
                  <c:v>1499.400024</c:v>
                </c:pt>
                <c:pt idx="235">
                  <c:v>1493.25</c:v>
                </c:pt>
                <c:pt idx="236">
                  <c:v>1515.5</c:v>
                </c:pt>
                <c:pt idx="237">
                  <c:v>1511.5</c:v>
                </c:pt>
                <c:pt idx="238">
                  <c:v>1514.099976</c:v>
                </c:pt>
                <c:pt idx="239">
                  <c:v>1502.349976</c:v>
                </c:pt>
                <c:pt idx="240">
                  <c:v>1498.3000489999999</c:v>
                </c:pt>
                <c:pt idx="241">
                  <c:v>1496.5500489999999</c:v>
                </c:pt>
                <c:pt idx="242">
                  <c:v>1470.0500489999999</c:v>
                </c:pt>
                <c:pt idx="243">
                  <c:v>1430.3000489999999</c:v>
                </c:pt>
                <c:pt idx="244">
                  <c:v>1430.3000489999999</c:v>
                </c:pt>
                <c:pt idx="245">
                  <c:v>1426.8000489999999</c:v>
                </c:pt>
              </c:numCache>
            </c:numRef>
          </c:val>
          <c:smooth val="0"/>
          <c:extLst>
            <c:ext xmlns:c16="http://schemas.microsoft.com/office/drawing/2014/chart" uri="{C3380CC4-5D6E-409C-BE32-E72D297353CC}">
              <c16:uniqueId val="{00000000-1589-4E7B-85FB-76F8D7758946}"/>
            </c:ext>
          </c:extLst>
        </c:ser>
        <c:dLbls>
          <c:showLegendKey val="0"/>
          <c:showVal val="0"/>
          <c:showCatName val="0"/>
          <c:showSerName val="0"/>
          <c:showPercent val="0"/>
          <c:showBubbleSize val="0"/>
        </c:dLbls>
        <c:smooth val="0"/>
        <c:axId val="691575087"/>
        <c:axId val="691574607"/>
      </c:lineChart>
      <c:catAx>
        <c:axId val="691575087"/>
        <c:scaling>
          <c:orientation val="minMax"/>
        </c:scaling>
        <c:delete val="0"/>
        <c:axPos val="b"/>
        <c:numFmt formatCode="mmm/yyyy" sourceLinked="0"/>
        <c:majorTickMark val="out"/>
        <c:minorTickMark val="none"/>
        <c:tickLblPos val="nextTo"/>
        <c:spPr>
          <a:noFill/>
          <a:ln w="9525" cap="flat" cmpd="sng" algn="ctr">
            <a:solidFill>
              <a:schemeClr val="tx1">
                <a:lumMod val="15000"/>
                <a:lumOff val="85000"/>
              </a:schemeClr>
            </a:solidFill>
            <a:round/>
          </a:ln>
          <a:effectLst/>
        </c:spPr>
        <c:txPr>
          <a:bodyPr rot="-366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1574607"/>
        <c:crosses val="autoZero"/>
        <c:auto val="0"/>
        <c:lblAlgn val="ctr"/>
        <c:lblOffset val="100"/>
        <c:tickLblSkip val="25"/>
        <c:tickMarkSkip val="3"/>
        <c:noMultiLvlLbl val="0"/>
      </c:catAx>
      <c:valAx>
        <c:axId val="691574607"/>
        <c:scaling>
          <c:orientation val="minMax"/>
          <c:min val="7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1575087"/>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Global</a:t>
            </a:r>
            <a:r>
              <a:rPr lang="en-IN" baseline="0"/>
              <a:t> GDP Projections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Report!$M$6</c:f>
              <c:strCache>
                <c:ptCount val="1"/>
                <c:pt idx="0">
                  <c:v>2023A</c:v>
                </c:pt>
              </c:strCache>
            </c:strRef>
          </c:tx>
          <c:spPr>
            <a:solidFill>
              <a:srgbClr val="2251A1"/>
            </a:solidFill>
            <a:ln>
              <a:noFill/>
            </a:ln>
            <a:effectLst/>
          </c:spPr>
          <c:invertIfNegative val="0"/>
          <c:cat>
            <c:strRef>
              <c:f>Report!$L$7:$L$15</c:f>
              <c:strCache>
                <c:ptCount val="9"/>
                <c:pt idx="0">
                  <c:v>World</c:v>
                </c:pt>
                <c:pt idx="1">
                  <c:v>Advanced Economies</c:v>
                </c:pt>
                <c:pt idx="2">
                  <c:v>Emerging Economies</c:v>
                </c:pt>
                <c:pt idx="3">
                  <c:v>Euro Area</c:v>
                </c:pt>
                <c:pt idx="4">
                  <c:v>US</c:v>
                </c:pt>
                <c:pt idx="5">
                  <c:v>Japan</c:v>
                </c:pt>
                <c:pt idx="6">
                  <c:v>UK</c:v>
                </c:pt>
                <c:pt idx="7">
                  <c:v>China</c:v>
                </c:pt>
                <c:pt idx="8">
                  <c:v>India</c:v>
                </c:pt>
              </c:strCache>
            </c:strRef>
          </c:cat>
          <c:val>
            <c:numRef>
              <c:f>Report!$M$7:$M$15</c:f>
              <c:numCache>
                <c:formatCode>0.0%</c:formatCode>
                <c:ptCount val="9"/>
                <c:pt idx="0">
                  <c:v>3.2000000000000001E-2</c:v>
                </c:pt>
                <c:pt idx="1">
                  <c:v>1.6E-2</c:v>
                </c:pt>
                <c:pt idx="2">
                  <c:v>4.2999999999999997E-2</c:v>
                </c:pt>
                <c:pt idx="3">
                  <c:v>4.0000000000000001E-3</c:v>
                </c:pt>
                <c:pt idx="4">
                  <c:v>2.5000000000000001E-2</c:v>
                </c:pt>
                <c:pt idx="5">
                  <c:v>1.9E-2</c:v>
                </c:pt>
                <c:pt idx="6">
                  <c:v>1E-3</c:v>
                </c:pt>
                <c:pt idx="7">
                  <c:v>5.1999999999999998E-2</c:v>
                </c:pt>
                <c:pt idx="8">
                  <c:v>7.8E-2</c:v>
                </c:pt>
              </c:numCache>
            </c:numRef>
          </c:val>
          <c:extLst>
            <c:ext xmlns:c16="http://schemas.microsoft.com/office/drawing/2014/chart" uri="{C3380CC4-5D6E-409C-BE32-E72D297353CC}">
              <c16:uniqueId val="{00000000-93C5-4571-B6C3-2C1D07CF47E7}"/>
            </c:ext>
          </c:extLst>
        </c:ser>
        <c:ser>
          <c:idx val="1"/>
          <c:order val="1"/>
          <c:tx>
            <c:strRef>
              <c:f>Report!$N$6</c:f>
              <c:strCache>
                <c:ptCount val="1"/>
                <c:pt idx="0">
                  <c:v>2024P</c:v>
                </c:pt>
              </c:strCache>
            </c:strRef>
          </c:tx>
          <c:spPr>
            <a:solidFill>
              <a:srgbClr val="EB1934"/>
            </a:solidFill>
            <a:ln>
              <a:noFill/>
            </a:ln>
            <a:effectLst/>
          </c:spPr>
          <c:invertIfNegative val="0"/>
          <c:cat>
            <c:strRef>
              <c:f>Report!$L$7:$L$15</c:f>
              <c:strCache>
                <c:ptCount val="9"/>
                <c:pt idx="0">
                  <c:v>World</c:v>
                </c:pt>
                <c:pt idx="1">
                  <c:v>Advanced Economies</c:v>
                </c:pt>
                <c:pt idx="2">
                  <c:v>Emerging Economies</c:v>
                </c:pt>
                <c:pt idx="3">
                  <c:v>Euro Area</c:v>
                </c:pt>
                <c:pt idx="4">
                  <c:v>US</c:v>
                </c:pt>
                <c:pt idx="5">
                  <c:v>Japan</c:v>
                </c:pt>
                <c:pt idx="6">
                  <c:v>UK</c:v>
                </c:pt>
                <c:pt idx="7">
                  <c:v>China</c:v>
                </c:pt>
                <c:pt idx="8">
                  <c:v>India</c:v>
                </c:pt>
              </c:strCache>
            </c:strRef>
          </c:cat>
          <c:val>
            <c:numRef>
              <c:f>Report!$N$7:$N$15</c:f>
              <c:numCache>
                <c:formatCode>0.0%</c:formatCode>
                <c:ptCount val="9"/>
                <c:pt idx="0">
                  <c:v>3.2000000000000001E-2</c:v>
                </c:pt>
                <c:pt idx="1">
                  <c:v>1.7000000000000001E-2</c:v>
                </c:pt>
                <c:pt idx="2">
                  <c:v>4.2000000000000003E-2</c:v>
                </c:pt>
                <c:pt idx="3">
                  <c:v>8.0000000000000002E-3</c:v>
                </c:pt>
                <c:pt idx="4">
                  <c:v>2.7E-2</c:v>
                </c:pt>
                <c:pt idx="5">
                  <c:v>8.9999999999999993E-3</c:v>
                </c:pt>
                <c:pt idx="6">
                  <c:v>5.0000000000000001E-3</c:v>
                </c:pt>
                <c:pt idx="7">
                  <c:v>4.5999999999999999E-2</c:v>
                </c:pt>
                <c:pt idx="8">
                  <c:v>6.8000000000000005E-2</c:v>
                </c:pt>
              </c:numCache>
            </c:numRef>
          </c:val>
          <c:extLst>
            <c:ext xmlns:c16="http://schemas.microsoft.com/office/drawing/2014/chart" uri="{C3380CC4-5D6E-409C-BE32-E72D297353CC}">
              <c16:uniqueId val="{00000001-93C5-4571-B6C3-2C1D07CF47E7}"/>
            </c:ext>
          </c:extLst>
        </c:ser>
        <c:ser>
          <c:idx val="2"/>
          <c:order val="2"/>
          <c:tx>
            <c:strRef>
              <c:f>Report!$O$6</c:f>
              <c:strCache>
                <c:ptCount val="1"/>
                <c:pt idx="0">
                  <c:v>2025P</c:v>
                </c:pt>
              </c:strCache>
            </c:strRef>
          </c:tx>
          <c:spPr>
            <a:solidFill>
              <a:schemeClr val="bg1">
                <a:lumMod val="85000"/>
              </a:schemeClr>
            </a:solidFill>
            <a:ln>
              <a:noFill/>
            </a:ln>
            <a:effectLst/>
          </c:spPr>
          <c:invertIfNegative val="0"/>
          <c:cat>
            <c:strRef>
              <c:f>Report!$L$7:$L$15</c:f>
              <c:strCache>
                <c:ptCount val="9"/>
                <c:pt idx="0">
                  <c:v>World</c:v>
                </c:pt>
                <c:pt idx="1">
                  <c:v>Advanced Economies</c:v>
                </c:pt>
                <c:pt idx="2">
                  <c:v>Emerging Economies</c:v>
                </c:pt>
                <c:pt idx="3">
                  <c:v>Euro Area</c:v>
                </c:pt>
                <c:pt idx="4">
                  <c:v>US</c:v>
                </c:pt>
                <c:pt idx="5">
                  <c:v>Japan</c:v>
                </c:pt>
                <c:pt idx="6">
                  <c:v>UK</c:v>
                </c:pt>
                <c:pt idx="7">
                  <c:v>China</c:v>
                </c:pt>
                <c:pt idx="8">
                  <c:v>India</c:v>
                </c:pt>
              </c:strCache>
            </c:strRef>
          </c:cat>
          <c:val>
            <c:numRef>
              <c:f>Report!$O$7:$O$15</c:f>
              <c:numCache>
                <c:formatCode>0.0%</c:formatCode>
                <c:ptCount val="9"/>
                <c:pt idx="0">
                  <c:v>3.2000000000000001E-2</c:v>
                </c:pt>
                <c:pt idx="1">
                  <c:v>1.8000000000000002E-2</c:v>
                </c:pt>
                <c:pt idx="2">
                  <c:v>4.2000000000000003E-2</c:v>
                </c:pt>
                <c:pt idx="3">
                  <c:v>1.4999999999999999E-2</c:v>
                </c:pt>
                <c:pt idx="4">
                  <c:v>1.9E-2</c:v>
                </c:pt>
                <c:pt idx="5">
                  <c:v>0.01</c:v>
                </c:pt>
                <c:pt idx="6">
                  <c:v>1.4999999999999999E-2</c:v>
                </c:pt>
                <c:pt idx="7">
                  <c:v>4.1000000000000002E-2</c:v>
                </c:pt>
                <c:pt idx="8">
                  <c:v>6.0999999999999999E-2</c:v>
                </c:pt>
              </c:numCache>
            </c:numRef>
          </c:val>
          <c:extLst>
            <c:ext xmlns:c16="http://schemas.microsoft.com/office/drawing/2014/chart" uri="{C3380CC4-5D6E-409C-BE32-E72D297353CC}">
              <c16:uniqueId val="{00000002-93C5-4571-B6C3-2C1D07CF47E7}"/>
            </c:ext>
          </c:extLst>
        </c:ser>
        <c:dLbls>
          <c:showLegendKey val="0"/>
          <c:showVal val="0"/>
          <c:showCatName val="0"/>
          <c:showSerName val="0"/>
          <c:showPercent val="0"/>
          <c:showBubbleSize val="0"/>
        </c:dLbls>
        <c:gapWidth val="182"/>
        <c:axId val="2010704064"/>
        <c:axId val="2010712704"/>
      </c:barChart>
      <c:catAx>
        <c:axId val="201070406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2010712704"/>
        <c:crosses val="autoZero"/>
        <c:auto val="1"/>
        <c:lblAlgn val="ctr"/>
        <c:lblOffset val="100"/>
        <c:noMultiLvlLbl val="0"/>
      </c:catAx>
      <c:valAx>
        <c:axId val="2010712704"/>
        <c:scaling>
          <c:orientation val="minMax"/>
          <c:max val="8.0000000000000016E-2"/>
        </c:scaling>
        <c:delete val="0"/>
        <c:axPos val="t"/>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20107040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India</a:t>
            </a:r>
            <a:r>
              <a:rPr lang="en-IN" baseline="0"/>
              <a:t> vs Global GDP Growth(%)</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Report!$R$6</c:f>
              <c:strCache>
                <c:ptCount val="1"/>
                <c:pt idx="0">
                  <c:v>India</c:v>
                </c:pt>
              </c:strCache>
            </c:strRef>
          </c:tx>
          <c:spPr>
            <a:solidFill>
              <a:srgbClr val="2251A1"/>
            </a:solidFill>
            <a:ln>
              <a:solidFill>
                <a:srgbClr val="2251A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Report!$Q$7:$Q$13</c:f>
              <c:strCache>
                <c:ptCount val="7"/>
                <c:pt idx="0">
                  <c:v>2019</c:v>
                </c:pt>
                <c:pt idx="1">
                  <c:v>2020</c:v>
                </c:pt>
                <c:pt idx="2">
                  <c:v>2021</c:v>
                </c:pt>
                <c:pt idx="3">
                  <c:v>2022</c:v>
                </c:pt>
                <c:pt idx="4">
                  <c:v>2023</c:v>
                </c:pt>
                <c:pt idx="5">
                  <c:v>2024P</c:v>
                </c:pt>
                <c:pt idx="6">
                  <c:v>2025P</c:v>
                </c:pt>
              </c:strCache>
            </c:strRef>
          </c:cat>
          <c:val>
            <c:numRef>
              <c:f>Report!$R$7:$R$13</c:f>
              <c:numCache>
                <c:formatCode>0.0%</c:formatCode>
                <c:ptCount val="7"/>
                <c:pt idx="0">
                  <c:v>3.9E-2</c:v>
                </c:pt>
                <c:pt idx="1">
                  <c:v>-5.8000000000000003E-2</c:v>
                </c:pt>
                <c:pt idx="2">
                  <c:v>9.7000000000000003E-2</c:v>
                </c:pt>
                <c:pt idx="3">
                  <c:v>7.0000000000000007E-2</c:v>
                </c:pt>
                <c:pt idx="4">
                  <c:v>7.8E-2</c:v>
                </c:pt>
                <c:pt idx="5">
                  <c:v>6.8000000000000005E-2</c:v>
                </c:pt>
                <c:pt idx="6">
                  <c:v>6.5000000000000002E-2</c:v>
                </c:pt>
              </c:numCache>
            </c:numRef>
          </c:val>
          <c:extLst>
            <c:ext xmlns:c16="http://schemas.microsoft.com/office/drawing/2014/chart" uri="{C3380CC4-5D6E-409C-BE32-E72D297353CC}">
              <c16:uniqueId val="{00000000-C742-4F20-923A-4DFCEBB0520A}"/>
            </c:ext>
          </c:extLst>
        </c:ser>
        <c:dLbls>
          <c:showLegendKey val="0"/>
          <c:showVal val="0"/>
          <c:showCatName val="0"/>
          <c:showSerName val="0"/>
          <c:showPercent val="0"/>
          <c:showBubbleSize val="0"/>
        </c:dLbls>
        <c:gapWidth val="219"/>
        <c:overlap val="-27"/>
        <c:axId val="2105823328"/>
        <c:axId val="2105803168"/>
      </c:barChart>
      <c:lineChart>
        <c:grouping val="standard"/>
        <c:varyColors val="0"/>
        <c:ser>
          <c:idx val="1"/>
          <c:order val="1"/>
          <c:tx>
            <c:strRef>
              <c:f>Report!$S$6</c:f>
              <c:strCache>
                <c:ptCount val="1"/>
                <c:pt idx="0">
                  <c:v>Global</c:v>
                </c:pt>
              </c:strCache>
            </c:strRef>
          </c:tx>
          <c:spPr>
            <a:ln w="28575" cap="rnd">
              <a:solidFill>
                <a:srgbClr val="EB1934"/>
              </a:solidFill>
              <a:round/>
            </a:ln>
            <a:effectLst/>
          </c:spPr>
          <c:marker>
            <c:symbol val="none"/>
          </c:marker>
          <c:cat>
            <c:strRef>
              <c:f>Report!$Q$7:$Q$13</c:f>
              <c:strCache>
                <c:ptCount val="7"/>
                <c:pt idx="0">
                  <c:v>2019</c:v>
                </c:pt>
                <c:pt idx="1">
                  <c:v>2020</c:v>
                </c:pt>
                <c:pt idx="2">
                  <c:v>2021</c:v>
                </c:pt>
                <c:pt idx="3">
                  <c:v>2022</c:v>
                </c:pt>
                <c:pt idx="4">
                  <c:v>2023</c:v>
                </c:pt>
                <c:pt idx="5">
                  <c:v>2024P</c:v>
                </c:pt>
                <c:pt idx="6">
                  <c:v>2025P</c:v>
                </c:pt>
              </c:strCache>
            </c:strRef>
          </c:cat>
          <c:val>
            <c:numRef>
              <c:f>Report!$S$7:$S$13</c:f>
              <c:numCache>
                <c:formatCode>0.00%</c:formatCode>
                <c:ptCount val="7"/>
                <c:pt idx="0">
                  <c:v>2.8000000000000001E-2</c:v>
                </c:pt>
                <c:pt idx="1">
                  <c:v>-2.7E-2</c:v>
                </c:pt>
                <c:pt idx="2">
                  <c:v>6.5000000000000002E-2</c:v>
                </c:pt>
                <c:pt idx="3">
                  <c:v>3.5000000000000003E-2</c:v>
                </c:pt>
                <c:pt idx="4">
                  <c:v>3.2000000000000001E-2</c:v>
                </c:pt>
                <c:pt idx="5">
                  <c:v>3.2000000000000001E-2</c:v>
                </c:pt>
                <c:pt idx="6">
                  <c:v>3.2000000000000001E-2</c:v>
                </c:pt>
              </c:numCache>
            </c:numRef>
          </c:val>
          <c:smooth val="0"/>
          <c:extLst>
            <c:ext xmlns:c16="http://schemas.microsoft.com/office/drawing/2014/chart" uri="{C3380CC4-5D6E-409C-BE32-E72D297353CC}">
              <c16:uniqueId val="{00000001-C742-4F20-923A-4DFCEBB0520A}"/>
            </c:ext>
          </c:extLst>
        </c:ser>
        <c:dLbls>
          <c:showLegendKey val="0"/>
          <c:showVal val="0"/>
          <c:showCatName val="0"/>
          <c:showSerName val="0"/>
          <c:showPercent val="0"/>
          <c:showBubbleSize val="0"/>
        </c:dLbls>
        <c:marker val="1"/>
        <c:smooth val="0"/>
        <c:axId val="2105823328"/>
        <c:axId val="2105803168"/>
      </c:lineChart>
      <c:catAx>
        <c:axId val="2105823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803168"/>
        <c:crosses val="autoZero"/>
        <c:auto val="1"/>
        <c:lblAlgn val="ctr"/>
        <c:lblOffset val="100"/>
        <c:noMultiLvlLbl val="0"/>
      </c:catAx>
      <c:valAx>
        <c:axId val="2105803168"/>
        <c:scaling>
          <c:orientation val="minMax"/>
        </c:scaling>
        <c:delete val="1"/>
        <c:axPos val="l"/>
        <c:numFmt formatCode="0.0%" sourceLinked="1"/>
        <c:majorTickMark val="none"/>
        <c:minorTickMark val="none"/>
        <c:tickLblPos val="nextTo"/>
        <c:crossAx val="2105823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India</a:t>
            </a:r>
            <a:r>
              <a:rPr lang="en-IN" baseline="0"/>
              <a:t> GDP Growth- Actual vs Projected</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Report!$Z$6</c:f>
              <c:strCache>
                <c:ptCount val="1"/>
                <c:pt idx="0">
                  <c:v>Actual</c:v>
                </c:pt>
              </c:strCache>
            </c:strRef>
          </c:tx>
          <c:spPr>
            <a:solidFill>
              <a:srgbClr val="EB1934"/>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Report!$Y$7:$Y$14</c:f>
              <c:strCache>
                <c:ptCount val="8"/>
                <c:pt idx="0">
                  <c:v>Q1FY23</c:v>
                </c:pt>
                <c:pt idx="1">
                  <c:v>Q2FY23</c:v>
                </c:pt>
                <c:pt idx="2">
                  <c:v>Q3FY23</c:v>
                </c:pt>
                <c:pt idx="3">
                  <c:v>Q4FY23</c:v>
                </c:pt>
                <c:pt idx="4">
                  <c:v>Q1FY24</c:v>
                </c:pt>
                <c:pt idx="5">
                  <c:v>Q2FY24</c:v>
                </c:pt>
                <c:pt idx="6">
                  <c:v>Q3FY24</c:v>
                </c:pt>
                <c:pt idx="7">
                  <c:v>Q4FY24</c:v>
                </c:pt>
              </c:strCache>
            </c:strRef>
          </c:cat>
          <c:val>
            <c:numRef>
              <c:f>Report!$Z$7:$Z$14</c:f>
              <c:numCache>
                <c:formatCode>0.0%</c:formatCode>
                <c:ptCount val="8"/>
                <c:pt idx="0">
                  <c:v>0.13500000000000001</c:v>
                </c:pt>
                <c:pt idx="1">
                  <c:v>6.3E-2</c:v>
                </c:pt>
                <c:pt idx="2">
                  <c:v>4.3999999999999997E-2</c:v>
                </c:pt>
                <c:pt idx="3">
                  <c:v>6.0999999999999999E-2</c:v>
                </c:pt>
                <c:pt idx="4">
                  <c:v>7.8E-2</c:v>
                </c:pt>
                <c:pt idx="5">
                  <c:v>7.5999999999999998E-2</c:v>
                </c:pt>
                <c:pt idx="6">
                  <c:v>8.4000000000000005E-2</c:v>
                </c:pt>
                <c:pt idx="7">
                  <c:v>7.8E-2</c:v>
                </c:pt>
              </c:numCache>
            </c:numRef>
          </c:val>
          <c:extLst>
            <c:ext xmlns:c16="http://schemas.microsoft.com/office/drawing/2014/chart" uri="{C3380CC4-5D6E-409C-BE32-E72D297353CC}">
              <c16:uniqueId val="{00000000-1B4A-436C-B571-E8AACFAF88ED}"/>
            </c:ext>
          </c:extLst>
        </c:ser>
        <c:ser>
          <c:idx val="1"/>
          <c:order val="1"/>
          <c:tx>
            <c:strRef>
              <c:f>Report!$AA$6</c:f>
              <c:strCache>
                <c:ptCount val="1"/>
                <c:pt idx="0">
                  <c:v>Projected</c:v>
                </c:pt>
              </c:strCache>
            </c:strRef>
          </c:tx>
          <c:spPr>
            <a:solidFill>
              <a:srgbClr val="2251A1"/>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Report!$Y$7:$Y$14</c:f>
              <c:strCache>
                <c:ptCount val="8"/>
                <c:pt idx="0">
                  <c:v>Q1FY23</c:v>
                </c:pt>
                <c:pt idx="1">
                  <c:v>Q2FY23</c:v>
                </c:pt>
                <c:pt idx="2">
                  <c:v>Q3FY23</c:v>
                </c:pt>
                <c:pt idx="3">
                  <c:v>Q4FY23</c:v>
                </c:pt>
                <c:pt idx="4">
                  <c:v>Q1FY24</c:v>
                </c:pt>
                <c:pt idx="5">
                  <c:v>Q2FY24</c:v>
                </c:pt>
                <c:pt idx="6">
                  <c:v>Q3FY24</c:v>
                </c:pt>
                <c:pt idx="7">
                  <c:v>Q4FY24</c:v>
                </c:pt>
              </c:strCache>
            </c:strRef>
          </c:cat>
          <c:val>
            <c:numRef>
              <c:f>Report!$AA$7:$AA$14</c:f>
              <c:numCache>
                <c:formatCode>0.0%</c:formatCode>
                <c:ptCount val="8"/>
                <c:pt idx="0">
                  <c:v>0.152</c:v>
                </c:pt>
                <c:pt idx="1">
                  <c:v>6.2E-2</c:v>
                </c:pt>
                <c:pt idx="2">
                  <c:v>4.5999999999999999E-2</c:v>
                </c:pt>
                <c:pt idx="3">
                  <c:v>4.5999999999999999E-2</c:v>
                </c:pt>
                <c:pt idx="4">
                  <c:v>7.6999999999999999E-2</c:v>
                </c:pt>
                <c:pt idx="5">
                  <c:v>6.8000000000000005E-2</c:v>
                </c:pt>
                <c:pt idx="6">
                  <c:v>6.6000000000000003E-2</c:v>
                </c:pt>
                <c:pt idx="7">
                  <c:v>6.7000000000000004E-2</c:v>
                </c:pt>
              </c:numCache>
            </c:numRef>
          </c:val>
          <c:extLst>
            <c:ext xmlns:c16="http://schemas.microsoft.com/office/drawing/2014/chart" uri="{C3380CC4-5D6E-409C-BE32-E72D297353CC}">
              <c16:uniqueId val="{00000001-1B4A-436C-B571-E8AACFAF88ED}"/>
            </c:ext>
          </c:extLst>
        </c:ser>
        <c:dLbls>
          <c:showLegendKey val="0"/>
          <c:showVal val="1"/>
          <c:showCatName val="0"/>
          <c:showSerName val="0"/>
          <c:showPercent val="0"/>
          <c:showBubbleSize val="0"/>
        </c:dLbls>
        <c:gapWidth val="219"/>
        <c:overlap val="-27"/>
        <c:axId val="29336848"/>
        <c:axId val="29337328"/>
      </c:barChart>
      <c:catAx>
        <c:axId val="29336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337328"/>
        <c:crosses val="autoZero"/>
        <c:auto val="1"/>
        <c:lblAlgn val="ctr"/>
        <c:lblOffset val="100"/>
        <c:noMultiLvlLbl val="0"/>
      </c:catAx>
      <c:valAx>
        <c:axId val="29337328"/>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3368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Volume</a:t>
            </a:r>
            <a:r>
              <a:rPr lang="en-US" baseline="0"/>
              <a:t> Growth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Report!$W$46</c:f>
              <c:strCache>
                <c:ptCount val="1"/>
                <c:pt idx="0">
                  <c:v>In Billion Litres</c:v>
                </c:pt>
              </c:strCache>
            </c:strRef>
          </c:tx>
          <c:spPr>
            <a:solidFill>
              <a:schemeClr val="accent1"/>
            </a:solidFill>
            <a:ln>
              <a:noFill/>
            </a:ln>
            <a:effectLst/>
          </c:spPr>
          <c:invertIfNegative val="0"/>
          <c:cat>
            <c:numRef>
              <c:f>Report!$V$47:$V$57</c:f>
              <c:numCache>
                <c:formatCode>0"A"</c:formatCode>
                <c:ptCount val="11"/>
                <c:pt idx="0">
                  <c:v>2018</c:v>
                </c:pt>
                <c:pt idx="1">
                  <c:v>2019</c:v>
                </c:pt>
                <c:pt idx="2">
                  <c:v>2020</c:v>
                </c:pt>
                <c:pt idx="3">
                  <c:v>2021</c:v>
                </c:pt>
                <c:pt idx="4">
                  <c:v>2022</c:v>
                </c:pt>
                <c:pt idx="5">
                  <c:v>2023</c:v>
                </c:pt>
                <c:pt idx="6" formatCode="0&quot;F&quot;">
                  <c:v>2024</c:v>
                </c:pt>
                <c:pt idx="7" formatCode="0&quot;F&quot;">
                  <c:v>2025</c:v>
                </c:pt>
                <c:pt idx="8" formatCode="0&quot;F&quot;">
                  <c:v>2026</c:v>
                </c:pt>
                <c:pt idx="9" formatCode="0&quot;F&quot;">
                  <c:v>2027</c:v>
                </c:pt>
                <c:pt idx="10" formatCode="0&quot;F&quot;">
                  <c:v>2028</c:v>
                </c:pt>
              </c:numCache>
            </c:numRef>
          </c:cat>
          <c:val>
            <c:numRef>
              <c:f>Report!$W$47:$W$57</c:f>
              <c:numCache>
                <c:formatCode>General</c:formatCode>
                <c:ptCount val="11"/>
                <c:pt idx="0">
                  <c:v>3.6</c:v>
                </c:pt>
                <c:pt idx="1">
                  <c:v>3.7</c:v>
                </c:pt>
                <c:pt idx="2">
                  <c:v>3.5</c:v>
                </c:pt>
                <c:pt idx="3">
                  <c:v>3.8</c:v>
                </c:pt>
                <c:pt idx="4">
                  <c:v>3.9</c:v>
                </c:pt>
                <c:pt idx="5">
                  <c:v>4</c:v>
                </c:pt>
                <c:pt idx="6">
                  <c:v>4.0999999999999996</c:v>
                </c:pt>
                <c:pt idx="7">
                  <c:v>4.2</c:v>
                </c:pt>
                <c:pt idx="8">
                  <c:v>4.4000000000000004</c:v>
                </c:pt>
                <c:pt idx="9">
                  <c:v>4.5</c:v>
                </c:pt>
                <c:pt idx="10">
                  <c:v>4.5999999999999996</c:v>
                </c:pt>
              </c:numCache>
            </c:numRef>
          </c:val>
          <c:extLst>
            <c:ext xmlns:c16="http://schemas.microsoft.com/office/drawing/2014/chart" uri="{C3380CC4-5D6E-409C-BE32-E72D297353CC}">
              <c16:uniqueId val="{00000000-7908-4B04-8BEC-B2E86EABF1DD}"/>
            </c:ext>
          </c:extLst>
        </c:ser>
        <c:dLbls>
          <c:showLegendKey val="0"/>
          <c:showVal val="0"/>
          <c:showCatName val="0"/>
          <c:showSerName val="0"/>
          <c:showPercent val="0"/>
          <c:showBubbleSize val="0"/>
        </c:dLbls>
        <c:gapWidth val="219"/>
        <c:overlap val="-27"/>
        <c:axId val="646267663"/>
        <c:axId val="646272943"/>
      </c:barChart>
      <c:catAx>
        <c:axId val="646267663"/>
        <c:scaling>
          <c:orientation val="minMax"/>
        </c:scaling>
        <c:delete val="0"/>
        <c:axPos val="b"/>
        <c:numFmt formatCode="0&quot;A&quot;" sourceLinked="1"/>
        <c:majorTickMark val="none"/>
        <c:minorTickMark val="none"/>
        <c:tickLblPos val="nextTo"/>
        <c:spPr>
          <a:noFill/>
          <a:ln w="9525" cap="flat" cmpd="sng" algn="ctr">
            <a:solidFill>
              <a:schemeClr val="tx1">
                <a:lumMod val="15000"/>
                <a:lumOff val="85000"/>
              </a:schemeClr>
            </a:solidFill>
            <a:round/>
          </a:ln>
          <a:effectLst/>
        </c:spPr>
        <c:txPr>
          <a:bodyPr rot="-1440000" spcFirstLastPara="1" vertOverflow="ellipsis" wrap="square" anchor="t"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646272943"/>
        <c:crosses val="autoZero"/>
        <c:auto val="1"/>
        <c:lblAlgn val="ctr"/>
        <c:lblOffset val="100"/>
        <c:noMultiLvlLbl val="0"/>
      </c:catAx>
      <c:valAx>
        <c:axId val="646272943"/>
        <c:scaling>
          <c:orientation val="minMax"/>
          <c:max val="5"/>
          <c:min val="2.5"/>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6267663"/>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rgbClr val="002060"/>
                </a:solidFill>
              </a:rPr>
              <a:t>Price</a:t>
            </a:r>
            <a:r>
              <a:rPr lang="en-IN" b="1" baseline="0">
                <a:solidFill>
                  <a:srgbClr val="002060"/>
                </a:solidFill>
              </a:rPr>
              <a:t> per unit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Report!$W$70</c:f>
              <c:strCache>
                <c:ptCount val="1"/>
                <c:pt idx="0">
                  <c:v>CSD (at home)</c:v>
                </c:pt>
              </c:strCache>
            </c:strRef>
          </c:tx>
          <c:spPr>
            <a:ln w="28575" cap="rnd">
              <a:solidFill>
                <a:srgbClr val="EB1934"/>
              </a:solidFill>
              <a:round/>
            </a:ln>
            <a:effectLst/>
          </c:spPr>
          <c:marker>
            <c:symbol val="circle"/>
            <c:size val="5"/>
            <c:spPr>
              <a:solidFill>
                <a:srgbClr val="F98787"/>
              </a:solidFill>
              <a:ln w="9525">
                <a:solidFill>
                  <a:srgbClr val="F98787"/>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Report!$V$71:$V$81</c:f>
              <c:numCache>
                <c:formatCode>0"A"</c:formatCode>
                <c:ptCount val="11"/>
                <c:pt idx="0">
                  <c:v>2018</c:v>
                </c:pt>
                <c:pt idx="1">
                  <c:v>2019</c:v>
                </c:pt>
                <c:pt idx="2">
                  <c:v>2020</c:v>
                </c:pt>
                <c:pt idx="3">
                  <c:v>2021</c:v>
                </c:pt>
                <c:pt idx="4">
                  <c:v>2022</c:v>
                </c:pt>
                <c:pt idx="5">
                  <c:v>2023</c:v>
                </c:pt>
                <c:pt idx="6" formatCode="0&quot;F&quot;">
                  <c:v>2024</c:v>
                </c:pt>
                <c:pt idx="7" formatCode="0&quot;F&quot;">
                  <c:v>2025</c:v>
                </c:pt>
                <c:pt idx="8" formatCode="0&quot;F&quot;">
                  <c:v>2026</c:v>
                </c:pt>
                <c:pt idx="9" formatCode="0&quot;F&quot;">
                  <c:v>2027</c:v>
                </c:pt>
                <c:pt idx="10" formatCode="0&quot;F&quot;">
                  <c:v>2028</c:v>
                </c:pt>
              </c:numCache>
            </c:numRef>
          </c:cat>
          <c:val>
            <c:numRef>
              <c:f>Report!$W$71:$W$81</c:f>
              <c:numCache>
                <c:formatCode>0.00</c:formatCode>
                <c:ptCount val="11"/>
                <c:pt idx="0">
                  <c:v>0.46</c:v>
                </c:pt>
                <c:pt idx="1">
                  <c:v>0.47</c:v>
                </c:pt>
                <c:pt idx="2">
                  <c:v>0.49</c:v>
                </c:pt>
                <c:pt idx="3">
                  <c:v>0.49</c:v>
                </c:pt>
                <c:pt idx="4">
                  <c:v>0.5</c:v>
                </c:pt>
                <c:pt idx="5">
                  <c:v>0.53</c:v>
                </c:pt>
                <c:pt idx="6">
                  <c:v>0.55000000000000004</c:v>
                </c:pt>
                <c:pt idx="7">
                  <c:v>0.56999999999999995</c:v>
                </c:pt>
                <c:pt idx="8">
                  <c:v>0.59</c:v>
                </c:pt>
                <c:pt idx="9">
                  <c:v>0.62</c:v>
                </c:pt>
                <c:pt idx="10">
                  <c:v>0.64</c:v>
                </c:pt>
              </c:numCache>
            </c:numRef>
          </c:val>
          <c:smooth val="0"/>
          <c:extLst>
            <c:ext xmlns:c16="http://schemas.microsoft.com/office/drawing/2014/chart" uri="{C3380CC4-5D6E-409C-BE32-E72D297353CC}">
              <c16:uniqueId val="{00000000-8BF4-44CF-8DC5-8A09DEB99528}"/>
            </c:ext>
          </c:extLst>
        </c:ser>
        <c:ser>
          <c:idx val="1"/>
          <c:order val="1"/>
          <c:tx>
            <c:strRef>
              <c:f>Report!$X$70</c:f>
              <c:strCache>
                <c:ptCount val="1"/>
                <c:pt idx="0">
                  <c:v>CSD (out of home)</c:v>
                </c:pt>
              </c:strCache>
            </c:strRef>
          </c:tx>
          <c:spPr>
            <a:ln w="28575" cap="rnd">
              <a:solidFill>
                <a:srgbClr val="2251A1"/>
              </a:solidFill>
              <a:round/>
            </a:ln>
            <a:effectLst/>
          </c:spPr>
          <c:marker>
            <c:symbol val="circle"/>
            <c:size val="5"/>
            <c:spPr>
              <a:solidFill>
                <a:schemeClr val="accent1">
                  <a:lumMod val="40000"/>
                  <a:lumOff val="60000"/>
                </a:schemeClr>
              </a:solidFill>
              <a:ln w="9525">
                <a:solidFill>
                  <a:schemeClr val="accent1">
                    <a:lumMod val="60000"/>
                    <a:lumOff val="40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Report!$V$71:$V$81</c:f>
              <c:numCache>
                <c:formatCode>0"A"</c:formatCode>
                <c:ptCount val="11"/>
                <c:pt idx="0">
                  <c:v>2018</c:v>
                </c:pt>
                <c:pt idx="1">
                  <c:v>2019</c:v>
                </c:pt>
                <c:pt idx="2">
                  <c:v>2020</c:v>
                </c:pt>
                <c:pt idx="3">
                  <c:v>2021</c:v>
                </c:pt>
                <c:pt idx="4">
                  <c:v>2022</c:v>
                </c:pt>
                <c:pt idx="5">
                  <c:v>2023</c:v>
                </c:pt>
                <c:pt idx="6" formatCode="0&quot;F&quot;">
                  <c:v>2024</c:v>
                </c:pt>
                <c:pt idx="7" formatCode="0&quot;F&quot;">
                  <c:v>2025</c:v>
                </c:pt>
                <c:pt idx="8" formatCode="0&quot;F&quot;">
                  <c:v>2026</c:v>
                </c:pt>
                <c:pt idx="9" formatCode="0&quot;F&quot;">
                  <c:v>2027</c:v>
                </c:pt>
                <c:pt idx="10" formatCode="0&quot;F&quot;">
                  <c:v>2028</c:v>
                </c:pt>
              </c:numCache>
            </c:numRef>
          </c:cat>
          <c:val>
            <c:numRef>
              <c:f>Report!$X$71:$X$81</c:f>
              <c:numCache>
                <c:formatCode>0.00</c:formatCode>
                <c:ptCount val="11"/>
                <c:pt idx="0">
                  <c:v>1.34</c:v>
                </c:pt>
                <c:pt idx="1">
                  <c:v>1.36</c:v>
                </c:pt>
                <c:pt idx="2">
                  <c:v>1.43</c:v>
                </c:pt>
                <c:pt idx="3">
                  <c:v>1.45</c:v>
                </c:pt>
                <c:pt idx="4">
                  <c:v>1.47</c:v>
                </c:pt>
                <c:pt idx="5">
                  <c:v>1.55</c:v>
                </c:pt>
                <c:pt idx="6">
                  <c:v>1.62</c:v>
                </c:pt>
                <c:pt idx="7">
                  <c:v>1.69</c:v>
                </c:pt>
                <c:pt idx="8">
                  <c:v>1.76</c:v>
                </c:pt>
                <c:pt idx="9">
                  <c:v>1.83</c:v>
                </c:pt>
                <c:pt idx="10">
                  <c:v>1.9</c:v>
                </c:pt>
              </c:numCache>
            </c:numRef>
          </c:val>
          <c:smooth val="0"/>
          <c:extLst>
            <c:ext xmlns:c16="http://schemas.microsoft.com/office/drawing/2014/chart" uri="{C3380CC4-5D6E-409C-BE32-E72D297353CC}">
              <c16:uniqueId val="{00000001-8BF4-44CF-8DC5-8A09DEB99528}"/>
            </c:ext>
          </c:extLst>
        </c:ser>
        <c:dLbls>
          <c:dLblPos val="t"/>
          <c:showLegendKey val="0"/>
          <c:showVal val="1"/>
          <c:showCatName val="0"/>
          <c:showSerName val="0"/>
          <c:showPercent val="0"/>
          <c:showBubbleSize val="0"/>
        </c:dLbls>
        <c:marker val="1"/>
        <c:smooth val="0"/>
        <c:axId val="977359823"/>
        <c:axId val="977360783"/>
      </c:lineChart>
      <c:catAx>
        <c:axId val="977359823"/>
        <c:scaling>
          <c:orientation val="minMax"/>
        </c:scaling>
        <c:delete val="0"/>
        <c:axPos val="b"/>
        <c:numFmt formatCode="0&quot;A&quot;" sourceLinked="1"/>
        <c:majorTickMark val="none"/>
        <c:minorTickMark val="none"/>
        <c:tickLblPos val="nextTo"/>
        <c:spPr>
          <a:noFill/>
          <a:ln w="9525" cap="flat" cmpd="sng" algn="ctr">
            <a:solidFill>
              <a:schemeClr val="tx1">
                <a:lumMod val="15000"/>
                <a:lumOff val="85000"/>
              </a:schemeClr>
            </a:solidFill>
            <a:round/>
          </a:ln>
          <a:effectLst/>
        </c:spPr>
        <c:txPr>
          <a:bodyPr rot="-138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7360783"/>
        <c:crosses val="autoZero"/>
        <c:auto val="1"/>
        <c:lblAlgn val="ctr"/>
        <c:lblOffset val="100"/>
        <c:noMultiLvlLbl val="0"/>
      </c:catAx>
      <c:valAx>
        <c:axId val="977360783"/>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7359823"/>
        <c:crosses val="autoZero"/>
        <c:crossBetween val="between"/>
        <c:majorUnit val="0.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Capex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rgbClr val="2251A1"/>
            </a:solidFill>
            <a:ln>
              <a:noFill/>
            </a:ln>
            <a:effectLst/>
          </c:spPr>
          <c:invertIfNegative val="0"/>
          <c:dPt>
            <c:idx val="5"/>
            <c:invertIfNegative val="0"/>
            <c:bubble3D val="0"/>
            <c:spPr>
              <a:solidFill>
                <a:srgbClr val="EB1934"/>
              </a:solidFill>
              <a:ln>
                <a:noFill/>
              </a:ln>
              <a:effectLst/>
            </c:spPr>
            <c:extLst>
              <c:ext xmlns:c16="http://schemas.microsoft.com/office/drawing/2014/chart" uri="{C3380CC4-5D6E-409C-BE32-E72D297353CC}">
                <c16:uniqueId val="{00000002-7DDE-44D1-99E9-98342744E1B3}"/>
              </c:ext>
            </c:extLst>
          </c:dPt>
          <c:dPt>
            <c:idx val="6"/>
            <c:invertIfNegative val="0"/>
            <c:bubble3D val="0"/>
            <c:spPr>
              <a:solidFill>
                <a:srgbClr val="EB1934"/>
              </a:solidFill>
              <a:ln>
                <a:noFill/>
              </a:ln>
              <a:effectLst/>
            </c:spPr>
            <c:extLst>
              <c:ext xmlns:c16="http://schemas.microsoft.com/office/drawing/2014/chart" uri="{C3380CC4-5D6E-409C-BE32-E72D297353CC}">
                <c16:uniqueId val="{00000003-7DDE-44D1-99E9-98342744E1B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Report!$I$100:$O$100</c:f>
              <c:numCache>
                <c:formatCode>0"A"</c:formatCode>
                <c:ptCount val="7"/>
                <c:pt idx="0">
                  <c:v>2019</c:v>
                </c:pt>
                <c:pt idx="1">
                  <c:v>2020</c:v>
                </c:pt>
                <c:pt idx="2">
                  <c:v>2021</c:v>
                </c:pt>
                <c:pt idx="3">
                  <c:v>2022</c:v>
                </c:pt>
                <c:pt idx="4">
                  <c:v>2023</c:v>
                </c:pt>
                <c:pt idx="5" formatCode="0&quot;F&quot;">
                  <c:v>2024</c:v>
                </c:pt>
                <c:pt idx="6" formatCode="0&quot;F&quot;">
                  <c:v>2025</c:v>
                </c:pt>
              </c:numCache>
            </c:numRef>
          </c:cat>
          <c:val>
            <c:numRef>
              <c:f>Report!$I$101:$O$101</c:f>
              <c:numCache>
                <c:formatCode>0</c:formatCode>
                <c:ptCount val="7"/>
                <c:pt idx="0">
                  <c:v>733.08</c:v>
                </c:pt>
                <c:pt idx="1">
                  <c:v>535.61</c:v>
                </c:pt>
                <c:pt idx="2">
                  <c:v>815.44999999999993</c:v>
                </c:pt>
                <c:pt idx="3">
                  <c:v>1749.9</c:v>
                </c:pt>
                <c:pt idx="4">
                  <c:v>3193.9180000000001</c:v>
                </c:pt>
                <c:pt idx="5">
                  <c:v>3600</c:v>
                </c:pt>
                <c:pt idx="6">
                  <c:v>1500</c:v>
                </c:pt>
              </c:numCache>
            </c:numRef>
          </c:val>
          <c:extLst>
            <c:ext xmlns:c16="http://schemas.microsoft.com/office/drawing/2014/chart" uri="{C3380CC4-5D6E-409C-BE32-E72D297353CC}">
              <c16:uniqueId val="{00000000-7DDE-44D1-99E9-98342744E1B3}"/>
            </c:ext>
          </c:extLst>
        </c:ser>
        <c:dLbls>
          <c:showLegendKey val="0"/>
          <c:showVal val="0"/>
          <c:showCatName val="0"/>
          <c:showSerName val="0"/>
          <c:showPercent val="0"/>
          <c:showBubbleSize val="0"/>
        </c:dLbls>
        <c:gapWidth val="219"/>
        <c:overlap val="-27"/>
        <c:axId val="378663760"/>
        <c:axId val="378683440"/>
      </c:barChart>
      <c:catAx>
        <c:axId val="378663760"/>
        <c:scaling>
          <c:orientation val="minMax"/>
        </c:scaling>
        <c:delete val="0"/>
        <c:axPos val="b"/>
        <c:numFmt formatCode="0&quot;A&quot;"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8683440"/>
        <c:crosses val="autoZero"/>
        <c:auto val="1"/>
        <c:lblAlgn val="ctr"/>
        <c:lblOffset val="100"/>
        <c:noMultiLvlLbl val="0"/>
      </c:catAx>
      <c:valAx>
        <c:axId val="37868344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866376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Brand</a:t>
            </a:r>
            <a:r>
              <a:rPr lang="en-IN" baseline="0"/>
              <a:t> Wise Revenue Breakup</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bg1">
                  <a:lumMod val="50000"/>
                </a:schemeClr>
              </a:solidFill>
              <a:ln w="19050">
                <a:solidFill>
                  <a:schemeClr val="lt1"/>
                </a:solidFill>
              </a:ln>
              <a:effectLst/>
            </c:spPr>
            <c:extLst>
              <c:ext xmlns:c16="http://schemas.microsoft.com/office/drawing/2014/chart" uri="{C3380CC4-5D6E-409C-BE32-E72D297353CC}">
                <c16:uniqueId val="{00000004-8774-4BC6-BE11-8581F3B5C5C1}"/>
              </c:ext>
            </c:extLst>
          </c:dPt>
          <c:dPt>
            <c:idx val="1"/>
            <c:bubble3D val="0"/>
            <c:spPr>
              <a:solidFill>
                <a:srgbClr val="002060"/>
              </a:solidFill>
              <a:ln w="19050">
                <a:solidFill>
                  <a:schemeClr val="lt1"/>
                </a:solidFill>
              </a:ln>
              <a:effectLst/>
            </c:spPr>
            <c:extLst>
              <c:ext xmlns:c16="http://schemas.microsoft.com/office/drawing/2014/chart" uri="{C3380CC4-5D6E-409C-BE32-E72D297353CC}">
                <c16:uniqueId val="{00000003-8774-4BC6-BE11-8581F3B5C5C1}"/>
              </c:ext>
            </c:extLst>
          </c:dPt>
          <c:dPt>
            <c:idx val="2"/>
            <c:bubble3D val="0"/>
            <c:spPr>
              <a:solidFill>
                <a:srgbClr val="EB1934"/>
              </a:solidFill>
              <a:ln w="19050">
                <a:solidFill>
                  <a:schemeClr val="lt1"/>
                </a:solidFill>
              </a:ln>
              <a:effectLst/>
            </c:spPr>
            <c:extLst>
              <c:ext xmlns:c16="http://schemas.microsoft.com/office/drawing/2014/chart" uri="{C3380CC4-5D6E-409C-BE32-E72D297353CC}">
                <c16:uniqueId val="{00000002-8774-4BC6-BE11-8581F3B5C5C1}"/>
              </c:ext>
            </c:extLst>
          </c:dPt>
          <c:dPt>
            <c:idx val="3"/>
            <c:bubble3D val="0"/>
            <c:spPr>
              <a:solidFill>
                <a:srgbClr val="2251A1"/>
              </a:solidFill>
              <a:ln w="19050">
                <a:solidFill>
                  <a:schemeClr val="lt1"/>
                </a:solidFill>
              </a:ln>
              <a:effectLst/>
            </c:spPr>
            <c:extLst>
              <c:ext xmlns:c16="http://schemas.microsoft.com/office/drawing/2014/chart" uri="{C3380CC4-5D6E-409C-BE32-E72D297353CC}">
                <c16:uniqueId val="{00000001-8774-4BC6-BE11-8581F3B5C5C1}"/>
              </c:ext>
            </c:extLst>
          </c:dPt>
          <c:dPt>
            <c:idx val="4"/>
            <c:bubble3D val="0"/>
            <c:spPr>
              <a:solidFill>
                <a:srgbClr val="CDCDCD"/>
              </a:solidFill>
              <a:ln w="19050">
                <a:solidFill>
                  <a:schemeClr val="lt1"/>
                </a:solidFill>
              </a:ln>
              <a:effectLst/>
            </c:spPr>
            <c:extLst>
              <c:ext xmlns:c16="http://schemas.microsoft.com/office/drawing/2014/chart" uri="{C3380CC4-5D6E-409C-BE32-E72D297353CC}">
                <c16:uniqueId val="{00000005-8774-4BC6-BE11-8581F3B5C5C1}"/>
              </c:ext>
            </c:extLst>
          </c:dPt>
          <c:cat>
            <c:strRef>
              <c:f>Report!$F$3:$F$7</c:f>
              <c:strCache>
                <c:ptCount val="5"/>
                <c:pt idx="0">
                  <c:v>Seven-Up</c:v>
                </c:pt>
                <c:pt idx="1">
                  <c:v>Mirinda</c:v>
                </c:pt>
                <c:pt idx="2">
                  <c:v>Pepsi</c:v>
                </c:pt>
                <c:pt idx="3">
                  <c:v>Mountain Dew</c:v>
                </c:pt>
                <c:pt idx="4">
                  <c:v>Others</c:v>
                </c:pt>
              </c:strCache>
            </c:strRef>
          </c:cat>
          <c:val>
            <c:numRef>
              <c:f>Report!$G$3:$G$7</c:f>
              <c:numCache>
                <c:formatCode>0%</c:formatCode>
                <c:ptCount val="5"/>
                <c:pt idx="0">
                  <c:v>0.1</c:v>
                </c:pt>
                <c:pt idx="1">
                  <c:v>0.17</c:v>
                </c:pt>
                <c:pt idx="2">
                  <c:v>0.22</c:v>
                </c:pt>
                <c:pt idx="3">
                  <c:v>0.47</c:v>
                </c:pt>
                <c:pt idx="4">
                  <c:v>0.04</c:v>
                </c:pt>
              </c:numCache>
            </c:numRef>
          </c:val>
          <c:extLst>
            <c:ext xmlns:c16="http://schemas.microsoft.com/office/drawing/2014/chart" uri="{C3380CC4-5D6E-409C-BE32-E72D297353CC}">
              <c16:uniqueId val="{00000000-8774-4BC6-BE11-8581F3B5C5C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rgbClr val="002060"/>
                </a:solidFill>
                <a:latin typeface="+mn-lt"/>
                <a:ea typeface="+mn-ea"/>
                <a:cs typeface="+mn-cs"/>
              </a:defRPr>
            </a:pPr>
            <a:r>
              <a:rPr lang="en-IN" b="1">
                <a:solidFill>
                  <a:srgbClr val="002060"/>
                </a:solidFill>
              </a:rPr>
              <a:t>Revenue</a:t>
            </a:r>
            <a:r>
              <a:rPr lang="en-IN" b="1" baseline="0">
                <a:solidFill>
                  <a:srgbClr val="002060"/>
                </a:solidFill>
              </a:rPr>
              <a:t> Growth</a:t>
            </a: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002060"/>
              </a:solidFill>
              <a:latin typeface="+mn-lt"/>
              <a:ea typeface="+mn-ea"/>
              <a:cs typeface="+mn-cs"/>
            </a:defRPr>
          </a:pPr>
          <a:endParaRPr lang="en-US"/>
        </a:p>
      </c:txPr>
    </c:title>
    <c:autoTitleDeleted val="0"/>
    <c:plotArea>
      <c:layout/>
      <c:barChart>
        <c:barDir val="col"/>
        <c:grouping val="clustered"/>
        <c:varyColors val="0"/>
        <c:ser>
          <c:idx val="0"/>
          <c:order val="0"/>
          <c:tx>
            <c:v>Revenue</c:v>
          </c:tx>
          <c:spPr>
            <a:solidFill>
              <a:schemeClr val="accent1"/>
            </a:solidFill>
            <a:ln>
              <a:noFill/>
            </a:ln>
            <a:effectLst/>
          </c:spPr>
          <c:invertIfNegative val="0"/>
          <c:dPt>
            <c:idx val="5"/>
            <c:invertIfNegative val="0"/>
            <c:bubble3D val="0"/>
            <c:spPr>
              <a:solidFill>
                <a:srgbClr val="EB1934"/>
              </a:solidFill>
              <a:ln>
                <a:noFill/>
              </a:ln>
              <a:effectLst/>
            </c:spPr>
            <c:extLst>
              <c:ext xmlns:c16="http://schemas.microsoft.com/office/drawing/2014/chart" uri="{C3380CC4-5D6E-409C-BE32-E72D297353CC}">
                <c16:uniqueId val="{00000003-7E94-4EE8-A154-47E3F055EA47}"/>
              </c:ext>
            </c:extLst>
          </c:dPt>
          <c:dPt>
            <c:idx val="6"/>
            <c:invertIfNegative val="0"/>
            <c:bubble3D val="0"/>
            <c:spPr>
              <a:solidFill>
                <a:srgbClr val="EB1934"/>
              </a:solidFill>
              <a:ln>
                <a:noFill/>
              </a:ln>
              <a:effectLst/>
            </c:spPr>
            <c:extLst>
              <c:ext xmlns:c16="http://schemas.microsoft.com/office/drawing/2014/chart" uri="{C3380CC4-5D6E-409C-BE32-E72D297353CC}">
                <c16:uniqueId val="{00000004-7E94-4EE8-A154-47E3F055EA47}"/>
              </c:ext>
            </c:extLst>
          </c:dPt>
          <c:dPt>
            <c:idx val="7"/>
            <c:invertIfNegative val="0"/>
            <c:bubble3D val="0"/>
            <c:spPr>
              <a:solidFill>
                <a:srgbClr val="EB1934"/>
              </a:solidFill>
              <a:ln>
                <a:noFill/>
              </a:ln>
              <a:effectLst/>
            </c:spPr>
            <c:extLst>
              <c:ext xmlns:c16="http://schemas.microsoft.com/office/drawing/2014/chart" uri="{C3380CC4-5D6E-409C-BE32-E72D297353CC}">
                <c16:uniqueId val="{00000005-7E94-4EE8-A154-47E3F055EA47}"/>
              </c:ext>
            </c:extLst>
          </c:dPt>
          <c:dPt>
            <c:idx val="8"/>
            <c:invertIfNegative val="0"/>
            <c:bubble3D val="0"/>
            <c:spPr>
              <a:solidFill>
                <a:srgbClr val="EB1934"/>
              </a:solidFill>
              <a:ln>
                <a:noFill/>
              </a:ln>
              <a:effectLst/>
            </c:spPr>
            <c:extLst>
              <c:ext xmlns:c16="http://schemas.microsoft.com/office/drawing/2014/chart" uri="{C3380CC4-5D6E-409C-BE32-E72D297353CC}">
                <c16:uniqueId val="{00000006-7E94-4EE8-A154-47E3F055EA47}"/>
              </c:ext>
            </c:extLst>
          </c:dPt>
          <c:dPt>
            <c:idx val="9"/>
            <c:invertIfNegative val="0"/>
            <c:bubble3D val="0"/>
            <c:spPr>
              <a:solidFill>
                <a:srgbClr val="EB1934"/>
              </a:solidFill>
              <a:ln>
                <a:noFill/>
              </a:ln>
              <a:effectLst/>
            </c:spPr>
            <c:extLst>
              <c:ext xmlns:c16="http://schemas.microsoft.com/office/drawing/2014/chart" uri="{C3380CC4-5D6E-409C-BE32-E72D297353CC}">
                <c16:uniqueId val="{00000007-7E94-4EE8-A154-47E3F055EA47}"/>
              </c:ext>
            </c:extLst>
          </c:dPt>
          <c:cat>
            <c:numRef>
              <c:f>Report!$S$100:$AB$100</c:f>
              <c:numCache>
                <c:formatCode>0"A"</c:formatCode>
                <c:ptCount val="10"/>
                <c:pt idx="0">
                  <c:v>2019</c:v>
                </c:pt>
                <c:pt idx="1">
                  <c:v>2020</c:v>
                </c:pt>
                <c:pt idx="2">
                  <c:v>2021</c:v>
                </c:pt>
                <c:pt idx="3">
                  <c:v>2022</c:v>
                </c:pt>
                <c:pt idx="4">
                  <c:v>2023</c:v>
                </c:pt>
                <c:pt idx="5" formatCode="0&quot;F&quot;">
                  <c:v>2024</c:v>
                </c:pt>
                <c:pt idx="6" formatCode="0&quot;F&quot;">
                  <c:v>2025</c:v>
                </c:pt>
                <c:pt idx="7" formatCode="0&quot;F&quot;">
                  <c:v>2026</c:v>
                </c:pt>
                <c:pt idx="8" formatCode="0&quot;F&quot;">
                  <c:v>2027</c:v>
                </c:pt>
                <c:pt idx="9" formatCode="0&quot;F&quot;">
                  <c:v>2028</c:v>
                </c:pt>
              </c:numCache>
            </c:numRef>
          </c:cat>
          <c:val>
            <c:numRef>
              <c:f>Report!$S$101:$AB$101</c:f>
              <c:numCache>
                <c:formatCode>#,##0</c:formatCode>
                <c:ptCount val="10"/>
                <c:pt idx="0">
                  <c:v>7129.58</c:v>
                </c:pt>
                <c:pt idx="1">
                  <c:v>6450.14</c:v>
                </c:pt>
                <c:pt idx="2">
                  <c:v>8823.2300000000014</c:v>
                </c:pt>
                <c:pt idx="3">
                  <c:v>13173.14</c:v>
                </c:pt>
                <c:pt idx="4">
                  <c:v>16042.581</c:v>
                </c:pt>
                <c:pt idx="5">
                  <c:v>20053.22625</c:v>
                </c:pt>
                <c:pt idx="6">
                  <c:v>24414.802959375</c:v>
                </c:pt>
                <c:pt idx="7">
                  <c:v>28931.541506859376</c:v>
                </c:pt>
                <c:pt idx="8">
                  <c:v>33343.60158665543</c:v>
                </c:pt>
                <c:pt idx="9">
                  <c:v>37344.833777054082</c:v>
                </c:pt>
              </c:numCache>
            </c:numRef>
          </c:val>
          <c:extLst>
            <c:ext xmlns:c16="http://schemas.microsoft.com/office/drawing/2014/chart" uri="{C3380CC4-5D6E-409C-BE32-E72D297353CC}">
              <c16:uniqueId val="{00000000-7E94-4EE8-A154-47E3F055EA47}"/>
            </c:ext>
          </c:extLst>
        </c:ser>
        <c:dLbls>
          <c:showLegendKey val="0"/>
          <c:showVal val="0"/>
          <c:showCatName val="0"/>
          <c:showSerName val="0"/>
          <c:showPercent val="0"/>
          <c:showBubbleSize val="0"/>
        </c:dLbls>
        <c:gapWidth val="219"/>
        <c:overlap val="-27"/>
        <c:axId val="780454288"/>
        <c:axId val="780429328"/>
      </c:barChart>
      <c:lineChart>
        <c:grouping val="standard"/>
        <c:varyColors val="0"/>
        <c:ser>
          <c:idx val="1"/>
          <c:order val="1"/>
          <c:tx>
            <c:v>Growth %</c:v>
          </c:tx>
          <c:spPr>
            <a:ln w="28575" cap="rnd">
              <a:solidFill>
                <a:srgbClr val="002060"/>
              </a:solidFill>
              <a:round/>
            </a:ln>
            <a:effectLst/>
          </c:spPr>
          <c:marker>
            <c:symbol val="none"/>
          </c:marker>
          <c:cat>
            <c:numRef>
              <c:f>Report!$S$100:$AB$100</c:f>
              <c:numCache>
                <c:formatCode>0"A"</c:formatCode>
                <c:ptCount val="10"/>
                <c:pt idx="0">
                  <c:v>2019</c:v>
                </c:pt>
                <c:pt idx="1">
                  <c:v>2020</c:v>
                </c:pt>
                <c:pt idx="2">
                  <c:v>2021</c:v>
                </c:pt>
                <c:pt idx="3">
                  <c:v>2022</c:v>
                </c:pt>
                <c:pt idx="4">
                  <c:v>2023</c:v>
                </c:pt>
                <c:pt idx="5" formatCode="0&quot;F&quot;">
                  <c:v>2024</c:v>
                </c:pt>
                <c:pt idx="6" formatCode="0&quot;F&quot;">
                  <c:v>2025</c:v>
                </c:pt>
                <c:pt idx="7" formatCode="0&quot;F&quot;">
                  <c:v>2026</c:v>
                </c:pt>
                <c:pt idx="8" formatCode="0&quot;F&quot;">
                  <c:v>2027</c:v>
                </c:pt>
                <c:pt idx="9" formatCode="0&quot;F&quot;">
                  <c:v>2028</c:v>
                </c:pt>
              </c:numCache>
            </c:numRef>
          </c:cat>
          <c:val>
            <c:numRef>
              <c:f>Report!$S$102:$AB$102</c:f>
              <c:numCache>
                <c:formatCode>0%</c:formatCode>
                <c:ptCount val="10"/>
                <c:pt idx="1">
                  <c:v>-9.5298741300329004E-2</c:v>
                </c:pt>
                <c:pt idx="2">
                  <c:v>0.36791294452523515</c:v>
                </c:pt>
                <c:pt idx="3">
                  <c:v>0.49300652935489575</c:v>
                </c:pt>
                <c:pt idx="4">
                  <c:v>0.21782513508548451</c:v>
                </c:pt>
                <c:pt idx="5">
                  <c:v>0.25</c:v>
                </c:pt>
                <c:pt idx="6">
                  <c:v>0.21750000000000003</c:v>
                </c:pt>
                <c:pt idx="7">
                  <c:v>0.18500000000000005</c:v>
                </c:pt>
                <c:pt idx="8">
                  <c:v>0.15250000000000008</c:v>
                </c:pt>
                <c:pt idx="9">
                  <c:v>0.12000000000000011</c:v>
                </c:pt>
              </c:numCache>
            </c:numRef>
          </c:val>
          <c:smooth val="0"/>
          <c:extLst>
            <c:ext xmlns:c16="http://schemas.microsoft.com/office/drawing/2014/chart" uri="{C3380CC4-5D6E-409C-BE32-E72D297353CC}">
              <c16:uniqueId val="{00000001-7E94-4EE8-A154-47E3F055EA47}"/>
            </c:ext>
          </c:extLst>
        </c:ser>
        <c:dLbls>
          <c:showLegendKey val="0"/>
          <c:showVal val="0"/>
          <c:showCatName val="0"/>
          <c:showSerName val="0"/>
          <c:showPercent val="0"/>
          <c:showBubbleSize val="0"/>
        </c:dLbls>
        <c:marker val="1"/>
        <c:smooth val="0"/>
        <c:axId val="780456688"/>
        <c:axId val="780456208"/>
      </c:lineChart>
      <c:catAx>
        <c:axId val="780454288"/>
        <c:scaling>
          <c:orientation val="minMax"/>
        </c:scaling>
        <c:delete val="0"/>
        <c:axPos val="b"/>
        <c:numFmt formatCode="0&quot;A&quot;"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0429328"/>
        <c:crosses val="autoZero"/>
        <c:auto val="1"/>
        <c:lblAlgn val="ctr"/>
        <c:lblOffset val="100"/>
        <c:noMultiLvlLbl val="0"/>
      </c:catAx>
      <c:valAx>
        <c:axId val="78042932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0454288"/>
        <c:crosses val="autoZero"/>
        <c:crossBetween val="between"/>
      </c:valAx>
      <c:valAx>
        <c:axId val="780456208"/>
        <c:scaling>
          <c:orientation val="minMax"/>
        </c:scaling>
        <c:delete val="0"/>
        <c:axPos val="r"/>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0456688"/>
        <c:crosses val="max"/>
        <c:crossBetween val="between"/>
      </c:valAx>
      <c:catAx>
        <c:axId val="780456688"/>
        <c:scaling>
          <c:orientation val="minMax"/>
        </c:scaling>
        <c:delete val="1"/>
        <c:axPos val="b"/>
        <c:numFmt formatCode="0&quot;A&quot;" sourceLinked="1"/>
        <c:majorTickMark val="none"/>
        <c:minorTickMark val="none"/>
        <c:tickLblPos val="nextTo"/>
        <c:crossAx val="78045620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rgbClr val="002060"/>
                </a:solidFill>
                <a:latin typeface="+mn-lt"/>
                <a:ea typeface="+mn-ea"/>
                <a:cs typeface="+mn-cs"/>
              </a:defRPr>
            </a:pPr>
            <a:r>
              <a:rPr lang="en-IN" b="1">
                <a:solidFill>
                  <a:srgbClr val="002060"/>
                </a:solidFill>
              </a:rPr>
              <a:t>Gross</a:t>
            </a:r>
            <a:r>
              <a:rPr lang="en-IN" b="1" baseline="0">
                <a:solidFill>
                  <a:srgbClr val="002060"/>
                </a:solidFill>
              </a:rPr>
              <a:t> Margins</a:t>
            </a:r>
            <a:endParaRPr lang="en-IN" b="1">
              <a:solidFill>
                <a:srgbClr val="00206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002060"/>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5"/>
            <c:invertIfNegative val="0"/>
            <c:bubble3D val="0"/>
            <c:spPr>
              <a:solidFill>
                <a:srgbClr val="EB1934"/>
              </a:solidFill>
              <a:ln>
                <a:noFill/>
              </a:ln>
              <a:effectLst/>
            </c:spPr>
            <c:extLst>
              <c:ext xmlns:c16="http://schemas.microsoft.com/office/drawing/2014/chart" uri="{C3380CC4-5D6E-409C-BE32-E72D297353CC}">
                <c16:uniqueId val="{00000002-4977-4C54-8976-9EC99365CF07}"/>
              </c:ext>
            </c:extLst>
          </c:dPt>
          <c:dPt>
            <c:idx val="6"/>
            <c:invertIfNegative val="0"/>
            <c:bubble3D val="0"/>
            <c:spPr>
              <a:solidFill>
                <a:srgbClr val="EB1934"/>
              </a:solidFill>
              <a:ln>
                <a:noFill/>
              </a:ln>
              <a:effectLst/>
            </c:spPr>
            <c:extLst>
              <c:ext xmlns:c16="http://schemas.microsoft.com/office/drawing/2014/chart" uri="{C3380CC4-5D6E-409C-BE32-E72D297353CC}">
                <c16:uniqueId val="{00000003-4977-4C54-8976-9EC99365CF07}"/>
              </c:ext>
            </c:extLst>
          </c:dPt>
          <c:dPt>
            <c:idx val="7"/>
            <c:invertIfNegative val="0"/>
            <c:bubble3D val="0"/>
            <c:spPr>
              <a:solidFill>
                <a:srgbClr val="EB1934"/>
              </a:solidFill>
              <a:ln>
                <a:noFill/>
              </a:ln>
              <a:effectLst/>
            </c:spPr>
            <c:extLst>
              <c:ext xmlns:c16="http://schemas.microsoft.com/office/drawing/2014/chart" uri="{C3380CC4-5D6E-409C-BE32-E72D297353CC}">
                <c16:uniqueId val="{00000004-4977-4C54-8976-9EC99365CF07}"/>
              </c:ext>
            </c:extLst>
          </c:dPt>
          <c:dPt>
            <c:idx val="8"/>
            <c:invertIfNegative val="0"/>
            <c:bubble3D val="0"/>
            <c:spPr>
              <a:solidFill>
                <a:srgbClr val="EB1934"/>
              </a:solidFill>
              <a:ln>
                <a:noFill/>
              </a:ln>
              <a:effectLst/>
            </c:spPr>
            <c:extLst>
              <c:ext xmlns:c16="http://schemas.microsoft.com/office/drawing/2014/chart" uri="{C3380CC4-5D6E-409C-BE32-E72D297353CC}">
                <c16:uniqueId val="{00000005-4977-4C54-8976-9EC99365CF07}"/>
              </c:ext>
            </c:extLst>
          </c:dPt>
          <c:dPt>
            <c:idx val="9"/>
            <c:invertIfNegative val="0"/>
            <c:bubble3D val="0"/>
            <c:spPr>
              <a:solidFill>
                <a:srgbClr val="EB1934"/>
              </a:solidFill>
              <a:ln>
                <a:noFill/>
              </a:ln>
              <a:effectLst/>
            </c:spPr>
            <c:extLst>
              <c:ext xmlns:c16="http://schemas.microsoft.com/office/drawing/2014/chart" uri="{C3380CC4-5D6E-409C-BE32-E72D297353CC}">
                <c16:uniqueId val="{00000006-4977-4C54-8976-9EC99365CF07}"/>
              </c:ext>
            </c:extLst>
          </c:dPt>
          <c:cat>
            <c:numRef>
              <c:f>Report!$G$126:$P$126</c:f>
              <c:numCache>
                <c:formatCode>0"A"</c:formatCode>
                <c:ptCount val="10"/>
                <c:pt idx="0">
                  <c:v>2019</c:v>
                </c:pt>
                <c:pt idx="1">
                  <c:v>2020</c:v>
                </c:pt>
                <c:pt idx="2">
                  <c:v>2021</c:v>
                </c:pt>
                <c:pt idx="3">
                  <c:v>2022</c:v>
                </c:pt>
                <c:pt idx="4">
                  <c:v>2023</c:v>
                </c:pt>
                <c:pt idx="5" formatCode="0&quot;F&quot;">
                  <c:v>2024</c:v>
                </c:pt>
                <c:pt idx="6" formatCode="0&quot;F&quot;">
                  <c:v>2025</c:v>
                </c:pt>
                <c:pt idx="7" formatCode="0&quot;F&quot;">
                  <c:v>2026</c:v>
                </c:pt>
                <c:pt idx="8" formatCode="0&quot;F&quot;">
                  <c:v>2027</c:v>
                </c:pt>
                <c:pt idx="9" formatCode="0&quot;F&quot;">
                  <c:v>2028</c:v>
                </c:pt>
              </c:numCache>
            </c:numRef>
          </c:cat>
          <c:val>
            <c:numRef>
              <c:f>Report!$G$127:$P$127</c:f>
              <c:numCache>
                <c:formatCode>0.0%</c:formatCode>
                <c:ptCount val="10"/>
                <c:pt idx="0">
                  <c:v>0.5484404410919016</c:v>
                </c:pt>
                <c:pt idx="1">
                  <c:v>0.5714914715029441</c:v>
                </c:pt>
                <c:pt idx="2">
                  <c:v>0.54272301640102327</c:v>
                </c:pt>
                <c:pt idx="3">
                  <c:v>0.5247032977710705</c:v>
                </c:pt>
                <c:pt idx="4">
                  <c:v>0.53842290090353906</c:v>
                </c:pt>
                <c:pt idx="5">
                  <c:v>0.54800000000000004</c:v>
                </c:pt>
                <c:pt idx="6">
                  <c:v>0.53475000000000006</c:v>
                </c:pt>
                <c:pt idx="7">
                  <c:v>0.52150000000000007</c:v>
                </c:pt>
                <c:pt idx="8">
                  <c:v>0.50825000000000009</c:v>
                </c:pt>
                <c:pt idx="9">
                  <c:v>0.495</c:v>
                </c:pt>
              </c:numCache>
            </c:numRef>
          </c:val>
          <c:extLst>
            <c:ext xmlns:c16="http://schemas.microsoft.com/office/drawing/2014/chart" uri="{C3380CC4-5D6E-409C-BE32-E72D297353CC}">
              <c16:uniqueId val="{00000000-4977-4C54-8976-9EC99365CF07}"/>
            </c:ext>
          </c:extLst>
        </c:ser>
        <c:dLbls>
          <c:showLegendKey val="0"/>
          <c:showVal val="0"/>
          <c:showCatName val="0"/>
          <c:showSerName val="0"/>
          <c:showPercent val="0"/>
          <c:showBubbleSize val="0"/>
        </c:dLbls>
        <c:gapWidth val="219"/>
        <c:overlap val="-27"/>
        <c:axId val="876943392"/>
        <c:axId val="876942912"/>
      </c:barChart>
      <c:catAx>
        <c:axId val="876943392"/>
        <c:scaling>
          <c:orientation val="minMax"/>
        </c:scaling>
        <c:delete val="0"/>
        <c:axPos val="b"/>
        <c:numFmt formatCode="0&quot;A&quot;" sourceLinked="1"/>
        <c:majorTickMark val="none"/>
        <c:minorTickMark val="none"/>
        <c:tickLblPos val="nextTo"/>
        <c:spPr>
          <a:noFill/>
          <a:ln w="9525" cap="flat" cmpd="sng" algn="ctr">
            <a:solidFill>
              <a:schemeClr val="tx1">
                <a:lumMod val="15000"/>
                <a:lumOff val="85000"/>
              </a:schemeClr>
            </a:solidFill>
            <a:round/>
          </a:ln>
          <a:effectLst/>
        </c:spPr>
        <c:txPr>
          <a:bodyPr rot="-12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942912"/>
        <c:crosses val="autoZero"/>
        <c:auto val="1"/>
        <c:lblAlgn val="ctr"/>
        <c:lblOffset val="100"/>
        <c:noMultiLvlLbl val="0"/>
      </c:catAx>
      <c:valAx>
        <c:axId val="876942912"/>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94339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SG&amp;A</a:t>
            </a:r>
            <a:r>
              <a:rPr lang="en-IN" baseline="0"/>
              <a:t> % Revenue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Report!$S$127</c:f>
              <c:strCache>
                <c:ptCount val="1"/>
                <c:pt idx="0">
                  <c:v>SG&amp;A Expenses</c:v>
                </c:pt>
              </c:strCache>
            </c:strRef>
          </c:tx>
          <c:spPr>
            <a:solidFill>
              <a:srgbClr val="2251A1"/>
            </a:solidFill>
            <a:ln>
              <a:noFill/>
            </a:ln>
            <a:effectLst/>
          </c:spPr>
          <c:invertIfNegative val="0"/>
          <c:cat>
            <c:numRef>
              <c:f>Report!$T$126:$AD$126</c:f>
              <c:numCache>
                <c:formatCode>0"A"</c:formatCode>
                <c:ptCount val="11"/>
                <c:pt idx="0">
                  <c:v>2013</c:v>
                </c:pt>
                <c:pt idx="1">
                  <c:v>2014</c:v>
                </c:pt>
                <c:pt idx="2">
                  <c:v>2015</c:v>
                </c:pt>
                <c:pt idx="3">
                  <c:v>2016</c:v>
                </c:pt>
                <c:pt idx="4">
                  <c:v>2017</c:v>
                </c:pt>
                <c:pt idx="5">
                  <c:v>2018</c:v>
                </c:pt>
                <c:pt idx="6">
                  <c:v>2019</c:v>
                </c:pt>
                <c:pt idx="7">
                  <c:v>2020</c:v>
                </c:pt>
                <c:pt idx="8">
                  <c:v>2021</c:v>
                </c:pt>
                <c:pt idx="9">
                  <c:v>2022</c:v>
                </c:pt>
                <c:pt idx="10">
                  <c:v>2023</c:v>
                </c:pt>
              </c:numCache>
            </c:numRef>
          </c:cat>
          <c:val>
            <c:numRef>
              <c:f>Report!$T$127:$AD$127</c:f>
              <c:numCache>
                <c:formatCode>General</c:formatCode>
                <c:ptCount val="11"/>
                <c:pt idx="0">
                  <c:v>624</c:v>
                </c:pt>
                <c:pt idx="1">
                  <c:v>740</c:v>
                </c:pt>
                <c:pt idx="2">
                  <c:v>1039</c:v>
                </c:pt>
                <c:pt idx="3">
                  <c:v>1324</c:v>
                </c:pt>
                <c:pt idx="4">
                  <c:v>1241</c:v>
                </c:pt>
                <c:pt idx="5">
                  <c:v>1845</c:v>
                </c:pt>
                <c:pt idx="6" formatCode="0">
                  <c:v>2462.6800000000003</c:v>
                </c:pt>
                <c:pt idx="7" formatCode="0">
                  <c:v>2484.6</c:v>
                </c:pt>
                <c:pt idx="8" formatCode="0">
                  <c:v>3134.23</c:v>
                </c:pt>
                <c:pt idx="9" formatCode="0">
                  <c:v>4124.24</c:v>
                </c:pt>
                <c:pt idx="10" formatCode="0">
                  <c:v>5028.6210000000001</c:v>
                </c:pt>
              </c:numCache>
            </c:numRef>
          </c:val>
          <c:extLst>
            <c:ext xmlns:c16="http://schemas.microsoft.com/office/drawing/2014/chart" uri="{C3380CC4-5D6E-409C-BE32-E72D297353CC}">
              <c16:uniqueId val="{00000000-CC03-4F15-A190-C6379C9ABDF4}"/>
            </c:ext>
          </c:extLst>
        </c:ser>
        <c:dLbls>
          <c:showLegendKey val="0"/>
          <c:showVal val="0"/>
          <c:showCatName val="0"/>
          <c:showSerName val="0"/>
          <c:showPercent val="0"/>
          <c:showBubbleSize val="0"/>
        </c:dLbls>
        <c:gapWidth val="219"/>
        <c:overlap val="-27"/>
        <c:axId val="879079104"/>
        <c:axId val="879081504"/>
      </c:barChart>
      <c:lineChart>
        <c:grouping val="standard"/>
        <c:varyColors val="0"/>
        <c:ser>
          <c:idx val="1"/>
          <c:order val="1"/>
          <c:tx>
            <c:strRef>
              <c:f>Report!$S$128</c:f>
              <c:strCache>
                <c:ptCount val="1"/>
                <c:pt idx="0">
                  <c:v>SG&amp;A % Revenue</c:v>
                </c:pt>
              </c:strCache>
            </c:strRef>
          </c:tx>
          <c:spPr>
            <a:ln w="28575" cap="rnd">
              <a:solidFill>
                <a:srgbClr val="EB1934"/>
              </a:solidFill>
              <a:round/>
            </a:ln>
            <a:effectLst/>
          </c:spPr>
          <c:marker>
            <c:symbol val="circle"/>
            <c:size val="7"/>
            <c:spPr>
              <a:solidFill>
                <a:srgbClr val="EB1934"/>
              </a:solidFill>
              <a:ln w="9525">
                <a:solidFill>
                  <a:schemeClr val="accent2"/>
                </a:solidFill>
              </a:ln>
              <a:effectLst/>
            </c:spPr>
          </c:marker>
          <c:cat>
            <c:numRef>
              <c:f>Report!$T$126:$AD$126</c:f>
              <c:numCache>
                <c:formatCode>0"A"</c:formatCode>
                <c:ptCount val="11"/>
                <c:pt idx="0">
                  <c:v>2013</c:v>
                </c:pt>
                <c:pt idx="1">
                  <c:v>2014</c:v>
                </c:pt>
                <c:pt idx="2">
                  <c:v>2015</c:v>
                </c:pt>
                <c:pt idx="3">
                  <c:v>2016</c:v>
                </c:pt>
                <c:pt idx="4">
                  <c:v>2017</c:v>
                </c:pt>
                <c:pt idx="5">
                  <c:v>2018</c:v>
                </c:pt>
                <c:pt idx="6">
                  <c:v>2019</c:v>
                </c:pt>
                <c:pt idx="7">
                  <c:v>2020</c:v>
                </c:pt>
                <c:pt idx="8">
                  <c:v>2021</c:v>
                </c:pt>
                <c:pt idx="9">
                  <c:v>2022</c:v>
                </c:pt>
                <c:pt idx="10">
                  <c:v>2023</c:v>
                </c:pt>
              </c:numCache>
            </c:numRef>
          </c:cat>
          <c:val>
            <c:numRef>
              <c:f>Report!$T$128:$AD$128</c:f>
              <c:numCache>
                <c:formatCode>0%</c:formatCode>
                <c:ptCount val="11"/>
                <c:pt idx="0">
                  <c:v>0.29503546099290778</c:v>
                </c:pt>
                <c:pt idx="1">
                  <c:v>0.2957633892885691</c:v>
                </c:pt>
                <c:pt idx="2">
                  <c:v>0.30612846199175014</c:v>
                </c:pt>
                <c:pt idx="3">
                  <c:v>0.34291634291634293</c:v>
                </c:pt>
                <c:pt idx="4">
                  <c:v>0.30994005994005996</c:v>
                </c:pt>
                <c:pt idx="5">
                  <c:v>0.36141038197845249</c:v>
                </c:pt>
                <c:pt idx="6">
                  <c:v>0.34541726160587305</c:v>
                </c:pt>
                <c:pt idx="7">
                  <c:v>0.38520094137491584</c:v>
                </c:pt>
                <c:pt idx="8">
                  <c:v>0.35522478729444878</c:v>
                </c:pt>
                <c:pt idx="9">
                  <c:v>0.31307949357556358</c:v>
                </c:pt>
                <c:pt idx="10">
                  <c:v>0.31345461182337181</c:v>
                </c:pt>
              </c:numCache>
            </c:numRef>
          </c:val>
          <c:smooth val="0"/>
          <c:extLst>
            <c:ext xmlns:c16="http://schemas.microsoft.com/office/drawing/2014/chart" uri="{C3380CC4-5D6E-409C-BE32-E72D297353CC}">
              <c16:uniqueId val="{00000001-CC03-4F15-A190-C6379C9ABDF4}"/>
            </c:ext>
          </c:extLst>
        </c:ser>
        <c:dLbls>
          <c:showLegendKey val="0"/>
          <c:showVal val="0"/>
          <c:showCatName val="0"/>
          <c:showSerName val="0"/>
          <c:showPercent val="0"/>
          <c:showBubbleSize val="0"/>
        </c:dLbls>
        <c:marker val="1"/>
        <c:smooth val="0"/>
        <c:axId val="879082944"/>
        <c:axId val="879081024"/>
      </c:lineChart>
      <c:catAx>
        <c:axId val="879079104"/>
        <c:scaling>
          <c:orientation val="minMax"/>
        </c:scaling>
        <c:delete val="0"/>
        <c:axPos val="b"/>
        <c:numFmt formatCode="0&quot;A&quot;" sourceLinked="1"/>
        <c:majorTickMark val="none"/>
        <c:minorTickMark val="none"/>
        <c:tickLblPos val="nextTo"/>
        <c:spPr>
          <a:noFill/>
          <a:ln w="9525" cap="flat" cmpd="sng" algn="ctr">
            <a:solidFill>
              <a:schemeClr val="tx1">
                <a:lumMod val="15000"/>
                <a:lumOff val="85000"/>
              </a:schemeClr>
            </a:solidFill>
            <a:round/>
          </a:ln>
          <a:effectLst/>
        </c:spPr>
        <c:txPr>
          <a:bodyPr rot="-108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9081504"/>
        <c:crosses val="autoZero"/>
        <c:auto val="1"/>
        <c:lblAlgn val="ctr"/>
        <c:lblOffset val="100"/>
        <c:noMultiLvlLbl val="0"/>
      </c:catAx>
      <c:valAx>
        <c:axId val="8790815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9079104"/>
        <c:crosses val="autoZero"/>
        <c:crossBetween val="between"/>
      </c:valAx>
      <c:valAx>
        <c:axId val="879081024"/>
        <c:scaling>
          <c:orientation val="minMax"/>
          <c:max val="0.4"/>
          <c:min val="0.25"/>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9082944"/>
        <c:crosses val="max"/>
        <c:crossBetween val="between"/>
        <c:majorUnit val="5.000000000000001E-2"/>
      </c:valAx>
      <c:catAx>
        <c:axId val="879082944"/>
        <c:scaling>
          <c:orientation val="minMax"/>
        </c:scaling>
        <c:delete val="1"/>
        <c:axPos val="b"/>
        <c:numFmt formatCode="0&quot;A&quot;" sourceLinked="1"/>
        <c:majorTickMark val="none"/>
        <c:minorTickMark val="none"/>
        <c:tickLblPos val="nextTo"/>
        <c:crossAx val="87908102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rgbClr val="002060"/>
                </a:solidFill>
                <a:latin typeface="+mn-lt"/>
                <a:ea typeface="+mn-ea"/>
                <a:cs typeface="+mn-cs"/>
              </a:defRPr>
            </a:pPr>
            <a:r>
              <a:rPr lang="en-IN" b="1">
                <a:solidFill>
                  <a:srgbClr val="002060"/>
                </a:solidFill>
              </a:rPr>
              <a:t>Inventory</a:t>
            </a:r>
            <a:r>
              <a:rPr lang="en-IN" b="1" baseline="0">
                <a:solidFill>
                  <a:srgbClr val="002060"/>
                </a:solidFill>
              </a:rPr>
              <a:t> Days</a:t>
            </a: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002060"/>
              </a:solidFill>
              <a:latin typeface="+mn-lt"/>
              <a:ea typeface="+mn-ea"/>
              <a:cs typeface="+mn-cs"/>
            </a:defRPr>
          </a:pPr>
          <a:endParaRPr lang="en-US"/>
        </a:p>
      </c:txPr>
    </c:title>
    <c:autoTitleDeleted val="0"/>
    <c:plotArea>
      <c:layout/>
      <c:barChart>
        <c:barDir val="col"/>
        <c:grouping val="clustered"/>
        <c:varyColors val="0"/>
        <c:ser>
          <c:idx val="0"/>
          <c:order val="0"/>
          <c:tx>
            <c:strRef>
              <c:f>Report!$AG$127</c:f>
              <c:strCache>
                <c:ptCount val="1"/>
                <c:pt idx="0">
                  <c:v>Inventory</c:v>
                </c:pt>
              </c:strCache>
            </c:strRef>
          </c:tx>
          <c:spPr>
            <a:solidFill>
              <a:srgbClr val="2251A1"/>
            </a:solidFill>
            <a:ln>
              <a:noFill/>
            </a:ln>
            <a:effectLst/>
          </c:spPr>
          <c:invertIfNegative val="0"/>
          <c:cat>
            <c:numRef>
              <c:f>Report!$AH$126:$AR$126</c:f>
              <c:numCache>
                <c:formatCode>0"A"</c:formatCode>
                <c:ptCount val="11"/>
                <c:pt idx="0">
                  <c:v>2013</c:v>
                </c:pt>
                <c:pt idx="1">
                  <c:v>2014</c:v>
                </c:pt>
                <c:pt idx="2">
                  <c:v>2015</c:v>
                </c:pt>
                <c:pt idx="3">
                  <c:v>2016</c:v>
                </c:pt>
                <c:pt idx="4">
                  <c:v>2017</c:v>
                </c:pt>
                <c:pt idx="5">
                  <c:v>2018</c:v>
                </c:pt>
                <c:pt idx="6">
                  <c:v>2019</c:v>
                </c:pt>
                <c:pt idx="7">
                  <c:v>2020</c:v>
                </c:pt>
                <c:pt idx="8">
                  <c:v>2021</c:v>
                </c:pt>
                <c:pt idx="9">
                  <c:v>2022</c:v>
                </c:pt>
                <c:pt idx="10">
                  <c:v>2023</c:v>
                </c:pt>
              </c:numCache>
            </c:numRef>
          </c:cat>
          <c:val>
            <c:numRef>
              <c:f>Report!$AH$127:$AR$127</c:f>
              <c:numCache>
                <c:formatCode>General</c:formatCode>
                <c:ptCount val="11"/>
                <c:pt idx="0">
                  <c:v>246</c:v>
                </c:pt>
                <c:pt idx="1">
                  <c:v>289</c:v>
                </c:pt>
                <c:pt idx="2">
                  <c:v>425</c:v>
                </c:pt>
                <c:pt idx="3">
                  <c:v>490</c:v>
                </c:pt>
                <c:pt idx="4">
                  <c:v>439</c:v>
                </c:pt>
                <c:pt idx="5">
                  <c:v>578</c:v>
                </c:pt>
                <c:pt idx="6">
                  <c:v>882</c:v>
                </c:pt>
                <c:pt idx="7">
                  <c:v>929</c:v>
                </c:pt>
                <c:pt idx="8">
                  <c:v>1448</c:v>
                </c:pt>
                <c:pt idx="9">
                  <c:v>1994</c:v>
                </c:pt>
                <c:pt idx="10">
                  <c:v>2151</c:v>
                </c:pt>
              </c:numCache>
            </c:numRef>
          </c:val>
          <c:extLst>
            <c:ext xmlns:c16="http://schemas.microsoft.com/office/drawing/2014/chart" uri="{C3380CC4-5D6E-409C-BE32-E72D297353CC}">
              <c16:uniqueId val="{00000000-88FF-495F-9086-0499F1FBD19C}"/>
            </c:ext>
          </c:extLst>
        </c:ser>
        <c:dLbls>
          <c:showLegendKey val="0"/>
          <c:showVal val="0"/>
          <c:showCatName val="0"/>
          <c:showSerName val="0"/>
          <c:showPercent val="0"/>
          <c:showBubbleSize val="0"/>
        </c:dLbls>
        <c:gapWidth val="219"/>
        <c:overlap val="-27"/>
        <c:axId val="1295702080"/>
        <c:axId val="1295704000"/>
      </c:barChart>
      <c:lineChart>
        <c:grouping val="standard"/>
        <c:varyColors val="0"/>
        <c:ser>
          <c:idx val="1"/>
          <c:order val="1"/>
          <c:tx>
            <c:strRef>
              <c:f>Report!$AG$128</c:f>
              <c:strCache>
                <c:ptCount val="1"/>
                <c:pt idx="0">
                  <c:v>Inventory Days</c:v>
                </c:pt>
              </c:strCache>
            </c:strRef>
          </c:tx>
          <c:spPr>
            <a:ln w="28575" cap="rnd">
              <a:solidFill>
                <a:srgbClr val="EB1934"/>
              </a:solidFill>
              <a:round/>
            </a:ln>
            <a:effectLst/>
          </c:spPr>
          <c:marker>
            <c:symbol val="circle"/>
            <c:size val="7"/>
            <c:spPr>
              <a:solidFill>
                <a:srgbClr val="EB1934"/>
              </a:solidFill>
              <a:ln w="9525">
                <a:solidFill>
                  <a:schemeClr val="accent2"/>
                </a:solidFill>
              </a:ln>
              <a:effectLst/>
            </c:spPr>
          </c:marker>
          <c:cat>
            <c:numRef>
              <c:f>Report!$AH$126:$AR$126</c:f>
              <c:numCache>
                <c:formatCode>0"A"</c:formatCode>
                <c:ptCount val="11"/>
                <c:pt idx="0">
                  <c:v>2013</c:v>
                </c:pt>
                <c:pt idx="1">
                  <c:v>2014</c:v>
                </c:pt>
                <c:pt idx="2">
                  <c:v>2015</c:v>
                </c:pt>
                <c:pt idx="3">
                  <c:v>2016</c:v>
                </c:pt>
                <c:pt idx="4">
                  <c:v>2017</c:v>
                </c:pt>
                <c:pt idx="5">
                  <c:v>2018</c:v>
                </c:pt>
                <c:pt idx="6">
                  <c:v>2019</c:v>
                </c:pt>
                <c:pt idx="7">
                  <c:v>2020</c:v>
                </c:pt>
                <c:pt idx="8">
                  <c:v>2021</c:v>
                </c:pt>
                <c:pt idx="9">
                  <c:v>2022</c:v>
                </c:pt>
                <c:pt idx="10">
                  <c:v>2023</c:v>
                </c:pt>
              </c:numCache>
            </c:numRef>
          </c:cat>
          <c:val>
            <c:numRef>
              <c:f>Report!$AH$128:$AR$128</c:f>
              <c:numCache>
                <c:formatCode>0</c:formatCode>
                <c:ptCount val="11"/>
                <c:pt idx="0">
                  <c:v>41.159574468085111</c:v>
                </c:pt>
                <c:pt idx="1">
                  <c:v>39.023780975219822</c:v>
                </c:pt>
                <c:pt idx="2">
                  <c:v>38.392751915144373</c:v>
                </c:pt>
                <c:pt idx="3">
                  <c:v>43.249805749805752</c:v>
                </c:pt>
                <c:pt idx="4">
                  <c:v>42.343281718281716</c:v>
                </c:pt>
                <c:pt idx="5">
                  <c:v>36.357002938295786</c:v>
                </c:pt>
                <c:pt idx="6">
                  <c:v>37.370266479663393</c:v>
                </c:pt>
                <c:pt idx="7">
                  <c:v>51.241472868217059</c:v>
                </c:pt>
                <c:pt idx="8">
                  <c:v>49.167233367335378</c:v>
                </c:pt>
                <c:pt idx="9">
                  <c:v>47.685796705382224</c:v>
                </c:pt>
                <c:pt idx="10">
                  <c:v>47.152184753475034</c:v>
                </c:pt>
              </c:numCache>
            </c:numRef>
          </c:val>
          <c:smooth val="0"/>
          <c:extLst>
            <c:ext xmlns:c16="http://schemas.microsoft.com/office/drawing/2014/chart" uri="{C3380CC4-5D6E-409C-BE32-E72D297353CC}">
              <c16:uniqueId val="{00000001-88FF-495F-9086-0499F1FBD19C}"/>
            </c:ext>
          </c:extLst>
        </c:ser>
        <c:dLbls>
          <c:showLegendKey val="0"/>
          <c:showVal val="0"/>
          <c:showCatName val="0"/>
          <c:showSerName val="0"/>
          <c:showPercent val="0"/>
          <c:showBubbleSize val="0"/>
        </c:dLbls>
        <c:marker val="1"/>
        <c:smooth val="0"/>
        <c:axId val="1462109456"/>
        <c:axId val="1462107536"/>
      </c:lineChart>
      <c:catAx>
        <c:axId val="1295702080"/>
        <c:scaling>
          <c:orientation val="minMax"/>
        </c:scaling>
        <c:delete val="0"/>
        <c:axPos val="b"/>
        <c:numFmt formatCode="0&quot;A&quot;" sourceLinked="1"/>
        <c:majorTickMark val="none"/>
        <c:minorTickMark val="none"/>
        <c:tickLblPos val="nextTo"/>
        <c:spPr>
          <a:noFill/>
          <a:ln w="9525" cap="flat" cmpd="sng" algn="ctr">
            <a:solidFill>
              <a:schemeClr val="tx1">
                <a:lumMod val="15000"/>
                <a:lumOff val="85000"/>
              </a:schemeClr>
            </a:solidFill>
            <a:round/>
          </a:ln>
          <a:effectLst/>
        </c:spPr>
        <c:txPr>
          <a:bodyPr rot="-108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5704000"/>
        <c:crosses val="autoZero"/>
        <c:auto val="1"/>
        <c:lblAlgn val="ctr"/>
        <c:lblOffset val="100"/>
        <c:noMultiLvlLbl val="0"/>
      </c:catAx>
      <c:valAx>
        <c:axId val="12957040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5702080"/>
        <c:crosses val="autoZero"/>
        <c:crossBetween val="between"/>
      </c:valAx>
      <c:valAx>
        <c:axId val="1462107536"/>
        <c:scaling>
          <c:orientation val="minMax"/>
          <c:min val="30"/>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2109456"/>
        <c:crosses val="max"/>
        <c:crossBetween val="between"/>
      </c:valAx>
      <c:catAx>
        <c:axId val="1462109456"/>
        <c:scaling>
          <c:orientation val="minMax"/>
        </c:scaling>
        <c:delete val="1"/>
        <c:axPos val="b"/>
        <c:numFmt formatCode="0&quot;A&quot;" sourceLinked="1"/>
        <c:majorTickMark val="out"/>
        <c:minorTickMark val="none"/>
        <c:tickLblPos val="nextTo"/>
        <c:crossAx val="146210753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rgbClr val="002060"/>
                </a:solidFill>
                <a:latin typeface="+mn-lt"/>
                <a:ea typeface="+mn-ea"/>
                <a:cs typeface="+mn-cs"/>
              </a:defRPr>
            </a:pPr>
            <a:r>
              <a:rPr lang="en-IN" b="1">
                <a:solidFill>
                  <a:srgbClr val="002060"/>
                </a:solidFill>
              </a:rPr>
              <a:t>Trade</a:t>
            </a:r>
            <a:r>
              <a:rPr lang="en-IN" b="1" baseline="0">
                <a:solidFill>
                  <a:srgbClr val="002060"/>
                </a:solidFill>
              </a:rPr>
              <a:t> Receivable Days</a:t>
            </a:r>
            <a:endParaRPr lang="en-IN" b="1">
              <a:solidFill>
                <a:srgbClr val="00206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002060"/>
              </a:solidFill>
              <a:latin typeface="+mn-lt"/>
              <a:ea typeface="+mn-ea"/>
              <a:cs typeface="+mn-cs"/>
            </a:defRPr>
          </a:pPr>
          <a:endParaRPr lang="en-US"/>
        </a:p>
      </c:txPr>
    </c:title>
    <c:autoTitleDeleted val="0"/>
    <c:plotArea>
      <c:layout/>
      <c:barChart>
        <c:barDir val="col"/>
        <c:grouping val="clustered"/>
        <c:varyColors val="0"/>
        <c:ser>
          <c:idx val="0"/>
          <c:order val="0"/>
          <c:tx>
            <c:strRef>
              <c:f>Report!$F$153</c:f>
              <c:strCache>
                <c:ptCount val="1"/>
                <c:pt idx="0">
                  <c:v>Trade Receivable</c:v>
                </c:pt>
              </c:strCache>
            </c:strRef>
          </c:tx>
          <c:spPr>
            <a:solidFill>
              <a:srgbClr val="2251A1"/>
            </a:solidFill>
            <a:ln>
              <a:noFill/>
            </a:ln>
            <a:effectLst/>
          </c:spPr>
          <c:invertIfNegative val="0"/>
          <c:cat>
            <c:numRef>
              <c:f>Report!$G$152:$Q$152</c:f>
              <c:numCache>
                <c:formatCode>0"A"</c:formatCode>
                <c:ptCount val="11"/>
                <c:pt idx="0">
                  <c:v>2013</c:v>
                </c:pt>
                <c:pt idx="1">
                  <c:v>2014</c:v>
                </c:pt>
                <c:pt idx="2">
                  <c:v>2015</c:v>
                </c:pt>
                <c:pt idx="3">
                  <c:v>2016</c:v>
                </c:pt>
                <c:pt idx="4">
                  <c:v>2017</c:v>
                </c:pt>
                <c:pt idx="5">
                  <c:v>2018</c:v>
                </c:pt>
                <c:pt idx="6">
                  <c:v>2019</c:v>
                </c:pt>
                <c:pt idx="7">
                  <c:v>2020</c:v>
                </c:pt>
                <c:pt idx="8">
                  <c:v>2021</c:v>
                </c:pt>
                <c:pt idx="9">
                  <c:v>2022</c:v>
                </c:pt>
                <c:pt idx="10">
                  <c:v>2023</c:v>
                </c:pt>
              </c:numCache>
            </c:numRef>
          </c:cat>
          <c:val>
            <c:numRef>
              <c:f>Report!$G$153:$Q$153</c:f>
              <c:numCache>
                <c:formatCode>General</c:formatCode>
                <c:ptCount val="11"/>
                <c:pt idx="0">
                  <c:v>65</c:v>
                </c:pt>
                <c:pt idx="1">
                  <c:v>97</c:v>
                </c:pt>
                <c:pt idx="2">
                  <c:v>98</c:v>
                </c:pt>
                <c:pt idx="3">
                  <c:v>131</c:v>
                </c:pt>
                <c:pt idx="4">
                  <c:v>150</c:v>
                </c:pt>
                <c:pt idx="5">
                  <c:v>128</c:v>
                </c:pt>
                <c:pt idx="6">
                  <c:v>173</c:v>
                </c:pt>
                <c:pt idx="7">
                  <c:v>242</c:v>
                </c:pt>
                <c:pt idx="8">
                  <c:v>221</c:v>
                </c:pt>
                <c:pt idx="9">
                  <c:v>299</c:v>
                </c:pt>
                <c:pt idx="10">
                  <c:v>359</c:v>
                </c:pt>
              </c:numCache>
            </c:numRef>
          </c:val>
          <c:extLst>
            <c:ext xmlns:c16="http://schemas.microsoft.com/office/drawing/2014/chart" uri="{C3380CC4-5D6E-409C-BE32-E72D297353CC}">
              <c16:uniqueId val="{00000000-B202-49BB-9F9A-B709DDE26791}"/>
            </c:ext>
          </c:extLst>
        </c:ser>
        <c:dLbls>
          <c:showLegendKey val="0"/>
          <c:showVal val="0"/>
          <c:showCatName val="0"/>
          <c:showSerName val="0"/>
          <c:showPercent val="0"/>
          <c:showBubbleSize val="0"/>
        </c:dLbls>
        <c:gapWidth val="219"/>
        <c:overlap val="-27"/>
        <c:axId val="1669518848"/>
        <c:axId val="1669511168"/>
      </c:barChart>
      <c:lineChart>
        <c:grouping val="standard"/>
        <c:varyColors val="0"/>
        <c:ser>
          <c:idx val="1"/>
          <c:order val="1"/>
          <c:tx>
            <c:strRef>
              <c:f>Report!$F$154</c:f>
              <c:strCache>
                <c:ptCount val="1"/>
                <c:pt idx="0">
                  <c:v>Trade Receivable Days</c:v>
                </c:pt>
              </c:strCache>
            </c:strRef>
          </c:tx>
          <c:spPr>
            <a:ln w="28575" cap="rnd">
              <a:solidFill>
                <a:srgbClr val="EB1934"/>
              </a:solidFill>
              <a:round/>
            </a:ln>
            <a:effectLst/>
          </c:spPr>
          <c:marker>
            <c:symbol val="circle"/>
            <c:size val="7"/>
            <c:spPr>
              <a:solidFill>
                <a:srgbClr val="EB1934"/>
              </a:solidFill>
              <a:ln w="9525">
                <a:solidFill>
                  <a:schemeClr val="accent2"/>
                </a:solidFill>
              </a:ln>
              <a:effectLst/>
            </c:spPr>
          </c:marker>
          <c:cat>
            <c:numRef>
              <c:f>Report!$G$152:$Q$152</c:f>
              <c:numCache>
                <c:formatCode>0"A"</c:formatCode>
                <c:ptCount val="11"/>
                <c:pt idx="0">
                  <c:v>2013</c:v>
                </c:pt>
                <c:pt idx="1">
                  <c:v>2014</c:v>
                </c:pt>
                <c:pt idx="2">
                  <c:v>2015</c:v>
                </c:pt>
                <c:pt idx="3">
                  <c:v>2016</c:v>
                </c:pt>
                <c:pt idx="4">
                  <c:v>2017</c:v>
                </c:pt>
                <c:pt idx="5">
                  <c:v>2018</c:v>
                </c:pt>
                <c:pt idx="6">
                  <c:v>2019</c:v>
                </c:pt>
                <c:pt idx="7">
                  <c:v>2020</c:v>
                </c:pt>
                <c:pt idx="8">
                  <c:v>2021</c:v>
                </c:pt>
                <c:pt idx="9">
                  <c:v>2022</c:v>
                </c:pt>
                <c:pt idx="10">
                  <c:v>2023</c:v>
                </c:pt>
              </c:numCache>
            </c:numRef>
          </c:cat>
          <c:val>
            <c:numRef>
              <c:f>Report!$G$154:$Q$154</c:f>
              <c:numCache>
                <c:formatCode>0</c:formatCode>
                <c:ptCount val="11"/>
                <c:pt idx="0">
                  <c:v>13.460992907801417</c:v>
                </c:pt>
                <c:pt idx="1">
                  <c:v>11.816546762589928</c:v>
                </c:pt>
                <c:pt idx="2">
                  <c:v>10.485415439010019</c:v>
                </c:pt>
                <c:pt idx="3">
                  <c:v>10.824268324268324</c:v>
                </c:pt>
                <c:pt idx="4">
                  <c:v>12.807817182817182</c:v>
                </c:pt>
                <c:pt idx="5">
                  <c:v>9.9382957884427015</c:v>
                </c:pt>
                <c:pt idx="6">
                  <c:v>7.7044179523141656</c:v>
                </c:pt>
                <c:pt idx="7">
                  <c:v>11.742248062015504</c:v>
                </c:pt>
                <c:pt idx="8">
                  <c:v>9.5769579508103817</c:v>
                </c:pt>
                <c:pt idx="9">
                  <c:v>7.2041296591512944</c:v>
                </c:pt>
                <c:pt idx="10">
                  <c:v>7.4851960356541793</c:v>
                </c:pt>
              </c:numCache>
            </c:numRef>
          </c:val>
          <c:smooth val="0"/>
          <c:extLst>
            <c:ext xmlns:c16="http://schemas.microsoft.com/office/drawing/2014/chart" uri="{C3380CC4-5D6E-409C-BE32-E72D297353CC}">
              <c16:uniqueId val="{00000001-B202-49BB-9F9A-B709DDE26791}"/>
            </c:ext>
          </c:extLst>
        </c:ser>
        <c:dLbls>
          <c:showLegendKey val="0"/>
          <c:showVal val="0"/>
          <c:showCatName val="0"/>
          <c:showSerName val="0"/>
          <c:showPercent val="0"/>
          <c:showBubbleSize val="0"/>
        </c:dLbls>
        <c:marker val="1"/>
        <c:smooth val="0"/>
        <c:axId val="1669523648"/>
        <c:axId val="1669523168"/>
      </c:lineChart>
      <c:catAx>
        <c:axId val="1669518848"/>
        <c:scaling>
          <c:orientation val="minMax"/>
        </c:scaling>
        <c:delete val="0"/>
        <c:axPos val="b"/>
        <c:numFmt formatCode="0&quot;A&quot;" sourceLinked="1"/>
        <c:majorTickMark val="none"/>
        <c:minorTickMark val="none"/>
        <c:tickLblPos val="nextTo"/>
        <c:spPr>
          <a:noFill/>
          <a:ln w="9525" cap="flat" cmpd="sng" algn="ctr">
            <a:solidFill>
              <a:schemeClr val="tx1">
                <a:lumMod val="15000"/>
                <a:lumOff val="85000"/>
              </a:schemeClr>
            </a:solidFill>
            <a:round/>
          </a:ln>
          <a:effectLst/>
        </c:spPr>
        <c:txPr>
          <a:bodyPr rot="-102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9511168"/>
        <c:crosses val="autoZero"/>
        <c:auto val="1"/>
        <c:lblAlgn val="ctr"/>
        <c:lblOffset val="100"/>
        <c:noMultiLvlLbl val="0"/>
      </c:catAx>
      <c:valAx>
        <c:axId val="16695111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9518848"/>
        <c:crosses val="autoZero"/>
        <c:crossBetween val="between"/>
      </c:valAx>
      <c:valAx>
        <c:axId val="166952316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9523648"/>
        <c:crosses val="max"/>
        <c:crossBetween val="between"/>
      </c:valAx>
      <c:catAx>
        <c:axId val="1669523648"/>
        <c:scaling>
          <c:orientation val="minMax"/>
        </c:scaling>
        <c:delete val="1"/>
        <c:axPos val="b"/>
        <c:numFmt formatCode="0&quot;A&quot;" sourceLinked="1"/>
        <c:majorTickMark val="out"/>
        <c:minorTickMark val="none"/>
        <c:tickLblPos val="nextTo"/>
        <c:crossAx val="166952316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rgbClr val="002060"/>
                </a:solidFill>
                <a:latin typeface="+mn-lt"/>
                <a:ea typeface="+mn-ea"/>
                <a:cs typeface="+mn-cs"/>
              </a:defRPr>
            </a:pPr>
            <a:r>
              <a:rPr lang="en-IN" b="1">
                <a:solidFill>
                  <a:srgbClr val="002060"/>
                </a:solidFill>
              </a:rPr>
              <a:t>Trade Payable Days</a:t>
            </a:r>
          </a:p>
        </c:rich>
      </c:tx>
      <c:overlay val="0"/>
      <c:spPr>
        <a:noFill/>
        <a:ln>
          <a:noFill/>
        </a:ln>
        <a:effectLst/>
      </c:spPr>
    </c:title>
    <c:autoTitleDeleted val="0"/>
    <c:plotArea>
      <c:layout/>
      <c:barChart>
        <c:barDir val="col"/>
        <c:grouping val="clustered"/>
        <c:varyColors val="0"/>
        <c:ser>
          <c:idx val="0"/>
          <c:order val="0"/>
          <c:tx>
            <c:strRef>
              <c:f>Report!$S$153</c:f>
              <c:strCache>
                <c:ptCount val="1"/>
                <c:pt idx="0">
                  <c:v>Trade Payable</c:v>
                </c:pt>
              </c:strCache>
            </c:strRef>
          </c:tx>
          <c:spPr>
            <a:solidFill>
              <a:srgbClr val="2251A1"/>
            </a:solidFill>
            <a:ln>
              <a:noFill/>
            </a:ln>
            <a:effectLst/>
          </c:spPr>
          <c:invertIfNegative val="0"/>
          <c:cat>
            <c:numRef>
              <c:f>Report!$T$152:$AD$152</c:f>
              <c:numCache>
                <c:formatCode>0"A"</c:formatCode>
                <c:ptCount val="11"/>
                <c:pt idx="0">
                  <c:v>2013</c:v>
                </c:pt>
                <c:pt idx="1">
                  <c:v>2014</c:v>
                </c:pt>
                <c:pt idx="2">
                  <c:v>2015</c:v>
                </c:pt>
                <c:pt idx="3">
                  <c:v>2016</c:v>
                </c:pt>
                <c:pt idx="4">
                  <c:v>2017</c:v>
                </c:pt>
                <c:pt idx="5">
                  <c:v>2018</c:v>
                </c:pt>
                <c:pt idx="6">
                  <c:v>2019</c:v>
                </c:pt>
                <c:pt idx="7">
                  <c:v>2020</c:v>
                </c:pt>
                <c:pt idx="8">
                  <c:v>2021</c:v>
                </c:pt>
                <c:pt idx="9">
                  <c:v>2022</c:v>
                </c:pt>
                <c:pt idx="10">
                  <c:v>2023</c:v>
                </c:pt>
              </c:numCache>
            </c:numRef>
          </c:cat>
          <c:val>
            <c:numRef>
              <c:f>Report!$T$153:$AD$153</c:f>
              <c:numCache>
                <c:formatCode>#,##0</c:formatCode>
                <c:ptCount val="11"/>
                <c:pt idx="0">
                  <c:v>139</c:v>
                </c:pt>
                <c:pt idx="1">
                  <c:v>181</c:v>
                </c:pt>
                <c:pt idx="2">
                  <c:v>185</c:v>
                </c:pt>
                <c:pt idx="3">
                  <c:v>275</c:v>
                </c:pt>
                <c:pt idx="4">
                  <c:v>191</c:v>
                </c:pt>
                <c:pt idx="5">
                  <c:v>317</c:v>
                </c:pt>
                <c:pt idx="6">
                  <c:v>478</c:v>
                </c:pt>
                <c:pt idx="7">
                  <c:v>511</c:v>
                </c:pt>
                <c:pt idx="8">
                  <c:v>712</c:v>
                </c:pt>
                <c:pt idx="9">
                  <c:v>824</c:v>
                </c:pt>
                <c:pt idx="10">
                  <c:v>758</c:v>
                </c:pt>
              </c:numCache>
            </c:numRef>
          </c:val>
          <c:extLst>
            <c:ext xmlns:c16="http://schemas.microsoft.com/office/drawing/2014/chart" uri="{C3380CC4-5D6E-409C-BE32-E72D297353CC}">
              <c16:uniqueId val="{00000003-7A08-42CD-BA8B-FC5BA5E549A6}"/>
            </c:ext>
          </c:extLst>
        </c:ser>
        <c:dLbls>
          <c:showLegendKey val="0"/>
          <c:showVal val="0"/>
          <c:showCatName val="0"/>
          <c:showSerName val="0"/>
          <c:showPercent val="0"/>
          <c:showBubbleSize val="0"/>
        </c:dLbls>
        <c:gapWidth val="219"/>
        <c:overlap val="-27"/>
        <c:axId val="1669518848"/>
        <c:axId val="1669511168"/>
      </c:barChart>
      <c:lineChart>
        <c:grouping val="standard"/>
        <c:varyColors val="0"/>
        <c:ser>
          <c:idx val="1"/>
          <c:order val="1"/>
          <c:tx>
            <c:strRef>
              <c:f>Report!$S$154</c:f>
              <c:strCache>
                <c:ptCount val="1"/>
                <c:pt idx="0">
                  <c:v>Trade Payable Days</c:v>
                </c:pt>
              </c:strCache>
            </c:strRef>
          </c:tx>
          <c:spPr>
            <a:ln w="28575" cap="rnd">
              <a:solidFill>
                <a:srgbClr val="EB1934"/>
              </a:solidFill>
              <a:round/>
            </a:ln>
            <a:effectLst/>
          </c:spPr>
          <c:marker>
            <c:symbol val="circle"/>
            <c:size val="7"/>
            <c:spPr>
              <a:solidFill>
                <a:srgbClr val="EB1934"/>
              </a:solidFill>
              <a:ln w="9525">
                <a:solidFill>
                  <a:schemeClr val="accent2"/>
                </a:solidFill>
              </a:ln>
              <a:effectLst/>
            </c:spPr>
          </c:marker>
          <c:cat>
            <c:numRef>
              <c:f>Report!$T$152:$AD$152</c:f>
              <c:numCache>
                <c:formatCode>0"A"</c:formatCode>
                <c:ptCount val="11"/>
                <c:pt idx="0">
                  <c:v>2013</c:v>
                </c:pt>
                <c:pt idx="1">
                  <c:v>2014</c:v>
                </c:pt>
                <c:pt idx="2">
                  <c:v>2015</c:v>
                </c:pt>
                <c:pt idx="3">
                  <c:v>2016</c:v>
                </c:pt>
                <c:pt idx="4">
                  <c:v>2017</c:v>
                </c:pt>
                <c:pt idx="5">
                  <c:v>2018</c:v>
                </c:pt>
                <c:pt idx="6">
                  <c:v>2019</c:v>
                </c:pt>
                <c:pt idx="7">
                  <c:v>2020</c:v>
                </c:pt>
                <c:pt idx="8">
                  <c:v>2021</c:v>
                </c:pt>
                <c:pt idx="9">
                  <c:v>2022</c:v>
                </c:pt>
                <c:pt idx="10">
                  <c:v>2023</c:v>
                </c:pt>
              </c:numCache>
            </c:numRef>
          </c:cat>
          <c:val>
            <c:numRef>
              <c:f>Report!$T$154:$AD$154</c:f>
              <c:numCache>
                <c:formatCode>0</c:formatCode>
                <c:ptCount val="11"/>
                <c:pt idx="0">
                  <c:v>42.314428690575475</c:v>
                </c:pt>
                <c:pt idx="1">
                  <c:v>48.012354651162788</c:v>
                </c:pt>
                <c:pt idx="2">
                  <c:v>39.350233100233105</c:v>
                </c:pt>
                <c:pt idx="3">
                  <c:v>57.75316455696202</c:v>
                </c:pt>
                <c:pt idx="4">
                  <c:v>38.516574585635354</c:v>
                </c:pt>
                <c:pt idx="5">
                  <c:v>51.561942959001783</c:v>
                </c:pt>
                <c:pt idx="6">
                  <c:v>54.200062131096615</c:v>
                </c:pt>
                <c:pt idx="7">
                  <c:v>67.480101302460199</c:v>
                </c:pt>
                <c:pt idx="8">
                  <c:v>64.406443618339523</c:v>
                </c:pt>
                <c:pt idx="9">
                  <c:v>48.037054783580892</c:v>
                </c:pt>
                <c:pt idx="10">
                  <c:v>37.36259284267387</c:v>
                </c:pt>
              </c:numCache>
            </c:numRef>
          </c:val>
          <c:smooth val="0"/>
          <c:extLst>
            <c:ext xmlns:c16="http://schemas.microsoft.com/office/drawing/2014/chart" uri="{C3380CC4-5D6E-409C-BE32-E72D297353CC}">
              <c16:uniqueId val="{00000005-7A08-42CD-BA8B-FC5BA5E549A6}"/>
            </c:ext>
          </c:extLst>
        </c:ser>
        <c:dLbls>
          <c:showLegendKey val="0"/>
          <c:showVal val="0"/>
          <c:showCatName val="0"/>
          <c:showSerName val="0"/>
          <c:showPercent val="0"/>
          <c:showBubbleSize val="0"/>
        </c:dLbls>
        <c:marker val="1"/>
        <c:smooth val="0"/>
        <c:axId val="1669523648"/>
        <c:axId val="1669523168"/>
      </c:lineChart>
      <c:catAx>
        <c:axId val="1669518848"/>
        <c:scaling>
          <c:orientation val="minMax"/>
        </c:scaling>
        <c:delete val="0"/>
        <c:axPos val="b"/>
        <c:numFmt formatCode="0&quot;A&quot;" sourceLinked="1"/>
        <c:majorTickMark val="none"/>
        <c:minorTickMark val="none"/>
        <c:tickLblPos val="nextTo"/>
        <c:spPr>
          <a:noFill/>
          <a:ln w="9525" cap="flat" cmpd="sng" algn="ctr">
            <a:solidFill>
              <a:schemeClr val="tx1">
                <a:lumMod val="15000"/>
                <a:lumOff val="85000"/>
              </a:schemeClr>
            </a:solidFill>
            <a:round/>
          </a:ln>
          <a:effectLst/>
        </c:spPr>
        <c:txPr>
          <a:bodyPr rot="-102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9511168"/>
        <c:crosses val="autoZero"/>
        <c:auto val="1"/>
        <c:lblAlgn val="ctr"/>
        <c:lblOffset val="100"/>
        <c:noMultiLvlLbl val="0"/>
      </c:catAx>
      <c:valAx>
        <c:axId val="166951116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9518848"/>
        <c:crosses val="autoZero"/>
        <c:crossBetween val="between"/>
      </c:valAx>
      <c:valAx>
        <c:axId val="166952316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9523648"/>
        <c:crosses val="max"/>
        <c:crossBetween val="between"/>
      </c:valAx>
      <c:catAx>
        <c:axId val="1669523648"/>
        <c:scaling>
          <c:orientation val="minMax"/>
        </c:scaling>
        <c:delete val="1"/>
        <c:axPos val="b"/>
        <c:numFmt formatCode="0&quot;A&quot;" sourceLinked="1"/>
        <c:majorTickMark val="out"/>
        <c:minorTickMark val="none"/>
        <c:tickLblPos val="nextTo"/>
        <c:crossAx val="1669523168"/>
        <c:crosses val="autoZero"/>
        <c:auto val="1"/>
        <c:lblAlgn val="ctr"/>
        <c:lblOffset val="100"/>
        <c:noMultiLvlLbl val="0"/>
      </c:catAx>
      <c:spPr>
        <a:noFill/>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rgbClr val="002060"/>
                </a:solidFill>
                <a:latin typeface="+mn-lt"/>
                <a:ea typeface="+mn-ea"/>
                <a:cs typeface="+mn-cs"/>
              </a:defRPr>
            </a:pPr>
            <a:r>
              <a:rPr lang="en-IN" b="1">
                <a:solidFill>
                  <a:srgbClr val="002060"/>
                </a:solidFill>
              </a:rPr>
              <a:t>Long</a:t>
            </a:r>
            <a:r>
              <a:rPr lang="en-IN" b="1" baseline="0">
                <a:solidFill>
                  <a:srgbClr val="002060"/>
                </a:solidFill>
              </a:rPr>
              <a:t> Term and Short Term Borrowings</a:t>
            </a:r>
            <a:endParaRPr lang="en-IN" b="1">
              <a:solidFill>
                <a:srgbClr val="00206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002060"/>
              </a:solidFill>
              <a:latin typeface="+mn-lt"/>
              <a:ea typeface="+mn-ea"/>
              <a:cs typeface="+mn-cs"/>
            </a:defRPr>
          </a:pPr>
          <a:endParaRPr lang="en-US"/>
        </a:p>
      </c:txPr>
    </c:title>
    <c:autoTitleDeleted val="0"/>
    <c:plotArea>
      <c:layout/>
      <c:barChart>
        <c:barDir val="col"/>
        <c:grouping val="percentStacked"/>
        <c:varyColors val="0"/>
        <c:ser>
          <c:idx val="0"/>
          <c:order val="0"/>
          <c:tx>
            <c:strRef>
              <c:f>Report!$AG$153</c:f>
              <c:strCache>
                <c:ptCount val="1"/>
                <c:pt idx="0">
                  <c:v>LTB % TB</c:v>
                </c:pt>
              </c:strCache>
            </c:strRef>
          </c:tx>
          <c:spPr>
            <a:solidFill>
              <a:srgbClr val="2251A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Report!$AH$152:$AO$152</c:f>
              <c:numCache>
                <c:formatCode>General</c:formatCode>
                <c:ptCount val="8"/>
                <c:pt idx="0">
                  <c:v>2016</c:v>
                </c:pt>
                <c:pt idx="1">
                  <c:v>2017</c:v>
                </c:pt>
                <c:pt idx="2">
                  <c:v>2018</c:v>
                </c:pt>
                <c:pt idx="3">
                  <c:v>2019</c:v>
                </c:pt>
                <c:pt idx="4">
                  <c:v>2020</c:v>
                </c:pt>
                <c:pt idx="5">
                  <c:v>2021</c:v>
                </c:pt>
                <c:pt idx="6">
                  <c:v>2022</c:v>
                </c:pt>
                <c:pt idx="7">
                  <c:v>2023</c:v>
                </c:pt>
              </c:numCache>
            </c:numRef>
          </c:cat>
          <c:val>
            <c:numRef>
              <c:f>Report!$AH$153:$AO$153</c:f>
              <c:numCache>
                <c:formatCode>0%</c:formatCode>
                <c:ptCount val="8"/>
                <c:pt idx="0">
                  <c:v>0.74769406378682901</c:v>
                </c:pt>
                <c:pt idx="1">
                  <c:v>0.82718096188268442</c:v>
                </c:pt>
                <c:pt idx="2">
                  <c:v>0.8398205053165545</c:v>
                </c:pt>
                <c:pt idx="3">
                  <c:v>0.8344924588932624</c:v>
                </c:pt>
                <c:pt idx="4">
                  <c:v>0.7349674027651959</c:v>
                </c:pt>
                <c:pt idx="5">
                  <c:v>0.54260450641850444</c:v>
                </c:pt>
                <c:pt idx="6">
                  <c:v>0.46741781038808489</c:v>
                </c:pt>
                <c:pt idx="7">
                  <c:v>0.61391998709376094</c:v>
                </c:pt>
              </c:numCache>
            </c:numRef>
          </c:val>
          <c:extLst>
            <c:ext xmlns:c16="http://schemas.microsoft.com/office/drawing/2014/chart" uri="{C3380CC4-5D6E-409C-BE32-E72D297353CC}">
              <c16:uniqueId val="{00000000-B084-414C-A166-F69BC6472887}"/>
            </c:ext>
          </c:extLst>
        </c:ser>
        <c:ser>
          <c:idx val="1"/>
          <c:order val="1"/>
          <c:tx>
            <c:strRef>
              <c:f>Report!$AG$154</c:f>
              <c:strCache>
                <c:ptCount val="1"/>
                <c:pt idx="0">
                  <c:v>STB % TB</c:v>
                </c:pt>
              </c:strCache>
            </c:strRef>
          </c:tx>
          <c:spPr>
            <a:solidFill>
              <a:srgbClr val="EB193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Report!$AH$152:$AO$152</c:f>
              <c:numCache>
                <c:formatCode>General</c:formatCode>
                <c:ptCount val="8"/>
                <c:pt idx="0">
                  <c:v>2016</c:v>
                </c:pt>
                <c:pt idx="1">
                  <c:v>2017</c:v>
                </c:pt>
                <c:pt idx="2">
                  <c:v>2018</c:v>
                </c:pt>
                <c:pt idx="3">
                  <c:v>2019</c:v>
                </c:pt>
                <c:pt idx="4">
                  <c:v>2020</c:v>
                </c:pt>
                <c:pt idx="5">
                  <c:v>2021</c:v>
                </c:pt>
                <c:pt idx="6">
                  <c:v>2022</c:v>
                </c:pt>
                <c:pt idx="7">
                  <c:v>2023</c:v>
                </c:pt>
              </c:numCache>
            </c:numRef>
          </c:cat>
          <c:val>
            <c:numRef>
              <c:f>Report!$AH$154:$AO$154</c:f>
              <c:numCache>
                <c:formatCode>0%</c:formatCode>
                <c:ptCount val="8"/>
                <c:pt idx="0">
                  <c:v>0.25230593621317104</c:v>
                </c:pt>
                <c:pt idx="1">
                  <c:v>0.17281903811731567</c:v>
                </c:pt>
                <c:pt idx="2">
                  <c:v>0.16017949468344553</c:v>
                </c:pt>
                <c:pt idx="3">
                  <c:v>0.16550754110673754</c:v>
                </c:pt>
                <c:pt idx="4">
                  <c:v>0.26503259723480405</c:v>
                </c:pt>
                <c:pt idx="5">
                  <c:v>0.45739549358149556</c:v>
                </c:pt>
                <c:pt idx="6">
                  <c:v>0.53258218961191506</c:v>
                </c:pt>
                <c:pt idx="7">
                  <c:v>0.38608001290623895</c:v>
                </c:pt>
              </c:numCache>
            </c:numRef>
          </c:val>
          <c:extLst>
            <c:ext xmlns:c16="http://schemas.microsoft.com/office/drawing/2014/chart" uri="{C3380CC4-5D6E-409C-BE32-E72D297353CC}">
              <c16:uniqueId val="{00000001-B084-414C-A166-F69BC6472887}"/>
            </c:ext>
          </c:extLst>
        </c:ser>
        <c:dLbls>
          <c:dLblPos val="ctr"/>
          <c:showLegendKey val="0"/>
          <c:showVal val="1"/>
          <c:showCatName val="0"/>
          <c:showSerName val="0"/>
          <c:showPercent val="0"/>
          <c:showBubbleSize val="0"/>
        </c:dLbls>
        <c:gapWidth val="150"/>
        <c:overlap val="100"/>
        <c:axId val="1750189776"/>
        <c:axId val="1750184496"/>
      </c:barChart>
      <c:catAx>
        <c:axId val="1750189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0184496"/>
        <c:crosses val="autoZero"/>
        <c:auto val="1"/>
        <c:lblAlgn val="ctr"/>
        <c:lblOffset val="100"/>
        <c:noMultiLvlLbl val="0"/>
      </c:catAx>
      <c:valAx>
        <c:axId val="175018449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01897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18" Type="http://schemas.openxmlformats.org/officeDocument/2006/relationships/image" Target="../media/image21.png"/><Relationship Id="rId26" Type="http://schemas.openxmlformats.org/officeDocument/2006/relationships/image" Target="../media/image28.png"/><Relationship Id="rId3" Type="http://schemas.openxmlformats.org/officeDocument/2006/relationships/image" Target="../media/image6.png"/><Relationship Id="rId21" Type="http://schemas.openxmlformats.org/officeDocument/2006/relationships/image" Target="../media/image24.png"/><Relationship Id="rId7" Type="http://schemas.openxmlformats.org/officeDocument/2006/relationships/image" Target="../media/image10.png"/><Relationship Id="rId12" Type="http://schemas.openxmlformats.org/officeDocument/2006/relationships/image" Target="../media/image15.png"/><Relationship Id="rId17" Type="http://schemas.openxmlformats.org/officeDocument/2006/relationships/image" Target="../media/image20.png"/><Relationship Id="rId25" Type="http://schemas.openxmlformats.org/officeDocument/2006/relationships/image" Target="../media/image27.png"/><Relationship Id="rId2" Type="http://schemas.openxmlformats.org/officeDocument/2006/relationships/image" Target="../media/image5.png"/><Relationship Id="rId16" Type="http://schemas.openxmlformats.org/officeDocument/2006/relationships/image" Target="../media/image19.png"/><Relationship Id="rId20" Type="http://schemas.openxmlformats.org/officeDocument/2006/relationships/image" Target="../media/image23.png"/><Relationship Id="rId29" Type="http://schemas.openxmlformats.org/officeDocument/2006/relationships/image" Target="../media/image31.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24" Type="http://schemas.openxmlformats.org/officeDocument/2006/relationships/image" Target="../media/image26.png"/><Relationship Id="rId5" Type="http://schemas.openxmlformats.org/officeDocument/2006/relationships/image" Target="../media/image8.png"/><Relationship Id="rId15" Type="http://schemas.openxmlformats.org/officeDocument/2006/relationships/image" Target="../media/image18.png"/><Relationship Id="rId23" Type="http://schemas.openxmlformats.org/officeDocument/2006/relationships/chart" Target="../charts/chart1.xml"/><Relationship Id="rId28" Type="http://schemas.openxmlformats.org/officeDocument/2006/relationships/image" Target="../media/image30.png"/><Relationship Id="rId10" Type="http://schemas.openxmlformats.org/officeDocument/2006/relationships/image" Target="../media/image13.png"/><Relationship Id="rId19" Type="http://schemas.openxmlformats.org/officeDocument/2006/relationships/image" Target="../media/image22.png"/><Relationship Id="rId31" Type="http://schemas.openxmlformats.org/officeDocument/2006/relationships/image" Target="../media/image33.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 Id="rId22" Type="http://schemas.openxmlformats.org/officeDocument/2006/relationships/image" Target="../media/image25.png"/><Relationship Id="rId27" Type="http://schemas.openxmlformats.org/officeDocument/2006/relationships/image" Target="../media/image29.png"/><Relationship Id="rId30" Type="http://schemas.openxmlformats.org/officeDocument/2006/relationships/image" Target="../media/image32.png"/></Relationships>
</file>

<file path=xl/drawings/_rels/drawing4.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chart" Target="../charts/chart12.xml"/><Relationship Id="rId18" Type="http://schemas.openxmlformats.org/officeDocument/2006/relationships/chart" Target="../charts/chart17.xml"/><Relationship Id="rId3" Type="http://schemas.openxmlformats.org/officeDocument/2006/relationships/chart" Target="../charts/chart4.xml"/><Relationship Id="rId7" Type="http://schemas.openxmlformats.org/officeDocument/2006/relationships/image" Target="../media/image9.png"/><Relationship Id="rId12" Type="http://schemas.openxmlformats.org/officeDocument/2006/relationships/chart" Target="../charts/chart11.xml"/><Relationship Id="rId17" Type="http://schemas.openxmlformats.org/officeDocument/2006/relationships/chart" Target="../charts/chart16.xml"/><Relationship Id="rId2" Type="http://schemas.openxmlformats.org/officeDocument/2006/relationships/chart" Target="../charts/chart3.xml"/><Relationship Id="rId16" Type="http://schemas.openxmlformats.org/officeDocument/2006/relationships/chart" Target="../charts/chart15.xml"/><Relationship Id="rId1" Type="http://schemas.openxmlformats.org/officeDocument/2006/relationships/chart" Target="../charts/chart2.xml"/><Relationship Id="rId6" Type="http://schemas.openxmlformats.org/officeDocument/2006/relationships/image" Target="../media/image8.png"/><Relationship Id="rId11" Type="http://schemas.openxmlformats.org/officeDocument/2006/relationships/chart" Target="../charts/chart10.xml"/><Relationship Id="rId5" Type="http://schemas.openxmlformats.org/officeDocument/2006/relationships/chart" Target="../charts/chart6.xml"/><Relationship Id="rId15" Type="http://schemas.openxmlformats.org/officeDocument/2006/relationships/chart" Target="../charts/chart14.xml"/><Relationship Id="rId10" Type="http://schemas.openxmlformats.org/officeDocument/2006/relationships/chart" Target="../charts/chart9.xml"/><Relationship Id="rId4" Type="http://schemas.openxmlformats.org/officeDocument/2006/relationships/chart" Target="../charts/chart5.xml"/><Relationship Id="rId9" Type="http://schemas.openxmlformats.org/officeDocument/2006/relationships/chart" Target="../charts/chart8.xml"/><Relationship Id="rId1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editAs="oneCell">
    <xdr:from>
      <xdr:col>11</xdr:col>
      <xdr:colOff>77163</xdr:colOff>
      <xdr:row>22</xdr:row>
      <xdr:rowOff>115747</xdr:rowOff>
    </xdr:from>
    <xdr:to>
      <xdr:col>14</xdr:col>
      <xdr:colOff>168543</xdr:colOff>
      <xdr:row>33</xdr:row>
      <xdr:rowOff>64354</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12413847" y="4147595"/>
          <a:ext cx="1914392" cy="1964531"/>
        </a:xfrm>
        <a:prstGeom prst="rect">
          <a:avLst/>
        </a:prstGeom>
        <a:ln>
          <a:solidFill>
            <a:schemeClr val="accent1"/>
          </a:solidFill>
        </a:ln>
      </xdr:spPr>
    </xdr:pic>
    <xdr:clientData/>
  </xdr:twoCellAnchor>
  <xdr:twoCellAnchor editAs="oneCell">
    <xdr:from>
      <xdr:col>11</xdr:col>
      <xdr:colOff>50541</xdr:colOff>
      <xdr:row>1</xdr:row>
      <xdr:rowOff>144684</xdr:rowOff>
    </xdr:from>
    <xdr:to>
      <xdr:col>19</xdr:col>
      <xdr:colOff>521081</xdr:colOff>
      <xdr:row>18</xdr:row>
      <xdr:rowOff>279722</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stretch>
          <a:fillRect/>
        </a:stretch>
      </xdr:blipFill>
      <xdr:spPr>
        <a:xfrm>
          <a:off x="12387225" y="327950"/>
          <a:ext cx="5331907" cy="3617088"/>
        </a:xfrm>
        <a:prstGeom prst="rect">
          <a:avLst/>
        </a:prstGeom>
        <a:ln>
          <a:solidFill>
            <a:schemeClr val="accent1"/>
          </a:solid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563972</xdr:colOff>
      <xdr:row>12</xdr:row>
      <xdr:rowOff>19942</xdr:rowOff>
    </xdr:from>
    <xdr:to>
      <xdr:col>18</xdr:col>
      <xdr:colOff>36375</xdr:colOff>
      <xdr:row>26</xdr:row>
      <xdr:rowOff>6491</xdr:rowOff>
    </xdr:to>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a:stretch>
          <a:fillRect/>
        </a:stretch>
      </xdr:blipFill>
      <xdr:spPr>
        <a:xfrm>
          <a:off x="10066020" y="2223315"/>
          <a:ext cx="6724807" cy="2584694"/>
        </a:xfrm>
        <a:prstGeom prst="rect">
          <a:avLst/>
        </a:prstGeom>
        <a:ln>
          <a:solidFill>
            <a:schemeClr val="accent1"/>
          </a:solid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15</xdr:col>
      <xdr:colOff>265421</xdr:colOff>
      <xdr:row>0</xdr:row>
      <xdr:rowOff>99060</xdr:rowOff>
    </xdr:from>
    <xdr:to>
      <xdr:col>19</xdr:col>
      <xdr:colOff>249740</xdr:colOff>
      <xdr:row>8</xdr:row>
      <xdr:rowOff>125670</xdr:rowOff>
    </xdr:to>
    <xdr:pic>
      <xdr:nvPicPr>
        <xdr:cNvPr id="2" name="Picture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a:stretch>
          <a:fillRect/>
        </a:stretch>
      </xdr:blipFill>
      <xdr:spPr>
        <a:xfrm>
          <a:off x="9973301" y="99060"/>
          <a:ext cx="2934980" cy="1711031"/>
        </a:xfrm>
        <a:prstGeom prst="rect">
          <a:avLst/>
        </a:prstGeom>
      </xdr:spPr>
    </xdr:pic>
    <xdr:clientData/>
  </xdr:twoCellAnchor>
  <xdr:twoCellAnchor editAs="oneCell">
    <xdr:from>
      <xdr:col>20</xdr:col>
      <xdr:colOff>152400</xdr:colOff>
      <xdr:row>0</xdr:row>
      <xdr:rowOff>175260</xdr:rowOff>
    </xdr:from>
    <xdr:to>
      <xdr:col>24</xdr:col>
      <xdr:colOff>520086</xdr:colOff>
      <xdr:row>8</xdr:row>
      <xdr:rowOff>119547</xdr:rowOff>
    </xdr:to>
    <xdr:pic>
      <xdr:nvPicPr>
        <xdr:cNvPr id="3" name="Picture 2">
          <a:extLst>
            <a:ext uri="{FF2B5EF4-FFF2-40B4-BE49-F238E27FC236}">
              <a16:creationId xmlns:a16="http://schemas.microsoft.com/office/drawing/2014/main" id="{00000000-0008-0000-0F00-000003000000}"/>
            </a:ext>
          </a:extLst>
        </xdr:cNvPr>
        <xdr:cNvPicPr>
          <a:picLocks noChangeAspect="1"/>
        </xdr:cNvPicPr>
      </xdr:nvPicPr>
      <xdr:blipFill>
        <a:blip xmlns:r="http://schemas.openxmlformats.org/officeDocument/2006/relationships" r:embed="rId2"/>
        <a:stretch>
          <a:fillRect/>
        </a:stretch>
      </xdr:blipFill>
      <xdr:spPr>
        <a:xfrm>
          <a:off x="12908280" y="175260"/>
          <a:ext cx="2806087" cy="1628708"/>
        </a:xfrm>
        <a:prstGeom prst="rect">
          <a:avLst/>
        </a:prstGeom>
      </xdr:spPr>
    </xdr:pic>
    <xdr:clientData/>
  </xdr:twoCellAnchor>
  <xdr:twoCellAnchor editAs="oneCell">
    <xdr:from>
      <xdr:col>24</xdr:col>
      <xdr:colOff>510540</xdr:colOff>
      <xdr:row>0</xdr:row>
      <xdr:rowOff>167641</xdr:rowOff>
    </xdr:from>
    <xdr:to>
      <xdr:col>29</xdr:col>
      <xdr:colOff>548639</xdr:colOff>
      <xdr:row>9</xdr:row>
      <xdr:rowOff>145104</xdr:rowOff>
    </xdr:to>
    <xdr:pic>
      <xdr:nvPicPr>
        <xdr:cNvPr id="4" name="Picture 3">
          <a:extLst>
            <a:ext uri="{FF2B5EF4-FFF2-40B4-BE49-F238E27FC236}">
              <a16:creationId xmlns:a16="http://schemas.microsoft.com/office/drawing/2014/main" id="{00000000-0008-0000-0F00-000004000000}"/>
            </a:ext>
          </a:extLst>
        </xdr:cNvPr>
        <xdr:cNvPicPr>
          <a:picLocks noChangeAspect="1"/>
        </xdr:cNvPicPr>
      </xdr:nvPicPr>
      <xdr:blipFill>
        <a:blip xmlns:r="http://schemas.openxmlformats.org/officeDocument/2006/relationships" r:embed="rId3"/>
        <a:stretch>
          <a:fillRect/>
        </a:stretch>
      </xdr:blipFill>
      <xdr:spPr>
        <a:xfrm>
          <a:off x="15704820" y="167641"/>
          <a:ext cx="3086100" cy="1844764"/>
        </a:xfrm>
        <a:prstGeom prst="rect">
          <a:avLst/>
        </a:prstGeom>
      </xdr:spPr>
    </xdr:pic>
    <xdr:clientData/>
  </xdr:twoCellAnchor>
  <xdr:twoCellAnchor editAs="oneCell">
    <xdr:from>
      <xdr:col>1</xdr:col>
      <xdr:colOff>30481</xdr:colOff>
      <xdr:row>18</xdr:row>
      <xdr:rowOff>53342</xdr:rowOff>
    </xdr:from>
    <xdr:to>
      <xdr:col>2</xdr:col>
      <xdr:colOff>733968</xdr:colOff>
      <xdr:row>33</xdr:row>
      <xdr:rowOff>30480</xdr:rowOff>
    </xdr:to>
    <xdr:pic>
      <xdr:nvPicPr>
        <xdr:cNvPr id="5" name="Picture 4">
          <a:extLst>
            <a:ext uri="{FF2B5EF4-FFF2-40B4-BE49-F238E27FC236}">
              <a16:creationId xmlns:a16="http://schemas.microsoft.com/office/drawing/2014/main" id="{00000000-0008-0000-0F00-000005000000}"/>
            </a:ext>
          </a:extLst>
        </xdr:cNvPr>
        <xdr:cNvPicPr>
          <a:picLocks noChangeAspect="1"/>
        </xdr:cNvPicPr>
      </xdr:nvPicPr>
      <xdr:blipFill rotWithShape="1">
        <a:blip xmlns:r="http://schemas.openxmlformats.org/officeDocument/2006/relationships" r:embed="rId4"/>
        <a:srcRect r="8452"/>
        <a:stretch/>
      </xdr:blipFill>
      <xdr:spPr>
        <a:xfrm>
          <a:off x="251461" y="3375662"/>
          <a:ext cx="4089636" cy="2720338"/>
        </a:xfrm>
        <a:prstGeom prst="rect">
          <a:avLst/>
        </a:prstGeom>
      </xdr:spPr>
    </xdr:pic>
    <xdr:clientData/>
  </xdr:twoCellAnchor>
  <xdr:twoCellAnchor editAs="oneCell">
    <xdr:from>
      <xdr:col>6</xdr:col>
      <xdr:colOff>257582</xdr:colOff>
      <xdr:row>18</xdr:row>
      <xdr:rowOff>39890</xdr:rowOff>
    </xdr:from>
    <xdr:to>
      <xdr:col>13</xdr:col>
      <xdr:colOff>260297</xdr:colOff>
      <xdr:row>33</xdr:row>
      <xdr:rowOff>53340</xdr:rowOff>
    </xdr:to>
    <xdr:pic>
      <xdr:nvPicPr>
        <xdr:cNvPr id="6" name="Picture 5">
          <a:extLst>
            <a:ext uri="{FF2B5EF4-FFF2-40B4-BE49-F238E27FC236}">
              <a16:creationId xmlns:a16="http://schemas.microsoft.com/office/drawing/2014/main" id="{00000000-0008-0000-0F00-000006000000}"/>
            </a:ext>
          </a:extLst>
        </xdr:cNvPr>
        <xdr:cNvPicPr>
          <a:picLocks noChangeAspect="1"/>
        </xdr:cNvPicPr>
      </xdr:nvPicPr>
      <xdr:blipFill>
        <a:blip xmlns:r="http://schemas.openxmlformats.org/officeDocument/2006/relationships" r:embed="rId5"/>
        <a:stretch>
          <a:fillRect/>
        </a:stretch>
      </xdr:blipFill>
      <xdr:spPr>
        <a:xfrm>
          <a:off x="4479062" y="3362210"/>
          <a:ext cx="4341118" cy="2756650"/>
        </a:xfrm>
        <a:prstGeom prst="rect">
          <a:avLst/>
        </a:prstGeom>
      </xdr:spPr>
    </xdr:pic>
    <xdr:clientData/>
  </xdr:twoCellAnchor>
  <xdr:twoCellAnchor editAs="oneCell">
    <xdr:from>
      <xdr:col>13</xdr:col>
      <xdr:colOff>344385</xdr:colOff>
      <xdr:row>15</xdr:row>
      <xdr:rowOff>175260</xdr:rowOff>
    </xdr:from>
    <xdr:to>
      <xdr:col>20</xdr:col>
      <xdr:colOff>381978</xdr:colOff>
      <xdr:row>32</xdr:row>
      <xdr:rowOff>160214</xdr:rowOff>
    </xdr:to>
    <xdr:pic>
      <xdr:nvPicPr>
        <xdr:cNvPr id="7" name="Picture 6">
          <a:extLst>
            <a:ext uri="{FF2B5EF4-FFF2-40B4-BE49-F238E27FC236}">
              <a16:creationId xmlns:a16="http://schemas.microsoft.com/office/drawing/2014/main" id="{00000000-0008-0000-0F00-000007000000}"/>
            </a:ext>
          </a:extLst>
        </xdr:cNvPr>
        <xdr:cNvPicPr>
          <a:picLocks noChangeAspect="1"/>
        </xdr:cNvPicPr>
      </xdr:nvPicPr>
      <xdr:blipFill>
        <a:blip xmlns:r="http://schemas.openxmlformats.org/officeDocument/2006/relationships" r:embed="rId6"/>
        <a:stretch>
          <a:fillRect/>
        </a:stretch>
      </xdr:blipFill>
      <xdr:spPr>
        <a:xfrm>
          <a:off x="8833065" y="2948940"/>
          <a:ext cx="4867694" cy="3093913"/>
        </a:xfrm>
        <a:prstGeom prst="rect">
          <a:avLst/>
        </a:prstGeom>
      </xdr:spPr>
    </xdr:pic>
    <xdr:clientData/>
  </xdr:twoCellAnchor>
  <xdr:twoCellAnchor editAs="oneCell">
    <xdr:from>
      <xdr:col>1</xdr:col>
      <xdr:colOff>45720</xdr:colOff>
      <xdr:row>54</xdr:row>
      <xdr:rowOff>121921</xdr:rowOff>
    </xdr:from>
    <xdr:to>
      <xdr:col>1</xdr:col>
      <xdr:colOff>2865958</xdr:colOff>
      <xdr:row>67</xdr:row>
      <xdr:rowOff>121919</xdr:rowOff>
    </xdr:to>
    <xdr:pic>
      <xdr:nvPicPr>
        <xdr:cNvPr id="8" name="Picture 7">
          <a:extLst>
            <a:ext uri="{FF2B5EF4-FFF2-40B4-BE49-F238E27FC236}">
              <a16:creationId xmlns:a16="http://schemas.microsoft.com/office/drawing/2014/main" id="{00000000-0008-0000-0F00-000008000000}"/>
            </a:ext>
          </a:extLst>
        </xdr:cNvPr>
        <xdr:cNvPicPr>
          <a:picLocks noChangeAspect="1"/>
        </xdr:cNvPicPr>
      </xdr:nvPicPr>
      <xdr:blipFill>
        <a:blip xmlns:r="http://schemas.openxmlformats.org/officeDocument/2006/relationships" r:embed="rId7"/>
        <a:stretch>
          <a:fillRect/>
        </a:stretch>
      </xdr:blipFill>
      <xdr:spPr>
        <a:xfrm>
          <a:off x="266700" y="10027921"/>
          <a:ext cx="2817705" cy="2377439"/>
        </a:xfrm>
        <a:prstGeom prst="rect">
          <a:avLst/>
        </a:prstGeom>
      </xdr:spPr>
    </xdr:pic>
    <xdr:clientData/>
  </xdr:twoCellAnchor>
  <xdr:twoCellAnchor editAs="oneCell">
    <xdr:from>
      <xdr:col>4</xdr:col>
      <xdr:colOff>114300</xdr:colOff>
      <xdr:row>53</xdr:row>
      <xdr:rowOff>53340</xdr:rowOff>
    </xdr:from>
    <xdr:to>
      <xdr:col>11</xdr:col>
      <xdr:colOff>429485</xdr:colOff>
      <xdr:row>67</xdr:row>
      <xdr:rowOff>114299</xdr:rowOff>
    </xdr:to>
    <xdr:pic>
      <xdr:nvPicPr>
        <xdr:cNvPr id="9" name="Picture 8">
          <a:extLst>
            <a:ext uri="{FF2B5EF4-FFF2-40B4-BE49-F238E27FC236}">
              <a16:creationId xmlns:a16="http://schemas.microsoft.com/office/drawing/2014/main" id="{00000000-0008-0000-0F00-000009000000}"/>
            </a:ext>
          </a:extLst>
        </xdr:cNvPr>
        <xdr:cNvPicPr>
          <a:picLocks noChangeAspect="1"/>
        </xdr:cNvPicPr>
      </xdr:nvPicPr>
      <xdr:blipFill>
        <a:blip xmlns:r="http://schemas.openxmlformats.org/officeDocument/2006/relationships" r:embed="rId8"/>
        <a:stretch>
          <a:fillRect/>
        </a:stretch>
      </xdr:blipFill>
      <xdr:spPr>
        <a:xfrm>
          <a:off x="3116580" y="9776460"/>
          <a:ext cx="4653589" cy="2621279"/>
        </a:xfrm>
        <a:prstGeom prst="rect">
          <a:avLst/>
        </a:prstGeom>
      </xdr:spPr>
    </xdr:pic>
    <xdr:clientData/>
  </xdr:twoCellAnchor>
  <xdr:twoCellAnchor editAs="oneCell">
    <xdr:from>
      <xdr:col>11</xdr:col>
      <xdr:colOff>525781</xdr:colOff>
      <xdr:row>53</xdr:row>
      <xdr:rowOff>106680</xdr:rowOff>
    </xdr:from>
    <xdr:to>
      <xdr:col>19</xdr:col>
      <xdr:colOff>200907</xdr:colOff>
      <xdr:row>67</xdr:row>
      <xdr:rowOff>129539</xdr:rowOff>
    </xdr:to>
    <xdr:pic>
      <xdr:nvPicPr>
        <xdr:cNvPr id="10" name="Picture 9">
          <a:extLst>
            <a:ext uri="{FF2B5EF4-FFF2-40B4-BE49-F238E27FC236}">
              <a16:creationId xmlns:a16="http://schemas.microsoft.com/office/drawing/2014/main" id="{00000000-0008-0000-0F00-00000A000000}"/>
            </a:ext>
          </a:extLst>
        </xdr:cNvPr>
        <xdr:cNvPicPr>
          <a:picLocks noChangeAspect="1"/>
        </xdr:cNvPicPr>
      </xdr:nvPicPr>
      <xdr:blipFill>
        <a:blip xmlns:r="http://schemas.openxmlformats.org/officeDocument/2006/relationships" r:embed="rId9"/>
        <a:stretch>
          <a:fillRect/>
        </a:stretch>
      </xdr:blipFill>
      <xdr:spPr>
        <a:xfrm>
          <a:off x="7795261" y="9829800"/>
          <a:ext cx="5178466" cy="2583179"/>
        </a:xfrm>
        <a:prstGeom prst="rect">
          <a:avLst/>
        </a:prstGeom>
      </xdr:spPr>
    </xdr:pic>
    <xdr:clientData/>
  </xdr:twoCellAnchor>
  <xdr:twoCellAnchor editAs="oneCell">
    <xdr:from>
      <xdr:col>1</xdr:col>
      <xdr:colOff>83821</xdr:colOff>
      <xdr:row>68</xdr:row>
      <xdr:rowOff>83822</xdr:rowOff>
    </xdr:from>
    <xdr:to>
      <xdr:col>3</xdr:col>
      <xdr:colOff>363325</xdr:colOff>
      <xdr:row>80</xdr:row>
      <xdr:rowOff>117828</xdr:rowOff>
    </xdr:to>
    <xdr:pic>
      <xdr:nvPicPr>
        <xdr:cNvPr id="11" name="Picture 10">
          <a:extLst>
            <a:ext uri="{FF2B5EF4-FFF2-40B4-BE49-F238E27FC236}">
              <a16:creationId xmlns:a16="http://schemas.microsoft.com/office/drawing/2014/main" id="{00000000-0008-0000-0F00-00000B000000}"/>
            </a:ext>
          </a:extLst>
        </xdr:cNvPr>
        <xdr:cNvPicPr>
          <a:picLocks noChangeAspect="1"/>
        </xdr:cNvPicPr>
      </xdr:nvPicPr>
      <xdr:blipFill>
        <a:blip xmlns:r="http://schemas.openxmlformats.org/officeDocument/2006/relationships" r:embed="rId10"/>
        <a:stretch>
          <a:fillRect/>
        </a:stretch>
      </xdr:blipFill>
      <xdr:spPr>
        <a:xfrm>
          <a:off x="304801" y="12550142"/>
          <a:ext cx="4495799" cy="2228566"/>
        </a:xfrm>
        <a:prstGeom prst="rect">
          <a:avLst/>
        </a:prstGeom>
      </xdr:spPr>
    </xdr:pic>
    <xdr:clientData/>
  </xdr:twoCellAnchor>
  <xdr:twoCellAnchor editAs="oneCell">
    <xdr:from>
      <xdr:col>7</xdr:col>
      <xdr:colOff>53341</xdr:colOff>
      <xdr:row>68</xdr:row>
      <xdr:rowOff>99060</xdr:rowOff>
    </xdr:from>
    <xdr:to>
      <xdr:col>14</xdr:col>
      <xdr:colOff>149777</xdr:colOff>
      <xdr:row>80</xdr:row>
      <xdr:rowOff>90786</xdr:rowOff>
    </xdr:to>
    <xdr:pic>
      <xdr:nvPicPr>
        <xdr:cNvPr id="12" name="Picture 11">
          <a:extLst>
            <a:ext uri="{FF2B5EF4-FFF2-40B4-BE49-F238E27FC236}">
              <a16:creationId xmlns:a16="http://schemas.microsoft.com/office/drawing/2014/main" id="{00000000-0008-0000-0F00-00000C000000}"/>
            </a:ext>
          </a:extLst>
        </xdr:cNvPr>
        <xdr:cNvPicPr>
          <a:picLocks noChangeAspect="1"/>
        </xdr:cNvPicPr>
      </xdr:nvPicPr>
      <xdr:blipFill>
        <a:blip xmlns:r="http://schemas.openxmlformats.org/officeDocument/2006/relationships" r:embed="rId11"/>
        <a:stretch>
          <a:fillRect/>
        </a:stretch>
      </xdr:blipFill>
      <xdr:spPr>
        <a:xfrm>
          <a:off x="4884421" y="12565380"/>
          <a:ext cx="4434840" cy="2186286"/>
        </a:xfrm>
        <a:prstGeom prst="rect">
          <a:avLst/>
        </a:prstGeom>
      </xdr:spPr>
    </xdr:pic>
    <xdr:clientData/>
  </xdr:twoCellAnchor>
  <xdr:twoCellAnchor editAs="oneCell">
    <xdr:from>
      <xdr:col>14</xdr:col>
      <xdr:colOff>281940</xdr:colOff>
      <xdr:row>68</xdr:row>
      <xdr:rowOff>83820</xdr:rowOff>
    </xdr:from>
    <xdr:to>
      <xdr:col>19</xdr:col>
      <xdr:colOff>543913</xdr:colOff>
      <xdr:row>80</xdr:row>
      <xdr:rowOff>53339</xdr:rowOff>
    </xdr:to>
    <xdr:pic>
      <xdr:nvPicPr>
        <xdr:cNvPr id="13" name="Picture 12">
          <a:extLst>
            <a:ext uri="{FF2B5EF4-FFF2-40B4-BE49-F238E27FC236}">
              <a16:creationId xmlns:a16="http://schemas.microsoft.com/office/drawing/2014/main" id="{00000000-0008-0000-0F00-00000D000000}"/>
            </a:ext>
          </a:extLst>
        </xdr:cNvPr>
        <xdr:cNvPicPr>
          <a:picLocks noChangeAspect="1"/>
        </xdr:cNvPicPr>
      </xdr:nvPicPr>
      <xdr:blipFill>
        <a:blip xmlns:r="http://schemas.openxmlformats.org/officeDocument/2006/relationships" r:embed="rId12"/>
        <a:stretch>
          <a:fillRect/>
        </a:stretch>
      </xdr:blipFill>
      <xdr:spPr>
        <a:xfrm>
          <a:off x="9380220" y="12550140"/>
          <a:ext cx="3932797" cy="2164079"/>
        </a:xfrm>
        <a:prstGeom prst="rect">
          <a:avLst/>
        </a:prstGeom>
      </xdr:spPr>
    </xdr:pic>
    <xdr:clientData/>
  </xdr:twoCellAnchor>
  <xdr:twoCellAnchor editAs="oneCell">
    <xdr:from>
      <xdr:col>20</xdr:col>
      <xdr:colOff>601980</xdr:colOff>
      <xdr:row>68</xdr:row>
      <xdr:rowOff>60960</xdr:rowOff>
    </xdr:from>
    <xdr:to>
      <xdr:col>28</xdr:col>
      <xdr:colOff>196900</xdr:colOff>
      <xdr:row>80</xdr:row>
      <xdr:rowOff>144780</xdr:rowOff>
    </xdr:to>
    <xdr:pic>
      <xdr:nvPicPr>
        <xdr:cNvPr id="14" name="Picture 13">
          <a:extLst>
            <a:ext uri="{FF2B5EF4-FFF2-40B4-BE49-F238E27FC236}">
              <a16:creationId xmlns:a16="http://schemas.microsoft.com/office/drawing/2014/main" id="{00000000-0008-0000-0F00-00000E000000}"/>
            </a:ext>
          </a:extLst>
        </xdr:cNvPr>
        <xdr:cNvPicPr>
          <a:picLocks noChangeAspect="1"/>
        </xdr:cNvPicPr>
      </xdr:nvPicPr>
      <xdr:blipFill>
        <a:blip xmlns:r="http://schemas.openxmlformats.org/officeDocument/2006/relationships" r:embed="rId13"/>
        <a:stretch>
          <a:fillRect/>
        </a:stretch>
      </xdr:blipFill>
      <xdr:spPr>
        <a:xfrm>
          <a:off x="13357860" y="12527280"/>
          <a:ext cx="4471720" cy="2278380"/>
        </a:xfrm>
        <a:prstGeom prst="rect">
          <a:avLst/>
        </a:prstGeom>
      </xdr:spPr>
    </xdr:pic>
    <xdr:clientData/>
  </xdr:twoCellAnchor>
  <xdr:twoCellAnchor editAs="oneCell">
    <xdr:from>
      <xdr:col>1</xdr:col>
      <xdr:colOff>24322</xdr:colOff>
      <xdr:row>184</xdr:row>
      <xdr:rowOff>72957</xdr:rowOff>
    </xdr:from>
    <xdr:to>
      <xdr:col>4</xdr:col>
      <xdr:colOff>32428</xdr:colOff>
      <xdr:row>193</xdr:row>
      <xdr:rowOff>61300</xdr:rowOff>
    </xdr:to>
    <xdr:pic>
      <xdr:nvPicPr>
        <xdr:cNvPr id="15" name="Picture 14">
          <a:extLst>
            <a:ext uri="{FF2B5EF4-FFF2-40B4-BE49-F238E27FC236}">
              <a16:creationId xmlns:a16="http://schemas.microsoft.com/office/drawing/2014/main" id="{00000000-0008-0000-0F00-00000F000000}"/>
            </a:ext>
          </a:extLst>
        </xdr:cNvPr>
        <xdr:cNvPicPr>
          <a:picLocks noChangeAspect="1"/>
        </xdr:cNvPicPr>
      </xdr:nvPicPr>
      <xdr:blipFill>
        <a:blip xmlns:r="http://schemas.openxmlformats.org/officeDocument/2006/relationships" r:embed="rId14"/>
        <a:stretch>
          <a:fillRect/>
        </a:stretch>
      </xdr:blipFill>
      <xdr:spPr>
        <a:xfrm>
          <a:off x="243194" y="29620723"/>
          <a:ext cx="4871936" cy="1666364"/>
        </a:xfrm>
        <a:prstGeom prst="rect">
          <a:avLst/>
        </a:prstGeom>
        <a:ln>
          <a:solidFill>
            <a:schemeClr val="accent1"/>
          </a:solidFill>
        </a:ln>
      </xdr:spPr>
    </xdr:pic>
    <xdr:clientData/>
  </xdr:twoCellAnchor>
  <xdr:twoCellAnchor editAs="oneCell">
    <xdr:from>
      <xdr:col>1</xdr:col>
      <xdr:colOff>16213</xdr:colOff>
      <xdr:row>193</xdr:row>
      <xdr:rowOff>154020</xdr:rowOff>
    </xdr:from>
    <xdr:to>
      <xdr:col>5</xdr:col>
      <xdr:colOff>462064</xdr:colOff>
      <xdr:row>205</xdr:row>
      <xdr:rowOff>142214</xdr:rowOff>
    </xdr:to>
    <xdr:pic>
      <xdr:nvPicPr>
        <xdr:cNvPr id="16" name="Picture 15">
          <a:extLst>
            <a:ext uri="{FF2B5EF4-FFF2-40B4-BE49-F238E27FC236}">
              <a16:creationId xmlns:a16="http://schemas.microsoft.com/office/drawing/2014/main" id="{00000000-0008-0000-0F00-000010000000}"/>
            </a:ext>
          </a:extLst>
        </xdr:cNvPr>
        <xdr:cNvPicPr>
          <a:picLocks noChangeAspect="1"/>
        </xdr:cNvPicPr>
      </xdr:nvPicPr>
      <xdr:blipFill>
        <a:blip xmlns:r="http://schemas.openxmlformats.org/officeDocument/2006/relationships" r:embed="rId15"/>
        <a:stretch>
          <a:fillRect/>
        </a:stretch>
      </xdr:blipFill>
      <xdr:spPr>
        <a:xfrm>
          <a:off x="235085" y="31379807"/>
          <a:ext cx="5917660" cy="2225555"/>
        </a:xfrm>
        <a:prstGeom prst="rect">
          <a:avLst/>
        </a:prstGeom>
        <a:ln>
          <a:solidFill>
            <a:schemeClr val="accent1"/>
          </a:solidFill>
        </a:ln>
      </xdr:spPr>
    </xdr:pic>
    <xdr:clientData/>
  </xdr:twoCellAnchor>
  <xdr:twoCellAnchor>
    <xdr:from>
      <xdr:col>0</xdr:col>
      <xdr:colOff>194553</xdr:colOff>
      <xdr:row>207</xdr:row>
      <xdr:rowOff>97275</xdr:rowOff>
    </xdr:from>
    <xdr:to>
      <xdr:col>13</xdr:col>
      <xdr:colOff>340468</xdr:colOff>
      <xdr:row>228</xdr:row>
      <xdr:rowOff>106516</xdr:rowOff>
    </xdr:to>
    <xdr:sp macro="" textlink="">
      <xdr:nvSpPr>
        <xdr:cNvPr id="17" name="TextBox 16">
          <a:extLst>
            <a:ext uri="{FF2B5EF4-FFF2-40B4-BE49-F238E27FC236}">
              <a16:creationId xmlns:a16="http://schemas.microsoft.com/office/drawing/2014/main" id="{00000000-0008-0000-0F00-000011000000}"/>
            </a:ext>
          </a:extLst>
        </xdr:cNvPr>
        <xdr:cNvSpPr txBox="1"/>
      </xdr:nvSpPr>
      <xdr:spPr>
        <a:xfrm>
          <a:off x="194553" y="31363856"/>
          <a:ext cx="10691012" cy="3794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Summary</a:t>
          </a:r>
        </a:p>
        <a:p>
          <a:endParaRPr lang="en-IN" sz="1400" b="1"/>
        </a:p>
        <a:p>
          <a:r>
            <a:rPr lang="en-IN" sz="1100"/>
            <a:t>The</a:t>
          </a:r>
          <a:r>
            <a:rPr lang="en-IN" sz="1100" baseline="0"/>
            <a:t> raw materials constitutes ~90%+ of the COGS. </a:t>
          </a:r>
          <a:r>
            <a:rPr lang="en-IN" sz="1100">
              <a:solidFill>
                <a:schemeClr val="dk1"/>
              </a:solidFill>
              <a:effectLst/>
              <a:latin typeface="+mn-lt"/>
              <a:ea typeface="+mn-ea"/>
              <a:cs typeface="+mn-cs"/>
            </a:rPr>
            <a:t>Key raw materials for the company are PET chips and sugar.</a:t>
          </a:r>
          <a:r>
            <a:rPr lang="en-IN" sz="1100" baseline="0">
              <a:solidFill>
                <a:schemeClr val="dk1"/>
              </a:solidFill>
              <a:effectLst/>
              <a:latin typeface="+mn-lt"/>
              <a:ea typeface="+mn-ea"/>
              <a:cs typeface="+mn-cs"/>
            </a:rPr>
            <a:t> </a:t>
          </a:r>
        </a:p>
        <a:p>
          <a:r>
            <a:rPr lang="en-IN" sz="1100" b="0" i="0" u="none" strike="noStrike">
              <a:solidFill>
                <a:schemeClr val="dk1"/>
              </a:solidFill>
              <a:effectLst/>
              <a:latin typeface="+mn-lt"/>
              <a:ea typeface="+mn-ea"/>
              <a:cs typeface="+mn-cs"/>
            </a:rPr>
            <a:t>In view of volatility of</a:t>
          </a:r>
          <a:r>
            <a:rPr lang="en-IN"/>
            <a:t> </a:t>
          </a:r>
          <a:r>
            <a:rPr lang="en-IN" sz="1100" b="0" i="0" u="none" strike="noStrike">
              <a:solidFill>
                <a:schemeClr val="dk1"/>
              </a:solidFill>
              <a:effectLst/>
              <a:latin typeface="+mn-lt"/>
              <a:ea typeface="+mn-ea"/>
              <a:cs typeface="+mn-cs"/>
            </a:rPr>
            <a:t>price of sugar and PET chips, the company executes various advance purchase contracts,</a:t>
          </a:r>
          <a:r>
            <a:rPr lang="en-IN" sz="1100" b="0" i="0" u="none" strike="noStrike" baseline="0">
              <a:solidFill>
                <a:schemeClr val="dk1"/>
              </a:solidFill>
              <a:effectLst/>
              <a:latin typeface="+mn-lt"/>
              <a:ea typeface="+mn-ea"/>
              <a:cs typeface="+mn-cs"/>
            </a:rPr>
            <a:t> in order to mitigate pricing risks. </a:t>
          </a:r>
        </a:p>
        <a:p>
          <a:endParaRPr lang="en-IN"/>
        </a:p>
        <a:p>
          <a:r>
            <a:rPr lang="en-IN"/>
            <a:t>Annual</a:t>
          </a:r>
          <a:r>
            <a:rPr lang="en-IN" baseline="0"/>
            <a:t> report CY22 - "</a:t>
          </a:r>
          <a:r>
            <a:rPr lang="en-IN"/>
            <a:t>In terms of profitability, despite the challenges posed by higher costs of raw materials, we witnessed limited impact on our gross margins. Our prudent raw material sourcing strategy, as well as selective price increases on specific products, helped us to improve our realization per unit and mitigate the impact of rising costs on our margins."</a:t>
          </a:r>
          <a:endParaRPr lang="en-IN" sz="1100" b="0" i="0" u="none" strike="noStrike" baseline="0">
            <a:solidFill>
              <a:schemeClr val="dk1"/>
            </a:solidFill>
            <a:effectLst/>
            <a:latin typeface="+mn-lt"/>
            <a:ea typeface="+mn-ea"/>
            <a:cs typeface="+mn-cs"/>
          </a:endParaRPr>
        </a:p>
        <a:p>
          <a:endParaRPr lang="en-IN" sz="1100" b="0" i="0" u="none" strike="noStrike" baseline="0">
            <a:solidFill>
              <a:schemeClr val="dk1"/>
            </a:solidFill>
            <a:effectLst/>
            <a:latin typeface="+mn-lt"/>
            <a:ea typeface="+mn-ea"/>
            <a:cs typeface="+mn-cs"/>
          </a:endParaRPr>
        </a:p>
        <a:p>
          <a:r>
            <a:rPr lang="en-IN" sz="1100" b="0" i="0" u="none" strike="noStrike" baseline="0">
              <a:solidFill>
                <a:schemeClr val="dk1"/>
              </a:solidFill>
              <a:latin typeface="+mn-lt"/>
              <a:ea typeface="+mn-ea"/>
              <a:cs typeface="+mn-cs"/>
            </a:rPr>
            <a:t>Between one of the two commodities, one keeps on going up or down, but historically the company has posted gross margin ~53-57%, with median of 54.8% in last 8 years.</a:t>
          </a:r>
        </a:p>
        <a:p>
          <a:endParaRPr lang="en-IN" sz="1100" b="0" i="0" u="none" strike="noStrike" baseline="0">
            <a:solidFill>
              <a:schemeClr val="dk1"/>
            </a:solidFill>
            <a:latin typeface="+mn-lt"/>
            <a:ea typeface="+mn-ea"/>
            <a:cs typeface="+mn-cs"/>
          </a:endParaRPr>
        </a:p>
        <a:p>
          <a:r>
            <a:rPr lang="en-IN" sz="1100" b="0" i="0" u="none" strike="noStrike" baseline="0">
              <a:solidFill>
                <a:schemeClr val="dk1"/>
              </a:solidFill>
              <a:latin typeface="+mn-lt"/>
              <a:ea typeface="+mn-ea"/>
              <a:cs typeface="+mn-cs"/>
            </a:rPr>
            <a:t>In Q1 of CY2024, gross margins improved significantly, rising by 385 basis points to the level of 56.3%. This increase was largely driven by focus on reducing sugar content and the lightweighting packaging material, along with the benefits from reduced PET prices.</a:t>
          </a:r>
        </a:p>
        <a:p>
          <a:r>
            <a:rPr lang="en-IN" sz="1100" b="0" i="0" u="none" strike="noStrike" baseline="0">
              <a:solidFill>
                <a:schemeClr val="dk1"/>
              </a:solidFill>
              <a:latin typeface="+mn-lt"/>
              <a:ea typeface="+mn-ea"/>
              <a:cs typeface="+mn-cs"/>
            </a:rPr>
            <a:t>Currently ~46% of the total portfolio consists of either zero sugar or low sugar products, and the efforts to reduce sugar content remain constant, which will help in the gross margin going ahead.</a:t>
          </a:r>
        </a:p>
        <a:p>
          <a:endParaRPr lang="en-IN" sz="1100" b="0" i="0" u="none" strike="noStrike" baseline="0">
            <a:solidFill>
              <a:schemeClr val="dk1"/>
            </a:solidFill>
            <a:latin typeface="+mn-lt"/>
            <a:ea typeface="+mn-ea"/>
            <a:cs typeface="+mn-cs"/>
          </a:endParaRPr>
        </a:p>
        <a:p>
          <a:r>
            <a:rPr lang="en-IN" sz="1100" b="0" i="0" u="none" strike="noStrike" baseline="0">
              <a:solidFill>
                <a:schemeClr val="dk1"/>
              </a:solidFill>
              <a:latin typeface="+mn-lt"/>
              <a:ea typeface="+mn-ea"/>
              <a:cs typeface="+mn-cs"/>
            </a:rPr>
            <a:t>So we can assume this year margin to be 55% which is in line with the recently increased margin (56.3%), the street estimate (54.7%) and the historical median (54.8%) and the future prospect of reducing sugar content.</a:t>
          </a:r>
        </a:p>
        <a:p>
          <a:endParaRPr lang="en-IN" sz="1100" b="0" i="0" u="none" strike="noStrike" baseline="0">
            <a:solidFill>
              <a:schemeClr val="dk1"/>
            </a:solidFill>
            <a:latin typeface="+mn-lt"/>
            <a:ea typeface="+mn-ea"/>
            <a:cs typeface="+mn-cs"/>
          </a:endParaRPr>
        </a:p>
        <a:p>
          <a:r>
            <a:rPr lang="en-IN" sz="1100" b="1" i="0" u="none" strike="noStrike" baseline="0">
              <a:solidFill>
                <a:schemeClr val="dk1"/>
              </a:solidFill>
              <a:latin typeface="+mn-lt"/>
              <a:ea typeface="+mn-ea"/>
              <a:cs typeface="+mn-cs"/>
            </a:rPr>
            <a:t>Management Case - </a:t>
          </a:r>
          <a:r>
            <a:rPr lang="en-IN" sz="1100" b="0" i="0" u="none" strike="noStrike" baseline="0">
              <a:solidFill>
                <a:schemeClr val="dk1"/>
              </a:solidFill>
              <a:latin typeface="+mn-lt"/>
              <a:ea typeface="+mn-ea"/>
              <a:cs typeface="+mn-cs"/>
            </a:rPr>
            <a:t>55% in short term and 54.8% (</a:t>
          </a:r>
          <a:r>
            <a:rPr lang="en-IN" sz="1100" b="0" i="0" baseline="0">
              <a:solidFill>
                <a:schemeClr val="dk1"/>
              </a:solidFill>
              <a:effectLst/>
              <a:latin typeface="+mn-lt"/>
              <a:ea typeface="+mn-ea"/>
              <a:cs typeface="+mn-cs"/>
            </a:rPr>
            <a:t>historical median) </a:t>
          </a:r>
          <a:r>
            <a:rPr lang="en-IN" sz="1100" b="0" i="0" u="none" strike="noStrike" baseline="0">
              <a:solidFill>
                <a:schemeClr val="dk1"/>
              </a:solidFill>
              <a:latin typeface="+mn-lt"/>
              <a:ea typeface="+mn-ea"/>
              <a:cs typeface="+mn-cs"/>
            </a:rPr>
            <a:t> in long term.</a:t>
          </a:r>
        </a:p>
        <a:p>
          <a:pPr marL="0" marR="0" lvl="0" indent="0" defTabSz="914400" eaLnBrk="1" fontAlgn="auto" latinLnBrk="0" hangingPunct="1">
            <a:lnSpc>
              <a:spcPct val="100000"/>
            </a:lnSpc>
            <a:spcBef>
              <a:spcPts val="0"/>
            </a:spcBef>
            <a:spcAft>
              <a:spcPts val="0"/>
            </a:spcAft>
            <a:buClrTx/>
            <a:buSzTx/>
            <a:buFontTx/>
            <a:buNone/>
            <a:tabLst/>
            <a:defRPr/>
          </a:pPr>
          <a:r>
            <a:rPr lang="en-IN" sz="1100" b="1" i="0" u="none" strike="noStrike" baseline="0">
              <a:solidFill>
                <a:schemeClr val="dk1"/>
              </a:solidFill>
              <a:latin typeface="+mn-lt"/>
              <a:ea typeface="+mn-ea"/>
              <a:cs typeface="+mn-cs"/>
            </a:rPr>
            <a:t>Base Case - </a:t>
          </a:r>
          <a:r>
            <a:rPr lang="en-IN" sz="1100" b="1" i="0" baseline="0">
              <a:solidFill>
                <a:schemeClr val="dk1"/>
              </a:solidFill>
              <a:effectLst/>
              <a:latin typeface="+mn-lt"/>
              <a:ea typeface="+mn-ea"/>
              <a:cs typeface="+mn-cs"/>
            </a:rPr>
            <a:t>55% </a:t>
          </a:r>
          <a:r>
            <a:rPr lang="en-IN" sz="1100" b="0" i="0" baseline="0">
              <a:solidFill>
                <a:schemeClr val="dk1"/>
              </a:solidFill>
              <a:effectLst/>
              <a:latin typeface="+mn-lt"/>
              <a:ea typeface="+mn-ea"/>
              <a:cs typeface="+mn-cs"/>
            </a:rPr>
            <a:t>(historical median)  in short term and converging to </a:t>
          </a:r>
          <a:r>
            <a:rPr lang="en-IN" sz="1100" b="1" i="0" baseline="0">
              <a:solidFill>
                <a:schemeClr val="dk1"/>
              </a:solidFill>
              <a:effectLst/>
              <a:latin typeface="+mn-lt"/>
              <a:ea typeface="+mn-ea"/>
              <a:cs typeface="+mn-cs"/>
            </a:rPr>
            <a:t>49.5% </a:t>
          </a:r>
          <a:r>
            <a:rPr lang="en-IN" sz="1100" b="0" i="0" baseline="0">
              <a:solidFill>
                <a:schemeClr val="dk1"/>
              </a:solidFill>
              <a:effectLst/>
              <a:latin typeface="+mn-lt"/>
              <a:ea typeface="+mn-ea"/>
              <a:cs typeface="+mn-cs"/>
            </a:rPr>
            <a:t>(Global sector margin)  in the long term.</a:t>
          </a:r>
          <a:endParaRPr lang="en-IN">
            <a:effectLst/>
          </a:endParaRPr>
        </a:p>
        <a:p>
          <a:r>
            <a:rPr lang="en-IN" sz="1100" b="1" i="0" u="none" strike="noStrike" baseline="0">
              <a:solidFill>
                <a:schemeClr val="dk1"/>
              </a:solidFill>
              <a:latin typeface="+mn-lt"/>
              <a:ea typeface="+mn-ea"/>
              <a:cs typeface="+mn-cs"/>
            </a:rPr>
            <a:t>Down Case - </a:t>
          </a:r>
          <a:r>
            <a:rPr lang="en-IN" sz="1100" b="0" i="0" baseline="0">
              <a:solidFill>
                <a:schemeClr val="dk1"/>
              </a:solidFill>
              <a:effectLst/>
              <a:latin typeface="+mn-lt"/>
              <a:ea typeface="+mn-ea"/>
              <a:cs typeface="+mn-cs"/>
            </a:rPr>
            <a:t>53.8% (CY2023's margin)  in short term and converging to 44.3% (Emerging Markets sector margin)  in the long term.</a:t>
          </a:r>
          <a:endParaRPr lang="en-IN" sz="1100" b="0" i="0" u="none" strike="noStrike" baseline="0">
            <a:solidFill>
              <a:schemeClr val="dk1"/>
            </a:solidFill>
            <a:latin typeface="+mn-lt"/>
            <a:ea typeface="+mn-ea"/>
            <a:cs typeface="+mn-cs"/>
          </a:endParaRPr>
        </a:p>
        <a:p>
          <a:endParaRPr lang="en-IN" sz="1100" b="0" i="0" u="none" strike="noStrike" baseline="0">
            <a:solidFill>
              <a:schemeClr val="dk1"/>
            </a:solidFill>
            <a:latin typeface="+mn-lt"/>
            <a:ea typeface="+mn-ea"/>
            <a:cs typeface="+mn-cs"/>
          </a:endParaRPr>
        </a:p>
        <a:p>
          <a:endParaRPr lang="en-IN" sz="1100" b="0" i="0" u="none" strike="noStrike" baseline="0">
            <a:solidFill>
              <a:schemeClr val="dk1"/>
            </a:solidFill>
            <a:latin typeface="+mn-lt"/>
            <a:ea typeface="+mn-ea"/>
            <a:cs typeface="+mn-cs"/>
          </a:endParaRPr>
        </a:p>
        <a:p>
          <a:endParaRPr lang="en-IN"/>
        </a:p>
        <a:p>
          <a:endParaRPr lang="en-IN"/>
        </a:p>
        <a:p>
          <a:endParaRPr lang="en-IN"/>
        </a:p>
        <a:p>
          <a:endParaRPr lang="en-IN" sz="1100" baseline="0">
            <a:solidFill>
              <a:schemeClr val="dk1"/>
            </a:solidFill>
            <a:effectLst/>
            <a:latin typeface="+mn-lt"/>
            <a:ea typeface="+mn-ea"/>
            <a:cs typeface="+mn-cs"/>
          </a:endParaRPr>
        </a:p>
        <a:p>
          <a:endParaRPr lang="en-IN" sz="1100" baseline="0">
            <a:solidFill>
              <a:schemeClr val="dk1"/>
            </a:solidFill>
            <a:effectLst/>
            <a:latin typeface="+mn-lt"/>
            <a:ea typeface="+mn-ea"/>
            <a:cs typeface="+mn-cs"/>
          </a:endParaRPr>
        </a:p>
        <a:p>
          <a:endParaRPr lang="en-IN" sz="1100" baseline="0">
            <a:solidFill>
              <a:schemeClr val="dk1"/>
            </a:solidFill>
            <a:effectLst/>
            <a:latin typeface="+mn-lt"/>
            <a:ea typeface="+mn-ea"/>
            <a:cs typeface="+mn-cs"/>
          </a:endParaRPr>
        </a:p>
        <a:p>
          <a:endParaRPr lang="en-IN" sz="1100" baseline="0">
            <a:solidFill>
              <a:schemeClr val="dk1"/>
            </a:solidFill>
            <a:effectLst/>
            <a:latin typeface="+mn-lt"/>
            <a:ea typeface="+mn-ea"/>
            <a:cs typeface="+mn-cs"/>
          </a:endParaRPr>
        </a:p>
        <a:p>
          <a:endParaRPr lang="en-IN" sz="1100"/>
        </a:p>
      </xdr:txBody>
    </xdr:sp>
    <xdr:clientData/>
  </xdr:twoCellAnchor>
  <xdr:twoCellAnchor editAs="oneCell">
    <xdr:from>
      <xdr:col>0</xdr:col>
      <xdr:colOff>186447</xdr:colOff>
      <xdr:row>176</xdr:row>
      <xdr:rowOff>56746</xdr:rowOff>
    </xdr:from>
    <xdr:to>
      <xdr:col>7</xdr:col>
      <xdr:colOff>370773</xdr:colOff>
      <xdr:row>180</xdr:row>
      <xdr:rowOff>171908</xdr:rowOff>
    </xdr:to>
    <xdr:pic>
      <xdr:nvPicPr>
        <xdr:cNvPr id="18" name="Picture 17">
          <a:extLst>
            <a:ext uri="{FF2B5EF4-FFF2-40B4-BE49-F238E27FC236}">
              <a16:creationId xmlns:a16="http://schemas.microsoft.com/office/drawing/2014/main" id="{00000000-0008-0000-0F00-000012000000}"/>
            </a:ext>
          </a:extLst>
        </xdr:cNvPr>
        <xdr:cNvPicPr>
          <a:picLocks noChangeAspect="1"/>
        </xdr:cNvPicPr>
      </xdr:nvPicPr>
      <xdr:blipFill>
        <a:blip xmlns:r="http://schemas.openxmlformats.org/officeDocument/2006/relationships" r:embed="rId16"/>
        <a:stretch>
          <a:fillRect/>
        </a:stretch>
      </xdr:blipFill>
      <xdr:spPr>
        <a:xfrm>
          <a:off x="186447" y="26580831"/>
          <a:ext cx="7090964" cy="860949"/>
        </a:xfrm>
        <a:prstGeom prst="rect">
          <a:avLst/>
        </a:prstGeom>
      </xdr:spPr>
    </xdr:pic>
    <xdr:clientData/>
  </xdr:twoCellAnchor>
  <xdr:twoCellAnchor>
    <xdr:from>
      <xdr:col>0</xdr:col>
      <xdr:colOff>186447</xdr:colOff>
      <xdr:row>299</xdr:row>
      <xdr:rowOff>24319</xdr:rowOff>
    </xdr:from>
    <xdr:to>
      <xdr:col>13</xdr:col>
      <xdr:colOff>332362</xdr:colOff>
      <xdr:row>308</xdr:row>
      <xdr:rowOff>31750</xdr:rowOff>
    </xdr:to>
    <xdr:sp macro="" textlink="">
      <xdr:nvSpPr>
        <xdr:cNvPr id="19" name="TextBox 18">
          <a:extLst>
            <a:ext uri="{FF2B5EF4-FFF2-40B4-BE49-F238E27FC236}">
              <a16:creationId xmlns:a16="http://schemas.microsoft.com/office/drawing/2014/main" id="{00000000-0008-0000-0F00-000013000000}"/>
            </a:ext>
          </a:extLst>
        </xdr:cNvPr>
        <xdr:cNvSpPr txBox="1"/>
      </xdr:nvSpPr>
      <xdr:spPr>
        <a:xfrm>
          <a:off x="186447" y="48199652"/>
          <a:ext cx="10760998" cy="16266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dk1"/>
              </a:solidFill>
              <a:effectLst/>
              <a:latin typeface="+mn-lt"/>
              <a:ea typeface="+mn-ea"/>
              <a:cs typeface="+mn-cs"/>
            </a:rPr>
            <a:t>Summary</a:t>
          </a:r>
          <a:endParaRPr lang="en-IN" sz="2400">
            <a:effectLst/>
          </a:endParaRPr>
        </a:p>
        <a:p>
          <a:endParaRPr lang="en-IN" sz="1100" b="0" i="0" u="none" strike="noStrike" baseline="0">
            <a:solidFill>
              <a:schemeClr val="dk1"/>
            </a:solidFill>
            <a:latin typeface="+mn-lt"/>
            <a:ea typeface="+mn-ea"/>
            <a:cs typeface="+mn-cs"/>
          </a:endParaRPr>
        </a:p>
        <a:p>
          <a:r>
            <a:rPr lang="en-IN" sz="1100" b="0" i="0" u="none" strike="noStrike" baseline="0">
              <a:solidFill>
                <a:schemeClr val="dk1"/>
              </a:solidFill>
              <a:latin typeface="+mn-lt"/>
              <a:ea typeface="+mn-ea"/>
              <a:cs typeface="+mn-cs"/>
            </a:rPr>
            <a:t>Basis our research, we have identified that historically, SG&amp;A Expenses is 32.6% of revenue. If we subtract it from the assumed gross margin (55%), we get EBITDA margin of </a:t>
          </a:r>
          <a:r>
            <a:rPr lang="en-IN" sz="1100" b="0" i="0" baseline="0">
              <a:solidFill>
                <a:schemeClr val="dk1"/>
              </a:solidFill>
              <a:effectLst/>
              <a:latin typeface="+mn-lt"/>
              <a:ea typeface="+mn-ea"/>
              <a:cs typeface="+mn-cs"/>
            </a:rPr>
            <a:t>22.4%,</a:t>
          </a:r>
          <a:r>
            <a:rPr lang="en-IN" sz="1100" b="0" i="0" u="none" strike="noStrike" baseline="0">
              <a:solidFill>
                <a:schemeClr val="dk1"/>
              </a:solidFill>
              <a:latin typeface="+mn-lt"/>
              <a:ea typeface="+mn-ea"/>
              <a:cs typeface="+mn-cs"/>
            </a:rPr>
            <a:t> which is inline with the street estimate(23%) and the management guidance(21-22%).</a:t>
          </a:r>
        </a:p>
        <a:p>
          <a:endParaRPr lang="en-IN" sz="1100" b="0" i="0" u="none" strike="noStrike" baseline="0">
            <a:solidFill>
              <a:schemeClr val="dk1"/>
            </a:solidFill>
            <a:latin typeface="+mn-lt"/>
            <a:ea typeface="+mn-ea"/>
            <a:cs typeface="+mn-cs"/>
          </a:endParaRPr>
        </a:p>
        <a:p>
          <a:r>
            <a:rPr lang="en-IN" sz="1100" b="0" i="0" u="none" strike="noStrike" baseline="0">
              <a:solidFill>
                <a:schemeClr val="dk1"/>
              </a:solidFill>
              <a:latin typeface="+mn-lt"/>
              <a:ea typeface="+mn-ea"/>
              <a:cs typeface="+mn-cs"/>
            </a:rPr>
            <a:t>Hence we will assume total SG&amp;A Expenses to remain at the level of 32.6% of revenue.</a:t>
          </a:r>
        </a:p>
        <a:p>
          <a:endParaRPr lang="en-IN"/>
        </a:p>
        <a:p>
          <a:endParaRPr lang="en-IN" sz="1100" baseline="0">
            <a:solidFill>
              <a:schemeClr val="dk1"/>
            </a:solidFill>
            <a:effectLst/>
            <a:latin typeface="+mn-lt"/>
            <a:ea typeface="+mn-ea"/>
            <a:cs typeface="+mn-cs"/>
          </a:endParaRPr>
        </a:p>
        <a:p>
          <a:endParaRPr lang="en-IN" sz="1100" baseline="0">
            <a:solidFill>
              <a:schemeClr val="dk1"/>
            </a:solidFill>
            <a:effectLst/>
            <a:latin typeface="+mn-lt"/>
            <a:ea typeface="+mn-ea"/>
            <a:cs typeface="+mn-cs"/>
          </a:endParaRPr>
        </a:p>
        <a:p>
          <a:endParaRPr lang="en-IN" sz="1100" baseline="0">
            <a:solidFill>
              <a:schemeClr val="dk1"/>
            </a:solidFill>
            <a:effectLst/>
            <a:latin typeface="+mn-lt"/>
            <a:ea typeface="+mn-ea"/>
            <a:cs typeface="+mn-cs"/>
          </a:endParaRPr>
        </a:p>
        <a:p>
          <a:endParaRPr lang="en-IN" sz="1100" baseline="0">
            <a:solidFill>
              <a:schemeClr val="dk1"/>
            </a:solidFill>
            <a:effectLst/>
            <a:latin typeface="+mn-lt"/>
            <a:ea typeface="+mn-ea"/>
            <a:cs typeface="+mn-cs"/>
          </a:endParaRPr>
        </a:p>
        <a:p>
          <a:endParaRPr lang="en-IN" sz="1100"/>
        </a:p>
      </xdr:txBody>
    </xdr:sp>
    <xdr:clientData/>
  </xdr:twoCellAnchor>
  <xdr:twoCellAnchor editAs="oneCell">
    <xdr:from>
      <xdr:col>0</xdr:col>
      <xdr:colOff>187843</xdr:colOff>
      <xdr:row>377</xdr:row>
      <xdr:rowOff>67421</xdr:rowOff>
    </xdr:from>
    <xdr:to>
      <xdr:col>5</xdr:col>
      <xdr:colOff>153064</xdr:colOff>
      <xdr:row>384</xdr:row>
      <xdr:rowOff>143281</xdr:rowOff>
    </xdr:to>
    <xdr:pic>
      <xdr:nvPicPr>
        <xdr:cNvPr id="20" name="Picture 19">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7"/>
        <a:stretch>
          <a:fillRect/>
        </a:stretch>
      </xdr:blipFill>
      <xdr:spPr>
        <a:xfrm>
          <a:off x="187843" y="65804260"/>
          <a:ext cx="5659737" cy="1337665"/>
        </a:xfrm>
        <a:prstGeom prst="rect">
          <a:avLst/>
        </a:prstGeom>
        <a:ln>
          <a:solidFill>
            <a:schemeClr val="accent1"/>
          </a:solidFill>
        </a:ln>
      </xdr:spPr>
    </xdr:pic>
    <xdr:clientData/>
  </xdr:twoCellAnchor>
  <xdr:twoCellAnchor editAs="oneCell">
    <xdr:from>
      <xdr:col>0</xdr:col>
      <xdr:colOff>180259</xdr:colOff>
      <xdr:row>369</xdr:row>
      <xdr:rowOff>66384</xdr:rowOff>
    </xdr:from>
    <xdr:to>
      <xdr:col>5</xdr:col>
      <xdr:colOff>196645</xdr:colOff>
      <xdr:row>374</xdr:row>
      <xdr:rowOff>150362</xdr:rowOff>
    </xdr:to>
    <xdr:pic>
      <xdr:nvPicPr>
        <xdr:cNvPr id="21" name="Picture 20">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18"/>
        <a:stretch>
          <a:fillRect/>
        </a:stretch>
      </xdr:blipFill>
      <xdr:spPr>
        <a:xfrm>
          <a:off x="180259" y="64344771"/>
          <a:ext cx="5710902" cy="985267"/>
        </a:xfrm>
        <a:prstGeom prst="rect">
          <a:avLst/>
        </a:prstGeom>
        <a:ln>
          <a:solidFill>
            <a:schemeClr val="accent1"/>
          </a:solidFill>
        </a:ln>
      </xdr:spPr>
    </xdr:pic>
    <xdr:clientData/>
  </xdr:twoCellAnchor>
  <xdr:twoCellAnchor>
    <xdr:from>
      <xdr:col>0</xdr:col>
      <xdr:colOff>196646</xdr:colOff>
      <xdr:row>385</xdr:row>
      <xdr:rowOff>139291</xdr:rowOff>
    </xdr:from>
    <xdr:to>
      <xdr:col>13</xdr:col>
      <xdr:colOff>342561</xdr:colOff>
      <xdr:row>397</xdr:row>
      <xdr:rowOff>163871</xdr:rowOff>
    </xdr:to>
    <xdr:sp macro="" textlink="">
      <xdr:nvSpPr>
        <xdr:cNvPr id="22" name="TextBox 21">
          <a:extLst>
            <a:ext uri="{FF2B5EF4-FFF2-40B4-BE49-F238E27FC236}">
              <a16:creationId xmlns:a16="http://schemas.microsoft.com/office/drawing/2014/main" id="{00000000-0008-0000-0F00-000016000000}"/>
            </a:ext>
          </a:extLst>
        </xdr:cNvPr>
        <xdr:cNvSpPr txBox="1"/>
      </xdr:nvSpPr>
      <xdr:spPr>
        <a:xfrm>
          <a:off x="196646" y="67318194"/>
          <a:ext cx="10691012" cy="218767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Summary</a:t>
          </a:r>
          <a:endParaRPr lang="en-IN" sz="1000" b="1"/>
        </a:p>
        <a:p>
          <a:endParaRPr lang="en-IN" sz="1100" b="0" i="0" u="none" strike="noStrike" baseline="0">
            <a:solidFill>
              <a:schemeClr val="dk1"/>
            </a:solidFill>
            <a:latin typeface="+mn-lt"/>
            <a:ea typeface="+mn-ea"/>
            <a:cs typeface="+mn-cs"/>
          </a:endParaRPr>
        </a:p>
        <a:p>
          <a:r>
            <a:rPr lang="en-IN" sz="1100" b="0" i="0" u="none" strike="noStrike" baseline="0">
              <a:solidFill>
                <a:schemeClr val="dk1"/>
              </a:solidFill>
              <a:latin typeface="+mn-lt"/>
              <a:ea typeface="+mn-ea"/>
              <a:cs typeface="+mn-cs"/>
            </a:rPr>
            <a:t>The company usually increase inventory levels during Oct - Dec quarter and Jan - March quarter to prepare for season demand. Also, during this period PET prices are cheapest throughout the year, the company gets an edge in gross profitability by prestocking the raw material when prices are low. </a:t>
          </a:r>
        </a:p>
        <a:p>
          <a:endParaRPr lang="en-IN" sz="1100" b="0" i="0" u="none" strike="noStrike" baseline="0">
            <a:solidFill>
              <a:schemeClr val="dk1"/>
            </a:solidFill>
            <a:latin typeface="+mn-lt"/>
            <a:ea typeface="+mn-ea"/>
            <a:cs typeface="+mn-cs"/>
          </a:endParaRPr>
        </a:p>
        <a:p>
          <a:r>
            <a:rPr lang="en-IN" sz="1100" b="0" i="0" u="none" strike="noStrike" baseline="0">
              <a:solidFill>
                <a:schemeClr val="dk1"/>
              </a:solidFill>
              <a:latin typeface="+mn-lt"/>
              <a:ea typeface="+mn-ea"/>
              <a:cs typeface="+mn-cs"/>
            </a:rPr>
            <a:t>Historically, the company is maintaining inventory levels at ~ 10-14% of Revenues. Inventory turnover ratio is being consistent between 7.5x-10x and inventory days of 36-50.  </a:t>
          </a:r>
        </a:p>
        <a:p>
          <a:r>
            <a:rPr lang="en-IN" sz="1100" b="0" i="0" u="none" strike="noStrike" baseline="0">
              <a:solidFill>
                <a:schemeClr val="dk1"/>
              </a:solidFill>
              <a:latin typeface="+mn-lt"/>
              <a:ea typeface="+mn-ea"/>
              <a:cs typeface="+mn-cs"/>
            </a:rPr>
            <a:t>Further, street estimates suggest the inventory levels to remain flat from existing Inventory days.</a:t>
          </a:r>
        </a:p>
        <a:p>
          <a:endParaRPr lang="en-IN" sz="1100" b="0" i="0" u="none" strike="noStrike" baseline="0">
            <a:solidFill>
              <a:schemeClr val="dk1"/>
            </a:solidFill>
            <a:latin typeface="+mn-lt"/>
            <a:ea typeface="+mn-ea"/>
            <a:cs typeface="+mn-cs"/>
          </a:endParaRPr>
        </a:p>
        <a:p>
          <a:r>
            <a:rPr lang="en-IN" sz="1100" b="0" i="0" u="none" strike="noStrike" baseline="0">
              <a:solidFill>
                <a:schemeClr val="dk1"/>
              </a:solidFill>
              <a:latin typeface="+mn-lt"/>
              <a:ea typeface="+mn-ea"/>
              <a:cs typeface="+mn-cs"/>
            </a:rPr>
            <a:t>We Assume our inventory levels to go up by 5 days from 47 days to 52 days in year 2024 and 2025 due to increased freight costs and delay in shipments. Also the company is having to overstock for safety reasons which will cause additional inventory cost. Moreover due to new products launched by the company in energy drink, value based diary, sports drink and juices, the inventory levels may increase. Post that inventory levels are expected to normalize at 47 days</a:t>
          </a:r>
        </a:p>
        <a:p>
          <a:endParaRPr lang="en-IN" sz="1100" b="0" i="0" u="none" strike="noStrike" baseline="0">
            <a:solidFill>
              <a:schemeClr val="dk1"/>
            </a:solidFill>
            <a:latin typeface="+mn-lt"/>
            <a:ea typeface="+mn-ea"/>
            <a:cs typeface="+mn-cs"/>
          </a:endParaRPr>
        </a:p>
        <a:p>
          <a:endParaRPr lang="en-IN"/>
        </a:p>
        <a:p>
          <a:endParaRPr lang="en-IN"/>
        </a:p>
        <a:p>
          <a:endParaRPr lang="en-IN"/>
        </a:p>
        <a:p>
          <a:endParaRPr lang="en-IN" sz="1100" baseline="0">
            <a:solidFill>
              <a:schemeClr val="dk1"/>
            </a:solidFill>
            <a:effectLst/>
            <a:latin typeface="+mn-lt"/>
            <a:ea typeface="+mn-ea"/>
            <a:cs typeface="+mn-cs"/>
          </a:endParaRPr>
        </a:p>
        <a:p>
          <a:endParaRPr lang="en-IN" sz="1100" baseline="0">
            <a:solidFill>
              <a:schemeClr val="dk1"/>
            </a:solidFill>
            <a:effectLst/>
            <a:latin typeface="+mn-lt"/>
            <a:ea typeface="+mn-ea"/>
            <a:cs typeface="+mn-cs"/>
          </a:endParaRPr>
        </a:p>
        <a:p>
          <a:endParaRPr lang="en-IN" sz="1100" baseline="0">
            <a:solidFill>
              <a:schemeClr val="dk1"/>
            </a:solidFill>
            <a:effectLst/>
            <a:latin typeface="+mn-lt"/>
            <a:ea typeface="+mn-ea"/>
            <a:cs typeface="+mn-cs"/>
          </a:endParaRPr>
        </a:p>
        <a:p>
          <a:endParaRPr lang="en-IN" sz="1100" baseline="0">
            <a:solidFill>
              <a:schemeClr val="dk1"/>
            </a:solidFill>
            <a:effectLst/>
            <a:latin typeface="+mn-lt"/>
            <a:ea typeface="+mn-ea"/>
            <a:cs typeface="+mn-cs"/>
          </a:endParaRPr>
        </a:p>
        <a:p>
          <a:endParaRPr lang="en-IN" sz="1100"/>
        </a:p>
      </xdr:txBody>
    </xdr:sp>
    <xdr:clientData/>
  </xdr:twoCellAnchor>
  <xdr:twoCellAnchor>
    <xdr:from>
      <xdr:col>1</xdr:col>
      <xdr:colOff>0</xdr:colOff>
      <xdr:row>431</xdr:row>
      <xdr:rowOff>0</xdr:rowOff>
    </xdr:from>
    <xdr:to>
      <xdr:col>13</xdr:col>
      <xdr:colOff>367141</xdr:colOff>
      <xdr:row>444</xdr:row>
      <xdr:rowOff>57355</xdr:rowOff>
    </xdr:to>
    <xdr:sp macro="" textlink="">
      <xdr:nvSpPr>
        <xdr:cNvPr id="23" name="TextBox 22">
          <a:extLst>
            <a:ext uri="{FF2B5EF4-FFF2-40B4-BE49-F238E27FC236}">
              <a16:creationId xmlns:a16="http://schemas.microsoft.com/office/drawing/2014/main" id="{00000000-0008-0000-0F00-000017000000}"/>
            </a:ext>
          </a:extLst>
        </xdr:cNvPr>
        <xdr:cNvSpPr txBox="1"/>
      </xdr:nvSpPr>
      <xdr:spPr>
        <a:xfrm>
          <a:off x="221226" y="75560903"/>
          <a:ext cx="10691012" cy="24007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Summary</a:t>
          </a:r>
          <a:endParaRPr lang="en-IN" sz="1000" b="1"/>
        </a:p>
        <a:p>
          <a:endParaRPr lang="en-IN" sz="1100" b="0" i="0" u="none" strike="noStrike" baseline="0">
            <a:solidFill>
              <a:schemeClr val="dk1"/>
            </a:solidFill>
            <a:latin typeface="+mn-lt"/>
            <a:ea typeface="+mn-ea"/>
            <a:cs typeface="+mn-cs"/>
          </a:endParaRPr>
        </a:p>
        <a:p>
          <a:r>
            <a:rPr lang="en-IN" sz="1100" b="0" i="0" u="none" strike="noStrike" baseline="0">
              <a:solidFill>
                <a:schemeClr val="dk1"/>
              </a:solidFill>
              <a:latin typeface="+mn-lt"/>
              <a:ea typeface="+mn-ea"/>
              <a:cs typeface="+mn-cs"/>
            </a:rPr>
            <a:t>The company usually has increased receivable levels during April - June quarter due to seasonality. The company has robust collection mechanism due to which receivable levels were normalized by the end of year. Company is not exposed to any significant credit risk from a single counterparty. The company has policy to deal with creditworthy counterparties whose security deposit is kept with the company at the time of onboarding. The receivables are spread across large number of customer at various scale and geographies. We don't foresee any significant credit impairment by the company in near future.</a:t>
          </a:r>
        </a:p>
        <a:p>
          <a:endParaRPr lang="en-IN" sz="1100" b="0" i="0" u="none" strike="noStrike" baseline="0">
            <a:solidFill>
              <a:schemeClr val="dk1"/>
            </a:solidFill>
            <a:latin typeface="+mn-lt"/>
            <a:ea typeface="+mn-ea"/>
            <a:cs typeface="+mn-cs"/>
          </a:endParaRPr>
        </a:p>
        <a:p>
          <a:r>
            <a:rPr lang="en-IN" sz="1100" b="0" i="0" u="none" strike="noStrike" baseline="0">
              <a:solidFill>
                <a:schemeClr val="dk1"/>
              </a:solidFill>
              <a:latin typeface="+mn-lt"/>
              <a:ea typeface="+mn-ea"/>
              <a:cs typeface="+mn-cs"/>
            </a:rPr>
            <a:t>Historically, the company is maintaining receivable levels at ~ 2.9% of the revenues, with median recievable turnover ratio of ~35.0x . Further, street estimates suggest the receivable levels to increase from current level and then remain flat between 8-10 days.</a:t>
          </a:r>
        </a:p>
        <a:p>
          <a:endParaRPr lang="en-IN" sz="1100" b="0" i="0" u="none" strike="noStrike" baseline="0">
            <a:solidFill>
              <a:schemeClr val="dk1"/>
            </a:solidFill>
            <a:latin typeface="+mn-lt"/>
            <a:ea typeface="+mn-ea"/>
            <a:cs typeface="+mn-cs"/>
          </a:endParaRPr>
        </a:p>
        <a:p>
          <a:r>
            <a:rPr lang="en-IN" sz="1100" b="0" i="0" u="none" strike="noStrike" baseline="0">
              <a:solidFill>
                <a:schemeClr val="dk1"/>
              </a:solidFill>
              <a:latin typeface="+mn-lt"/>
              <a:ea typeface="+mn-ea"/>
              <a:cs typeface="+mn-cs"/>
            </a:rPr>
            <a:t>We Assume our receivable levels to be flat at 9 days.</a:t>
          </a:r>
        </a:p>
        <a:p>
          <a:endParaRPr lang="en-IN"/>
        </a:p>
        <a:p>
          <a:endParaRPr lang="en-IN"/>
        </a:p>
        <a:p>
          <a:endParaRPr lang="en-IN"/>
        </a:p>
        <a:p>
          <a:endParaRPr lang="en-IN" sz="1100" baseline="0">
            <a:solidFill>
              <a:schemeClr val="dk1"/>
            </a:solidFill>
            <a:effectLst/>
            <a:latin typeface="+mn-lt"/>
            <a:ea typeface="+mn-ea"/>
            <a:cs typeface="+mn-cs"/>
          </a:endParaRPr>
        </a:p>
        <a:p>
          <a:endParaRPr lang="en-IN" sz="1100" baseline="0">
            <a:solidFill>
              <a:schemeClr val="dk1"/>
            </a:solidFill>
            <a:effectLst/>
            <a:latin typeface="+mn-lt"/>
            <a:ea typeface="+mn-ea"/>
            <a:cs typeface="+mn-cs"/>
          </a:endParaRPr>
        </a:p>
        <a:p>
          <a:endParaRPr lang="en-IN" sz="1100" baseline="0">
            <a:solidFill>
              <a:schemeClr val="dk1"/>
            </a:solidFill>
            <a:effectLst/>
            <a:latin typeface="+mn-lt"/>
            <a:ea typeface="+mn-ea"/>
            <a:cs typeface="+mn-cs"/>
          </a:endParaRPr>
        </a:p>
        <a:p>
          <a:endParaRPr lang="en-IN" sz="1100" baseline="0">
            <a:solidFill>
              <a:schemeClr val="dk1"/>
            </a:solidFill>
            <a:effectLst/>
            <a:latin typeface="+mn-lt"/>
            <a:ea typeface="+mn-ea"/>
            <a:cs typeface="+mn-cs"/>
          </a:endParaRPr>
        </a:p>
        <a:p>
          <a:endParaRPr lang="en-IN" sz="1100"/>
        </a:p>
      </xdr:txBody>
    </xdr:sp>
    <xdr:clientData/>
  </xdr:twoCellAnchor>
  <xdr:twoCellAnchor editAs="oneCell">
    <xdr:from>
      <xdr:col>1</xdr:col>
      <xdr:colOff>14036</xdr:colOff>
      <xdr:row>532</xdr:row>
      <xdr:rowOff>39449</xdr:rowOff>
    </xdr:from>
    <xdr:to>
      <xdr:col>6</xdr:col>
      <xdr:colOff>6261</xdr:colOff>
      <xdr:row>544</xdr:row>
      <xdr:rowOff>9537</xdr:rowOff>
    </xdr:to>
    <xdr:pic>
      <xdr:nvPicPr>
        <xdr:cNvPr id="24" name="Picture 23">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19"/>
        <a:stretch>
          <a:fillRect/>
        </a:stretch>
      </xdr:blipFill>
      <xdr:spPr>
        <a:xfrm>
          <a:off x="237060" y="97110815"/>
          <a:ext cx="6097518" cy="2200331"/>
        </a:xfrm>
        <a:prstGeom prst="rect">
          <a:avLst/>
        </a:prstGeom>
        <a:ln>
          <a:solidFill>
            <a:schemeClr val="accent1"/>
          </a:solidFill>
        </a:ln>
      </xdr:spPr>
    </xdr:pic>
    <xdr:clientData/>
  </xdr:twoCellAnchor>
  <xdr:twoCellAnchor editAs="oneCell">
    <xdr:from>
      <xdr:col>1</xdr:col>
      <xdr:colOff>22492</xdr:colOff>
      <xdr:row>519</xdr:row>
      <xdr:rowOff>182620</xdr:rowOff>
    </xdr:from>
    <xdr:to>
      <xdr:col>4</xdr:col>
      <xdr:colOff>131348</xdr:colOff>
      <xdr:row>531</xdr:row>
      <xdr:rowOff>54649</xdr:rowOff>
    </xdr:to>
    <xdr:pic>
      <xdr:nvPicPr>
        <xdr:cNvPr id="25" name="Picture 24">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20"/>
        <a:stretch>
          <a:fillRect/>
        </a:stretch>
      </xdr:blipFill>
      <xdr:spPr>
        <a:xfrm>
          <a:off x="243718" y="94088878"/>
          <a:ext cx="4979920" cy="2084285"/>
        </a:xfrm>
        <a:prstGeom prst="rect">
          <a:avLst/>
        </a:prstGeom>
        <a:ln>
          <a:solidFill>
            <a:schemeClr val="accent1"/>
          </a:solidFill>
        </a:ln>
      </xdr:spPr>
    </xdr:pic>
    <xdr:clientData/>
  </xdr:twoCellAnchor>
  <xdr:twoCellAnchor editAs="oneCell">
    <xdr:from>
      <xdr:col>7</xdr:col>
      <xdr:colOff>563562</xdr:colOff>
      <xdr:row>520</xdr:row>
      <xdr:rowOff>174624</xdr:rowOff>
    </xdr:from>
    <xdr:to>
      <xdr:col>17</xdr:col>
      <xdr:colOff>24047</xdr:colOff>
      <xdr:row>525</xdr:row>
      <xdr:rowOff>116556</xdr:rowOff>
    </xdr:to>
    <xdr:pic>
      <xdr:nvPicPr>
        <xdr:cNvPr id="27" name="Picture 26">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21"/>
        <a:stretch>
          <a:fillRect/>
        </a:stretch>
      </xdr:blipFill>
      <xdr:spPr>
        <a:xfrm>
          <a:off x="7493000" y="93432312"/>
          <a:ext cx="5786438" cy="854745"/>
        </a:xfrm>
        <a:prstGeom prst="rect">
          <a:avLst/>
        </a:prstGeom>
        <a:ln>
          <a:solidFill>
            <a:schemeClr val="accent1"/>
          </a:solidFill>
        </a:ln>
      </xdr:spPr>
    </xdr:pic>
    <xdr:clientData/>
  </xdr:twoCellAnchor>
  <xdr:twoCellAnchor editAs="oneCell">
    <xdr:from>
      <xdr:col>7</xdr:col>
      <xdr:colOff>460374</xdr:colOff>
      <xdr:row>532</xdr:row>
      <xdr:rowOff>15875</xdr:rowOff>
    </xdr:from>
    <xdr:to>
      <xdr:col>18</xdr:col>
      <xdr:colOff>53347</xdr:colOff>
      <xdr:row>541</xdr:row>
      <xdr:rowOff>15875</xdr:rowOff>
    </xdr:to>
    <xdr:pic>
      <xdr:nvPicPr>
        <xdr:cNvPr id="28" name="Picture 27">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22"/>
        <a:stretch>
          <a:fillRect/>
        </a:stretch>
      </xdr:blipFill>
      <xdr:spPr>
        <a:xfrm>
          <a:off x="7389812" y="95464313"/>
          <a:ext cx="6530115" cy="1643062"/>
        </a:xfrm>
        <a:prstGeom prst="rect">
          <a:avLst/>
        </a:prstGeom>
        <a:ln>
          <a:solidFill>
            <a:schemeClr val="accent1"/>
          </a:solidFill>
        </a:ln>
      </xdr:spPr>
    </xdr:pic>
    <xdr:clientData/>
  </xdr:twoCellAnchor>
  <xdr:twoCellAnchor>
    <xdr:from>
      <xdr:col>17</xdr:col>
      <xdr:colOff>510617</xdr:colOff>
      <xdr:row>649</xdr:row>
      <xdr:rowOff>94267</xdr:rowOff>
    </xdr:from>
    <xdr:to>
      <xdr:col>23</xdr:col>
      <xdr:colOff>424205</xdr:colOff>
      <xdr:row>661</xdr:row>
      <xdr:rowOff>173609</xdr:rowOff>
    </xdr:to>
    <xdr:graphicFrame macro="">
      <xdr:nvGraphicFramePr>
        <xdr:cNvPr id="26" name="Chart 25">
          <a:extLst>
            <a:ext uri="{FF2B5EF4-FFF2-40B4-BE49-F238E27FC236}">
              <a16:creationId xmlns:a16="http://schemas.microsoft.com/office/drawing/2014/main" id="{00000000-0008-0000-0F00-00001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xdr:col>
      <xdr:colOff>0</xdr:colOff>
      <xdr:row>679</xdr:row>
      <xdr:rowOff>0</xdr:rowOff>
    </xdr:from>
    <xdr:to>
      <xdr:col>13</xdr:col>
      <xdr:colOff>367141</xdr:colOff>
      <xdr:row>686</xdr:row>
      <xdr:rowOff>62845</xdr:rowOff>
    </xdr:to>
    <xdr:sp macro="" textlink="">
      <xdr:nvSpPr>
        <xdr:cNvPr id="29" name="TextBox 28">
          <a:extLst>
            <a:ext uri="{FF2B5EF4-FFF2-40B4-BE49-F238E27FC236}">
              <a16:creationId xmlns:a16="http://schemas.microsoft.com/office/drawing/2014/main" id="{00000000-0008-0000-0F00-00001D000000}"/>
            </a:ext>
          </a:extLst>
        </xdr:cNvPr>
        <xdr:cNvSpPr txBox="1"/>
      </xdr:nvSpPr>
      <xdr:spPr>
        <a:xfrm>
          <a:off x="219959" y="122949093"/>
          <a:ext cx="10752337" cy="132760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Summary</a:t>
          </a:r>
          <a:endParaRPr lang="en-IN" sz="1000" b="1"/>
        </a:p>
        <a:p>
          <a:endParaRPr lang="en-IN" sz="1100" b="0" i="0" u="none" strike="noStrike" baseline="0">
            <a:solidFill>
              <a:schemeClr val="dk1"/>
            </a:solidFill>
            <a:latin typeface="+mn-lt"/>
            <a:ea typeface="+mn-ea"/>
            <a:cs typeface="+mn-cs"/>
          </a:endParaRPr>
        </a:p>
        <a:p>
          <a:r>
            <a:rPr lang="en-IN"/>
            <a:t>Company has maintained consistent payable of ~40-50 days except COVID year where the payables were delayed. However, in year 2023, the payables were reported to a</a:t>
          </a:r>
          <a:r>
            <a:rPr lang="en-IN" baseline="0"/>
            <a:t> lower</a:t>
          </a:r>
          <a:r>
            <a:rPr lang="en-IN"/>
            <a:t> level of 37 days, from previous year's normal level of 48 days. The trade payable is consistently ~13% of COGS and ~6% of Revenue.</a:t>
          </a:r>
        </a:p>
        <a:p>
          <a:r>
            <a:rPr lang="en-IN"/>
            <a:t>Further, street estimates suggest the payable levels to remain flat from existing payable days.</a:t>
          </a:r>
        </a:p>
        <a:p>
          <a:r>
            <a:rPr lang="en-IN"/>
            <a:t>In absence of management guidance and basis our research, we assume the payable days to remain flat at 40 days.	</a:t>
          </a:r>
        </a:p>
        <a:p>
          <a:endParaRPr lang="en-IN"/>
        </a:p>
        <a:p>
          <a:endParaRPr lang="en-IN"/>
        </a:p>
        <a:p>
          <a:endParaRPr lang="en-IN" sz="1100" baseline="0">
            <a:solidFill>
              <a:schemeClr val="dk1"/>
            </a:solidFill>
            <a:effectLst/>
            <a:latin typeface="+mn-lt"/>
            <a:ea typeface="+mn-ea"/>
            <a:cs typeface="+mn-cs"/>
          </a:endParaRPr>
        </a:p>
        <a:p>
          <a:endParaRPr lang="en-IN" sz="1100" baseline="0">
            <a:solidFill>
              <a:schemeClr val="dk1"/>
            </a:solidFill>
            <a:effectLst/>
            <a:latin typeface="+mn-lt"/>
            <a:ea typeface="+mn-ea"/>
            <a:cs typeface="+mn-cs"/>
          </a:endParaRPr>
        </a:p>
        <a:p>
          <a:endParaRPr lang="en-IN" sz="1100" baseline="0">
            <a:solidFill>
              <a:schemeClr val="dk1"/>
            </a:solidFill>
            <a:effectLst/>
            <a:latin typeface="+mn-lt"/>
            <a:ea typeface="+mn-ea"/>
            <a:cs typeface="+mn-cs"/>
          </a:endParaRPr>
        </a:p>
        <a:p>
          <a:endParaRPr lang="en-IN" sz="1100" baseline="0">
            <a:solidFill>
              <a:schemeClr val="dk1"/>
            </a:solidFill>
            <a:effectLst/>
            <a:latin typeface="+mn-lt"/>
            <a:ea typeface="+mn-ea"/>
            <a:cs typeface="+mn-cs"/>
          </a:endParaRPr>
        </a:p>
        <a:p>
          <a:endParaRPr lang="en-IN" sz="1100"/>
        </a:p>
      </xdr:txBody>
    </xdr:sp>
    <xdr:clientData/>
  </xdr:twoCellAnchor>
  <xdr:twoCellAnchor>
    <xdr:from>
      <xdr:col>0</xdr:col>
      <xdr:colOff>190500</xdr:colOff>
      <xdr:row>785</xdr:row>
      <xdr:rowOff>71436</xdr:rowOff>
    </xdr:from>
    <xdr:to>
      <xdr:col>13</xdr:col>
      <xdr:colOff>335391</xdr:colOff>
      <xdr:row>796</xdr:row>
      <xdr:rowOff>47624</xdr:rowOff>
    </xdr:to>
    <xdr:sp macro="" textlink="">
      <xdr:nvSpPr>
        <xdr:cNvPr id="30" name="TextBox 29">
          <a:extLst>
            <a:ext uri="{FF2B5EF4-FFF2-40B4-BE49-F238E27FC236}">
              <a16:creationId xmlns:a16="http://schemas.microsoft.com/office/drawing/2014/main" id="{00000000-0008-0000-0F00-00001E000000}"/>
            </a:ext>
          </a:extLst>
        </xdr:cNvPr>
        <xdr:cNvSpPr txBox="1"/>
      </xdr:nvSpPr>
      <xdr:spPr>
        <a:xfrm>
          <a:off x="190500" y="132937249"/>
          <a:ext cx="10741454" cy="198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Summary</a:t>
          </a:r>
          <a:endParaRPr lang="en-IN" sz="1000" b="1"/>
        </a:p>
        <a:p>
          <a:endParaRPr lang="en-IN" sz="1100" b="0" i="0" u="none" strike="noStrike" baseline="0">
            <a:solidFill>
              <a:schemeClr val="dk1"/>
            </a:solidFill>
            <a:latin typeface="+mn-lt"/>
            <a:ea typeface="+mn-ea"/>
            <a:cs typeface="+mn-cs"/>
          </a:endParaRPr>
        </a:p>
        <a:p>
          <a:r>
            <a:rPr lang="en-IN"/>
            <a:t>In the recent years, the company has substantially reduced the long terms debt from *83% of the total debt in 2017 to 61% in 2023 with Debt to Equity ratio is consistent at 0.8x, Debt to Capital ratio at 0.4x, Debt to Asset Ratio at 0.3x.</a:t>
          </a:r>
          <a:r>
            <a:rPr lang="en-IN" baseline="0"/>
            <a:t>  But, </a:t>
          </a:r>
          <a:r>
            <a:rPr lang="en-IN"/>
            <a:t>Debt to EBITDA ratio has reduced to 1.4x. </a:t>
          </a:r>
        </a:p>
        <a:p>
          <a:endParaRPr lang="en-IN"/>
        </a:p>
        <a:p>
          <a:r>
            <a:rPr lang="en-IN"/>
            <a:t>The Management has provided the guidance to maintain Debt to EBITDA at 1-1.25x and </a:t>
          </a:r>
          <a:r>
            <a:rPr lang="en-IN" sz="1100">
              <a:solidFill>
                <a:schemeClr val="dk1"/>
              </a:solidFill>
              <a:effectLst/>
              <a:latin typeface="+mn-lt"/>
              <a:ea typeface="+mn-ea"/>
              <a:cs typeface="+mn-cs"/>
            </a:rPr>
            <a:t>Debt to Equity</a:t>
          </a:r>
          <a:r>
            <a:rPr lang="en-IN" sz="1100" baseline="0">
              <a:solidFill>
                <a:schemeClr val="dk1"/>
              </a:solidFill>
              <a:effectLst/>
              <a:latin typeface="+mn-lt"/>
              <a:ea typeface="+mn-ea"/>
              <a:cs typeface="+mn-cs"/>
            </a:rPr>
            <a:t> to 0.5-0.7x.</a:t>
          </a:r>
          <a:endParaRPr lang="en-IN" baseline="0"/>
        </a:p>
        <a:p>
          <a:r>
            <a:rPr lang="en-IN"/>
            <a:t>The management is committed to reduce the debt levels further in future. Also, the company has increased the usage of short term borrowings to fund its cyclical operations. Due to which debt levels are usually high pre season (December) and at the lowest level post season (June). The company has guided for debt levels at constant in short term.</a:t>
          </a:r>
        </a:p>
        <a:p>
          <a:endParaRPr lang="en-IN"/>
        </a:p>
        <a:p>
          <a:r>
            <a:rPr lang="en-IN"/>
            <a:t>We assume, the LT  and ST</a:t>
          </a:r>
          <a:r>
            <a:rPr lang="en-IN" baseline="0"/>
            <a:t> d</a:t>
          </a:r>
          <a:r>
            <a:rPr lang="en-IN"/>
            <a:t>ebt to grow initially </a:t>
          </a:r>
          <a:r>
            <a:rPr lang="en-IN" sz="1100">
              <a:solidFill>
                <a:schemeClr val="dk1"/>
              </a:solidFill>
              <a:effectLst/>
              <a:latin typeface="+mn-lt"/>
              <a:ea typeface="+mn-ea"/>
              <a:cs typeface="+mn-cs"/>
            </a:rPr>
            <a:t>due to higher capex</a:t>
          </a:r>
          <a:r>
            <a:rPr lang="en-IN" baseline="0"/>
            <a:t> and then reduce</a:t>
          </a:r>
          <a:r>
            <a:rPr lang="en-IN"/>
            <a:t> for the successive</a:t>
          </a:r>
          <a:r>
            <a:rPr lang="en-IN" baseline="0"/>
            <a:t> years.</a:t>
          </a:r>
          <a:endParaRPr lang="en-IN"/>
        </a:p>
        <a:p>
          <a:endParaRPr lang="en-IN"/>
        </a:p>
        <a:p>
          <a:endParaRPr lang="en-IN" sz="1100" baseline="0">
            <a:solidFill>
              <a:schemeClr val="dk1"/>
            </a:solidFill>
            <a:effectLst/>
            <a:latin typeface="+mn-lt"/>
            <a:ea typeface="+mn-ea"/>
            <a:cs typeface="+mn-cs"/>
          </a:endParaRPr>
        </a:p>
        <a:p>
          <a:endParaRPr lang="en-IN" sz="1100" baseline="0">
            <a:solidFill>
              <a:schemeClr val="dk1"/>
            </a:solidFill>
            <a:effectLst/>
            <a:latin typeface="+mn-lt"/>
            <a:ea typeface="+mn-ea"/>
            <a:cs typeface="+mn-cs"/>
          </a:endParaRPr>
        </a:p>
        <a:p>
          <a:endParaRPr lang="en-IN" sz="1100" baseline="0">
            <a:solidFill>
              <a:schemeClr val="dk1"/>
            </a:solidFill>
            <a:effectLst/>
            <a:latin typeface="+mn-lt"/>
            <a:ea typeface="+mn-ea"/>
            <a:cs typeface="+mn-cs"/>
          </a:endParaRPr>
        </a:p>
        <a:p>
          <a:endParaRPr lang="en-IN" sz="1100" baseline="0">
            <a:solidFill>
              <a:schemeClr val="dk1"/>
            </a:solidFill>
            <a:effectLst/>
            <a:latin typeface="+mn-lt"/>
            <a:ea typeface="+mn-ea"/>
            <a:cs typeface="+mn-cs"/>
          </a:endParaRPr>
        </a:p>
        <a:p>
          <a:endParaRPr lang="en-IN" sz="1100"/>
        </a:p>
      </xdr:txBody>
    </xdr:sp>
    <xdr:clientData/>
  </xdr:twoCellAnchor>
  <xdr:twoCellAnchor editAs="oneCell">
    <xdr:from>
      <xdr:col>1</xdr:col>
      <xdr:colOff>84666</xdr:colOff>
      <xdr:row>748</xdr:row>
      <xdr:rowOff>81935</xdr:rowOff>
    </xdr:from>
    <xdr:to>
      <xdr:col>6</xdr:col>
      <xdr:colOff>239979</xdr:colOff>
      <xdr:row>756</xdr:row>
      <xdr:rowOff>134848</xdr:rowOff>
    </xdr:to>
    <xdr:pic>
      <xdr:nvPicPr>
        <xdr:cNvPr id="31" name="Picture 30">
          <a:extLst>
            <a:ext uri="{FF2B5EF4-FFF2-40B4-BE49-F238E27FC236}">
              <a16:creationId xmlns:a16="http://schemas.microsoft.com/office/drawing/2014/main" id="{C637D1A9-F79D-4A36-441A-F5BF50DF40A7}"/>
            </a:ext>
          </a:extLst>
        </xdr:cNvPr>
        <xdr:cNvPicPr>
          <a:picLocks noChangeAspect="1"/>
        </xdr:cNvPicPr>
      </xdr:nvPicPr>
      <xdr:blipFill>
        <a:blip xmlns:r="http://schemas.openxmlformats.org/officeDocument/2006/relationships" r:embed="rId24"/>
        <a:stretch>
          <a:fillRect/>
        </a:stretch>
      </xdr:blipFill>
      <xdr:spPr>
        <a:xfrm>
          <a:off x="306916" y="127304185"/>
          <a:ext cx="6251313" cy="1492249"/>
        </a:xfrm>
        <a:prstGeom prst="rect">
          <a:avLst/>
        </a:prstGeom>
        <a:ln>
          <a:solidFill>
            <a:schemeClr val="accent1"/>
          </a:solidFill>
        </a:ln>
      </xdr:spPr>
    </xdr:pic>
    <xdr:clientData/>
  </xdr:twoCellAnchor>
  <xdr:twoCellAnchor editAs="oneCell">
    <xdr:from>
      <xdr:col>1</xdr:col>
      <xdr:colOff>94435</xdr:colOff>
      <xdr:row>758</xdr:row>
      <xdr:rowOff>60755</xdr:rowOff>
    </xdr:from>
    <xdr:to>
      <xdr:col>6</xdr:col>
      <xdr:colOff>267955</xdr:colOff>
      <xdr:row>769</xdr:row>
      <xdr:rowOff>89130</xdr:rowOff>
    </xdr:to>
    <xdr:pic>
      <xdr:nvPicPr>
        <xdr:cNvPr id="32" name="Picture 31">
          <a:extLst>
            <a:ext uri="{FF2B5EF4-FFF2-40B4-BE49-F238E27FC236}">
              <a16:creationId xmlns:a16="http://schemas.microsoft.com/office/drawing/2014/main" id="{6602EB53-B9AF-54B4-84EC-94067913B4D7}"/>
            </a:ext>
          </a:extLst>
        </xdr:cNvPr>
        <xdr:cNvPicPr>
          <a:picLocks noChangeAspect="1"/>
        </xdr:cNvPicPr>
      </xdr:nvPicPr>
      <xdr:blipFill>
        <a:blip xmlns:r="http://schemas.openxmlformats.org/officeDocument/2006/relationships" r:embed="rId25"/>
        <a:stretch>
          <a:fillRect/>
        </a:stretch>
      </xdr:blipFill>
      <xdr:spPr>
        <a:xfrm>
          <a:off x="312149" y="132029107"/>
          <a:ext cx="6261147" cy="2054788"/>
        </a:xfrm>
        <a:prstGeom prst="rect">
          <a:avLst/>
        </a:prstGeom>
        <a:ln>
          <a:solidFill>
            <a:schemeClr val="accent1"/>
          </a:solidFill>
        </a:ln>
      </xdr:spPr>
    </xdr:pic>
    <xdr:clientData/>
  </xdr:twoCellAnchor>
  <xdr:twoCellAnchor editAs="oneCell">
    <xdr:from>
      <xdr:col>1</xdr:col>
      <xdr:colOff>113973</xdr:colOff>
      <xdr:row>770</xdr:row>
      <xdr:rowOff>87262</xdr:rowOff>
    </xdr:from>
    <xdr:to>
      <xdr:col>6</xdr:col>
      <xdr:colOff>284703</xdr:colOff>
      <xdr:row>784</xdr:row>
      <xdr:rowOff>5116</xdr:rowOff>
    </xdr:to>
    <xdr:pic>
      <xdr:nvPicPr>
        <xdr:cNvPr id="33" name="Picture 32">
          <a:extLst>
            <a:ext uri="{FF2B5EF4-FFF2-40B4-BE49-F238E27FC236}">
              <a16:creationId xmlns:a16="http://schemas.microsoft.com/office/drawing/2014/main" id="{CA61960E-04AF-D5CB-2216-06E17BBFBF2E}"/>
            </a:ext>
          </a:extLst>
        </xdr:cNvPr>
        <xdr:cNvPicPr>
          <a:picLocks noChangeAspect="1"/>
        </xdr:cNvPicPr>
      </xdr:nvPicPr>
      <xdr:blipFill>
        <a:blip xmlns:r="http://schemas.openxmlformats.org/officeDocument/2006/relationships" r:embed="rId26"/>
        <a:stretch>
          <a:fillRect/>
        </a:stretch>
      </xdr:blipFill>
      <xdr:spPr>
        <a:xfrm>
          <a:off x="331687" y="134266251"/>
          <a:ext cx="6258357" cy="2496930"/>
        </a:xfrm>
        <a:prstGeom prst="rect">
          <a:avLst/>
        </a:prstGeom>
        <a:ln>
          <a:solidFill>
            <a:schemeClr val="accent1"/>
          </a:solidFill>
        </a:ln>
      </xdr:spPr>
    </xdr:pic>
    <xdr:clientData/>
  </xdr:twoCellAnchor>
  <xdr:twoCellAnchor>
    <xdr:from>
      <xdr:col>1</xdr:col>
      <xdr:colOff>0</xdr:colOff>
      <xdr:row>561</xdr:row>
      <xdr:rowOff>0</xdr:rowOff>
    </xdr:from>
    <xdr:to>
      <xdr:col>13</xdr:col>
      <xdr:colOff>367141</xdr:colOff>
      <xdr:row>584</xdr:row>
      <xdr:rowOff>0</xdr:rowOff>
    </xdr:to>
    <xdr:sp macro="" textlink="">
      <xdr:nvSpPr>
        <xdr:cNvPr id="34" name="TextBox 33">
          <a:extLst>
            <a:ext uri="{FF2B5EF4-FFF2-40B4-BE49-F238E27FC236}">
              <a16:creationId xmlns:a16="http://schemas.microsoft.com/office/drawing/2014/main" id="{E3EE95EC-0295-4FA8-BF2F-0448B364808A}"/>
            </a:ext>
          </a:extLst>
        </xdr:cNvPr>
        <xdr:cNvSpPr txBox="1"/>
      </xdr:nvSpPr>
      <xdr:spPr>
        <a:xfrm>
          <a:off x="223520" y="101335840"/>
          <a:ext cx="10801461" cy="42062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Summary</a:t>
          </a:r>
          <a:endParaRPr lang="en-IN" sz="1000" b="1"/>
        </a:p>
        <a:p>
          <a:endParaRPr lang="en-IN" sz="1100" b="0" i="0" u="none" strike="noStrike"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N" sz="1100" b="0" i="0" u="none" strike="noStrike" baseline="0">
              <a:solidFill>
                <a:schemeClr val="dk1"/>
              </a:solidFill>
              <a:latin typeface="+mn-lt"/>
              <a:ea typeface="+mn-ea"/>
              <a:cs typeface="+mn-cs"/>
            </a:rPr>
            <a:t>This year VBL commissioned 3 new greenfield production facilities in India and have also set up backward integration facilities at all these plants, taking the total number of integrated plants to 13. Additionally, the forthcoming CAPEX of Rs. 400 crores for DRC unit will further fuel expansion in the African region. Out of ~Rs. 3,600 crore capex, informed for this year, only a small portion, ~ Rs. 200 crore is left. These investments are poised to support our long-term growth objectives as well as profitability.</a:t>
          </a:r>
        </a:p>
        <a:p>
          <a:pPr marL="0" marR="0" lvl="0" indent="0" defTabSz="914400" eaLnBrk="1" fontAlgn="auto" latinLnBrk="0" hangingPunct="1">
            <a:lnSpc>
              <a:spcPct val="100000"/>
            </a:lnSpc>
            <a:spcBef>
              <a:spcPts val="0"/>
            </a:spcBef>
            <a:spcAft>
              <a:spcPts val="0"/>
            </a:spcAft>
            <a:buClrTx/>
            <a:buSzTx/>
            <a:buFontTx/>
            <a:buNone/>
            <a:tabLst/>
            <a:defRPr/>
          </a:pPr>
          <a:endParaRPr lang="en-IN" sz="1100" b="0"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N" sz="1100" b="0" i="0">
              <a:solidFill>
                <a:schemeClr val="dk1"/>
              </a:solidFill>
              <a:effectLst/>
              <a:latin typeface="+mn-lt"/>
              <a:ea typeface="+mn-ea"/>
              <a:cs typeface="+mn-cs"/>
            </a:rPr>
            <a:t>All plants were operating at around 100% utilization as the peak season approached in April.</a:t>
          </a:r>
        </a:p>
        <a:p>
          <a:pPr marL="0" marR="0" lvl="0" indent="0" defTabSz="914400" eaLnBrk="1" fontAlgn="auto" latinLnBrk="0" hangingPunct="1">
            <a:lnSpc>
              <a:spcPct val="100000"/>
            </a:lnSpc>
            <a:spcBef>
              <a:spcPts val="0"/>
            </a:spcBef>
            <a:spcAft>
              <a:spcPts val="0"/>
            </a:spcAft>
            <a:buClrTx/>
            <a:buSzTx/>
            <a:buFontTx/>
            <a:buNone/>
            <a:tabLst/>
            <a:defRPr/>
          </a:pPr>
          <a:endParaRPr lang="en-IN" sz="1100" b="0"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N" sz="1100" b="0" i="0">
              <a:solidFill>
                <a:schemeClr val="dk1"/>
              </a:solidFill>
              <a:effectLst/>
              <a:latin typeface="+mn-lt"/>
              <a:ea typeface="+mn-ea"/>
              <a:cs typeface="+mn-cs"/>
            </a:rPr>
            <a:t>Capex for CY25 will be more than</a:t>
          </a:r>
          <a:r>
            <a:rPr lang="en-IN" sz="1100" b="0" i="0" baseline="0">
              <a:solidFill>
                <a:schemeClr val="dk1"/>
              </a:solidFill>
              <a:effectLst/>
              <a:latin typeface="+mn-lt"/>
              <a:ea typeface="+mn-ea"/>
              <a:cs typeface="+mn-cs"/>
            </a:rPr>
            <a:t> 1500 crore, i</a:t>
          </a:r>
          <a:r>
            <a:rPr lang="en-IN" sz="1100" b="0" i="0">
              <a:solidFill>
                <a:schemeClr val="dk1"/>
              </a:solidFill>
              <a:effectLst/>
              <a:latin typeface="+mn-lt"/>
              <a:ea typeface="+mn-ea"/>
              <a:cs typeface="+mn-cs"/>
            </a:rPr>
            <a:t>f the company gets the kind of growth as</a:t>
          </a:r>
          <a:r>
            <a:rPr lang="en-IN" sz="1100" b="0" i="0" baseline="0">
              <a:solidFill>
                <a:schemeClr val="dk1"/>
              </a:solidFill>
              <a:effectLst/>
              <a:latin typeface="+mn-lt"/>
              <a:ea typeface="+mn-ea"/>
              <a:cs typeface="+mn-cs"/>
            </a:rPr>
            <a:t> expected. The asset turnover is expected to be 1.8-2x.</a:t>
          </a:r>
          <a:endParaRPr lang="en-IN" sz="1100" b="0"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IN" sz="1100" b="0"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IN" sz="1100" b="0" i="0">
            <a:solidFill>
              <a:schemeClr val="dk1"/>
            </a:solidFill>
            <a:effectLst/>
            <a:latin typeface="+mn-lt"/>
            <a:ea typeface="+mn-ea"/>
            <a:cs typeface="+mn-cs"/>
          </a:endParaRPr>
        </a:p>
        <a:p>
          <a:r>
            <a:rPr lang="en-IN" sz="1100" b="0" i="0" u="none" strike="noStrike" baseline="0">
              <a:solidFill>
                <a:schemeClr val="dk1"/>
              </a:solidFill>
              <a:latin typeface="+mn-lt"/>
              <a:ea typeface="+mn-ea"/>
              <a:cs typeface="+mn-cs"/>
            </a:rPr>
            <a:t> </a:t>
          </a:r>
        </a:p>
        <a:p>
          <a:r>
            <a:rPr lang="en-IN" sz="1100" b="0" i="0" u="none" strike="noStrike" baseline="0">
              <a:solidFill>
                <a:schemeClr val="dk1"/>
              </a:solidFill>
              <a:latin typeface="+mn-lt"/>
              <a:ea typeface="+mn-ea"/>
              <a:cs typeface="+mn-cs"/>
            </a:rPr>
            <a:t>-----------------------------------------------------------------------------------------------------------------------------------------------------------------------------------------------------------------------------------------------------</a:t>
          </a:r>
        </a:p>
        <a:p>
          <a:endParaRPr lang="en-IN"/>
        </a:p>
        <a:p>
          <a:r>
            <a:rPr lang="en-IN"/>
            <a:t>Historically, Company has done major growth capex of *1000 crores and ~2000 crores in 2015 and 2019 respectively. For the year 2023, the comapny has comitted the capex cash outflow of ~1900 Crores and Asset turn of 2x. The majority capex is greenfield to expand the capacity of CSD, Value added dairy beverages, and Sport drinks. Further, the company has also done the brownfield cape of ~300 crores for international business and ~100 crores to purchase the land for future capex. The company is agressive about future capex as the new products viz Dairy and Juices has growth potential and uncaptured geographies.</a:t>
          </a:r>
        </a:p>
        <a:p>
          <a:endParaRPr lang="en-IN"/>
        </a:p>
        <a:p>
          <a:r>
            <a:rPr lang="en-IN"/>
            <a:t>We consider the company to conduct capex of INR 1900 in Year 2023, 1400 crores in Year 2024 and 2025 which will fuel companies future growth. For the. remaining future years we assume growth of 10% in gross block.</a:t>
          </a:r>
        </a:p>
        <a:p>
          <a:endParaRPr lang="en-IN"/>
        </a:p>
        <a:p>
          <a:r>
            <a:rPr lang="en-IN"/>
            <a:t>During the terminal year, capex is benchmarked with Depreciation (100% maintanance) for moderate growth.</a:t>
          </a:r>
        </a:p>
        <a:p>
          <a:endParaRPr lang="en-IN"/>
        </a:p>
        <a:p>
          <a:endParaRPr lang="en-IN" sz="1100" baseline="0">
            <a:solidFill>
              <a:schemeClr val="dk1"/>
            </a:solidFill>
            <a:effectLst/>
            <a:latin typeface="+mn-lt"/>
            <a:ea typeface="+mn-ea"/>
            <a:cs typeface="+mn-cs"/>
          </a:endParaRPr>
        </a:p>
        <a:p>
          <a:endParaRPr lang="en-IN" sz="1100" baseline="0">
            <a:solidFill>
              <a:schemeClr val="dk1"/>
            </a:solidFill>
            <a:effectLst/>
            <a:latin typeface="+mn-lt"/>
            <a:ea typeface="+mn-ea"/>
            <a:cs typeface="+mn-cs"/>
          </a:endParaRPr>
        </a:p>
        <a:p>
          <a:endParaRPr lang="en-IN" sz="1100" baseline="0">
            <a:solidFill>
              <a:schemeClr val="dk1"/>
            </a:solidFill>
            <a:effectLst/>
            <a:latin typeface="+mn-lt"/>
            <a:ea typeface="+mn-ea"/>
            <a:cs typeface="+mn-cs"/>
          </a:endParaRPr>
        </a:p>
        <a:p>
          <a:endParaRPr lang="en-IN" sz="1100" baseline="0">
            <a:solidFill>
              <a:schemeClr val="dk1"/>
            </a:solidFill>
            <a:effectLst/>
            <a:latin typeface="+mn-lt"/>
            <a:ea typeface="+mn-ea"/>
            <a:cs typeface="+mn-cs"/>
          </a:endParaRPr>
        </a:p>
        <a:p>
          <a:endParaRPr lang="en-IN" sz="1100"/>
        </a:p>
      </xdr:txBody>
    </xdr:sp>
    <xdr:clientData/>
  </xdr:twoCellAnchor>
  <xdr:twoCellAnchor editAs="oneCell">
    <xdr:from>
      <xdr:col>1</xdr:col>
      <xdr:colOff>0</xdr:colOff>
      <xdr:row>631</xdr:row>
      <xdr:rowOff>0</xdr:rowOff>
    </xdr:from>
    <xdr:to>
      <xdr:col>6</xdr:col>
      <xdr:colOff>472440</xdr:colOff>
      <xdr:row>638</xdr:row>
      <xdr:rowOff>165324</xdr:rowOff>
    </xdr:to>
    <xdr:pic>
      <xdr:nvPicPr>
        <xdr:cNvPr id="35" name="Picture 34">
          <a:extLst>
            <a:ext uri="{FF2B5EF4-FFF2-40B4-BE49-F238E27FC236}">
              <a16:creationId xmlns:a16="http://schemas.microsoft.com/office/drawing/2014/main" id="{CB4ED1B6-BA71-4FF8-005D-7E62B1916D3A}"/>
            </a:ext>
          </a:extLst>
        </xdr:cNvPr>
        <xdr:cNvPicPr>
          <a:picLocks noChangeAspect="1"/>
        </xdr:cNvPicPr>
      </xdr:nvPicPr>
      <xdr:blipFill>
        <a:blip xmlns:r="http://schemas.openxmlformats.org/officeDocument/2006/relationships" r:embed="rId27"/>
        <a:stretch>
          <a:fillRect/>
        </a:stretch>
      </xdr:blipFill>
      <xdr:spPr>
        <a:xfrm>
          <a:off x="220980" y="115039140"/>
          <a:ext cx="6560820" cy="1445486"/>
        </a:xfrm>
        <a:prstGeom prst="rect">
          <a:avLst/>
        </a:prstGeom>
      </xdr:spPr>
    </xdr:pic>
    <xdr:clientData/>
  </xdr:twoCellAnchor>
  <xdr:twoCellAnchor>
    <xdr:from>
      <xdr:col>0</xdr:col>
      <xdr:colOff>209827</xdr:colOff>
      <xdr:row>112</xdr:row>
      <xdr:rowOff>1</xdr:rowOff>
    </xdr:from>
    <xdr:to>
      <xdr:col>13</xdr:col>
      <xdr:colOff>355742</xdr:colOff>
      <xdr:row>142</xdr:row>
      <xdr:rowOff>40105</xdr:rowOff>
    </xdr:to>
    <xdr:sp macro="" textlink="">
      <xdr:nvSpPr>
        <xdr:cNvPr id="38" name="TextBox 37">
          <a:extLst>
            <a:ext uri="{FF2B5EF4-FFF2-40B4-BE49-F238E27FC236}">
              <a16:creationId xmlns:a16="http://schemas.microsoft.com/office/drawing/2014/main" id="{2BE43B0A-0456-4293-BD4D-B94DC2E1CD24}"/>
            </a:ext>
          </a:extLst>
        </xdr:cNvPr>
        <xdr:cNvSpPr txBox="1"/>
      </xdr:nvSpPr>
      <xdr:spPr>
        <a:xfrm>
          <a:off x="209827" y="20934948"/>
          <a:ext cx="10805894" cy="55746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Summary</a:t>
          </a:r>
        </a:p>
        <a:p>
          <a:endParaRPr lang="en-IN" sz="1400" b="1"/>
        </a:p>
        <a:p>
          <a:r>
            <a:rPr lang="en-IN" sz="1100" b="0" i="0">
              <a:solidFill>
                <a:schemeClr val="dk1"/>
              </a:solidFill>
              <a:effectLst/>
              <a:latin typeface="+mn-lt"/>
              <a:ea typeface="+mn-ea"/>
              <a:cs typeface="+mn-cs"/>
            </a:rPr>
            <a:t>The company has posted revenue of INR 16,043 Crores in CY2023. The Revenue has grown at a CAGR of </a:t>
          </a:r>
          <a:r>
            <a:rPr lang="en-IN" sz="1100" b="1" i="0">
              <a:solidFill>
                <a:schemeClr val="dk1"/>
              </a:solidFill>
              <a:effectLst/>
              <a:latin typeface="+mn-lt"/>
              <a:ea typeface="+mn-ea"/>
              <a:cs typeface="+mn-cs"/>
            </a:rPr>
            <a:t>35.5%</a:t>
          </a:r>
          <a:r>
            <a:rPr lang="en-IN" sz="1100" b="0" i="0">
              <a:solidFill>
                <a:schemeClr val="dk1"/>
              </a:solidFill>
              <a:effectLst/>
              <a:latin typeface="+mn-lt"/>
              <a:ea typeface="+mn-ea"/>
              <a:cs typeface="+mn-cs"/>
            </a:rPr>
            <a:t> and </a:t>
          </a:r>
          <a:r>
            <a:rPr lang="en-IN" sz="1100" b="1" i="0">
              <a:solidFill>
                <a:schemeClr val="dk1"/>
              </a:solidFill>
              <a:effectLst/>
              <a:latin typeface="+mn-lt"/>
              <a:ea typeface="+mn-ea"/>
              <a:cs typeface="+mn-cs"/>
            </a:rPr>
            <a:t>25.7% </a:t>
          </a:r>
          <a:r>
            <a:rPr lang="en-IN" sz="1100" b="0" i="0">
              <a:solidFill>
                <a:schemeClr val="dk1"/>
              </a:solidFill>
              <a:effectLst/>
              <a:latin typeface="+mn-lt"/>
              <a:ea typeface="+mn-ea"/>
              <a:cs typeface="+mn-cs"/>
            </a:rPr>
            <a:t>during the last 3 and 5 years respectively. The management is extremely positive on overall growth of Indian soft drink market due to factors such as Increase in Household Income, Consumer Spending, migration of population to urban areas etc.</a:t>
          </a:r>
        </a:p>
        <a:p>
          <a:endParaRPr lang="en-IN" sz="1100" b="0"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N" sz="1100" b="0" i="0">
              <a:solidFill>
                <a:schemeClr val="dk1"/>
              </a:solidFill>
              <a:effectLst/>
              <a:latin typeface="+mn-lt"/>
              <a:ea typeface="+mn-ea"/>
              <a:cs typeface="+mn-cs"/>
            </a:rPr>
            <a:t>-The company has </a:t>
          </a:r>
          <a:r>
            <a:rPr lang="en-IN"/>
            <a:t>successfully commissioned multiple greenfield and brownfield facilities across key geographies during the year.</a:t>
          </a:r>
          <a:r>
            <a:rPr lang="en-IN" baseline="0"/>
            <a:t> In Q1CY24, the company commenced </a:t>
          </a:r>
          <a:r>
            <a:rPr lang="en-IN"/>
            <a:t>three new greenfield facilities in Maharashtra, Uttar Pradesh, and Khordha. Additionally, the plant in the Democratic Republic of the Congo (DRC) is set to begin operations next quarter. </a:t>
          </a:r>
          <a:r>
            <a:rPr lang="en-IN" sz="1100" b="0" i="0">
              <a:solidFill>
                <a:schemeClr val="dk1"/>
              </a:solidFill>
              <a:effectLst/>
              <a:latin typeface="+mn-lt"/>
              <a:ea typeface="+mn-ea"/>
              <a:cs typeface="+mn-cs"/>
            </a:rPr>
            <a:t>Also all the plants were operating at around 100% utilization as the peak season approached in April,</a:t>
          </a:r>
          <a:r>
            <a:rPr lang="en-IN" sz="1100" b="0" i="0" baseline="0">
              <a:solidFill>
                <a:schemeClr val="dk1"/>
              </a:solidFill>
              <a:effectLst/>
              <a:latin typeface="+mn-lt"/>
              <a:ea typeface="+mn-ea"/>
              <a:cs typeface="+mn-cs"/>
            </a:rPr>
            <a:t> 2024.</a:t>
          </a:r>
        </a:p>
        <a:p>
          <a:pPr marL="0" marR="0" lvl="0" indent="0" defTabSz="914400" eaLnBrk="1" fontAlgn="auto" latinLnBrk="0" hangingPunct="1">
            <a:lnSpc>
              <a:spcPct val="100000"/>
            </a:lnSpc>
            <a:spcBef>
              <a:spcPts val="0"/>
            </a:spcBef>
            <a:spcAft>
              <a:spcPts val="0"/>
            </a:spcAft>
            <a:buClrTx/>
            <a:buSzTx/>
            <a:buFontTx/>
            <a:buNone/>
            <a:tabLst/>
            <a:defRPr/>
          </a:pPr>
          <a:endParaRPr lang="en-IN">
            <a:effectLst/>
          </a:endParaRPr>
        </a:p>
        <a:p>
          <a:r>
            <a:rPr lang="en-IN"/>
            <a:t>-Also,</a:t>
          </a:r>
          <a:r>
            <a:rPr lang="en-IN" baseline="0"/>
            <a:t> </a:t>
          </a:r>
          <a:r>
            <a:rPr lang="en-IN"/>
            <a:t>successful completed the strategic acquisition of The Beverage Company (BevCo).</a:t>
          </a:r>
          <a:r>
            <a:rPr lang="en-IN" baseline="0"/>
            <a:t> BevCo holds franchise rights and distribrution rights fo</a:t>
          </a:r>
          <a:r>
            <a:rPr lang="en-IN"/>
            <a:t>r PepsiCo beverage products in various</a:t>
          </a:r>
          <a:r>
            <a:rPr lang="en-IN" baseline="0"/>
            <a:t> parts of</a:t>
          </a:r>
          <a:r>
            <a:rPr lang="en-IN"/>
            <a:t> Southern Africa. </a:t>
          </a:r>
        </a:p>
        <a:p>
          <a:endParaRPr lang="en-IN"/>
        </a:p>
        <a:p>
          <a:r>
            <a:rPr lang="en-IN"/>
            <a:t>-Furthermore, Varun Beverages Morocco SA, a wholly-owned subsidiary, has entered into an Exclusive Snacks Appointment Agreement to manufacture and package Cheetos in Morocco, by May 2025.</a:t>
          </a:r>
        </a:p>
        <a:p>
          <a:pPr marL="0" marR="0" lvl="0" indent="0" defTabSz="914400" eaLnBrk="1" fontAlgn="auto" latinLnBrk="0" hangingPunct="1">
            <a:lnSpc>
              <a:spcPct val="100000"/>
            </a:lnSpc>
            <a:spcBef>
              <a:spcPts val="0"/>
            </a:spcBef>
            <a:spcAft>
              <a:spcPts val="0"/>
            </a:spcAft>
            <a:buClrTx/>
            <a:buSzTx/>
            <a:buFontTx/>
            <a:buNone/>
            <a:tabLst/>
            <a:defRPr/>
          </a:pPr>
          <a:endParaRPr lang="en-IN" sz="1100" b="0" i="0">
            <a:solidFill>
              <a:schemeClr val="dk1"/>
            </a:solidFill>
            <a:effectLst/>
            <a:latin typeface="+mn-lt"/>
            <a:ea typeface="+mn-ea"/>
            <a:cs typeface="+mn-cs"/>
          </a:endParaRPr>
        </a:p>
        <a:p>
          <a:endParaRPr lang="en-IN" sz="1100" b="0" i="0">
            <a:solidFill>
              <a:schemeClr val="dk1"/>
            </a:solidFill>
            <a:effectLst/>
            <a:latin typeface="+mn-lt"/>
            <a:ea typeface="+mn-ea"/>
            <a:cs typeface="+mn-cs"/>
          </a:endParaRPr>
        </a:p>
        <a:p>
          <a:r>
            <a:rPr lang="en-IN" sz="1100" b="0" i="0">
              <a:solidFill>
                <a:schemeClr val="dk1"/>
              </a:solidFill>
              <a:effectLst/>
              <a:latin typeface="+mn-lt"/>
              <a:ea typeface="+mn-ea"/>
              <a:cs typeface="+mn-cs"/>
            </a:rPr>
            <a:t>The Analyst's consensus growth for CY24 is </a:t>
          </a:r>
          <a:r>
            <a:rPr lang="en-IN" sz="1100" b="1" i="0">
              <a:solidFill>
                <a:schemeClr val="dk1"/>
              </a:solidFill>
              <a:effectLst/>
              <a:latin typeface="+mn-lt"/>
              <a:ea typeface="+mn-ea"/>
              <a:cs typeface="+mn-cs"/>
            </a:rPr>
            <a:t>29%</a:t>
          </a:r>
          <a:r>
            <a:rPr lang="en-IN" sz="1100" b="0" i="0">
              <a:solidFill>
                <a:schemeClr val="dk1"/>
              </a:solidFill>
              <a:effectLst/>
              <a:latin typeface="+mn-lt"/>
              <a:ea typeface="+mn-ea"/>
              <a:cs typeface="+mn-cs"/>
            </a:rPr>
            <a:t>,</a:t>
          </a:r>
          <a:r>
            <a:rPr lang="en-IN" sz="1100" b="0" i="0" baseline="0">
              <a:solidFill>
                <a:schemeClr val="dk1"/>
              </a:solidFill>
              <a:effectLst/>
              <a:latin typeface="+mn-lt"/>
              <a:ea typeface="+mn-ea"/>
              <a:cs typeface="+mn-cs"/>
            </a:rPr>
            <a:t> </a:t>
          </a:r>
          <a:r>
            <a:rPr lang="en-IN" sz="1100" b="0" i="0">
              <a:solidFill>
                <a:schemeClr val="dk1"/>
              </a:solidFill>
              <a:effectLst/>
              <a:latin typeface="+mn-lt"/>
              <a:ea typeface="+mn-ea"/>
              <a:cs typeface="+mn-cs"/>
            </a:rPr>
            <a:t>over the CY2023 revenue of INR 16,043 Crores.</a:t>
          </a:r>
        </a:p>
        <a:p>
          <a:endParaRPr lang="en-IN" sz="1100" b="0" i="0">
            <a:solidFill>
              <a:schemeClr val="dk1"/>
            </a:solidFill>
            <a:effectLst/>
            <a:latin typeface="+mn-lt"/>
            <a:ea typeface="+mn-ea"/>
            <a:cs typeface="+mn-cs"/>
          </a:endParaRPr>
        </a:p>
        <a:p>
          <a:r>
            <a:rPr lang="en-IN" sz="1100" b="0" i="0">
              <a:solidFill>
                <a:schemeClr val="dk1"/>
              </a:solidFill>
              <a:effectLst/>
              <a:latin typeface="+mn-lt"/>
              <a:ea typeface="+mn-ea"/>
              <a:cs typeface="+mn-cs"/>
            </a:rPr>
            <a:t>Considering the challenges company might face such as unfavourable weather conditions, Health awareness, stringent marketing policies by the government, increased tax rates etc, we assume the company would maintain a double digit growth of </a:t>
          </a:r>
          <a:r>
            <a:rPr lang="en-IN" sz="1100" b="1" i="0">
              <a:solidFill>
                <a:schemeClr val="dk1"/>
              </a:solidFill>
              <a:effectLst/>
              <a:latin typeface="+mn-lt"/>
              <a:ea typeface="+mn-ea"/>
              <a:cs typeface="+mn-cs"/>
            </a:rPr>
            <a:t>25% </a:t>
          </a:r>
          <a:r>
            <a:rPr lang="en-IN" sz="1100" b="0" i="0">
              <a:solidFill>
                <a:schemeClr val="dk1"/>
              </a:solidFill>
              <a:effectLst/>
              <a:latin typeface="+mn-lt"/>
              <a:ea typeface="+mn-ea"/>
              <a:cs typeface="+mn-cs"/>
            </a:rPr>
            <a:t>due to the</a:t>
          </a:r>
          <a:r>
            <a:rPr lang="en-IN" sz="1100" b="0" i="0" baseline="0">
              <a:solidFill>
                <a:schemeClr val="dk1"/>
              </a:solidFill>
              <a:effectLst/>
              <a:latin typeface="+mn-lt"/>
              <a:ea typeface="+mn-ea"/>
              <a:cs typeface="+mn-cs"/>
            </a:rPr>
            <a:t> expansion done to meet the rising </a:t>
          </a:r>
          <a:r>
            <a:rPr lang="en-IN"/>
            <a:t>demand for beverages,</a:t>
          </a:r>
          <a:r>
            <a:rPr lang="en-IN" baseline="0"/>
            <a:t> and also expansion into new territories and new products.</a:t>
          </a:r>
          <a:endParaRPr lang="en-IN" sz="1100" b="0" i="0">
            <a:solidFill>
              <a:schemeClr val="dk1"/>
            </a:solidFill>
            <a:effectLst/>
            <a:latin typeface="+mn-lt"/>
            <a:ea typeface="+mn-ea"/>
            <a:cs typeface="+mn-cs"/>
          </a:endParaRPr>
        </a:p>
        <a:p>
          <a:r>
            <a:rPr lang="en-IN" sz="1100" b="0" i="0">
              <a:solidFill>
                <a:schemeClr val="dk1"/>
              </a:solidFill>
              <a:effectLst/>
              <a:latin typeface="+mn-lt"/>
              <a:ea typeface="+mn-ea"/>
              <a:cs typeface="+mn-cs"/>
            </a:rPr>
            <a:t>-----------------------------------------------------------------------------------------------------------------------------------------------------------------------------------------------------------------------------------------------------</a:t>
          </a:r>
        </a:p>
        <a:p>
          <a:r>
            <a:rPr lang="en-IN" sz="1100" b="0" i="0">
              <a:solidFill>
                <a:schemeClr val="dk1"/>
              </a:solidFill>
              <a:effectLst/>
              <a:latin typeface="+mn-lt"/>
              <a:ea typeface="+mn-ea"/>
              <a:cs typeface="+mn-cs"/>
            </a:rPr>
            <a:t>The non-alcoholic beverages market in India was valued at INR 1,376.70 Bn in FY 2023 and is expected to reach INR 1,986.31 Bn by FY 2028, expanding at a CAGR of ~7.29% during the FY 2024 - FY 2028 forecast period. </a:t>
          </a:r>
          <a:r>
            <a:rPr lang="en-IN" sz="1100" baseline="0">
              <a:solidFill>
                <a:schemeClr val="dk1"/>
              </a:solidFill>
              <a:effectLst/>
              <a:latin typeface="+mn-lt"/>
              <a:ea typeface="+mn-ea"/>
              <a:cs typeface="+mn-cs"/>
            </a:rPr>
            <a:t> </a:t>
          </a:r>
        </a:p>
        <a:p>
          <a:endParaRPr lang="en-IN">
            <a:effectLst/>
          </a:endParaRPr>
        </a:p>
        <a:p>
          <a:r>
            <a:rPr lang="en-IN" sz="1100">
              <a:solidFill>
                <a:schemeClr val="dk1"/>
              </a:solidFill>
              <a:effectLst/>
              <a:latin typeface="+mn-lt"/>
              <a:ea typeface="+mn-ea"/>
              <a:cs typeface="+mn-cs"/>
            </a:rPr>
            <a:t>In 2023, Indian soft drinks industry encountered a challenging yet progressive year. Following substantial growth in 2022 attributed to the resurgence of out-of home consumption, the industry confronted unseasonal rains that disrupted sales during the critical summer season. Nevertheless, the sector adeptly adjusted to evolving consumer preferences and maintained a steady growth trajectory. </a:t>
          </a:r>
        </a:p>
        <a:p>
          <a:endParaRPr lang="en-IN">
            <a:effectLst/>
          </a:endParaRPr>
        </a:p>
        <a:p>
          <a:pPr eaLnBrk="1" fontAlgn="auto" latinLnBrk="0" hangingPunct="1"/>
          <a:r>
            <a:rPr lang="en-IN" sz="1100">
              <a:solidFill>
                <a:schemeClr val="dk1"/>
              </a:solidFill>
              <a:effectLst/>
              <a:latin typeface="+mn-lt"/>
              <a:ea typeface="+mn-ea"/>
              <a:cs typeface="+mn-cs"/>
            </a:rPr>
            <a:t>Industry growth was fueled by expanding demographic profiles and burgeoning middle-class population. These demographic shifts, coupled with increase in disposable income, spurred higher demand. Urbanization played a pivotal role as well, with more individuals relocating to urban areas, leading to greater exposure to and demand for diverse soft drink options. </a:t>
          </a:r>
        </a:p>
        <a:p>
          <a:pPr eaLnBrk="1" fontAlgn="auto" latinLnBrk="0" hangingPunct="1"/>
          <a:endParaRPr lang="en-IN">
            <a:effectLst/>
          </a:endParaRPr>
        </a:p>
        <a:p>
          <a:r>
            <a:rPr lang="en-IN" sz="1100">
              <a:solidFill>
                <a:schemeClr val="dk1"/>
              </a:solidFill>
              <a:effectLst/>
              <a:latin typeface="+mn-lt"/>
              <a:ea typeface="+mn-ea"/>
              <a:cs typeface="+mn-cs"/>
            </a:rPr>
            <a:t>This resilience was particularly evident in the energy drinks segment, which, after emerging as a growth category in 2022, continued its expansion through 2023. Carbonates retained their position as the largest category in terms of volume as much as value, reflecting their enduring popularity among Indian consumers. </a:t>
          </a:r>
        </a:p>
        <a:p>
          <a:endParaRPr lang="en-IN">
            <a:effectLst/>
          </a:endParaRPr>
        </a:p>
        <a:p>
          <a:r>
            <a:rPr lang="en-IN" sz="1100">
              <a:solidFill>
                <a:schemeClr val="dk1"/>
              </a:solidFill>
              <a:effectLst/>
              <a:latin typeface="+mn-lt"/>
              <a:ea typeface="+mn-ea"/>
              <a:cs typeface="+mn-cs"/>
            </a:rPr>
            <a:t>The Indian beverages industry presents significant growth opportunities in the future. As 80% of non alcoholic beverages sector in India is informal, it creates immense growth opportunities for organized players.</a:t>
          </a:r>
          <a:endParaRPr lang="en-IN">
            <a:effectLst/>
          </a:endParaRPr>
        </a:p>
        <a:p>
          <a:endParaRPr lang="en-IN" sz="1100" b="0" i="0" u="none" strike="noStrike" baseline="0">
            <a:solidFill>
              <a:schemeClr val="dk1"/>
            </a:solidFill>
            <a:latin typeface="+mn-lt"/>
            <a:ea typeface="+mn-ea"/>
            <a:cs typeface="+mn-cs"/>
          </a:endParaRPr>
        </a:p>
        <a:p>
          <a:endParaRPr lang="en-IN" sz="1100" b="0" i="0" u="none" strike="noStrike" baseline="0">
            <a:solidFill>
              <a:schemeClr val="dk1"/>
            </a:solidFill>
            <a:latin typeface="+mn-lt"/>
            <a:ea typeface="+mn-ea"/>
            <a:cs typeface="+mn-cs"/>
          </a:endParaRPr>
        </a:p>
        <a:p>
          <a:endParaRPr lang="en-IN"/>
        </a:p>
        <a:p>
          <a:endParaRPr lang="en-IN"/>
        </a:p>
        <a:p>
          <a:endParaRPr lang="en-IN"/>
        </a:p>
        <a:p>
          <a:endParaRPr lang="en-IN" sz="1100" baseline="0">
            <a:solidFill>
              <a:schemeClr val="dk1"/>
            </a:solidFill>
            <a:effectLst/>
            <a:latin typeface="+mn-lt"/>
            <a:ea typeface="+mn-ea"/>
            <a:cs typeface="+mn-cs"/>
          </a:endParaRPr>
        </a:p>
        <a:p>
          <a:endParaRPr lang="en-IN" sz="1100" baseline="0">
            <a:solidFill>
              <a:schemeClr val="dk1"/>
            </a:solidFill>
            <a:effectLst/>
            <a:latin typeface="+mn-lt"/>
            <a:ea typeface="+mn-ea"/>
            <a:cs typeface="+mn-cs"/>
          </a:endParaRPr>
        </a:p>
        <a:p>
          <a:endParaRPr lang="en-IN" sz="1100" baseline="0">
            <a:solidFill>
              <a:schemeClr val="dk1"/>
            </a:solidFill>
            <a:effectLst/>
            <a:latin typeface="+mn-lt"/>
            <a:ea typeface="+mn-ea"/>
            <a:cs typeface="+mn-cs"/>
          </a:endParaRPr>
        </a:p>
        <a:p>
          <a:endParaRPr lang="en-IN" sz="1100" baseline="0">
            <a:solidFill>
              <a:schemeClr val="dk1"/>
            </a:solidFill>
            <a:effectLst/>
            <a:latin typeface="+mn-lt"/>
            <a:ea typeface="+mn-ea"/>
            <a:cs typeface="+mn-cs"/>
          </a:endParaRPr>
        </a:p>
        <a:p>
          <a:endParaRPr lang="en-IN" sz="1100"/>
        </a:p>
      </xdr:txBody>
    </xdr:sp>
    <xdr:clientData/>
  </xdr:twoCellAnchor>
  <xdr:twoCellAnchor>
    <xdr:from>
      <xdr:col>0</xdr:col>
      <xdr:colOff>187270</xdr:colOff>
      <xdr:row>740</xdr:row>
      <xdr:rowOff>77492</xdr:rowOff>
    </xdr:from>
    <xdr:to>
      <xdr:col>9</xdr:col>
      <xdr:colOff>167898</xdr:colOff>
      <xdr:row>742</xdr:row>
      <xdr:rowOff>71035</xdr:rowOff>
    </xdr:to>
    <xdr:sp macro="" textlink="">
      <xdr:nvSpPr>
        <xdr:cNvPr id="36" name="TextBox 35">
          <a:extLst>
            <a:ext uri="{FF2B5EF4-FFF2-40B4-BE49-F238E27FC236}">
              <a16:creationId xmlns:a16="http://schemas.microsoft.com/office/drawing/2014/main" id="{8F5CD518-C449-442B-9A17-2E8E2ABDCF42}"/>
            </a:ext>
          </a:extLst>
        </xdr:cNvPr>
        <xdr:cNvSpPr txBox="1"/>
      </xdr:nvSpPr>
      <xdr:spPr>
        <a:xfrm>
          <a:off x="187270" y="137011475"/>
          <a:ext cx="8097865" cy="3551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t>Nestle</a:t>
          </a:r>
          <a:r>
            <a:rPr lang="en-IN" sz="1100" b="0" baseline="0"/>
            <a:t> India Ltd., a mature company in the Food &amp; Beverages sector has a Debt to Equity ratio of 0.1x and Debt to EBITDA ratio of 0.08x</a:t>
          </a:r>
        </a:p>
        <a:p>
          <a:endParaRPr lang="en-IN" sz="800" b="0"/>
        </a:p>
        <a:p>
          <a:endParaRPr lang="en-IN" sz="1100" b="0" i="0" u="none" strike="noStrike" baseline="0">
            <a:solidFill>
              <a:schemeClr val="dk1"/>
            </a:solidFill>
            <a:latin typeface="+mn-lt"/>
            <a:ea typeface="+mn-ea"/>
            <a:cs typeface="+mn-cs"/>
          </a:endParaRPr>
        </a:p>
        <a:p>
          <a:endParaRPr lang="en-IN" sz="1100" baseline="0">
            <a:solidFill>
              <a:schemeClr val="dk1"/>
            </a:solidFill>
            <a:effectLst/>
            <a:latin typeface="+mn-lt"/>
            <a:ea typeface="+mn-ea"/>
            <a:cs typeface="+mn-cs"/>
          </a:endParaRPr>
        </a:p>
        <a:p>
          <a:endParaRPr lang="en-IN" sz="1100"/>
        </a:p>
      </xdr:txBody>
    </xdr:sp>
    <xdr:clientData/>
  </xdr:twoCellAnchor>
  <xdr:twoCellAnchor editAs="oneCell">
    <xdr:from>
      <xdr:col>1</xdr:col>
      <xdr:colOff>15875</xdr:colOff>
      <xdr:row>818</xdr:row>
      <xdr:rowOff>7937</xdr:rowOff>
    </xdr:from>
    <xdr:to>
      <xdr:col>5</xdr:col>
      <xdr:colOff>383729</xdr:colOff>
      <xdr:row>851</xdr:row>
      <xdr:rowOff>102765</xdr:rowOff>
    </xdr:to>
    <xdr:pic>
      <xdr:nvPicPr>
        <xdr:cNvPr id="37" name="Picture 36">
          <a:extLst>
            <a:ext uri="{FF2B5EF4-FFF2-40B4-BE49-F238E27FC236}">
              <a16:creationId xmlns:a16="http://schemas.microsoft.com/office/drawing/2014/main" id="{F5DC9652-F429-3BCF-41E0-9EF893D71BE7}"/>
            </a:ext>
          </a:extLst>
        </xdr:cNvPr>
        <xdr:cNvPicPr>
          <a:picLocks noChangeAspect="1"/>
        </xdr:cNvPicPr>
      </xdr:nvPicPr>
      <xdr:blipFill>
        <a:blip xmlns:r="http://schemas.openxmlformats.org/officeDocument/2006/relationships" r:embed="rId28"/>
        <a:stretch>
          <a:fillRect/>
        </a:stretch>
      </xdr:blipFill>
      <xdr:spPr>
        <a:xfrm>
          <a:off x="239395" y="152245377"/>
          <a:ext cx="5854254" cy="6129868"/>
        </a:xfrm>
        <a:prstGeom prst="rect">
          <a:avLst/>
        </a:prstGeom>
        <a:ln>
          <a:solidFill>
            <a:srgbClr val="002060"/>
          </a:solidFill>
        </a:ln>
      </xdr:spPr>
    </xdr:pic>
    <xdr:clientData/>
  </xdr:twoCellAnchor>
  <xdr:twoCellAnchor editAs="oneCell">
    <xdr:from>
      <xdr:col>6</xdr:col>
      <xdr:colOff>293783</xdr:colOff>
      <xdr:row>818</xdr:row>
      <xdr:rowOff>9180</xdr:rowOff>
    </xdr:from>
    <xdr:to>
      <xdr:col>15</xdr:col>
      <xdr:colOff>6524</xdr:colOff>
      <xdr:row>843</xdr:row>
      <xdr:rowOff>105524</xdr:rowOff>
    </xdr:to>
    <xdr:pic>
      <xdr:nvPicPr>
        <xdr:cNvPr id="39" name="Picture 38">
          <a:extLst>
            <a:ext uri="{FF2B5EF4-FFF2-40B4-BE49-F238E27FC236}">
              <a16:creationId xmlns:a16="http://schemas.microsoft.com/office/drawing/2014/main" id="{F7108D38-6790-50C1-6CC8-2AB5003C0BE3}"/>
            </a:ext>
          </a:extLst>
        </xdr:cNvPr>
        <xdr:cNvPicPr>
          <a:picLocks noChangeAspect="1"/>
        </xdr:cNvPicPr>
      </xdr:nvPicPr>
      <xdr:blipFill>
        <a:blip xmlns:r="http://schemas.openxmlformats.org/officeDocument/2006/relationships" r:embed="rId29"/>
        <a:stretch>
          <a:fillRect/>
        </a:stretch>
      </xdr:blipFill>
      <xdr:spPr>
        <a:xfrm>
          <a:off x="6600940" y="152629517"/>
          <a:ext cx="5349704" cy="4686706"/>
        </a:xfrm>
        <a:prstGeom prst="rect">
          <a:avLst/>
        </a:prstGeom>
        <a:ln>
          <a:solidFill>
            <a:srgbClr val="002060"/>
          </a:solidFill>
        </a:ln>
      </xdr:spPr>
    </xdr:pic>
    <xdr:clientData/>
  </xdr:twoCellAnchor>
  <xdr:twoCellAnchor editAs="oneCell">
    <xdr:from>
      <xdr:col>15</xdr:col>
      <xdr:colOff>284480</xdr:colOff>
      <xdr:row>818</xdr:row>
      <xdr:rowOff>0</xdr:rowOff>
    </xdr:from>
    <xdr:to>
      <xdr:col>21</xdr:col>
      <xdr:colOff>19095</xdr:colOff>
      <xdr:row>828</xdr:row>
      <xdr:rowOff>32394</xdr:rowOff>
    </xdr:to>
    <xdr:pic>
      <xdr:nvPicPr>
        <xdr:cNvPr id="40" name="Picture 39">
          <a:extLst>
            <a:ext uri="{FF2B5EF4-FFF2-40B4-BE49-F238E27FC236}">
              <a16:creationId xmlns:a16="http://schemas.microsoft.com/office/drawing/2014/main" id="{C165924D-3B4F-F83C-2649-DBFD7D3919D6}"/>
            </a:ext>
          </a:extLst>
        </xdr:cNvPr>
        <xdr:cNvPicPr>
          <a:picLocks noChangeAspect="1"/>
        </xdr:cNvPicPr>
      </xdr:nvPicPr>
      <xdr:blipFill>
        <a:blip xmlns:r="http://schemas.openxmlformats.org/officeDocument/2006/relationships" r:embed="rId30"/>
        <a:stretch>
          <a:fillRect/>
        </a:stretch>
      </xdr:blipFill>
      <xdr:spPr>
        <a:xfrm>
          <a:off x="12273280" y="152054560"/>
          <a:ext cx="3869735" cy="1861194"/>
        </a:xfrm>
        <a:prstGeom prst="rect">
          <a:avLst/>
        </a:prstGeom>
        <a:ln>
          <a:solidFill>
            <a:srgbClr val="002060"/>
          </a:solidFill>
        </a:ln>
      </xdr:spPr>
    </xdr:pic>
    <xdr:clientData/>
  </xdr:twoCellAnchor>
  <xdr:twoCellAnchor editAs="oneCell">
    <xdr:from>
      <xdr:col>15</xdr:col>
      <xdr:colOff>294640</xdr:colOff>
      <xdr:row>830</xdr:row>
      <xdr:rowOff>39854</xdr:rowOff>
    </xdr:from>
    <xdr:to>
      <xdr:col>21</xdr:col>
      <xdr:colOff>243840</xdr:colOff>
      <xdr:row>833</xdr:row>
      <xdr:rowOff>132079</xdr:rowOff>
    </xdr:to>
    <xdr:pic>
      <xdr:nvPicPr>
        <xdr:cNvPr id="41" name="Picture 40">
          <a:extLst>
            <a:ext uri="{FF2B5EF4-FFF2-40B4-BE49-F238E27FC236}">
              <a16:creationId xmlns:a16="http://schemas.microsoft.com/office/drawing/2014/main" id="{DF962BF7-FC61-0571-A06D-7F0EE1A28754}"/>
            </a:ext>
          </a:extLst>
        </xdr:cNvPr>
        <xdr:cNvPicPr>
          <a:picLocks noChangeAspect="1"/>
        </xdr:cNvPicPr>
      </xdr:nvPicPr>
      <xdr:blipFill>
        <a:blip xmlns:r="http://schemas.openxmlformats.org/officeDocument/2006/relationships" r:embed="rId31"/>
        <a:stretch>
          <a:fillRect/>
        </a:stretch>
      </xdr:blipFill>
      <xdr:spPr>
        <a:xfrm>
          <a:off x="12283440" y="154288974"/>
          <a:ext cx="4084320" cy="640865"/>
        </a:xfrm>
        <a:prstGeom prst="rect">
          <a:avLst/>
        </a:prstGeom>
        <a:ln>
          <a:solidFill>
            <a:srgbClr val="002060"/>
          </a:solidFill>
        </a:ln>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23567</xdr:colOff>
      <xdr:row>8</xdr:row>
      <xdr:rowOff>37881</xdr:rowOff>
    </xdr:from>
    <xdr:to>
      <xdr:col>4</xdr:col>
      <xdr:colOff>267093</xdr:colOff>
      <xdr:row>18</xdr:row>
      <xdr:rowOff>23567</xdr:rowOff>
    </xdr:to>
    <xdr:graphicFrame macro="">
      <xdr:nvGraphicFramePr>
        <xdr:cNvPr id="2" name="Chart 1">
          <a:extLst>
            <a:ext uri="{FF2B5EF4-FFF2-40B4-BE49-F238E27FC236}">
              <a16:creationId xmlns:a16="http://schemas.microsoft.com/office/drawing/2014/main" id="{00000000-0008-0000-0E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566614</xdr:colOff>
      <xdr:row>245</xdr:row>
      <xdr:rowOff>93785</xdr:rowOff>
    </xdr:from>
    <xdr:to>
      <xdr:col>20</xdr:col>
      <xdr:colOff>293076</xdr:colOff>
      <xdr:row>260</xdr:row>
      <xdr:rowOff>52754</xdr:rowOff>
    </xdr:to>
    <xdr:graphicFrame macro="">
      <xdr:nvGraphicFramePr>
        <xdr:cNvPr id="3" name="Chart 2">
          <a:extLst>
            <a:ext uri="{FF2B5EF4-FFF2-40B4-BE49-F238E27FC236}">
              <a16:creationId xmlns:a16="http://schemas.microsoft.com/office/drawing/2014/main" id="{00000000-0008-0000-0E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585020</xdr:colOff>
      <xdr:row>16</xdr:row>
      <xdr:rowOff>111038</xdr:rowOff>
    </xdr:from>
    <xdr:to>
      <xdr:col>14</xdr:col>
      <xdr:colOff>541663</xdr:colOff>
      <xdr:row>40</xdr:row>
      <xdr:rowOff>18362</xdr:rowOff>
    </xdr:to>
    <xdr:graphicFrame macro="">
      <xdr:nvGraphicFramePr>
        <xdr:cNvPr id="4" name="Chart 3">
          <a:extLst>
            <a:ext uri="{FF2B5EF4-FFF2-40B4-BE49-F238E27FC236}">
              <a16:creationId xmlns:a16="http://schemas.microsoft.com/office/drawing/2014/main" id="{00000000-0008-0000-0E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596747</xdr:colOff>
      <xdr:row>13</xdr:row>
      <xdr:rowOff>92726</xdr:rowOff>
    </xdr:from>
    <xdr:to>
      <xdr:col>23</xdr:col>
      <xdr:colOff>321325</xdr:colOff>
      <xdr:row>28</xdr:row>
      <xdr:rowOff>81709</xdr:rowOff>
    </xdr:to>
    <xdr:graphicFrame macro="">
      <xdr:nvGraphicFramePr>
        <xdr:cNvPr id="7" name="Chart 6">
          <a:extLst>
            <a:ext uri="{FF2B5EF4-FFF2-40B4-BE49-F238E27FC236}">
              <a16:creationId xmlns:a16="http://schemas.microsoft.com/office/drawing/2014/main" id="{00000000-0008-0000-0E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413133</xdr:colOff>
      <xdr:row>15</xdr:row>
      <xdr:rowOff>10098</xdr:rowOff>
    </xdr:from>
    <xdr:to>
      <xdr:col>30</xdr:col>
      <xdr:colOff>174434</xdr:colOff>
      <xdr:row>29</xdr:row>
      <xdr:rowOff>182696</xdr:rowOff>
    </xdr:to>
    <xdr:graphicFrame macro="">
      <xdr:nvGraphicFramePr>
        <xdr:cNvPr id="8" name="Chart 7">
          <a:extLst>
            <a:ext uri="{FF2B5EF4-FFF2-40B4-BE49-F238E27FC236}">
              <a16:creationId xmlns:a16="http://schemas.microsoft.com/office/drawing/2014/main" id="{00000000-0008-0000-0E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6</xdr:col>
      <xdr:colOff>413173</xdr:colOff>
      <xdr:row>44</xdr:row>
      <xdr:rowOff>12080</xdr:rowOff>
    </xdr:from>
    <xdr:to>
      <xdr:col>16</xdr:col>
      <xdr:colOff>480907</xdr:colOff>
      <xdr:row>67</xdr:row>
      <xdr:rowOff>52327</xdr:rowOff>
    </xdr:to>
    <xdr:pic>
      <xdr:nvPicPr>
        <xdr:cNvPr id="5" name="Picture 4">
          <a:extLst>
            <a:ext uri="{FF2B5EF4-FFF2-40B4-BE49-F238E27FC236}">
              <a16:creationId xmlns:a16="http://schemas.microsoft.com/office/drawing/2014/main" id="{00000000-0008-0000-0E00-000005000000}"/>
            </a:ext>
          </a:extLst>
        </xdr:cNvPr>
        <xdr:cNvPicPr>
          <a:picLocks noChangeAspect="1"/>
        </xdr:cNvPicPr>
      </xdr:nvPicPr>
      <xdr:blipFill>
        <a:blip xmlns:r="http://schemas.openxmlformats.org/officeDocument/2006/relationships" r:embed="rId6"/>
        <a:stretch>
          <a:fillRect/>
        </a:stretch>
      </xdr:blipFill>
      <xdr:spPr>
        <a:xfrm>
          <a:off x="4878493" y="8180720"/>
          <a:ext cx="6849534" cy="4246487"/>
        </a:xfrm>
        <a:prstGeom prst="rect">
          <a:avLst/>
        </a:prstGeom>
      </xdr:spPr>
    </xdr:pic>
    <xdr:clientData/>
  </xdr:twoCellAnchor>
  <xdr:twoCellAnchor editAs="oneCell">
    <xdr:from>
      <xdr:col>6</xdr:col>
      <xdr:colOff>553772</xdr:colOff>
      <xdr:row>71</xdr:row>
      <xdr:rowOff>79587</xdr:rowOff>
    </xdr:from>
    <xdr:to>
      <xdr:col>16</xdr:col>
      <xdr:colOff>478161</xdr:colOff>
      <xdr:row>94</xdr:row>
      <xdr:rowOff>35363</xdr:rowOff>
    </xdr:to>
    <xdr:pic>
      <xdr:nvPicPr>
        <xdr:cNvPr id="6" name="Picture 5">
          <a:extLst>
            <a:ext uri="{FF2B5EF4-FFF2-40B4-BE49-F238E27FC236}">
              <a16:creationId xmlns:a16="http://schemas.microsoft.com/office/drawing/2014/main" id="{00000000-0008-0000-0E00-000006000000}"/>
            </a:ext>
          </a:extLst>
        </xdr:cNvPr>
        <xdr:cNvPicPr>
          <a:picLocks noChangeAspect="1"/>
        </xdr:cNvPicPr>
      </xdr:nvPicPr>
      <xdr:blipFill>
        <a:blip xmlns:r="http://schemas.openxmlformats.org/officeDocument/2006/relationships" r:embed="rId7"/>
        <a:stretch>
          <a:fillRect/>
        </a:stretch>
      </xdr:blipFill>
      <xdr:spPr>
        <a:xfrm>
          <a:off x="5019092" y="13185987"/>
          <a:ext cx="6706189" cy="4162016"/>
        </a:xfrm>
        <a:prstGeom prst="rect">
          <a:avLst/>
        </a:prstGeom>
      </xdr:spPr>
    </xdr:pic>
    <xdr:clientData/>
  </xdr:twoCellAnchor>
  <xdr:twoCellAnchor>
    <xdr:from>
      <xdr:col>23</xdr:col>
      <xdr:colOff>142884</xdr:colOff>
      <xdr:row>46</xdr:row>
      <xdr:rowOff>116685</xdr:rowOff>
    </xdr:from>
    <xdr:to>
      <xdr:col>29</xdr:col>
      <xdr:colOff>484197</xdr:colOff>
      <xdr:row>63</xdr:row>
      <xdr:rowOff>23811</xdr:rowOff>
    </xdr:to>
    <xdr:graphicFrame macro="">
      <xdr:nvGraphicFramePr>
        <xdr:cNvPr id="9" name="Chart 8">
          <a:extLst>
            <a:ext uri="{FF2B5EF4-FFF2-40B4-BE49-F238E27FC236}">
              <a16:creationId xmlns:a16="http://schemas.microsoft.com/office/drawing/2014/main" id="{00000000-0008-0000-0E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24</xdr:col>
      <xdr:colOff>246063</xdr:colOff>
      <xdr:row>69</xdr:row>
      <xdr:rowOff>108743</xdr:rowOff>
    </xdr:from>
    <xdr:to>
      <xdr:col>30</xdr:col>
      <xdr:colOff>587375</xdr:colOff>
      <xdr:row>84</xdr:row>
      <xdr:rowOff>113506</xdr:rowOff>
    </xdr:to>
    <xdr:graphicFrame macro="">
      <xdr:nvGraphicFramePr>
        <xdr:cNvPr id="10" name="Chart 9">
          <a:extLst>
            <a:ext uri="{FF2B5EF4-FFF2-40B4-BE49-F238E27FC236}">
              <a16:creationId xmlns:a16="http://schemas.microsoft.com/office/drawing/2014/main" id="{00000000-0008-0000-0E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1198927</xdr:colOff>
      <xdr:row>101</xdr:row>
      <xdr:rowOff>155895</xdr:rowOff>
    </xdr:from>
    <xdr:to>
      <xdr:col>15</xdr:col>
      <xdr:colOff>220212</xdr:colOff>
      <xdr:row>116</xdr:row>
      <xdr:rowOff>172673</xdr:rowOff>
    </xdr:to>
    <xdr:graphicFrame macro="">
      <xdr:nvGraphicFramePr>
        <xdr:cNvPr id="11" name="Chart 10">
          <a:extLst>
            <a:ext uri="{FF2B5EF4-FFF2-40B4-BE49-F238E27FC236}">
              <a16:creationId xmlns:a16="http://schemas.microsoft.com/office/drawing/2014/main" id="{452F8B7A-AA4F-76C1-6F57-63AFC5FB27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377072</xdr:colOff>
      <xdr:row>8</xdr:row>
      <xdr:rowOff>141402</xdr:rowOff>
    </xdr:from>
    <xdr:to>
      <xdr:col>8</xdr:col>
      <xdr:colOff>492182</xdr:colOff>
      <xdr:row>17</xdr:row>
      <xdr:rowOff>130079</xdr:rowOff>
    </xdr:to>
    <xdr:graphicFrame macro="">
      <xdr:nvGraphicFramePr>
        <xdr:cNvPr id="12" name="Chart 11">
          <a:extLst>
            <a:ext uri="{FF2B5EF4-FFF2-40B4-BE49-F238E27FC236}">
              <a16:creationId xmlns:a16="http://schemas.microsoft.com/office/drawing/2014/main" id="{BF4AC95C-8122-E911-1D75-C7565DA8F9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84666</xdr:colOff>
      <xdr:row>103</xdr:row>
      <xdr:rowOff>25401</xdr:rowOff>
    </xdr:from>
    <xdr:to>
      <xdr:col>24</xdr:col>
      <xdr:colOff>596747</xdr:colOff>
      <xdr:row>120</xdr:row>
      <xdr:rowOff>1</xdr:rowOff>
    </xdr:to>
    <xdr:graphicFrame macro="">
      <xdr:nvGraphicFramePr>
        <xdr:cNvPr id="13" name="Chart 12">
          <a:extLst>
            <a:ext uri="{FF2B5EF4-FFF2-40B4-BE49-F238E27FC236}">
              <a16:creationId xmlns:a16="http://schemas.microsoft.com/office/drawing/2014/main" id="{28E488C1-3B88-ADFB-FCBB-0FB5A6C03F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108239</xdr:colOff>
      <xdr:row>128</xdr:row>
      <xdr:rowOff>135082</xdr:rowOff>
    </xdr:from>
    <xdr:to>
      <xdr:col>13</xdr:col>
      <xdr:colOff>350693</xdr:colOff>
      <xdr:row>143</xdr:row>
      <xdr:rowOff>150668</xdr:rowOff>
    </xdr:to>
    <xdr:graphicFrame macro="">
      <xdr:nvGraphicFramePr>
        <xdr:cNvPr id="14" name="Chart 13">
          <a:extLst>
            <a:ext uri="{FF2B5EF4-FFF2-40B4-BE49-F238E27FC236}">
              <a16:creationId xmlns:a16="http://schemas.microsoft.com/office/drawing/2014/main" id="{C0043E3D-314D-8367-3A24-7CC0D18E0F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19</xdr:col>
      <xdr:colOff>11044</xdr:colOff>
      <xdr:row>130</xdr:row>
      <xdr:rowOff>97182</xdr:rowOff>
    </xdr:from>
    <xdr:to>
      <xdr:col>26</xdr:col>
      <xdr:colOff>511480</xdr:colOff>
      <xdr:row>148</xdr:row>
      <xdr:rowOff>104383</xdr:rowOff>
    </xdr:to>
    <xdr:graphicFrame macro="">
      <xdr:nvGraphicFramePr>
        <xdr:cNvPr id="15" name="Chart 14">
          <a:extLst>
            <a:ext uri="{FF2B5EF4-FFF2-40B4-BE49-F238E27FC236}">
              <a16:creationId xmlns:a16="http://schemas.microsoft.com/office/drawing/2014/main" id="{D7735D44-278D-EB86-0AC0-8FFD0D71B9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32</xdr:col>
      <xdr:colOff>876822</xdr:colOff>
      <xdr:row>130</xdr:row>
      <xdr:rowOff>37579</xdr:rowOff>
    </xdr:from>
    <xdr:to>
      <xdr:col>42</xdr:col>
      <xdr:colOff>511480</xdr:colOff>
      <xdr:row>149</xdr:row>
      <xdr:rowOff>20877</xdr:rowOff>
    </xdr:to>
    <xdr:graphicFrame macro="">
      <xdr:nvGraphicFramePr>
        <xdr:cNvPr id="16" name="Chart 15">
          <a:extLst>
            <a:ext uri="{FF2B5EF4-FFF2-40B4-BE49-F238E27FC236}">
              <a16:creationId xmlns:a16="http://schemas.microsoft.com/office/drawing/2014/main" id="{7ED4C090-00C9-76FA-F293-2A2B1B11C4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7</xdr:col>
      <xdr:colOff>124146</xdr:colOff>
      <xdr:row>154</xdr:row>
      <xdr:rowOff>49659</xdr:rowOff>
    </xdr:from>
    <xdr:to>
      <xdr:col>13</xdr:col>
      <xdr:colOff>363877</xdr:colOff>
      <xdr:row>169</xdr:row>
      <xdr:rowOff>95892</xdr:rowOff>
    </xdr:to>
    <xdr:graphicFrame macro="">
      <xdr:nvGraphicFramePr>
        <xdr:cNvPr id="17" name="Chart 16">
          <a:extLst>
            <a:ext uri="{FF2B5EF4-FFF2-40B4-BE49-F238E27FC236}">
              <a16:creationId xmlns:a16="http://schemas.microsoft.com/office/drawing/2014/main" id="{8AC9CB96-09A2-6CBB-F093-60D45AA702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20</xdr:col>
      <xdr:colOff>498230</xdr:colOff>
      <xdr:row>155</xdr:row>
      <xdr:rowOff>142631</xdr:rowOff>
    </xdr:from>
    <xdr:to>
      <xdr:col>26</xdr:col>
      <xdr:colOff>429846</xdr:colOff>
      <xdr:row>170</xdr:row>
      <xdr:rowOff>101601</xdr:rowOff>
    </xdr:to>
    <xdr:graphicFrame macro="">
      <xdr:nvGraphicFramePr>
        <xdr:cNvPr id="18" name="Chart 17">
          <a:extLst>
            <a:ext uri="{FF2B5EF4-FFF2-40B4-BE49-F238E27FC236}">
              <a16:creationId xmlns:a16="http://schemas.microsoft.com/office/drawing/2014/main" id="{A4747473-EF0C-B15C-4EB0-0EE2DFB601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32</xdr:col>
      <xdr:colOff>762000</xdr:colOff>
      <xdr:row>155</xdr:row>
      <xdr:rowOff>22697</xdr:rowOff>
    </xdr:from>
    <xdr:to>
      <xdr:col>40</xdr:col>
      <xdr:colOff>518809</xdr:colOff>
      <xdr:row>172</xdr:row>
      <xdr:rowOff>113489</xdr:rowOff>
    </xdr:to>
    <xdr:graphicFrame macro="">
      <xdr:nvGraphicFramePr>
        <xdr:cNvPr id="19" name="Chart 18">
          <a:extLst>
            <a:ext uri="{FF2B5EF4-FFF2-40B4-BE49-F238E27FC236}">
              <a16:creationId xmlns:a16="http://schemas.microsoft.com/office/drawing/2014/main" id="{C9A4871E-C297-AB03-1BE3-944B4826E1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F7E3518-1017-40C3-AF61-8D586527BE3E}" name="Table1" displayName="Table1" ref="B24:C270" totalsRowShown="0">
  <autoFilter ref="B24:C270" xr:uid="{3F7E3518-1017-40C3-AF61-8D586527BE3E}"/>
  <tableColumns count="2">
    <tableColumn id="1" xr3:uid="{39FA6EB8-D870-49F6-8929-5E2B6814EB36}" name="Date" dataDxfId="0"/>
    <tableColumn id="2" xr3:uid="{D4CF8BCF-ED38-420F-800D-3DC87599B1E7}" name="Adj Close"/>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livemint.com/news/india/nonalcoholic-beverage-market-to-hit-147trillion-11653673841898.html" TargetMode="External"/><Relationship Id="rId7" Type="http://schemas.openxmlformats.org/officeDocument/2006/relationships/printerSettings" Target="../printerSettings/printerSettings8.bin"/><Relationship Id="rId2" Type="http://schemas.openxmlformats.org/officeDocument/2006/relationships/hyperlink" Target="https://www.globaldata.com/store/report/india-carbonates-market-analysis/" TargetMode="External"/><Relationship Id="rId1" Type="http://schemas.openxmlformats.org/officeDocument/2006/relationships/hyperlink" Target="https://www.statista.com/outlook/cmo/non-alcoholic-drinks/soft-drinks/carbonated-soft-drinks/india" TargetMode="External"/><Relationship Id="rId6" Type="http://schemas.openxmlformats.org/officeDocument/2006/relationships/hyperlink" Target="https://www.businesswire.com/news/home/20230329005511/en/Non-alcoholic-Beverages-Market-in-India-2022-2027-Sector-Set-to-Grow-by-8.85-Annually-on-the-Back-of-Shifting-Consumer-Preferences---ResearchAndMarkets.com" TargetMode="External"/><Relationship Id="rId5" Type="http://schemas.openxmlformats.org/officeDocument/2006/relationships/hyperlink" Target="https://economictimes.indiatimes.com/industry/cons-products/food/indian-soft-drink-market-expected-to-see-significant-growth-says-pepsico-bottler-varun-beverages/articleshow/98579808.cms?from=mdr" TargetMode="External"/><Relationship Id="rId4" Type="http://schemas.openxmlformats.org/officeDocument/2006/relationships/hyperlink" Target="https://icrier.org/pdf/ICRIER-IBA_Report_Release_May_27_2022.pdf" TargetMode="External"/></Relationships>
</file>

<file path=xl/worksheets/_rels/sheet1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4.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2D10CD-655F-4034-9C89-654FE9626454}">
  <dimension ref="B4:G22"/>
  <sheetViews>
    <sheetView showGridLines="0" topLeftCell="A2" workbookViewId="0">
      <selection activeCell="C12" sqref="C12"/>
    </sheetView>
  </sheetViews>
  <sheetFormatPr defaultRowHeight="14.4"/>
  <cols>
    <col min="2" max="2" width="36.6640625" bestFit="1" customWidth="1"/>
    <col min="3" max="3" width="33.109375" customWidth="1"/>
  </cols>
  <sheetData>
    <row r="4" spans="2:3">
      <c r="B4" s="294" t="s">
        <v>555</v>
      </c>
    </row>
    <row r="6" spans="2:3">
      <c r="B6" s="295" t="s">
        <v>554</v>
      </c>
      <c r="C6" s="296" t="s">
        <v>556</v>
      </c>
    </row>
    <row r="8" spans="2:3">
      <c r="B8" s="294" t="s">
        <v>569</v>
      </c>
      <c r="C8" s="294"/>
    </row>
    <row r="9" spans="2:3">
      <c r="B9" s="295" t="s">
        <v>570</v>
      </c>
      <c r="C9" s="329" t="s">
        <v>674</v>
      </c>
    </row>
    <row r="10" spans="2:3">
      <c r="B10" s="295" t="s">
        <v>571</v>
      </c>
      <c r="C10" s="330">
        <v>6.991E-2</v>
      </c>
    </row>
    <row r="11" spans="2:3">
      <c r="B11" s="295" t="str">
        <f>C9&amp;" Moodys Sovereign Rating"</f>
        <v>India Moodys Sovereign Rating</v>
      </c>
      <c r="C11" s="330" t="str">
        <f>VLOOKUP(C9,'Damodaran data'!B4:D160,3,)</f>
        <v>Baa3</v>
      </c>
    </row>
    <row r="12" spans="2:3">
      <c r="B12" s="295" t="s">
        <v>976</v>
      </c>
      <c r="C12" s="330">
        <f>VLOOKUP(C9,'Damodaran data'!B4:E160,4,)</f>
        <v>2.35E-2</v>
      </c>
    </row>
    <row r="13" spans="2:3">
      <c r="B13" s="295" t="s">
        <v>572</v>
      </c>
      <c r="C13" s="330">
        <v>4.1500000000000002E-2</v>
      </c>
    </row>
    <row r="14" spans="2:3">
      <c r="B14" s="295" t="s">
        <v>573</v>
      </c>
      <c r="C14" s="331">
        <f>'Assumptions working'!J712</f>
        <v>0.42302875469092049</v>
      </c>
    </row>
    <row r="15" spans="2:3">
      <c r="B15" s="295" t="s">
        <v>28</v>
      </c>
      <c r="C15" s="332">
        <v>0.25</v>
      </c>
    </row>
    <row r="16" spans="2:3">
      <c r="B16" s="295" t="s">
        <v>574</v>
      </c>
      <c r="C16" s="329" t="s">
        <v>122</v>
      </c>
    </row>
    <row r="17" spans="2:7">
      <c r="B17" s="295" t="s">
        <v>768</v>
      </c>
      <c r="C17" s="329" t="s">
        <v>769</v>
      </c>
      <c r="F17" s="333" t="s">
        <v>769</v>
      </c>
      <c r="G17" s="333" t="s">
        <v>121</v>
      </c>
    </row>
    <row r="18" spans="2:7">
      <c r="B18" s="295" t="s">
        <v>575</v>
      </c>
      <c r="C18" s="329" t="s">
        <v>792</v>
      </c>
      <c r="F18" s="333" t="s">
        <v>770</v>
      </c>
      <c r="G18" s="333" t="s">
        <v>122</v>
      </c>
    </row>
    <row r="19" spans="2:7">
      <c r="B19" s="295" t="s">
        <v>114</v>
      </c>
      <c r="C19" s="344">
        <f>'3StatementModel'!H31/'3StatementModel'!H35</f>
        <v>10.921957933449955</v>
      </c>
    </row>
    <row r="20" spans="2:7">
      <c r="B20" s="295" t="s">
        <v>808</v>
      </c>
      <c r="C20" s="330">
        <f>IF(C17="L",VLOOKUP(C19,'Damodaran data'!G6:J20,4,TRUE),VLOOKUP('Input Sheet'!C19,'Damodaran data'!L6:O20,4,TRUE))</f>
        <v>5.8999999999999999E-3</v>
      </c>
    </row>
    <row r="21" spans="2:7">
      <c r="B21" s="295" t="s">
        <v>576</v>
      </c>
      <c r="C21" s="331"/>
    </row>
    <row r="22" spans="2:7">
      <c r="B22" s="295" t="s">
        <v>577</v>
      </c>
      <c r="C22" s="331">
        <v>0</v>
      </c>
    </row>
  </sheetData>
  <dataValidations count="2">
    <dataValidation type="list" allowBlank="1" showInputMessage="1" showErrorMessage="1" sqref="C17" xr:uid="{C0D28AE2-3AB2-4495-BF93-FA3B6610B46F}">
      <formula1>$F$17:$F$18</formula1>
    </dataValidation>
    <dataValidation type="list" allowBlank="1" showInputMessage="1" showErrorMessage="1" sqref="C16" xr:uid="{B9765E4C-92D8-4269-822A-5458D7D68AA9}">
      <formula1>$G$17:$G$18</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2">
        <x14:dataValidation type="list" allowBlank="1" showInputMessage="1" showErrorMessage="1" xr:uid="{068E6F0B-C5B3-4D14-8E1D-F3164A6F1F24}">
          <x14:formula1>
            <xm:f>'Damodaran data'!$B$4:$B$160</xm:f>
          </x14:formula1>
          <xm:sqref>C9</xm:sqref>
        </x14:dataValidation>
        <x14:dataValidation type="list" allowBlank="1" showInputMessage="1" showErrorMessage="1" xr:uid="{857B14DC-EE29-41C6-87D3-F72D84EC91D9}">
          <x14:formula1>
            <xm:f>'Damodaran data'!$N$6:$N$20</xm:f>
          </x14:formula1>
          <xm:sqref>C18</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B6206D-4128-4366-90BD-6DCBC5ACB883}">
  <dimension ref="A2:R161"/>
  <sheetViews>
    <sheetView showGridLines="0" zoomScale="87" zoomScaleNormal="85" workbookViewId="0">
      <pane xSplit="1" ySplit="9" topLeftCell="B132" activePane="bottomRight" state="frozen"/>
      <selection pane="topRight" activeCell="B1" sqref="B1"/>
      <selection pane="bottomLeft" activeCell="A10" sqref="A10"/>
      <selection pane="bottomRight" activeCell="U140" sqref="U140"/>
    </sheetView>
  </sheetViews>
  <sheetFormatPr defaultRowHeight="14.4" outlineLevelRow="1"/>
  <cols>
    <col min="1" max="1" width="1.88671875" customWidth="1"/>
    <col min="2" max="2" width="30.44140625" customWidth="1"/>
    <col min="7" max="7" width="8.77734375" customWidth="1"/>
    <col min="8" max="8" width="10.33203125" customWidth="1"/>
  </cols>
  <sheetData>
    <row r="2" spans="1:18" ht="21">
      <c r="B2" s="8" t="str">
        <f>'Input Sheet'!C6</f>
        <v>Varun Beverages Ltd.</v>
      </c>
    </row>
    <row r="3" spans="1:18" ht="18">
      <c r="B3" s="9" t="s">
        <v>16</v>
      </c>
    </row>
    <row r="4" spans="1:18">
      <c r="H4" t="s">
        <v>22</v>
      </c>
      <c r="I4">
        <v>2</v>
      </c>
    </row>
    <row r="8" spans="1:18" ht="15.6">
      <c r="B8" s="303"/>
      <c r="C8" s="303"/>
      <c r="D8" s="559" t="s">
        <v>18</v>
      </c>
      <c r="E8" s="559"/>
      <c r="F8" s="559"/>
      <c r="G8" s="559"/>
      <c r="H8" s="559"/>
      <c r="I8" s="558" t="s">
        <v>19</v>
      </c>
      <c r="J8" s="558"/>
      <c r="K8" s="558"/>
      <c r="L8" s="558"/>
      <c r="M8" s="558"/>
      <c r="N8" s="560" t="s">
        <v>970</v>
      </c>
      <c r="O8" s="560"/>
      <c r="P8" s="560"/>
      <c r="Q8" s="560"/>
      <c r="R8" s="560"/>
    </row>
    <row r="9" spans="1:18" ht="15.6">
      <c r="B9" s="6" t="s">
        <v>17</v>
      </c>
      <c r="C9" s="304"/>
      <c r="D9" s="453">
        <v>2019</v>
      </c>
      <c r="E9" s="453">
        <v>2020</v>
      </c>
      <c r="F9" s="453">
        <v>2021</v>
      </c>
      <c r="G9" s="453">
        <v>2022</v>
      </c>
      <c r="H9" s="453">
        <v>2023</v>
      </c>
      <c r="I9" s="305">
        <f>H9+1</f>
        <v>2024</v>
      </c>
      <c r="J9" s="305">
        <f t="shared" ref="J9:M9" si="0">I9+1</f>
        <v>2025</v>
      </c>
      <c r="K9" s="305">
        <f t="shared" si="0"/>
        <v>2026</v>
      </c>
      <c r="L9" s="305">
        <f t="shared" si="0"/>
        <v>2027</v>
      </c>
      <c r="M9" s="305">
        <f t="shared" si="0"/>
        <v>2028</v>
      </c>
      <c r="N9" s="305">
        <f t="shared" ref="N9" si="1">M9+1</f>
        <v>2029</v>
      </c>
      <c r="O9" s="305">
        <f t="shared" ref="O9" si="2">N9+1</f>
        <v>2030</v>
      </c>
      <c r="P9" s="305">
        <f t="shared" ref="P9" si="3">O9+1</f>
        <v>2031</v>
      </c>
      <c r="Q9" s="305">
        <f t="shared" ref="Q9" si="4">P9+1</f>
        <v>2032</v>
      </c>
      <c r="R9" s="305">
        <f t="shared" ref="R9" si="5">Q9+1</f>
        <v>2033</v>
      </c>
    </row>
    <row r="10" spans="1:18">
      <c r="B10" s="74"/>
      <c r="D10" s="11"/>
      <c r="E10" s="11"/>
      <c r="F10" s="11"/>
      <c r="G10" s="11"/>
      <c r="H10" s="11"/>
      <c r="I10" s="188"/>
      <c r="J10" s="188"/>
      <c r="K10" s="188"/>
      <c r="L10" s="188"/>
      <c r="M10" s="188"/>
      <c r="N10" s="188"/>
      <c r="O10" s="188"/>
      <c r="P10" s="188"/>
      <c r="Q10" s="188"/>
      <c r="R10" s="188"/>
    </row>
    <row r="11" spans="1:18" ht="18">
      <c r="B11" s="297" t="s">
        <v>557</v>
      </c>
      <c r="D11" s="11"/>
      <c r="E11" s="11"/>
      <c r="F11" s="11"/>
      <c r="G11" s="11"/>
      <c r="H11" s="11"/>
      <c r="I11" s="188"/>
      <c r="J11" s="188"/>
      <c r="K11" s="188"/>
      <c r="L11" s="188"/>
      <c r="M11" s="188"/>
      <c r="N11" s="188"/>
      <c r="O11" s="188"/>
      <c r="P11" s="188"/>
      <c r="Q11" s="188"/>
      <c r="R11" s="188"/>
    </row>
    <row r="13" spans="1:18" ht="18">
      <c r="B13" s="10" t="s">
        <v>558</v>
      </c>
      <c r="C13" s="10"/>
      <c r="D13" s="10"/>
      <c r="E13" s="10"/>
      <c r="F13" s="10"/>
      <c r="G13" s="10"/>
      <c r="H13" s="10"/>
      <c r="I13" s="10"/>
      <c r="J13" s="10"/>
      <c r="K13" s="10"/>
      <c r="L13" s="10"/>
      <c r="M13" s="10"/>
      <c r="N13" s="10"/>
      <c r="O13" s="10"/>
      <c r="P13" s="10"/>
      <c r="Q13" s="10"/>
      <c r="R13" s="10"/>
    </row>
    <row r="14" spans="1:18" outlineLevel="1">
      <c r="A14" t="s">
        <v>23</v>
      </c>
    </row>
    <row r="15" spans="1:18" outlineLevel="1">
      <c r="B15" s="11" t="s">
        <v>312</v>
      </c>
    </row>
    <row r="16" spans="1:18" outlineLevel="1">
      <c r="B16" s="12" t="s">
        <v>20</v>
      </c>
      <c r="C16" s="13"/>
      <c r="D16" s="168">
        <f>IncomeStatement!G8</f>
        <v>0.39651653392775277</v>
      </c>
      <c r="E16" s="168">
        <f>IncomeStatement!H8</f>
        <v>-9.5298741300329004E-2</v>
      </c>
      <c r="F16" s="168">
        <f>IncomeStatement!I8</f>
        <v>0.36791294452523515</v>
      </c>
      <c r="G16" s="168">
        <f>IncomeStatement!J8</f>
        <v>0.49300652935489575</v>
      </c>
      <c r="H16" s="168">
        <f>IncomeStatement!K8</f>
        <v>0.21782513508548451</v>
      </c>
      <c r="I16" s="19">
        <v>0.28999999999999998</v>
      </c>
      <c r="J16" s="19">
        <f>I16-((I16-M16)/($M$9-$I$9))</f>
        <v>0.2475</v>
      </c>
      <c r="K16" s="19">
        <f>J16-((J16-M16)/($M$9-$J$9))</f>
        <v>0.20499999999999999</v>
      </c>
      <c r="L16" s="19">
        <f>K16-((K16-M16)/($M$9-$K$9))</f>
        <v>0.16249999999999998</v>
      </c>
      <c r="M16" s="19">
        <v>0.12</v>
      </c>
      <c r="N16" s="19">
        <v>0.12</v>
      </c>
      <c r="O16" s="19">
        <v>0.12</v>
      </c>
      <c r="P16" s="19">
        <v>0.12</v>
      </c>
      <c r="Q16" s="19">
        <v>0.12</v>
      </c>
      <c r="R16" s="19">
        <v>0.12</v>
      </c>
    </row>
    <row r="17" spans="2:18" outlineLevel="1">
      <c r="B17" s="12" t="s">
        <v>322</v>
      </c>
      <c r="C17" s="13"/>
      <c r="D17" s="168">
        <f>D16</f>
        <v>0.39651653392775277</v>
      </c>
      <c r="E17" s="168">
        <f t="shared" ref="E17:H18" si="6">E16</f>
        <v>-9.5298741300329004E-2</v>
      </c>
      <c r="F17" s="168">
        <f t="shared" si="6"/>
        <v>0.36791294452523515</v>
      </c>
      <c r="G17" s="168">
        <f t="shared" si="6"/>
        <v>0.49300652935489575</v>
      </c>
      <c r="H17" s="168">
        <f t="shared" si="6"/>
        <v>0.21782513508548451</v>
      </c>
      <c r="I17" s="19">
        <v>0.25</v>
      </c>
      <c r="J17" s="19">
        <f t="shared" ref="J17:J18" si="7">I17-((I17-M17)/($M$9-$I$9))</f>
        <v>0.2175</v>
      </c>
      <c r="K17" s="19">
        <f t="shared" ref="K17:K18" si="8">J17-((J17-M17)/($M$9-$J$9))</f>
        <v>0.185</v>
      </c>
      <c r="L17" s="19">
        <f t="shared" ref="L17:L18" si="9">K17-((K17-M17)/($M$9-$K$9))</f>
        <v>0.1525</v>
      </c>
      <c r="M17" s="19">
        <v>0.12</v>
      </c>
      <c r="N17" s="19">
        <v>0.12</v>
      </c>
      <c r="O17" s="19">
        <v>0.12</v>
      </c>
      <c r="P17" s="19">
        <v>0.12</v>
      </c>
      <c r="Q17" s="19">
        <v>0.12</v>
      </c>
      <c r="R17" s="19">
        <v>0.12</v>
      </c>
    </row>
    <row r="18" spans="2:18" outlineLevel="1">
      <c r="B18" s="12" t="s">
        <v>21</v>
      </c>
      <c r="C18" s="13"/>
      <c r="D18" s="168">
        <f>D17</f>
        <v>0.39651653392775277</v>
      </c>
      <c r="E18" s="168">
        <f t="shared" si="6"/>
        <v>-9.5298741300329004E-2</v>
      </c>
      <c r="F18" s="168">
        <f t="shared" si="6"/>
        <v>0.36791294452523515</v>
      </c>
      <c r="G18" s="168">
        <f t="shared" si="6"/>
        <v>0.49300652935489575</v>
      </c>
      <c r="H18" s="168">
        <f t="shared" si="6"/>
        <v>0.21782513508548451</v>
      </c>
      <c r="I18" s="19">
        <v>0.1</v>
      </c>
      <c r="J18" s="19">
        <f t="shared" si="7"/>
        <v>0.10500000000000001</v>
      </c>
      <c r="K18" s="19">
        <f t="shared" si="8"/>
        <v>0.11</v>
      </c>
      <c r="L18" s="19">
        <f t="shared" si="9"/>
        <v>0.11499999999999999</v>
      </c>
      <c r="M18" s="19">
        <v>0.12</v>
      </c>
      <c r="N18" s="19">
        <v>0.12</v>
      </c>
      <c r="O18" s="19">
        <v>0.12</v>
      </c>
      <c r="P18" s="19">
        <v>0.12</v>
      </c>
      <c r="Q18" s="19">
        <v>0.12</v>
      </c>
      <c r="R18" s="19">
        <v>0.12</v>
      </c>
    </row>
    <row r="19" spans="2:18" outlineLevel="1">
      <c r="B19" s="15" t="str">
        <f>"Current Case - "&amp;CHOOSE($I$4,$B$16,$B$17,$B$18)</f>
        <v>Current Case - Base Case</v>
      </c>
      <c r="C19" s="14"/>
      <c r="D19" s="14"/>
      <c r="E19" s="14"/>
      <c r="F19" s="14"/>
      <c r="G19" s="14"/>
      <c r="H19" s="14"/>
      <c r="I19" s="24">
        <f>CHOOSE($I$4,I16,I17,I18)</f>
        <v>0.25</v>
      </c>
      <c r="J19" s="24">
        <f>CHOOSE($I$4,J16,J17,J18)</f>
        <v>0.2175</v>
      </c>
      <c r="K19" s="24">
        <f>CHOOSE($I$4,K16,K17,K18)</f>
        <v>0.185</v>
      </c>
      <c r="L19" s="24">
        <f>CHOOSE($I$4,L16,L17,L18)</f>
        <v>0.1525</v>
      </c>
      <c r="M19" s="24">
        <f>CHOOSE($I$4,M16,M17,M18)</f>
        <v>0.12</v>
      </c>
      <c r="N19" s="24">
        <f t="shared" ref="N19:R19" si="10">CHOOSE($I$4,N16,N17,N18)</f>
        <v>0.12</v>
      </c>
      <c r="O19" s="24">
        <f t="shared" si="10"/>
        <v>0.12</v>
      </c>
      <c r="P19" s="24">
        <f t="shared" si="10"/>
        <v>0.12</v>
      </c>
      <c r="Q19" s="24">
        <f t="shared" si="10"/>
        <v>0.12</v>
      </c>
      <c r="R19" s="24">
        <f t="shared" si="10"/>
        <v>0.12</v>
      </c>
    </row>
    <row r="21" spans="2:18" ht="18">
      <c r="B21" s="10" t="s">
        <v>559</v>
      </c>
      <c r="C21" s="10"/>
      <c r="D21" s="10"/>
      <c r="E21" s="10"/>
      <c r="F21" s="10"/>
      <c r="G21" s="10"/>
      <c r="H21" s="10"/>
      <c r="I21" s="10"/>
      <c r="J21" s="10"/>
      <c r="K21" s="10"/>
      <c r="L21" s="10"/>
      <c r="M21" s="10"/>
      <c r="N21" s="10"/>
      <c r="O21" s="10"/>
      <c r="P21" s="10"/>
      <c r="Q21" s="10"/>
      <c r="R21" s="10"/>
    </row>
    <row r="22" spans="2:18" outlineLevel="1"/>
    <row r="23" spans="2:18" outlineLevel="1">
      <c r="B23" s="11" t="s">
        <v>321</v>
      </c>
    </row>
    <row r="24" spans="2:18" outlineLevel="1">
      <c r="B24" s="16" t="s">
        <v>20</v>
      </c>
      <c r="C24" s="13"/>
      <c r="D24" s="183">
        <f>IncomeStatement!G19</f>
        <v>0.54844044109190171</v>
      </c>
      <c r="E24" s="183">
        <f>IncomeStatement!H19</f>
        <v>0.57149147150294399</v>
      </c>
      <c r="F24" s="183">
        <f>IncomeStatement!I19</f>
        <v>0.54272301640102327</v>
      </c>
      <c r="G24" s="183">
        <f>IncomeStatement!J19</f>
        <v>0.52470329777107061</v>
      </c>
      <c r="H24" s="183">
        <f>IncomeStatement!K19</f>
        <v>0.53842290090353917</v>
      </c>
      <c r="I24" s="19">
        <v>0.55000000000000004</v>
      </c>
      <c r="J24" s="19">
        <v>0.55000000000000004</v>
      </c>
      <c r="K24" s="19">
        <v>0.55000000000000004</v>
      </c>
      <c r="L24" s="19">
        <v>0.55000000000000004</v>
      </c>
      <c r="M24" s="19">
        <v>0.53800000000000003</v>
      </c>
      <c r="N24" s="19">
        <v>0.53800000000000003</v>
      </c>
      <c r="O24" s="19">
        <v>0.53800000000000003</v>
      </c>
      <c r="P24" s="19">
        <v>0.53800000000000003</v>
      </c>
      <c r="Q24" s="19">
        <v>0.53800000000000003</v>
      </c>
      <c r="R24" s="19">
        <v>0.53800000000000003</v>
      </c>
    </row>
    <row r="25" spans="2:18" outlineLevel="1">
      <c r="B25" s="16" t="s">
        <v>322</v>
      </c>
      <c r="C25" s="13"/>
      <c r="D25" s="26">
        <f>D24</f>
        <v>0.54844044109190171</v>
      </c>
      <c r="E25" s="26">
        <f t="shared" ref="E25:H25" si="11">E24</f>
        <v>0.57149147150294399</v>
      </c>
      <c r="F25" s="26">
        <f t="shared" si="11"/>
        <v>0.54272301640102327</v>
      </c>
      <c r="G25" s="26">
        <f t="shared" si="11"/>
        <v>0.52470329777107061</v>
      </c>
      <c r="H25" s="26">
        <f t="shared" si="11"/>
        <v>0.53842290090353917</v>
      </c>
      <c r="I25" s="19">
        <v>0.55000000000000004</v>
      </c>
      <c r="J25" s="19">
        <f t="shared" ref="J25:J26" si="12">I25-((I25-M25)/($M$9-$I$9))</f>
        <v>0.53625</v>
      </c>
      <c r="K25" s="19">
        <f t="shared" ref="K25:K26" si="13">J25-((J25-M25)/($M$9-$J$9))</f>
        <v>0.52249999999999996</v>
      </c>
      <c r="L25" s="19">
        <f t="shared" ref="L25:L26" si="14">K25-((K25-M25)/($M$9-$K$9))</f>
        <v>0.50875000000000004</v>
      </c>
      <c r="M25" s="19">
        <v>0.495</v>
      </c>
      <c r="N25" s="19">
        <v>0.495</v>
      </c>
      <c r="O25" s="19">
        <v>0.495</v>
      </c>
      <c r="P25" s="19">
        <v>0.495</v>
      </c>
      <c r="Q25" s="19">
        <v>0.495</v>
      </c>
      <c r="R25" s="19">
        <v>0.495</v>
      </c>
    </row>
    <row r="26" spans="2:18" outlineLevel="1">
      <c r="B26" s="16" t="s">
        <v>21</v>
      </c>
      <c r="C26" s="13"/>
      <c r="D26" s="26">
        <f>D24</f>
        <v>0.54844044109190171</v>
      </c>
      <c r="E26" s="26">
        <f t="shared" ref="E26:H26" si="15">E24</f>
        <v>0.57149147150294399</v>
      </c>
      <c r="F26" s="26">
        <f t="shared" si="15"/>
        <v>0.54272301640102327</v>
      </c>
      <c r="G26" s="26">
        <f t="shared" si="15"/>
        <v>0.52470329777107061</v>
      </c>
      <c r="H26" s="26">
        <f t="shared" si="15"/>
        <v>0.53842290090353917</v>
      </c>
      <c r="I26" s="19">
        <v>0.53800000000000003</v>
      </c>
      <c r="J26" s="19">
        <f t="shared" si="12"/>
        <v>0.51424999999999998</v>
      </c>
      <c r="K26" s="19">
        <f t="shared" si="13"/>
        <v>0.49049999999999999</v>
      </c>
      <c r="L26" s="19">
        <f t="shared" si="14"/>
        <v>0.46675</v>
      </c>
      <c r="M26" s="19">
        <v>0.443</v>
      </c>
      <c r="N26" s="19">
        <v>0.443</v>
      </c>
      <c r="O26" s="19">
        <v>0.443</v>
      </c>
      <c r="P26" s="19">
        <v>0.443</v>
      </c>
      <c r="Q26" s="19">
        <v>0.443</v>
      </c>
      <c r="R26" s="19">
        <v>0.443</v>
      </c>
    </row>
    <row r="27" spans="2:18" outlineLevel="1">
      <c r="B27" s="15" t="str">
        <f>"Current Case - "&amp;CHOOSE($I$4,$B$16,$B$17,$B$18)</f>
        <v>Current Case - Base Case</v>
      </c>
      <c r="C27" s="14"/>
      <c r="D27" s="14"/>
      <c r="E27" s="14"/>
      <c r="F27" s="14"/>
      <c r="G27" s="14"/>
      <c r="H27" s="14"/>
      <c r="I27" s="24">
        <f>CHOOSE($I$4,I24,I25,I26)</f>
        <v>0.55000000000000004</v>
      </c>
      <c r="J27" s="24">
        <f>CHOOSE($I$4,J24,J25,J26)</f>
        <v>0.53625</v>
      </c>
      <c r="K27" s="24">
        <f>CHOOSE($I$4,K24,K25,K26)</f>
        <v>0.52249999999999996</v>
      </c>
      <c r="L27" s="24">
        <f>CHOOSE($I$4,L24,L25,L26)</f>
        <v>0.50875000000000004</v>
      </c>
      <c r="M27" s="24">
        <f>CHOOSE($I$4,M24,M25,M26)</f>
        <v>0.495</v>
      </c>
      <c r="N27" s="24">
        <f t="shared" ref="N27:R27" si="16">CHOOSE($I$4,N24,N25,N26)</f>
        <v>0.495</v>
      </c>
      <c r="O27" s="24">
        <f t="shared" si="16"/>
        <v>0.495</v>
      </c>
      <c r="P27" s="24">
        <f t="shared" si="16"/>
        <v>0.495</v>
      </c>
      <c r="Q27" s="24">
        <f t="shared" si="16"/>
        <v>0.495</v>
      </c>
      <c r="R27" s="24">
        <f t="shared" si="16"/>
        <v>0.495</v>
      </c>
    </row>
    <row r="28" spans="2:18" outlineLevel="1">
      <c r="B28" s="17"/>
      <c r="C28" s="18"/>
      <c r="D28" s="18"/>
      <c r="E28" s="18"/>
      <c r="F28" s="18"/>
      <c r="G28" s="18"/>
      <c r="H28" s="18"/>
      <c r="I28" s="18"/>
      <c r="J28" s="18"/>
      <c r="K28" s="18"/>
      <c r="L28" s="18"/>
      <c r="M28" s="18"/>
      <c r="N28" s="18"/>
      <c r="O28" s="18"/>
      <c r="P28" s="18"/>
      <c r="Q28" s="18"/>
      <c r="R28" s="18"/>
    </row>
    <row r="29" spans="2:18" outlineLevel="1">
      <c r="B29" s="15" t="s">
        <v>567</v>
      </c>
      <c r="C29" s="14"/>
      <c r="D29" s="302">
        <f>1-D24</f>
        <v>0.45155955890809829</v>
      </c>
      <c r="E29" s="302">
        <f t="shared" ref="E29:H29" si="17">1-E24</f>
        <v>0.42850852849705601</v>
      </c>
      <c r="F29" s="302">
        <f t="shared" si="17"/>
        <v>0.45727698359897673</v>
      </c>
      <c r="G29" s="302">
        <f t="shared" si="17"/>
        <v>0.47529670222892939</v>
      </c>
      <c r="H29" s="302">
        <f t="shared" si="17"/>
        <v>0.46157709909646083</v>
      </c>
      <c r="I29" s="302">
        <f>1-I27</f>
        <v>0.44999999999999996</v>
      </c>
      <c r="J29" s="302">
        <f t="shared" ref="J29:M29" si="18">1-J27</f>
        <v>0.46375</v>
      </c>
      <c r="K29" s="302">
        <f t="shared" si="18"/>
        <v>0.47750000000000004</v>
      </c>
      <c r="L29" s="302">
        <f t="shared" si="18"/>
        <v>0.49124999999999996</v>
      </c>
      <c r="M29" s="302">
        <f t="shared" si="18"/>
        <v>0.505</v>
      </c>
      <c r="N29" s="302">
        <f t="shared" ref="N29:R29" si="19">1-N27</f>
        <v>0.505</v>
      </c>
      <c r="O29" s="302">
        <f t="shared" si="19"/>
        <v>0.505</v>
      </c>
      <c r="P29" s="302">
        <f t="shared" si="19"/>
        <v>0.505</v>
      </c>
      <c r="Q29" s="302">
        <f t="shared" si="19"/>
        <v>0.505</v>
      </c>
      <c r="R29" s="302">
        <f t="shared" si="19"/>
        <v>0.505</v>
      </c>
    </row>
    <row r="30" spans="2:18">
      <c r="B30" s="17"/>
      <c r="C30" s="18"/>
      <c r="D30" s="18"/>
      <c r="E30" s="18"/>
      <c r="F30" s="18"/>
      <c r="G30" s="18"/>
      <c r="H30" s="18"/>
      <c r="I30" s="18"/>
      <c r="J30" s="18"/>
      <c r="K30" s="18"/>
      <c r="L30" s="18"/>
      <c r="M30" s="18"/>
      <c r="N30" s="18"/>
      <c r="O30" s="18"/>
      <c r="P30" s="18"/>
      <c r="Q30" s="18"/>
      <c r="R30" s="18"/>
    </row>
    <row r="31" spans="2:18" ht="18">
      <c r="B31" s="10" t="s">
        <v>560</v>
      </c>
      <c r="C31" s="10"/>
      <c r="D31" s="10"/>
      <c r="E31" s="10"/>
      <c r="F31" s="10"/>
      <c r="G31" s="10"/>
      <c r="H31" s="10"/>
      <c r="I31" s="10"/>
      <c r="J31" s="10"/>
      <c r="K31" s="10"/>
      <c r="L31" s="10"/>
      <c r="M31" s="10"/>
      <c r="N31" s="10"/>
      <c r="O31" s="10"/>
      <c r="P31" s="10"/>
      <c r="Q31" s="10"/>
      <c r="R31" s="10"/>
    </row>
    <row r="32" spans="2:18" outlineLevel="1"/>
    <row r="33" spans="2:18" outlineLevel="1">
      <c r="B33" s="11" t="s">
        <v>349</v>
      </c>
    </row>
    <row r="34" spans="2:18" outlineLevel="1">
      <c r="B34" s="16" t="s">
        <v>20</v>
      </c>
      <c r="C34" s="13"/>
      <c r="D34" s="183">
        <f>'Assumptions working'!J272</f>
        <v>0.11374474053295933</v>
      </c>
      <c r="E34" s="183">
        <f>'Assumptions working'!K272</f>
        <v>0.13798449612403102</v>
      </c>
      <c r="F34" s="183">
        <f>'Assumptions working'!L272</f>
        <v>0.11424685481128868</v>
      </c>
      <c r="G34" s="183">
        <f>'Assumptions working'!M272</f>
        <v>9.2385940939801112E-2</v>
      </c>
      <c r="H34" s="183">
        <f>'Assumptions working'!N272</f>
        <v>9.0195100666957545E-2</v>
      </c>
      <c r="I34" s="19">
        <v>0.10225084503222394</v>
      </c>
      <c r="J34" s="19">
        <v>0.10225084503222394</v>
      </c>
      <c r="K34" s="19">
        <v>0.10225084503222394</v>
      </c>
      <c r="L34" s="19">
        <v>0.10225084503222394</v>
      </c>
      <c r="M34" s="19">
        <v>0.10225084503222394</v>
      </c>
      <c r="N34" s="19">
        <v>0.10225084503222394</v>
      </c>
      <c r="O34" s="19">
        <v>0.10225084503222394</v>
      </c>
      <c r="P34" s="19">
        <v>0.10225084503222394</v>
      </c>
      <c r="Q34" s="19">
        <v>0.10225084503222394</v>
      </c>
      <c r="R34" s="19">
        <v>0.10225084503222394</v>
      </c>
    </row>
    <row r="35" spans="2:18" outlineLevel="1">
      <c r="B35" s="16" t="s">
        <v>322</v>
      </c>
      <c r="C35" s="13"/>
      <c r="D35" s="26">
        <f>D34</f>
        <v>0.11374474053295933</v>
      </c>
      <c r="E35" s="26">
        <f t="shared" ref="E35:H35" si="20">E34</f>
        <v>0.13798449612403102</v>
      </c>
      <c r="F35" s="26">
        <f t="shared" si="20"/>
        <v>0.11424685481128868</v>
      </c>
      <c r="G35" s="26">
        <f t="shared" si="20"/>
        <v>9.2385940939801112E-2</v>
      </c>
      <c r="H35" s="26">
        <f t="shared" si="20"/>
        <v>9.0195100666957545E-2</v>
      </c>
      <c r="I35" s="19">
        <v>0.10225084503222394</v>
      </c>
      <c r="J35" s="19">
        <v>0.10225084503222394</v>
      </c>
      <c r="K35" s="19">
        <v>0.10225084503222394</v>
      </c>
      <c r="L35" s="19">
        <v>0.10225084503222394</v>
      </c>
      <c r="M35" s="19">
        <v>0.10225084503222394</v>
      </c>
      <c r="N35" s="19">
        <v>0.10225084503222394</v>
      </c>
      <c r="O35" s="19">
        <v>0.10225084503222394</v>
      </c>
      <c r="P35" s="19">
        <v>0.10225084503222394</v>
      </c>
      <c r="Q35" s="19">
        <v>0.10225084503222394</v>
      </c>
      <c r="R35" s="19">
        <v>0.10225084503222394</v>
      </c>
    </row>
    <row r="36" spans="2:18" outlineLevel="1">
      <c r="B36" s="16" t="s">
        <v>21</v>
      </c>
      <c r="C36" s="13"/>
      <c r="D36" s="26">
        <f>D34</f>
        <v>0.11374474053295933</v>
      </c>
      <c r="E36" s="26">
        <f t="shared" ref="E36:H36" si="21">E34</f>
        <v>0.13798449612403102</v>
      </c>
      <c r="F36" s="26">
        <f t="shared" si="21"/>
        <v>0.11424685481128868</v>
      </c>
      <c r="G36" s="26">
        <f t="shared" si="21"/>
        <v>9.2385940939801112E-2</v>
      </c>
      <c r="H36" s="26">
        <f t="shared" si="21"/>
        <v>9.0195100666957545E-2</v>
      </c>
      <c r="I36" s="19">
        <v>0.10225084503222394</v>
      </c>
      <c r="J36" s="19">
        <v>0.10225084503222394</v>
      </c>
      <c r="K36" s="19">
        <v>0.10225084503222394</v>
      </c>
      <c r="L36" s="19">
        <v>0.10225084503222394</v>
      </c>
      <c r="M36" s="19">
        <v>0.10225084503222394</v>
      </c>
      <c r="N36" s="19">
        <v>0.10225084503222394</v>
      </c>
      <c r="O36" s="19">
        <v>0.10225084503222394</v>
      </c>
      <c r="P36" s="19">
        <v>0.10225084503222394</v>
      </c>
      <c r="Q36" s="19">
        <v>0.10225084503222394</v>
      </c>
      <c r="R36" s="19">
        <v>0.10225084503222394</v>
      </c>
    </row>
    <row r="37" spans="2:18" outlineLevel="1">
      <c r="B37" s="15" t="str">
        <f>"Current Case - "&amp;CHOOSE($I$4,$B$16,$B$17,$B$18)</f>
        <v>Current Case - Base Case</v>
      </c>
      <c r="C37" s="14"/>
      <c r="D37" s="14"/>
      <c r="E37" s="14"/>
      <c r="F37" s="14"/>
      <c r="G37" s="14"/>
      <c r="H37" s="14"/>
      <c r="I37" s="24">
        <f>CHOOSE($I$4,I34,I35,I36)</f>
        <v>0.10225084503222394</v>
      </c>
      <c r="J37" s="24">
        <f>CHOOSE($I$4,J34,J35,J36)</f>
        <v>0.10225084503222394</v>
      </c>
      <c r="K37" s="24">
        <f>CHOOSE($I$4,K34,K35,K36)</f>
        <v>0.10225084503222394</v>
      </c>
      <c r="L37" s="24">
        <f>CHOOSE($I$4,L34,L35,L36)</f>
        <v>0.10225084503222394</v>
      </c>
      <c r="M37" s="24">
        <f>CHOOSE($I$4,M34,M35,M36)</f>
        <v>0.10225084503222394</v>
      </c>
      <c r="N37" s="24">
        <f t="shared" ref="N37:R37" si="22">CHOOSE($I$4,N34,N35,N36)</f>
        <v>0.10225084503222394</v>
      </c>
      <c r="O37" s="24">
        <f t="shared" si="22"/>
        <v>0.10225084503222394</v>
      </c>
      <c r="P37" s="24">
        <f t="shared" si="22"/>
        <v>0.10225084503222394</v>
      </c>
      <c r="Q37" s="24">
        <f t="shared" si="22"/>
        <v>0.10225084503222394</v>
      </c>
      <c r="R37" s="24">
        <f t="shared" si="22"/>
        <v>0.10225084503222394</v>
      </c>
    </row>
    <row r="38" spans="2:18" outlineLevel="1"/>
    <row r="39" spans="2:18" outlineLevel="1">
      <c r="B39" s="11" t="s">
        <v>350</v>
      </c>
    </row>
    <row r="40" spans="2:18" outlineLevel="1">
      <c r="B40" s="16" t="s">
        <v>20</v>
      </c>
      <c r="C40" s="13"/>
      <c r="D40" s="183">
        <f>'Assumptions working'!J275</f>
        <v>3.9130434782608699E-2</v>
      </c>
      <c r="E40" s="183">
        <f>'Assumptions working'!K275</f>
        <v>4.13953488372093E-2</v>
      </c>
      <c r="F40" s="183">
        <f>'Assumptions working'!L275</f>
        <v>3.7402244134648079E-2</v>
      </c>
      <c r="G40" s="183">
        <f>'Assumptions working'!M275</f>
        <v>3.63622561299628E-2</v>
      </c>
      <c r="H40" s="183">
        <f>'Assumptions working'!N275</f>
        <v>3.4282864800847725E-2</v>
      </c>
      <c r="I40" s="19">
        <v>3.9545237371324329E-2</v>
      </c>
      <c r="J40" s="19">
        <v>3.9545237371324329E-2</v>
      </c>
      <c r="K40" s="19">
        <v>3.9545237371324329E-2</v>
      </c>
      <c r="L40" s="19">
        <v>3.9545237371324329E-2</v>
      </c>
      <c r="M40" s="19">
        <v>3.9545237371324329E-2</v>
      </c>
      <c r="N40" s="19">
        <v>3.9545237371324329E-2</v>
      </c>
      <c r="O40" s="19">
        <v>3.9545237371324329E-2</v>
      </c>
      <c r="P40" s="19">
        <v>3.9545237371324329E-2</v>
      </c>
      <c r="Q40" s="19">
        <v>3.9545237371324329E-2</v>
      </c>
      <c r="R40" s="19">
        <v>3.9545237371324329E-2</v>
      </c>
    </row>
    <row r="41" spans="2:18" outlineLevel="1">
      <c r="B41" s="16" t="s">
        <v>322</v>
      </c>
      <c r="C41" s="13"/>
      <c r="D41" s="26">
        <f>D40</f>
        <v>3.9130434782608699E-2</v>
      </c>
      <c r="E41" s="26">
        <f t="shared" ref="E41:H41" si="23">E40</f>
        <v>4.13953488372093E-2</v>
      </c>
      <c r="F41" s="26">
        <f t="shared" si="23"/>
        <v>3.7402244134648079E-2</v>
      </c>
      <c r="G41" s="26">
        <f t="shared" si="23"/>
        <v>3.63622561299628E-2</v>
      </c>
      <c r="H41" s="26">
        <f t="shared" si="23"/>
        <v>3.4282864800847725E-2</v>
      </c>
      <c r="I41" s="19">
        <v>3.9545237371324329E-2</v>
      </c>
      <c r="J41" s="19">
        <v>3.9545237371324329E-2</v>
      </c>
      <c r="K41" s="19">
        <v>3.9545237371324329E-2</v>
      </c>
      <c r="L41" s="19">
        <v>3.9545237371324329E-2</v>
      </c>
      <c r="M41" s="19">
        <v>3.9545237371324329E-2</v>
      </c>
      <c r="N41" s="19">
        <v>3.9545237371324329E-2</v>
      </c>
      <c r="O41" s="19">
        <v>3.9545237371324329E-2</v>
      </c>
      <c r="P41" s="19">
        <v>3.9545237371324329E-2</v>
      </c>
      <c r="Q41" s="19">
        <v>3.9545237371324329E-2</v>
      </c>
      <c r="R41" s="19">
        <v>3.9545237371324329E-2</v>
      </c>
    </row>
    <row r="42" spans="2:18" outlineLevel="1">
      <c r="B42" s="16" t="s">
        <v>21</v>
      </c>
      <c r="C42" s="13"/>
      <c r="D42" s="26">
        <f>D40</f>
        <v>3.9130434782608699E-2</v>
      </c>
      <c r="E42" s="26">
        <f t="shared" ref="E42:H42" si="24">E40</f>
        <v>4.13953488372093E-2</v>
      </c>
      <c r="F42" s="26">
        <f t="shared" si="24"/>
        <v>3.7402244134648079E-2</v>
      </c>
      <c r="G42" s="26">
        <f t="shared" si="24"/>
        <v>3.63622561299628E-2</v>
      </c>
      <c r="H42" s="26">
        <f t="shared" si="24"/>
        <v>3.4282864800847725E-2</v>
      </c>
      <c r="I42" s="19">
        <v>3.9545237371324329E-2</v>
      </c>
      <c r="J42" s="19">
        <v>3.9545237371324329E-2</v>
      </c>
      <c r="K42" s="19">
        <v>3.9545237371324329E-2</v>
      </c>
      <c r="L42" s="19">
        <v>3.9545237371324329E-2</v>
      </c>
      <c r="M42" s="19">
        <v>3.9545237371324329E-2</v>
      </c>
      <c r="N42" s="19">
        <v>3.9545237371324329E-2</v>
      </c>
      <c r="O42" s="19">
        <v>3.9545237371324329E-2</v>
      </c>
      <c r="P42" s="19">
        <v>3.9545237371324329E-2</v>
      </c>
      <c r="Q42" s="19">
        <v>3.9545237371324329E-2</v>
      </c>
      <c r="R42" s="19">
        <v>3.9545237371324329E-2</v>
      </c>
    </row>
    <row r="43" spans="2:18" outlineLevel="1">
      <c r="B43" s="15" t="str">
        <f>"Current Case - "&amp;CHOOSE($I$4,$B$16,$B$17,$B$18)</f>
        <v>Current Case - Base Case</v>
      </c>
      <c r="C43" s="14"/>
      <c r="D43" s="14"/>
      <c r="E43" s="14"/>
      <c r="F43" s="14"/>
      <c r="G43" s="14"/>
      <c r="H43" s="14"/>
      <c r="I43" s="24">
        <f>CHOOSE($I$4,I40,I41,I42)</f>
        <v>3.9545237371324329E-2</v>
      </c>
      <c r="J43" s="24">
        <f>CHOOSE($I$4,J40,J41,J42)</f>
        <v>3.9545237371324329E-2</v>
      </c>
      <c r="K43" s="24">
        <f>CHOOSE($I$4,K40,K41,K42)</f>
        <v>3.9545237371324329E-2</v>
      </c>
      <c r="L43" s="24">
        <f>CHOOSE($I$4,L40,L41,L42)</f>
        <v>3.9545237371324329E-2</v>
      </c>
      <c r="M43" s="24">
        <f>CHOOSE($I$4,M40,M41,M42)</f>
        <v>3.9545237371324329E-2</v>
      </c>
      <c r="N43" s="24">
        <f t="shared" ref="N43:R43" si="25">CHOOSE($I$4,N40,N41,N42)</f>
        <v>3.9545237371324329E-2</v>
      </c>
      <c r="O43" s="24">
        <f t="shared" si="25"/>
        <v>3.9545237371324329E-2</v>
      </c>
      <c r="P43" s="24">
        <f t="shared" si="25"/>
        <v>3.9545237371324329E-2</v>
      </c>
      <c r="Q43" s="24">
        <f t="shared" si="25"/>
        <v>3.9545237371324329E-2</v>
      </c>
      <c r="R43" s="24">
        <f t="shared" si="25"/>
        <v>3.9545237371324329E-2</v>
      </c>
    </row>
    <row r="44" spans="2:18" outlineLevel="1">
      <c r="B44" s="32" t="s">
        <v>23</v>
      </c>
    </row>
    <row r="45" spans="2:18" outlineLevel="1">
      <c r="B45" s="11" t="s">
        <v>351</v>
      </c>
    </row>
    <row r="46" spans="2:18" outlineLevel="1">
      <c r="B46" s="16" t="s">
        <v>20</v>
      </c>
      <c r="C46" s="13"/>
      <c r="D46" s="183">
        <f>'Assumptions working'!J278</f>
        <v>2.356241234221599E-2</v>
      </c>
      <c r="E46" s="183">
        <f>'Assumptions working'!K278</f>
        <v>2.4341085271317828E-2</v>
      </c>
      <c r="F46" s="183">
        <f>'Assumptions working'!L278</f>
        <v>3.581548226226907E-2</v>
      </c>
      <c r="G46" s="183">
        <f>'Assumptions working'!M278</f>
        <v>3.1731572155165873E-2</v>
      </c>
      <c r="H46" s="183">
        <f>'Assumptions working'!N278</f>
        <v>3.1789565542604252E-2</v>
      </c>
      <c r="I46" s="19">
        <v>2.7138417138417137E-2</v>
      </c>
      <c r="J46" s="19">
        <v>2.7138417138417137E-2</v>
      </c>
      <c r="K46" s="19">
        <v>2.7138417138417137E-2</v>
      </c>
      <c r="L46" s="19">
        <v>2.7138417138417137E-2</v>
      </c>
      <c r="M46" s="19">
        <v>2.7138417138417137E-2</v>
      </c>
      <c r="N46" s="19">
        <v>2.7138417138417137E-2</v>
      </c>
      <c r="O46" s="19">
        <v>2.7138417138417137E-2</v>
      </c>
      <c r="P46" s="19">
        <v>2.7138417138417137E-2</v>
      </c>
      <c r="Q46" s="19">
        <v>2.7138417138417137E-2</v>
      </c>
      <c r="R46" s="19">
        <v>2.7138417138417137E-2</v>
      </c>
    </row>
    <row r="47" spans="2:18" outlineLevel="1">
      <c r="B47" s="16" t="s">
        <v>322</v>
      </c>
      <c r="C47" s="13"/>
      <c r="D47" s="26">
        <f>D46</f>
        <v>2.356241234221599E-2</v>
      </c>
      <c r="E47" s="26">
        <f t="shared" ref="E47:H47" si="26">E46</f>
        <v>2.4341085271317828E-2</v>
      </c>
      <c r="F47" s="26">
        <f t="shared" si="26"/>
        <v>3.581548226226907E-2</v>
      </c>
      <c r="G47" s="26">
        <f t="shared" si="26"/>
        <v>3.1731572155165873E-2</v>
      </c>
      <c r="H47" s="26">
        <f t="shared" si="26"/>
        <v>3.1789565542604252E-2</v>
      </c>
      <c r="I47" s="19">
        <v>2.7138417138417137E-2</v>
      </c>
      <c r="J47" s="19">
        <v>2.7138417138417137E-2</v>
      </c>
      <c r="K47" s="19">
        <v>2.7138417138417137E-2</v>
      </c>
      <c r="L47" s="19">
        <v>2.7138417138417137E-2</v>
      </c>
      <c r="M47" s="19">
        <v>2.7138417138417137E-2</v>
      </c>
      <c r="N47" s="19">
        <v>2.7138417138417137E-2</v>
      </c>
      <c r="O47" s="19">
        <v>2.7138417138417137E-2</v>
      </c>
      <c r="P47" s="19">
        <v>2.7138417138417137E-2</v>
      </c>
      <c r="Q47" s="19">
        <v>2.7138417138417137E-2</v>
      </c>
      <c r="R47" s="19">
        <v>2.7138417138417137E-2</v>
      </c>
    </row>
    <row r="48" spans="2:18" outlineLevel="1">
      <c r="B48" s="16" t="s">
        <v>21</v>
      </c>
      <c r="C48" s="13"/>
      <c r="D48" s="26">
        <f>D46</f>
        <v>2.356241234221599E-2</v>
      </c>
      <c r="E48" s="26">
        <f t="shared" ref="E48:H48" si="27">E46</f>
        <v>2.4341085271317828E-2</v>
      </c>
      <c r="F48" s="26">
        <f t="shared" si="27"/>
        <v>3.581548226226907E-2</v>
      </c>
      <c r="G48" s="26">
        <f t="shared" si="27"/>
        <v>3.1731572155165873E-2</v>
      </c>
      <c r="H48" s="26">
        <f t="shared" si="27"/>
        <v>3.1789565542604252E-2</v>
      </c>
      <c r="I48" s="19">
        <v>2.7138417138417137E-2</v>
      </c>
      <c r="J48" s="19">
        <v>2.7138417138417137E-2</v>
      </c>
      <c r="K48" s="19">
        <v>2.7138417138417137E-2</v>
      </c>
      <c r="L48" s="19">
        <v>2.7138417138417137E-2</v>
      </c>
      <c r="M48" s="19">
        <v>2.7138417138417137E-2</v>
      </c>
      <c r="N48" s="19">
        <v>2.7138417138417137E-2</v>
      </c>
      <c r="O48" s="19">
        <v>2.7138417138417137E-2</v>
      </c>
      <c r="P48" s="19">
        <v>2.7138417138417137E-2</v>
      </c>
      <c r="Q48" s="19">
        <v>2.7138417138417137E-2</v>
      </c>
      <c r="R48" s="19">
        <v>2.7138417138417137E-2</v>
      </c>
    </row>
    <row r="49" spans="2:18" outlineLevel="1">
      <c r="B49" s="15" t="str">
        <f>"Current Case - "&amp;CHOOSE($I$4,$B$16,$B$17,$B$18)</f>
        <v>Current Case - Base Case</v>
      </c>
      <c r="C49" s="14"/>
      <c r="D49" s="14"/>
      <c r="E49" s="14"/>
      <c r="F49" s="14"/>
      <c r="G49" s="14"/>
      <c r="H49" s="14"/>
      <c r="I49" s="24">
        <f>CHOOSE($I$4,I46,I47,I48)</f>
        <v>2.7138417138417137E-2</v>
      </c>
      <c r="J49" s="24">
        <f>CHOOSE($I$4,J46,J47,J48)</f>
        <v>2.7138417138417137E-2</v>
      </c>
      <c r="K49" s="24">
        <f>CHOOSE($I$4,K46,K47,K48)</f>
        <v>2.7138417138417137E-2</v>
      </c>
      <c r="L49" s="24">
        <f>CHOOSE($I$4,L46,L47,L48)</f>
        <v>2.7138417138417137E-2</v>
      </c>
      <c r="M49" s="24">
        <f>CHOOSE($I$4,M46,M47,M48)</f>
        <v>2.7138417138417137E-2</v>
      </c>
      <c r="N49" s="24">
        <f t="shared" ref="N49:R49" si="28">CHOOSE($I$4,N46,N47,N48)</f>
        <v>2.7138417138417137E-2</v>
      </c>
      <c r="O49" s="24">
        <f t="shared" si="28"/>
        <v>2.7138417138417137E-2</v>
      </c>
      <c r="P49" s="24">
        <f t="shared" si="28"/>
        <v>2.7138417138417137E-2</v>
      </c>
      <c r="Q49" s="24">
        <f t="shared" si="28"/>
        <v>2.7138417138417137E-2</v>
      </c>
      <c r="R49" s="24">
        <f t="shared" si="28"/>
        <v>2.7138417138417137E-2</v>
      </c>
    </row>
    <row r="50" spans="2:18" outlineLevel="1"/>
    <row r="51" spans="2:18" outlineLevel="1">
      <c r="B51" s="11" t="s">
        <v>352</v>
      </c>
    </row>
    <row r="52" spans="2:18" outlineLevel="1">
      <c r="B52" s="16" t="s">
        <v>20</v>
      </c>
      <c r="C52" s="13"/>
      <c r="D52" s="26">
        <f>'Assumptions working'!J281</f>
        <v>0.11762692847124825</v>
      </c>
      <c r="E52" s="26">
        <f>'Assumptions working'!K281</f>
        <v>0.13745736434108527</v>
      </c>
      <c r="F52" s="26">
        <f>'Assumptions working'!L281</f>
        <v>0.12436019494503003</v>
      </c>
      <c r="G52" s="26">
        <f>'Assumptions working'!M281</f>
        <v>0.11768313975556061</v>
      </c>
      <c r="H52" s="26">
        <f>'Assumptions working'!N281</f>
        <v>0.11541613164620085</v>
      </c>
      <c r="I52" s="19">
        <v>0.11652153005872455</v>
      </c>
      <c r="J52" s="19">
        <v>0.11652153005872455</v>
      </c>
      <c r="K52" s="19">
        <v>0.11652153005872455</v>
      </c>
      <c r="L52" s="19">
        <v>0.11652153005872455</v>
      </c>
      <c r="M52" s="19">
        <v>0.11652153005872455</v>
      </c>
      <c r="N52" s="19">
        <v>0.11652153005872455</v>
      </c>
      <c r="O52" s="19">
        <v>0.11652153005872455</v>
      </c>
      <c r="P52" s="19">
        <v>0.11652153005872455</v>
      </c>
      <c r="Q52" s="19">
        <v>0.11652153005872455</v>
      </c>
      <c r="R52" s="19">
        <v>0.11652153005872455</v>
      </c>
    </row>
    <row r="53" spans="2:18" outlineLevel="1">
      <c r="B53" s="16" t="s">
        <v>322</v>
      </c>
      <c r="C53" s="13"/>
      <c r="D53" s="26">
        <f>D52</f>
        <v>0.11762692847124825</v>
      </c>
      <c r="E53" s="26">
        <f t="shared" ref="E53:H53" si="29">E52</f>
        <v>0.13745736434108527</v>
      </c>
      <c r="F53" s="26">
        <f t="shared" si="29"/>
        <v>0.12436019494503003</v>
      </c>
      <c r="G53" s="26">
        <f t="shared" si="29"/>
        <v>0.11768313975556061</v>
      </c>
      <c r="H53" s="26">
        <f t="shared" si="29"/>
        <v>0.11541613164620085</v>
      </c>
      <c r="I53" s="19">
        <v>0.11652153005872455</v>
      </c>
      <c r="J53" s="19">
        <v>0.11652153005872455</v>
      </c>
      <c r="K53" s="19">
        <v>0.11652153005872455</v>
      </c>
      <c r="L53" s="19">
        <v>0.11652153005872455</v>
      </c>
      <c r="M53" s="19">
        <v>0.11652153005872455</v>
      </c>
      <c r="N53" s="19">
        <v>0.11652153005872455</v>
      </c>
      <c r="O53" s="19">
        <v>0.11652153005872455</v>
      </c>
      <c r="P53" s="19">
        <v>0.11652153005872455</v>
      </c>
      <c r="Q53" s="19">
        <v>0.11652153005872455</v>
      </c>
      <c r="R53" s="19">
        <v>0.11652153005872455</v>
      </c>
    </row>
    <row r="54" spans="2:18" outlineLevel="1">
      <c r="B54" s="16" t="s">
        <v>21</v>
      </c>
      <c r="C54" s="13"/>
      <c r="D54" s="26">
        <f>D52</f>
        <v>0.11762692847124825</v>
      </c>
      <c r="E54" s="26">
        <f t="shared" ref="E54:H54" si="30">E52</f>
        <v>0.13745736434108527</v>
      </c>
      <c r="F54" s="26">
        <f t="shared" si="30"/>
        <v>0.12436019494503003</v>
      </c>
      <c r="G54" s="26">
        <f t="shared" si="30"/>
        <v>0.11768313975556061</v>
      </c>
      <c r="H54" s="26">
        <f t="shared" si="30"/>
        <v>0.11541613164620085</v>
      </c>
      <c r="I54" s="19">
        <v>0.11652153005872455</v>
      </c>
      <c r="J54" s="19">
        <v>0.11652153005872455</v>
      </c>
      <c r="K54" s="19">
        <v>0.11652153005872455</v>
      </c>
      <c r="L54" s="19">
        <v>0.11652153005872455</v>
      </c>
      <c r="M54" s="19">
        <v>0.11652153005872455</v>
      </c>
      <c r="N54" s="19">
        <v>0.11652153005872455</v>
      </c>
      <c r="O54" s="19">
        <v>0.11652153005872455</v>
      </c>
      <c r="P54" s="19">
        <v>0.11652153005872455</v>
      </c>
      <c r="Q54" s="19">
        <v>0.11652153005872455</v>
      </c>
      <c r="R54" s="19">
        <v>0.11652153005872455</v>
      </c>
    </row>
    <row r="55" spans="2:18" outlineLevel="1">
      <c r="B55" s="15" t="str">
        <f>"Current Case - "&amp;CHOOSE($I$4,$B$16,$B$17,$B$18)</f>
        <v>Current Case - Base Case</v>
      </c>
      <c r="C55" s="14"/>
      <c r="D55" s="14"/>
      <c r="E55" s="14"/>
      <c r="F55" s="14"/>
      <c r="G55" s="14"/>
      <c r="H55" s="14"/>
      <c r="I55" s="24">
        <f>CHOOSE($I$4,I52,I53,I54)</f>
        <v>0.11652153005872455</v>
      </c>
      <c r="J55" s="24">
        <f>CHOOSE($I$4,J52,J53,J54)</f>
        <v>0.11652153005872455</v>
      </c>
      <c r="K55" s="24">
        <f>CHOOSE($I$4,K52,K53,K54)</f>
        <v>0.11652153005872455</v>
      </c>
      <c r="L55" s="24">
        <f>CHOOSE($I$4,L52,L53,L54)</f>
        <v>0.11652153005872455</v>
      </c>
      <c r="M55" s="24">
        <f>CHOOSE($I$4,M52,M53,M54)</f>
        <v>0.11652153005872455</v>
      </c>
      <c r="N55" s="24">
        <f t="shared" ref="N55:R55" si="31">CHOOSE($I$4,N52,N53,N54)</f>
        <v>0.11652153005872455</v>
      </c>
      <c r="O55" s="24">
        <f t="shared" si="31"/>
        <v>0.11652153005872455</v>
      </c>
      <c r="P55" s="24">
        <f t="shared" si="31"/>
        <v>0.11652153005872455</v>
      </c>
      <c r="Q55" s="24">
        <f t="shared" si="31"/>
        <v>0.11652153005872455</v>
      </c>
      <c r="R55" s="24">
        <f t="shared" si="31"/>
        <v>0.11652153005872455</v>
      </c>
    </row>
    <row r="56" spans="2:18" outlineLevel="1"/>
    <row r="57" spans="2:18" outlineLevel="1">
      <c r="B57" s="11" t="s">
        <v>353</v>
      </c>
    </row>
    <row r="58" spans="2:18" outlineLevel="1">
      <c r="B58" s="16" t="s">
        <v>20</v>
      </c>
      <c r="C58" s="13"/>
      <c r="D58" s="26">
        <f>'Assumptions working'!J284</f>
        <v>5.1332398316970548E-2</v>
      </c>
      <c r="E58" s="26">
        <f>'Assumptions working'!K284</f>
        <v>4.4031007751937981E-2</v>
      </c>
      <c r="F58" s="26">
        <f>'Assumptions working'!L284</f>
        <v>4.3409271222940041E-2</v>
      </c>
      <c r="G58" s="26">
        <f>'Assumptions working'!M284</f>
        <v>3.4919911941091626E-2</v>
      </c>
      <c r="H58" s="26">
        <f>'Assumptions working'!N284</f>
        <v>4.1762762575578136E-2</v>
      </c>
      <c r="I58" s="19">
        <v>4.2586016899259088E-2</v>
      </c>
      <c r="J58" s="19">
        <v>4.2586016899259088E-2</v>
      </c>
      <c r="K58" s="19">
        <v>4.2586016899259088E-2</v>
      </c>
      <c r="L58" s="19">
        <v>4.2586016899259088E-2</v>
      </c>
      <c r="M58" s="19">
        <v>4.2586016899259088E-2</v>
      </c>
      <c r="N58" s="19">
        <v>4.2586016899259088E-2</v>
      </c>
      <c r="O58" s="19">
        <v>4.2586016899259088E-2</v>
      </c>
      <c r="P58" s="19">
        <v>4.2586016899259088E-2</v>
      </c>
      <c r="Q58" s="19">
        <v>4.2586016899259088E-2</v>
      </c>
      <c r="R58" s="19">
        <v>4.2586016899259088E-2</v>
      </c>
    </row>
    <row r="59" spans="2:18" outlineLevel="1">
      <c r="B59" s="16" t="s">
        <v>322</v>
      </c>
      <c r="C59" s="13"/>
      <c r="D59" s="26">
        <f>D58</f>
        <v>5.1332398316970548E-2</v>
      </c>
      <c r="E59" s="26">
        <f t="shared" ref="E59:H59" si="32">E58</f>
        <v>4.4031007751937981E-2</v>
      </c>
      <c r="F59" s="26">
        <f t="shared" si="32"/>
        <v>4.3409271222940041E-2</v>
      </c>
      <c r="G59" s="26">
        <f t="shared" si="32"/>
        <v>3.4919911941091626E-2</v>
      </c>
      <c r="H59" s="26">
        <f t="shared" si="32"/>
        <v>4.1762762575578136E-2</v>
      </c>
      <c r="I59" s="19">
        <v>4.2586016899259088E-2</v>
      </c>
      <c r="J59" s="19">
        <v>4.2586016899259088E-2</v>
      </c>
      <c r="K59" s="19">
        <v>4.2586016899259088E-2</v>
      </c>
      <c r="L59" s="19">
        <v>4.2586016899259088E-2</v>
      </c>
      <c r="M59" s="19">
        <v>4.2586016899259088E-2</v>
      </c>
      <c r="N59" s="19">
        <v>4.2586016899259088E-2</v>
      </c>
      <c r="O59" s="19">
        <v>4.2586016899259088E-2</v>
      </c>
      <c r="P59" s="19">
        <v>4.2586016899259088E-2</v>
      </c>
      <c r="Q59" s="19">
        <v>4.2586016899259088E-2</v>
      </c>
      <c r="R59" s="19">
        <v>4.2586016899259088E-2</v>
      </c>
    </row>
    <row r="60" spans="2:18" outlineLevel="1">
      <c r="B60" s="16" t="s">
        <v>21</v>
      </c>
      <c r="C60" s="13"/>
      <c r="D60" s="26">
        <f>D58</f>
        <v>5.1332398316970548E-2</v>
      </c>
      <c r="E60" s="26">
        <f t="shared" ref="E60:H60" si="33">E58</f>
        <v>4.4031007751937981E-2</v>
      </c>
      <c r="F60" s="26">
        <f t="shared" si="33"/>
        <v>4.3409271222940041E-2</v>
      </c>
      <c r="G60" s="26">
        <f t="shared" si="33"/>
        <v>3.4919911941091626E-2</v>
      </c>
      <c r="H60" s="26">
        <f t="shared" si="33"/>
        <v>4.1762762575578136E-2</v>
      </c>
      <c r="I60" s="19">
        <v>4.2586016899259088E-2</v>
      </c>
      <c r="J60" s="19">
        <v>4.2586016899259088E-2</v>
      </c>
      <c r="K60" s="19">
        <v>4.2586016899259088E-2</v>
      </c>
      <c r="L60" s="19">
        <v>4.2586016899259088E-2</v>
      </c>
      <c r="M60" s="19">
        <v>4.2586016899259088E-2</v>
      </c>
      <c r="N60" s="19">
        <v>4.2586016899259088E-2</v>
      </c>
      <c r="O60" s="19">
        <v>4.2586016899259088E-2</v>
      </c>
      <c r="P60" s="19">
        <v>4.2586016899259088E-2</v>
      </c>
      <c r="Q60" s="19">
        <v>4.2586016899259088E-2</v>
      </c>
      <c r="R60" s="19">
        <v>4.2586016899259088E-2</v>
      </c>
    </row>
    <row r="61" spans="2:18" outlineLevel="1">
      <c r="B61" s="15" t="str">
        <f>"Current Case - "&amp;CHOOSE($I$4,$B$16,$B$17,$B$18)</f>
        <v>Current Case - Base Case</v>
      </c>
      <c r="C61" s="14"/>
      <c r="D61" s="14"/>
      <c r="E61" s="14"/>
      <c r="F61" s="14"/>
      <c r="G61" s="14"/>
      <c r="H61" s="14"/>
      <c r="I61" s="24">
        <f>CHOOSE($I$4,I58,I59,I60)</f>
        <v>4.2586016899259088E-2</v>
      </c>
      <c r="J61" s="24">
        <f>CHOOSE($I$4,J58,J59,J60)</f>
        <v>4.2586016899259088E-2</v>
      </c>
      <c r="K61" s="24">
        <f>CHOOSE($I$4,K58,K59,K60)</f>
        <v>4.2586016899259088E-2</v>
      </c>
      <c r="L61" s="24">
        <f>CHOOSE($I$4,L58,L59,L60)</f>
        <v>4.2586016899259088E-2</v>
      </c>
      <c r="M61" s="24">
        <f>CHOOSE($I$4,M58,M59,M60)</f>
        <v>4.2586016899259088E-2</v>
      </c>
      <c r="N61" s="24">
        <f t="shared" ref="N61:R61" si="34">CHOOSE($I$4,N58,N59,N60)</f>
        <v>4.2586016899259088E-2</v>
      </c>
      <c r="O61" s="24">
        <f t="shared" si="34"/>
        <v>4.2586016899259088E-2</v>
      </c>
      <c r="P61" s="24">
        <f t="shared" si="34"/>
        <v>4.2586016899259088E-2</v>
      </c>
      <c r="Q61" s="24">
        <f t="shared" si="34"/>
        <v>4.2586016899259088E-2</v>
      </c>
      <c r="R61" s="24">
        <f t="shared" si="34"/>
        <v>4.2586016899259088E-2</v>
      </c>
    </row>
    <row r="62" spans="2:18" outlineLevel="1"/>
    <row r="63" spans="2:18" outlineLevel="1">
      <c r="B63" s="11" t="s">
        <v>354</v>
      </c>
      <c r="D63" s="198">
        <f>SUM(D58,D52,D46,D40,D34)</f>
        <v>0.34539691444600279</v>
      </c>
      <c r="E63" s="198">
        <f t="shared" ref="E63:M63" si="35">SUM(E58,E52,E46,E40,E34)</f>
        <v>0.38520930232558143</v>
      </c>
      <c r="F63" s="198">
        <f t="shared" si="35"/>
        <v>0.35523404737617592</v>
      </c>
      <c r="G63" s="198">
        <f t="shared" si="35"/>
        <v>0.31308282092158202</v>
      </c>
      <c r="H63" s="198">
        <f t="shared" si="35"/>
        <v>0.31344642523218852</v>
      </c>
      <c r="I63" s="198">
        <f t="shared" si="35"/>
        <v>0.328042046499949</v>
      </c>
      <c r="J63" s="198">
        <f t="shared" si="35"/>
        <v>0.328042046499949</v>
      </c>
      <c r="K63" s="198">
        <f t="shared" si="35"/>
        <v>0.328042046499949</v>
      </c>
      <c r="L63" s="198">
        <f t="shared" si="35"/>
        <v>0.328042046499949</v>
      </c>
      <c r="M63" s="198">
        <f t="shared" si="35"/>
        <v>0.328042046499949</v>
      </c>
      <c r="N63" s="198">
        <f t="shared" ref="N63:R63" si="36">SUM(N58,N52,N46,N40,N34)</f>
        <v>0.328042046499949</v>
      </c>
      <c r="O63" s="198">
        <f t="shared" si="36"/>
        <v>0.328042046499949</v>
      </c>
      <c r="P63" s="198">
        <f t="shared" si="36"/>
        <v>0.328042046499949</v>
      </c>
      <c r="Q63" s="198">
        <f t="shared" si="36"/>
        <v>0.328042046499949</v>
      </c>
      <c r="R63" s="198">
        <f t="shared" si="36"/>
        <v>0.328042046499949</v>
      </c>
    </row>
    <row r="65" spans="2:18" ht="18">
      <c r="B65" s="10" t="s">
        <v>561</v>
      </c>
      <c r="C65" s="10"/>
      <c r="D65" s="10"/>
      <c r="E65" s="10"/>
      <c r="F65" s="10"/>
      <c r="G65" s="10"/>
      <c r="H65" s="10"/>
      <c r="I65" s="10"/>
      <c r="J65" s="10"/>
      <c r="K65" s="10"/>
      <c r="L65" s="10"/>
      <c r="M65" s="10"/>
      <c r="N65" s="10"/>
      <c r="O65" s="10"/>
      <c r="P65" s="10"/>
      <c r="Q65" s="10"/>
      <c r="R65" s="10"/>
    </row>
    <row r="66" spans="2:18" outlineLevel="1"/>
    <row r="67" spans="2:18" outlineLevel="1">
      <c r="B67" s="261" t="s">
        <v>174</v>
      </c>
      <c r="C67" s="262"/>
      <c r="D67" s="262"/>
      <c r="E67" s="262"/>
      <c r="F67" s="262"/>
      <c r="G67" s="262"/>
      <c r="H67" s="262"/>
      <c r="I67" s="262"/>
      <c r="J67" s="262"/>
      <c r="K67" s="262"/>
      <c r="L67" s="262"/>
      <c r="M67" s="262"/>
      <c r="N67" s="262"/>
      <c r="O67" s="262"/>
      <c r="P67" s="262"/>
      <c r="Q67" s="262"/>
      <c r="R67" s="262"/>
    </row>
    <row r="68" spans="2:18" outlineLevel="1">
      <c r="B68" s="17"/>
      <c r="C68" s="18"/>
      <c r="D68" s="18"/>
      <c r="E68" s="18"/>
      <c r="F68" s="18"/>
      <c r="G68" s="18"/>
      <c r="H68" s="18"/>
      <c r="I68" s="18"/>
      <c r="J68" s="18"/>
      <c r="K68" s="18"/>
      <c r="L68" s="18"/>
      <c r="M68" s="18"/>
      <c r="N68" s="18"/>
      <c r="O68" s="18"/>
      <c r="P68" s="18"/>
      <c r="Q68" s="18"/>
      <c r="R68" s="18"/>
    </row>
    <row r="69" spans="2:18" outlineLevel="1">
      <c r="B69" s="11" t="s">
        <v>464</v>
      </c>
    </row>
    <row r="70" spans="2:18" outlineLevel="1">
      <c r="B70" s="12" t="s">
        <v>20</v>
      </c>
      <c r="C70" s="13"/>
      <c r="D70" s="13"/>
      <c r="E70" s="13"/>
      <c r="F70" s="13"/>
      <c r="G70" s="13"/>
      <c r="H70" s="13"/>
      <c r="I70" s="19">
        <v>0</v>
      </c>
      <c r="J70" s="19">
        <v>0</v>
      </c>
      <c r="K70" s="19">
        <v>0</v>
      </c>
      <c r="L70" s="19">
        <v>0</v>
      </c>
      <c r="M70" s="19">
        <v>0</v>
      </c>
      <c r="N70" s="19">
        <v>0</v>
      </c>
      <c r="O70" s="19">
        <v>0</v>
      </c>
      <c r="P70" s="19">
        <v>0</v>
      </c>
      <c r="Q70" s="19">
        <v>0</v>
      </c>
      <c r="R70" s="19">
        <v>0</v>
      </c>
    </row>
    <row r="71" spans="2:18" outlineLevel="1">
      <c r="B71" s="12" t="s">
        <v>322</v>
      </c>
      <c r="C71" s="13"/>
      <c r="D71" s="13"/>
      <c r="E71" s="13"/>
      <c r="F71" s="13"/>
      <c r="G71" s="13"/>
      <c r="H71" s="13"/>
      <c r="I71" s="19">
        <v>0</v>
      </c>
      <c r="J71" s="19">
        <v>0</v>
      </c>
      <c r="K71" s="19">
        <v>0</v>
      </c>
      <c r="L71" s="19">
        <v>0</v>
      </c>
      <c r="M71" s="19">
        <v>0</v>
      </c>
      <c r="N71" s="19">
        <v>0</v>
      </c>
      <c r="O71" s="19">
        <v>0</v>
      </c>
      <c r="P71" s="19">
        <v>0</v>
      </c>
      <c r="Q71" s="19">
        <v>0</v>
      </c>
      <c r="R71" s="19">
        <v>0</v>
      </c>
    </row>
    <row r="72" spans="2:18" outlineLevel="1">
      <c r="B72" s="12" t="s">
        <v>21</v>
      </c>
      <c r="C72" s="13"/>
      <c r="D72" s="13"/>
      <c r="E72" s="13"/>
      <c r="F72" s="13"/>
      <c r="G72" s="13"/>
      <c r="H72" s="13"/>
      <c r="I72" s="19">
        <v>0</v>
      </c>
      <c r="J72" s="19">
        <v>0</v>
      </c>
      <c r="K72" s="19">
        <v>0</v>
      </c>
      <c r="L72" s="19">
        <v>0</v>
      </c>
      <c r="M72" s="19">
        <v>0</v>
      </c>
      <c r="N72" s="19">
        <v>0</v>
      </c>
      <c r="O72" s="19">
        <v>0</v>
      </c>
      <c r="P72" s="19">
        <v>0</v>
      </c>
      <c r="Q72" s="19">
        <v>0</v>
      </c>
      <c r="R72" s="19">
        <v>0</v>
      </c>
    </row>
    <row r="73" spans="2:18" outlineLevel="1">
      <c r="B73" s="15" t="str">
        <f>"Current Case - "&amp;CHOOSE($I$4,$B$16,$B$17,$B$18)</f>
        <v>Current Case - Base Case</v>
      </c>
      <c r="C73" s="14"/>
      <c r="D73" s="14"/>
      <c r="E73" s="14"/>
      <c r="F73" s="14"/>
      <c r="G73" s="14"/>
      <c r="H73" s="14"/>
      <c r="I73" s="39">
        <f>CHOOSE($I$4,I70,I71,I72)</f>
        <v>0</v>
      </c>
      <c r="J73" s="39">
        <f>CHOOSE($I$4,J70,J71,J72)</f>
        <v>0</v>
      </c>
      <c r="K73" s="39">
        <f>CHOOSE($I$4,K70,K71,K72)</f>
        <v>0</v>
      </c>
      <c r="L73" s="39">
        <f>CHOOSE($I$4,L70,L71,L72)</f>
        <v>0</v>
      </c>
      <c r="M73" s="39">
        <f>CHOOSE($I$4,M70,M71,M72)</f>
        <v>0</v>
      </c>
      <c r="N73" s="39">
        <f t="shared" ref="N73:R73" si="37">CHOOSE($I$4,N70,N71,N72)</f>
        <v>0</v>
      </c>
      <c r="O73" s="39">
        <f t="shared" si="37"/>
        <v>0</v>
      </c>
      <c r="P73" s="39">
        <f t="shared" si="37"/>
        <v>0</v>
      </c>
      <c r="Q73" s="39">
        <f t="shared" si="37"/>
        <v>0</v>
      </c>
      <c r="R73" s="39">
        <f t="shared" si="37"/>
        <v>0</v>
      </c>
    </row>
    <row r="74" spans="2:18" outlineLevel="1"/>
    <row r="75" spans="2:18" outlineLevel="1">
      <c r="B75" s="11" t="s">
        <v>568</v>
      </c>
    </row>
    <row r="76" spans="2:18" outlineLevel="1">
      <c r="B76" s="12" t="s">
        <v>20</v>
      </c>
      <c r="C76" s="13"/>
      <c r="D76" s="13"/>
      <c r="E76" s="13"/>
      <c r="F76" s="13"/>
      <c r="G76" s="13"/>
      <c r="H76" s="13"/>
      <c r="I76" s="19">
        <v>0</v>
      </c>
      <c r="J76" s="19">
        <v>0</v>
      </c>
      <c r="K76" s="19">
        <v>0</v>
      </c>
      <c r="L76" s="19">
        <v>0</v>
      </c>
      <c r="M76" s="19">
        <v>0</v>
      </c>
      <c r="N76" s="19">
        <v>0</v>
      </c>
      <c r="O76" s="19">
        <v>0</v>
      </c>
      <c r="P76" s="19">
        <v>0</v>
      </c>
      <c r="Q76" s="19">
        <v>0</v>
      </c>
      <c r="R76" s="19">
        <v>0</v>
      </c>
    </row>
    <row r="77" spans="2:18" outlineLevel="1">
      <c r="B77" s="12" t="s">
        <v>322</v>
      </c>
      <c r="C77" s="13"/>
      <c r="D77" s="13"/>
      <c r="E77" s="13"/>
      <c r="F77" s="13"/>
      <c r="G77" s="13"/>
      <c r="H77" s="13"/>
      <c r="I77" s="19">
        <v>0</v>
      </c>
      <c r="J77" s="19">
        <v>0</v>
      </c>
      <c r="K77" s="19">
        <v>0</v>
      </c>
      <c r="L77" s="19">
        <v>0</v>
      </c>
      <c r="M77" s="19">
        <v>0</v>
      </c>
      <c r="N77" s="19">
        <v>0</v>
      </c>
      <c r="O77" s="19">
        <v>0</v>
      </c>
      <c r="P77" s="19">
        <v>0</v>
      </c>
      <c r="Q77" s="19">
        <v>0</v>
      </c>
      <c r="R77" s="19">
        <v>0</v>
      </c>
    </row>
    <row r="78" spans="2:18" outlineLevel="1">
      <c r="B78" s="12" t="s">
        <v>21</v>
      </c>
      <c r="C78" s="13"/>
      <c r="D78" s="13"/>
      <c r="E78" s="13"/>
      <c r="F78" s="13"/>
      <c r="G78" s="13"/>
      <c r="H78" s="13"/>
      <c r="I78" s="19">
        <v>0</v>
      </c>
      <c r="J78" s="19">
        <v>0</v>
      </c>
      <c r="K78" s="19">
        <v>0</v>
      </c>
      <c r="L78" s="19">
        <v>0</v>
      </c>
      <c r="M78" s="19">
        <v>0</v>
      </c>
      <c r="N78" s="19">
        <v>0</v>
      </c>
      <c r="O78" s="19">
        <v>0</v>
      </c>
      <c r="P78" s="19">
        <v>0</v>
      </c>
      <c r="Q78" s="19">
        <v>0</v>
      </c>
      <c r="R78" s="19">
        <v>0</v>
      </c>
    </row>
    <row r="79" spans="2:18" outlineLevel="1">
      <c r="B79" s="15" t="str">
        <f>"Current Case - "&amp;CHOOSE($I$4,$B$16,$B$17,$B$18)</f>
        <v>Current Case - Base Case</v>
      </c>
      <c r="C79" s="14"/>
      <c r="D79" s="14"/>
      <c r="E79" s="14"/>
      <c r="F79" s="14"/>
      <c r="G79" s="14"/>
      <c r="H79" s="14"/>
      <c r="I79" s="39">
        <f>CHOOSE($I$4,I76,I77,I78)</f>
        <v>0</v>
      </c>
      <c r="J79" s="39">
        <f>CHOOSE($I$4,J76,J77,J78)</f>
        <v>0</v>
      </c>
      <c r="K79" s="39">
        <f>CHOOSE($I$4,K76,K77,K78)</f>
        <v>0</v>
      </c>
      <c r="L79" s="39">
        <f>CHOOSE($I$4,L76,L77,L78)</f>
        <v>0</v>
      </c>
      <c r="M79" s="39">
        <f>CHOOSE($I$4,M76,M77,M78)</f>
        <v>0</v>
      </c>
      <c r="N79" s="39">
        <f t="shared" ref="N79:R79" si="38">CHOOSE($I$4,N76,N77,N78)</f>
        <v>0</v>
      </c>
      <c r="O79" s="39">
        <f t="shared" si="38"/>
        <v>0</v>
      </c>
      <c r="P79" s="39">
        <f t="shared" si="38"/>
        <v>0</v>
      </c>
      <c r="Q79" s="39">
        <f t="shared" si="38"/>
        <v>0</v>
      </c>
      <c r="R79" s="39">
        <f t="shared" si="38"/>
        <v>0</v>
      </c>
    </row>
    <row r="80" spans="2:18" outlineLevel="1"/>
    <row r="81" spans="2:18" outlineLevel="1"/>
    <row r="82" spans="2:18" outlineLevel="1">
      <c r="B82" s="261" t="s">
        <v>982</v>
      </c>
      <c r="C82" s="262"/>
      <c r="D82" s="262"/>
      <c r="E82" s="262"/>
      <c r="F82" s="262"/>
      <c r="G82" s="262"/>
      <c r="H82" s="262"/>
      <c r="I82" s="262"/>
      <c r="J82" s="262"/>
      <c r="K82" s="262"/>
      <c r="L82" s="262"/>
      <c r="M82" s="262"/>
      <c r="N82" s="262"/>
      <c r="O82" s="262"/>
      <c r="P82" s="262"/>
      <c r="Q82" s="262"/>
      <c r="R82" s="262"/>
    </row>
    <row r="83" spans="2:18" outlineLevel="1">
      <c r="B83" s="17"/>
      <c r="C83" s="18"/>
      <c r="D83" s="18"/>
      <c r="E83" s="18"/>
      <c r="F83" s="18"/>
      <c r="G83" s="18"/>
      <c r="H83" s="18"/>
      <c r="I83" s="18"/>
      <c r="J83" s="18"/>
      <c r="K83" s="18"/>
      <c r="L83" s="18"/>
      <c r="M83" s="18"/>
      <c r="N83" s="18"/>
      <c r="O83" s="18"/>
      <c r="P83" s="18"/>
      <c r="Q83" s="18"/>
      <c r="R83" s="18"/>
    </row>
    <row r="84" spans="2:18" outlineLevel="1">
      <c r="B84" s="11" t="s">
        <v>479</v>
      </c>
    </row>
    <row r="85" spans="2:18" outlineLevel="1">
      <c r="B85" s="12" t="s">
        <v>20</v>
      </c>
      <c r="C85" s="13"/>
      <c r="D85" s="13"/>
      <c r="E85" s="13"/>
      <c r="F85" s="13"/>
      <c r="G85" s="13"/>
      <c r="H85" s="13"/>
      <c r="I85" s="19">
        <v>0</v>
      </c>
      <c r="J85" s="19">
        <v>0</v>
      </c>
      <c r="K85" s="19">
        <v>0</v>
      </c>
      <c r="L85" s="19">
        <v>0</v>
      </c>
      <c r="M85" s="19">
        <v>0</v>
      </c>
      <c r="N85" s="19">
        <v>0</v>
      </c>
      <c r="O85" s="19">
        <v>0</v>
      </c>
      <c r="P85" s="19">
        <v>0</v>
      </c>
      <c r="Q85" s="19">
        <v>0</v>
      </c>
      <c r="R85" s="19">
        <v>0</v>
      </c>
    </row>
    <row r="86" spans="2:18" outlineLevel="1">
      <c r="B86" s="12" t="s">
        <v>322</v>
      </c>
      <c r="C86" s="13"/>
      <c r="D86" s="13"/>
      <c r="E86" s="13"/>
      <c r="F86" s="13"/>
      <c r="G86" s="13"/>
      <c r="H86" s="13"/>
      <c r="I86" s="19">
        <v>0</v>
      </c>
      <c r="J86" s="19">
        <v>0</v>
      </c>
      <c r="K86" s="19">
        <v>0</v>
      </c>
      <c r="L86" s="19">
        <v>0</v>
      </c>
      <c r="M86" s="19">
        <v>0</v>
      </c>
      <c r="N86" s="19">
        <v>0</v>
      </c>
      <c r="O86" s="19">
        <v>0</v>
      </c>
      <c r="P86" s="19">
        <v>0</v>
      </c>
      <c r="Q86" s="19">
        <v>0</v>
      </c>
      <c r="R86" s="19">
        <v>0</v>
      </c>
    </row>
    <row r="87" spans="2:18" outlineLevel="1">
      <c r="B87" s="12" t="s">
        <v>21</v>
      </c>
      <c r="C87" s="13"/>
      <c r="D87" s="13"/>
      <c r="E87" s="13"/>
      <c r="F87" s="13"/>
      <c r="G87" s="13"/>
      <c r="H87" s="13"/>
      <c r="I87" s="19">
        <v>0</v>
      </c>
      <c r="J87" s="19">
        <v>0</v>
      </c>
      <c r="K87" s="19">
        <v>0</v>
      </c>
      <c r="L87" s="19">
        <v>0</v>
      </c>
      <c r="M87" s="19">
        <v>0</v>
      </c>
      <c r="N87" s="19">
        <v>0</v>
      </c>
      <c r="O87" s="19">
        <v>0</v>
      </c>
      <c r="P87" s="19">
        <v>0</v>
      </c>
      <c r="Q87" s="19">
        <v>0</v>
      </c>
      <c r="R87" s="19">
        <v>0</v>
      </c>
    </row>
    <row r="88" spans="2:18" outlineLevel="1">
      <c r="B88" s="15" t="str">
        <f>"Current Case - "&amp;CHOOSE($I$4,$B$16,$B$17,$B$18)</f>
        <v>Current Case - Base Case</v>
      </c>
      <c r="C88" s="14"/>
      <c r="D88" s="14"/>
      <c r="E88" s="14"/>
      <c r="F88" s="14"/>
      <c r="G88" s="14"/>
      <c r="H88" s="14"/>
      <c r="I88" s="39">
        <f>CHOOSE($I$4,I85,I86,I87)</f>
        <v>0</v>
      </c>
      <c r="J88" s="39">
        <f>CHOOSE($I$4,J85,J86,J87)</f>
        <v>0</v>
      </c>
      <c r="K88" s="39">
        <f>CHOOSE($I$4,K85,K86,K87)</f>
        <v>0</v>
      </c>
      <c r="L88" s="39">
        <f>CHOOSE($I$4,L85,L86,L87)</f>
        <v>0</v>
      </c>
      <c r="M88" s="39">
        <f>CHOOSE($I$4,M85,M86,M87)</f>
        <v>0</v>
      </c>
      <c r="N88" s="39">
        <f t="shared" ref="N88:R88" si="39">CHOOSE($I$4,N85,N86,N87)</f>
        <v>0</v>
      </c>
      <c r="O88" s="39">
        <f t="shared" si="39"/>
        <v>0</v>
      </c>
      <c r="P88" s="39">
        <f t="shared" si="39"/>
        <v>0</v>
      </c>
      <c r="Q88" s="39">
        <f t="shared" si="39"/>
        <v>0</v>
      </c>
      <c r="R88" s="39">
        <f t="shared" si="39"/>
        <v>0</v>
      </c>
    </row>
    <row r="89" spans="2:18" outlineLevel="1"/>
    <row r="90" spans="2:18" outlineLevel="1">
      <c r="B90" s="11" t="s">
        <v>480</v>
      </c>
    </row>
    <row r="91" spans="2:18" outlineLevel="1">
      <c r="B91" s="12" t="s">
        <v>20</v>
      </c>
      <c r="C91" s="13"/>
      <c r="D91" s="13"/>
      <c r="E91" s="13"/>
      <c r="F91" s="13"/>
      <c r="G91" s="13"/>
      <c r="H91" s="13"/>
      <c r="I91" s="19">
        <v>0</v>
      </c>
      <c r="J91" s="19">
        <v>0</v>
      </c>
      <c r="K91" s="19">
        <v>0</v>
      </c>
      <c r="L91" s="19">
        <v>0</v>
      </c>
      <c r="M91" s="19">
        <v>0</v>
      </c>
      <c r="N91" s="19">
        <v>0</v>
      </c>
      <c r="O91" s="19">
        <v>0</v>
      </c>
      <c r="P91" s="19">
        <v>0</v>
      </c>
      <c r="Q91" s="19">
        <v>0</v>
      </c>
      <c r="R91" s="19">
        <v>0</v>
      </c>
    </row>
    <row r="92" spans="2:18" outlineLevel="1">
      <c r="B92" s="12" t="s">
        <v>322</v>
      </c>
      <c r="C92" s="13"/>
      <c r="D92" s="13"/>
      <c r="E92" s="13"/>
      <c r="F92" s="13"/>
      <c r="G92" s="13"/>
      <c r="H92" s="13"/>
      <c r="I92" s="19">
        <v>0</v>
      </c>
      <c r="J92" s="19">
        <v>0</v>
      </c>
      <c r="K92" s="19">
        <v>0</v>
      </c>
      <c r="L92" s="19">
        <v>0</v>
      </c>
      <c r="M92" s="19">
        <v>0</v>
      </c>
      <c r="N92" s="19">
        <v>0</v>
      </c>
      <c r="O92" s="19">
        <v>0</v>
      </c>
      <c r="P92" s="19">
        <v>0</v>
      </c>
      <c r="Q92" s="19">
        <v>0</v>
      </c>
      <c r="R92" s="19">
        <v>0</v>
      </c>
    </row>
    <row r="93" spans="2:18" outlineLevel="1">
      <c r="B93" s="12" t="s">
        <v>21</v>
      </c>
      <c r="C93" s="13"/>
      <c r="D93" s="13"/>
      <c r="E93" s="13"/>
      <c r="F93" s="13"/>
      <c r="G93" s="13"/>
      <c r="H93" s="13"/>
      <c r="I93" s="19">
        <v>0</v>
      </c>
      <c r="J93" s="19">
        <v>0</v>
      </c>
      <c r="K93" s="19">
        <v>0</v>
      </c>
      <c r="L93" s="19">
        <v>0</v>
      </c>
      <c r="M93" s="19">
        <v>0</v>
      </c>
      <c r="N93" s="19">
        <v>0</v>
      </c>
      <c r="O93" s="19">
        <v>0</v>
      </c>
      <c r="P93" s="19">
        <v>0</v>
      </c>
      <c r="Q93" s="19">
        <v>0</v>
      </c>
      <c r="R93" s="19">
        <v>0</v>
      </c>
    </row>
    <row r="94" spans="2:18" outlineLevel="1">
      <c r="B94" s="15" t="str">
        <f>"Current Case - "&amp;CHOOSE($I$4,$B$16,$B$17,$B$18)</f>
        <v>Current Case - Base Case</v>
      </c>
      <c r="C94" s="14"/>
      <c r="D94" s="14"/>
      <c r="E94" s="14"/>
      <c r="F94" s="14"/>
      <c r="G94" s="14"/>
      <c r="H94" s="14"/>
      <c r="I94" s="39">
        <f>CHOOSE($I$4,I91,I92,I93)</f>
        <v>0</v>
      </c>
      <c r="J94" s="39">
        <f>CHOOSE($I$4,J91,J92,J93)</f>
        <v>0</v>
      </c>
      <c r="K94" s="39">
        <f>CHOOSE($I$4,K91,K92,K93)</f>
        <v>0</v>
      </c>
      <c r="L94" s="39">
        <f>CHOOSE($I$4,L91,L92,L93)</f>
        <v>0</v>
      </c>
      <c r="M94" s="39">
        <f>CHOOSE($I$4,M91,M92,M93)</f>
        <v>0</v>
      </c>
      <c r="N94" s="39">
        <f t="shared" ref="N94:R94" si="40">CHOOSE($I$4,N91,N92,N93)</f>
        <v>0</v>
      </c>
      <c r="O94" s="39">
        <f t="shared" si="40"/>
        <v>0</v>
      </c>
      <c r="P94" s="39">
        <f t="shared" si="40"/>
        <v>0</v>
      </c>
      <c r="Q94" s="39">
        <f t="shared" si="40"/>
        <v>0</v>
      </c>
      <c r="R94" s="39">
        <f t="shared" si="40"/>
        <v>0</v>
      </c>
    </row>
    <row r="95" spans="2:18" outlineLevel="1"/>
    <row r="96" spans="2:18" outlineLevel="1">
      <c r="B96" s="11" t="s">
        <v>482</v>
      </c>
    </row>
    <row r="97" spans="2:18" outlineLevel="1">
      <c r="B97" s="12" t="s">
        <v>20</v>
      </c>
      <c r="C97" s="13"/>
      <c r="D97" s="13"/>
      <c r="E97" s="13"/>
      <c r="F97" s="13"/>
      <c r="G97" s="13"/>
      <c r="H97" s="13"/>
      <c r="I97" s="19">
        <v>0</v>
      </c>
      <c r="J97" s="19">
        <v>0</v>
      </c>
      <c r="K97" s="19">
        <v>0</v>
      </c>
      <c r="L97" s="19">
        <v>0</v>
      </c>
      <c r="M97" s="19">
        <v>0</v>
      </c>
      <c r="N97" s="19">
        <v>0</v>
      </c>
      <c r="O97" s="19">
        <v>0</v>
      </c>
      <c r="P97" s="19">
        <v>0</v>
      </c>
      <c r="Q97" s="19">
        <v>0</v>
      </c>
      <c r="R97" s="19">
        <v>0</v>
      </c>
    </row>
    <row r="98" spans="2:18" outlineLevel="1">
      <c r="B98" s="12" t="s">
        <v>322</v>
      </c>
      <c r="C98" s="13"/>
      <c r="D98" s="13"/>
      <c r="E98" s="13"/>
      <c r="F98" s="13"/>
      <c r="G98" s="13"/>
      <c r="H98" s="13"/>
      <c r="I98" s="19">
        <v>0</v>
      </c>
      <c r="J98" s="19">
        <v>0</v>
      </c>
      <c r="K98" s="19">
        <v>0</v>
      </c>
      <c r="L98" s="19">
        <v>0</v>
      </c>
      <c r="M98" s="19">
        <v>0</v>
      </c>
      <c r="N98" s="19">
        <v>0</v>
      </c>
      <c r="O98" s="19">
        <v>0</v>
      </c>
      <c r="P98" s="19">
        <v>0</v>
      </c>
      <c r="Q98" s="19">
        <v>0</v>
      </c>
      <c r="R98" s="19">
        <v>0</v>
      </c>
    </row>
    <row r="99" spans="2:18" outlineLevel="1">
      <c r="B99" s="12" t="s">
        <v>21</v>
      </c>
      <c r="C99" s="13"/>
      <c r="D99" s="13"/>
      <c r="E99" s="13"/>
      <c r="F99" s="13"/>
      <c r="G99" s="13"/>
      <c r="H99" s="13"/>
      <c r="I99" s="19">
        <v>0</v>
      </c>
      <c r="J99" s="19">
        <v>0</v>
      </c>
      <c r="K99" s="19">
        <v>0</v>
      </c>
      <c r="L99" s="19">
        <v>0</v>
      </c>
      <c r="M99" s="19">
        <v>0</v>
      </c>
      <c r="N99" s="19">
        <v>0</v>
      </c>
      <c r="O99" s="19">
        <v>0</v>
      </c>
      <c r="P99" s="19">
        <v>0</v>
      </c>
      <c r="Q99" s="19">
        <v>0</v>
      </c>
      <c r="R99" s="19">
        <v>0</v>
      </c>
    </row>
    <row r="100" spans="2:18" outlineLevel="1">
      <c r="B100" s="15" t="str">
        <f>"Current Case - "&amp;CHOOSE($I$4,$B$16,$B$17,$B$18)</f>
        <v>Current Case - Base Case</v>
      </c>
      <c r="C100" s="14"/>
      <c r="D100" s="14"/>
      <c r="E100" s="14"/>
      <c r="F100" s="14"/>
      <c r="G100" s="14"/>
      <c r="H100" s="14"/>
      <c r="I100" s="39">
        <f>CHOOSE($I$4,I97,I98,I99)</f>
        <v>0</v>
      </c>
      <c r="J100" s="39">
        <f>CHOOSE($I$4,J97,J98,J99)</f>
        <v>0</v>
      </c>
      <c r="K100" s="39">
        <f>CHOOSE($I$4,K97,K98,K99)</f>
        <v>0</v>
      </c>
      <c r="L100" s="39">
        <f>CHOOSE($I$4,L97,L98,L99)</f>
        <v>0</v>
      </c>
      <c r="M100" s="39">
        <f>CHOOSE($I$4,M97,M98,M99)</f>
        <v>0</v>
      </c>
      <c r="N100" s="39">
        <f t="shared" ref="N100:R100" si="41">CHOOSE($I$4,N97,N98,N99)</f>
        <v>0</v>
      </c>
      <c r="O100" s="39">
        <f t="shared" si="41"/>
        <v>0</v>
      </c>
      <c r="P100" s="39">
        <f t="shared" si="41"/>
        <v>0</v>
      </c>
      <c r="Q100" s="39">
        <f t="shared" si="41"/>
        <v>0</v>
      </c>
      <c r="R100" s="39">
        <f t="shared" si="41"/>
        <v>0</v>
      </c>
    </row>
    <row r="101" spans="2:18" outlineLevel="1"/>
    <row r="102" spans="2:18" outlineLevel="1">
      <c r="B102" s="11" t="s">
        <v>481</v>
      </c>
    </row>
    <row r="103" spans="2:18" outlineLevel="1">
      <c r="B103" s="12" t="s">
        <v>20</v>
      </c>
      <c r="C103" s="13"/>
      <c r="D103" s="13"/>
      <c r="E103" s="13"/>
      <c r="F103" s="13"/>
      <c r="G103" s="13"/>
      <c r="H103" s="13"/>
      <c r="I103" s="19">
        <v>0</v>
      </c>
      <c r="J103" s="19">
        <v>0</v>
      </c>
      <c r="K103" s="19">
        <v>0</v>
      </c>
      <c r="L103" s="19">
        <v>0</v>
      </c>
      <c r="M103" s="19">
        <v>0</v>
      </c>
      <c r="N103" s="19">
        <v>0</v>
      </c>
      <c r="O103" s="19">
        <v>0</v>
      </c>
      <c r="P103" s="19">
        <v>0</v>
      </c>
      <c r="Q103" s="19">
        <v>0</v>
      </c>
      <c r="R103" s="19">
        <v>0</v>
      </c>
    </row>
    <row r="104" spans="2:18" outlineLevel="1">
      <c r="B104" s="12" t="s">
        <v>322</v>
      </c>
      <c r="C104" s="13"/>
      <c r="D104" s="13"/>
      <c r="E104" s="13"/>
      <c r="F104" s="13"/>
      <c r="G104" s="13"/>
      <c r="H104" s="13"/>
      <c r="I104" s="19">
        <v>0</v>
      </c>
      <c r="J104" s="19">
        <v>0</v>
      </c>
      <c r="K104" s="19">
        <v>0</v>
      </c>
      <c r="L104" s="19">
        <v>0</v>
      </c>
      <c r="M104" s="19">
        <v>0</v>
      </c>
      <c r="N104" s="19">
        <v>0</v>
      </c>
      <c r="O104" s="19">
        <v>0</v>
      </c>
      <c r="P104" s="19">
        <v>0</v>
      </c>
      <c r="Q104" s="19">
        <v>0</v>
      </c>
      <c r="R104" s="19">
        <v>0</v>
      </c>
    </row>
    <row r="105" spans="2:18" outlineLevel="1">
      <c r="B105" s="12" t="s">
        <v>21</v>
      </c>
      <c r="C105" s="13"/>
      <c r="D105" s="13"/>
      <c r="E105" s="13"/>
      <c r="F105" s="13"/>
      <c r="G105" s="13"/>
      <c r="H105" s="13"/>
      <c r="I105" s="19">
        <v>0</v>
      </c>
      <c r="J105" s="19">
        <v>0</v>
      </c>
      <c r="K105" s="19">
        <v>0</v>
      </c>
      <c r="L105" s="19">
        <v>0</v>
      </c>
      <c r="M105" s="19">
        <v>0</v>
      </c>
      <c r="N105" s="19">
        <v>0</v>
      </c>
      <c r="O105" s="19">
        <v>0</v>
      </c>
      <c r="P105" s="19">
        <v>0</v>
      </c>
      <c r="Q105" s="19">
        <v>0</v>
      </c>
      <c r="R105" s="19">
        <v>0</v>
      </c>
    </row>
    <row r="106" spans="2:18" outlineLevel="1">
      <c r="B106" s="15" t="str">
        <f>"Current Case - "&amp;CHOOSE($I$4,$B$16,$B$17,$B$18)</f>
        <v>Current Case - Base Case</v>
      </c>
      <c r="C106" s="14"/>
      <c r="D106" s="14"/>
      <c r="E106" s="14"/>
      <c r="F106" s="14"/>
      <c r="G106" s="14"/>
      <c r="H106" s="14"/>
      <c r="I106" s="39">
        <f>CHOOSE($I$4,I103,I104,I105)</f>
        <v>0</v>
      </c>
      <c r="J106" s="39">
        <f>CHOOSE($I$4,J103,J104,J105)</f>
        <v>0</v>
      </c>
      <c r="K106" s="39">
        <f>CHOOSE($I$4,K103,K104,K105)</f>
        <v>0</v>
      </c>
      <c r="L106" s="39">
        <f>CHOOSE($I$4,L103,L104,L105)</f>
        <v>0</v>
      </c>
      <c r="M106" s="39">
        <f>CHOOSE($I$4,M103,M104,M105)</f>
        <v>0</v>
      </c>
      <c r="N106" s="39">
        <f t="shared" ref="N106:R106" si="42">CHOOSE($I$4,N103,N104,N105)</f>
        <v>0</v>
      </c>
      <c r="O106" s="39">
        <f t="shared" si="42"/>
        <v>0</v>
      </c>
      <c r="P106" s="39">
        <f t="shared" si="42"/>
        <v>0</v>
      </c>
      <c r="Q106" s="39">
        <f t="shared" si="42"/>
        <v>0</v>
      </c>
      <c r="R106" s="39">
        <f t="shared" si="42"/>
        <v>0</v>
      </c>
    </row>
    <row r="107" spans="2:18" outlineLevel="1"/>
    <row r="108" spans="2:18" outlineLevel="1">
      <c r="B108" s="11" t="s">
        <v>483</v>
      </c>
    </row>
    <row r="109" spans="2:18" outlineLevel="1">
      <c r="B109" s="12" t="s">
        <v>20</v>
      </c>
      <c r="C109" s="13"/>
      <c r="D109" s="13"/>
      <c r="E109" s="13"/>
      <c r="F109" s="13"/>
      <c r="G109" s="13"/>
      <c r="H109" s="13"/>
      <c r="I109" s="19">
        <v>0</v>
      </c>
      <c r="J109" s="19">
        <v>0</v>
      </c>
      <c r="K109" s="19">
        <v>0</v>
      </c>
      <c r="L109" s="19">
        <v>0</v>
      </c>
      <c r="M109" s="19">
        <v>0</v>
      </c>
      <c r="N109" s="19">
        <v>0</v>
      </c>
      <c r="O109" s="19">
        <v>0</v>
      </c>
      <c r="P109" s="19">
        <v>0</v>
      </c>
      <c r="Q109" s="19">
        <v>0</v>
      </c>
      <c r="R109" s="19">
        <v>0</v>
      </c>
    </row>
    <row r="110" spans="2:18" outlineLevel="1">
      <c r="B110" s="12" t="s">
        <v>322</v>
      </c>
      <c r="C110" s="13"/>
      <c r="D110" s="13"/>
      <c r="E110" s="13"/>
      <c r="F110" s="13"/>
      <c r="G110" s="13"/>
      <c r="H110" s="13"/>
      <c r="I110" s="19">
        <v>0</v>
      </c>
      <c r="J110" s="19">
        <v>0</v>
      </c>
      <c r="K110" s="19">
        <v>0</v>
      </c>
      <c r="L110" s="19">
        <v>0</v>
      </c>
      <c r="M110" s="19">
        <v>0</v>
      </c>
      <c r="N110" s="19">
        <v>0</v>
      </c>
      <c r="O110" s="19">
        <v>0</v>
      </c>
      <c r="P110" s="19">
        <v>0</v>
      </c>
      <c r="Q110" s="19">
        <v>0</v>
      </c>
      <c r="R110" s="19">
        <v>0</v>
      </c>
    </row>
    <row r="111" spans="2:18" outlineLevel="1">
      <c r="B111" s="12" t="s">
        <v>21</v>
      </c>
      <c r="C111" s="13"/>
      <c r="D111" s="13"/>
      <c r="E111" s="13"/>
      <c r="F111" s="13"/>
      <c r="G111" s="13"/>
      <c r="H111" s="13"/>
      <c r="I111" s="19">
        <v>0</v>
      </c>
      <c r="J111" s="19">
        <v>0</v>
      </c>
      <c r="K111" s="19">
        <v>0</v>
      </c>
      <c r="L111" s="19">
        <v>0</v>
      </c>
      <c r="M111" s="19">
        <v>0</v>
      </c>
      <c r="N111" s="19">
        <v>0</v>
      </c>
      <c r="O111" s="19">
        <v>0</v>
      </c>
      <c r="P111" s="19">
        <v>0</v>
      </c>
      <c r="Q111" s="19">
        <v>0</v>
      </c>
      <c r="R111" s="19">
        <v>0</v>
      </c>
    </row>
    <row r="112" spans="2:18" outlineLevel="1">
      <c r="B112" s="15" t="str">
        <f>"Current Case - "&amp;CHOOSE($I$4,$B$16,$B$17,$B$18)</f>
        <v>Current Case - Base Case</v>
      </c>
      <c r="C112" s="14"/>
      <c r="D112" s="14"/>
      <c r="E112" s="14"/>
      <c r="F112" s="14"/>
      <c r="G112" s="14"/>
      <c r="H112" s="14"/>
      <c r="I112" s="39">
        <f>CHOOSE($I$4,I109,I110,I111)</f>
        <v>0</v>
      </c>
      <c r="J112" s="39">
        <f>CHOOSE($I$4,J109,J110,J111)</f>
        <v>0</v>
      </c>
      <c r="K112" s="39">
        <f>CHOOSE($I$4,K109,K110,K111)</f>
        <v>0</v>
      </c>
      <c r="L112" s="39">
        <f>CHOOSE($I$4,L109,L110,L111)</f>
        <v>0</v>
      </c>
      <c r="M112" s="39">
        <f>CHOOSE($I$4,M109,M110,M111)</f>
        <v>0</v>
      </c>
      <c r="N112" s="39">
        <f t="shared" ref="N112:R112" si="43">CHOOSE($I$4,N109,N110,N111)</f>
        <v>0</v>
      </c>
      <c r="O112" s="39">
        <f t="shared" si="43"/>
        <v>0</v>
      </c>
      <c r="P112" s="39">
        <f t="shared" si="43"/>
        <v>0</v>
      </c>
      <c r="Q112" s="39">
        <f t="shared" si="43"/>
        <v>0</v>
      </c>
      <c r="R112" s="39">
        <f t="shared" si="43"/>
        <v>0</v>
      </c>
    </row>
    <row r="113" spans="2:18" outlineLevel="1"/>
    <row r="115" spans="2:18" ht="18">
      <c r="B115" s="10" t="s">
        <v>562</v>
      </c>
      <c r="C115" s="10"/>
      <c r="D115" s="10"/>
      <c r="E115" s="10"/>
      <c r="F115" s="10"/>
      <c r="G115" s="10"/>
      <c r="H115" s="10"/>
      <c r="I115" s="10"/>
      <c r="J115" s="10"/>
      <c r="K115" s="10"/>
      <c r="L115" s="10"/>
      <c r="M115" s="10"/>
      <c r="N115" s="10"/>
      <c r="O115" s="10"/>
      <c r="P115" s="10"/>
      <c r="Q115" s="10"/>
      <c r="R115" s="10"/>
    </row>
    <row r="116" spans="2:18" outlineLevel="1"/>
    <row r="117" spans="2:18" outlineLevel="1">
      <c r="B117" s="11" t="s">
        <v>28</v>
      </c>
    </row>
    <row r="118" spans="2:18" outlineLevel="1">
      <c r="B118" s="12" t="s">
        <v>20</v>
      </c>
      <c r="C118" s="13"/>
      <c r="D118" s="13"/>
      <c r="E118" s="13"/>
      <c r="F118" s="13"/>
      <c r="G118" s="13"/>
      <c r="H118" s="13"/>
      <c r="I118" s="19">
        <v>0.25</v>
      </c>
      <c r="J118" s="19">
        <v>0.25</v>
      </c>
      <c r="K118" s="19">
        <v>0.25</v>
      </c>
      <c r="L118" s="19">
        <v>0.25</v>
      </c>
      <c r="M118" s="19">
        <v>0.25</v>
      </c>
      <c r="N118" s="19">
        <v>0.25</v>
      </c>
      <c r="O118" s="19">
        <v>0.25</v>
      </c>
      <c r="P118" s="19">
        <v>0.25</v>
      </c>
      <c r="Q118" s="19">
        <v>0.25</v>
      </c>
      <c r="R118" s="19">
        <v>0.25</v>
      </c>
    </row>
    <row r="119" spans="2:18" outlineLevel="1">
      <c r="B119" s="12" t="s">
        <v>322</v>
      </c>
      <c r="C119" s="13"/>
      <c r="D119" s="13"/>
      <c r="E119" s="13"/>
      <c r="F119" s="13"/>
      <c r="G119" s="13"/>
      <c r="H119" s="13"/>
      <c r="I119" s="19">
        <v>0.25</v>
      </c>
      <c r="J119" s="19">
        <v>0.25</v>
      </c>
      <c r="K119" s="19">
        <v>0.25</v>
      </c>
      <c r="L119" s="19">
        <v>0.25</v>
      </c>
      <c r="M119" s="19">
        <v>0.25</v>
      </c>
      <c r="N119" s="19">
        <v>0.25</v>
      </c>
      <c r="O119" s="19">
        <v>0.25</v>
      </c>
      <c r="P119" s="19">
        <v>0.25</v>
      </c>
      <c r="Q119" s="19">
        <v>0.25</v>
      </c>
      <c r="R119" s="19">
        <v>0.25</v>
      </c>
    </row>
    <row r="120" spans="2:18" outlineLevel="1">
      <c r="B120" s="12" t="s">
        <v>21</v>
      </c>
      <c r="C120" s="13"/>
      <c r="D120" s="13"/>
      <c r="E120" s="13"/>
      <c r="F120" s="13"/>
      <c r="G120" s="13"/>
      <c r="H120" s="13"/>
      <c r="I120" s="19">
        <v>0.25</v>
      </c>
      <c r="J120" s="19">
        <v>0.25</v>
      </c>
      <c r="K120" s="19">
        <v>0.25</v>
      </c>
      <c r="L120" s="19">
        <v>0.25</v>
      </c>
      <c r="M120" s="19">
        <v>0.25</v>
      </c>
      <c r="N120" s="19">
        <v>0.25</v>
      </c>
      <c r="O120" s="19">
        <v>0.25</v>
      </c>
      <c r="P120" s="19">
        <v>0.25</v>
      </c>
      <c r="Q120" s="19">
        <v>0.25</v>
      </c>
      <c r="R120" s="19">
        <v>0.25</v>
      </c>
    </row>
    <row r="121" spans="2:18" outlineLevel="1">
      <c r="B121" s="15" t="str">
        <f>"Current Case - "&amp;CHOOSE($I$4,$B$16,$B$17,$B$18)</f>
        <v>Current Case - Base Case</v>
      </c>
      <c r="C121" s="14"/>
      <c r="D121" s="14"/>
      <c r="E121" s="14"/>
      <c r="F121" s="14"/>
      <c r="G121" s="14"/>
      <c r="H121" s="14"/>
      <c r="I121" s="39">
        <f>CHOOSE($I$4,I118,I119,I120)</f>
        <v>0.25</v>
      </c>
      <c r="J121" s="39">
        <f>CHOOSE($I$4,J118,J119,J120)</f>
        <v>0.25</v>
      </c>
      <c r="K121" s="39">
        <f>CHOOSE($I$4,K118,K119,K120)</f>
        <v>0.25</v>
      </c>
      <c r="L121" s="39">
        <f>CHOOSE($I$4,L118,L119,L120)</f>
        <v>0.25</v>
      </c>
      <c r="M121" s="39">
        <f>CHOOSE($I$4,M118,M119,M120)</f>
        <v>0.25</v>
      </c>
      <c r="N121" s="39">
        <f t="shared" ref="N121:R121" si="44">CHOOSE($I$4,N118,N119,N120)</f>
        <v>0.25</v>
      </c>
      <c r="O121" s="39">
        <f t="shared" si="44"/>
        <v>0.25</v>
      </c>
      <c r="P121" s="39">
        <f t="shared" si="44"/>
        <v>0.25</v>
      </c>
      <c r="Q121" s="39">
        <f t="shared" si="44"/>
        <v>0.25</v>
      </c>
      <c r="R121" s="39">
        <f t="shared" si="44"/>
        <v>0.25</v>
      </c>
    </row>
    <row r="123" spans="2:18" ht="18">
      <c r="B123" s="10" t="s">
        <v>563</v>
      </c>
      <c r="C123" s="10"/>
      <c r="D123" s="10"/>
      <c r="E123" s="10"/>
      <c r="F123" s="10"/>
      <c r="G123" s="10"/>
      <c r="H123" s="10"/>
      <c r="I123" s="10"/>
      <c r="J123" s="10"/>
      <c r="K123" s="10"/>
      <c r="L123" s="10"/>
      <c r="M123" s="10"/>
      <c r="N123" s="10"/>
      <c r="O123" s="10"/>
      <c r="P123" s="10"/>
      <c r="Q123" s="10"/>
      <c r="R123" s="10"/>
    </row>
    <row r="124" spans="2:18" outlineLevel="1"/>
    <row r="125" spans="2:18" outlineLevel="1">
      <c r="B125" s="11" t="s">
        <v>324</v>
      </c>
    </row>
    <row r="126" spans="2:18" outlineLevel="1">
      <c r="B126" s="12" t="s">
        <v>20</v>
      </c>
      <c r="C126" s="13"/>
      <c r="D126" s="13"/>
      <c r="E126" s="13"/>
      <c r="F126" s="13"/>
      <c r="G126" s="13"/>
      <c r="H126" s="13"/>
      <c r="I126" s="463">
        <v>0.1</v>
      </c>
      <c r="J126" s="463">
        <v>-0.4</v>
      </c>
      <c r="K126" s="463">
        <v>-0.3</v>
      </c>
      <c r="L126" s="463">
        <v>-0.2</v>
      </c>
      <c r="M126" s="463">
        <v>0.01</v>
      </c>
      <c r="N126" s="463">
        <v>0.01</v>
      </c>
      <c r="O126" s="463">
        <v>0.01</v>
      </c>
      <c r="P126" s="463">
        <v>0.01</v>
      </c>
      <c r="Q126" s="463">
        <v>0.01</v>
      </c>
      <c r="R126" s="463">
        <v>0.01</v>
      </c>
    </row>
    <row r="127" spans="2:18" outlineLevel="1">
      <c r="B127" s="12" t="s">
        <v>322</v>
      </c>
      <c r="C127" s="13"/>
      <c r="D127" s="13"/>
      <c r="E127" s="13"/>
      <c r="F127" s="13"/>
      <c r="G127" s="13"/>
      <c r="H127" s="13"/>
      <c r="I127" s="19">
        <v>0.25</v>
      </c>
      <c r="J127" s="19">
        <v>-0.2</v>
      </c>
      <c r="K127" s="19">
        <v>-0.15</v>
      </c>
      <c r="L127" s="19">
        <v>-0.05</v>
      </c>
      <c r="M127" s="19">
        <v>0</v>
      </c>
      <c r="N127" s="19">
        <v>-0.1</v>
      </c>
      <c r="O127" s="19">
        <v>-0.15</v>
      </c>
      <c r="P127" s="19">
        <v>-0.2</v>
      </c>
      <c r="Q127" s="19">
        <v>0.01</v>
      </c>
      <c r="R127" s="19">
        <v>0.01</v>
      </c>
    </row>
    <row r="128" spans="2:18" outlineLevel="1">
      <c r="B128" s="12" t="s">
        <v>21</v>
      </c>
      <c r="C128" s="13"/>
      <c r="D128" s="13"/>
      <c r="E128" s="13"/>
      <c r="F128" s="13"/>
      <c r="G128" s="13"/>
      <c r="H128" s="13"/>
      <c r="I128" s="19">
        <v>0.2</v>
      </c>
      <c r="J128" s="19">
        <v>-0.05</v>
      </c>
      <c r="K128" s="19">
        <v>-0.2</v>
      </c>
      <c r="L128" s="19">
        <v>-0.1</v>
      </c>
      <c r="M128" s="19">
        <v>0.01</v>
      </c>
      <c r="N128" s="19">
        <v>0.01</v>
      </c>
      <c r="O128" s="19">
        <v>0.01</v>
      </c>
      <c r="P128" s="19">
        <v>0.01</v>
      </c>
      <c r="Q128" s="19">
        <v>0.01</v>
      </c>
      <c r="R128" s="19">
        <v>0.01</v>
      </c>
    </row>
    <row r="129" spans="2:18" outlineLevel="1">
      <c r="B129" s="15" t="str">
        <f>"Current Case - "&amp;CHOOSE($I$4,$B$16,$B$17,$B$18)</f>
        <v>Current Case - Base Case</v>
      </c>
      <c r="C129" s="14"/>
      <c r="D129" s="14"/>
      <c r="E129" s="14"/>
      <c r="F129" s="14"/>
      <c r="G129" s="14"/>
      <c r="H129" s="14"/>
      <c r="I129" s="39">
        <f>CHOOSE($I$4,I126,I127,I128)</f>
        <v>0.25</v>
      </c>
      <c r="J129" s="39">
        <f>CHOOSE($I$4,J126,J127,J128)</f>
        <v>-0.2</v>
      </c>
      <c r="K129" s="39">
        <f>CHOOSE($I$4,K126,K127,K128)</f>
        <v>-0.15</v>
      </c>
      <c r="L129" s="39">
        <f>CHOOSE($I$4,L126,L127,L128)</f>
        <v>-0.05</v>
      </c>
      <c r="M129" s="39">
        <f>CHOOSE($I$4,M126,M127,M128)</f>
        <v>0</v>
      </c>
      <c r="N129" s="39">
        <f t="shared" ref="N129:R129" si="45">CHOOSE($I$4,N126,N127,N128)</f>
        <v>-0.1</v>
      </c>
      <c r="O129" s="39">
        <f t="shared" si="45"/>
        <v>-0.15</v>
      </c>
      <c r="P129" s="39">
        <f t="shared" si="45"/>
        <v>-0.2</v>
      </c>
      <c r="Q129" s="39">
        <f t="shared" si="45"/>
        <v>0.01</v>
      </c>
      <c r="R129" s="39">
        <f t="shared" si="45"/>
        <v>0.01</v>
      </c>
    </row>
    <row r="131" spans="2:18" ht="18">
      <c r="B131" s="10" t="s">
        <v>564</v>
      </c>
      <c r="C131" s="10"/>
      <c r="D131" s="10"/>
      <c r="E131" s="10"/>
      <c r="F131" s="10"/>
      <c r="G131" s="10"/>
      <c r="H131" s="10"/>
      <c r="I131" s="10"/>
      <c r="J131" s="10"/>
      <c r="K131" s="10"/>
      <c r="L131" s="10"/>
      <c r="M131" s="10"/>
      <c r="N131" s="10"/>
      <c r="O131" s="10"/>
      <c r="P131" s="10"/>
      <c r="Q131" s="10"/>
      <c r="R131" s="10"/>
    </row>
    <row r="132" spans="2:18" outlineLevel="1"/>
    <row r="133" spans="2:18" outlineLevel="1">
      <c r="B133" s="11" t="s">
        <v>526</v>
      </c>
      <c r="I133" s="164"/>
    </row>
    <row r="134" spans="2:18" outlineLevel="1">
      <c r="B134" s="12" t="s">
        <v>20</v>
      </c>
      <c r="C134" s="13"/>
      <c r="D134" s="13"/>
      <c r="E134" s="13"/>
      <c r="F134" s="13"/>
      <c r="G134" s="13"/>
      <c r="H134" s="13"/>
      <c r="I134" s="463">
        <v>0.15</v>
      </c>
      <c r="J134" s="463">
        <v>0.12</v>
      </c>
      <c r="K134" s="463">
        <v>0.09</v>
      </c>
      <c r="L134" s="463">
        <v>0.06</v>
      </c>
      <c r="M134" s="463">
        <v>0.03</v>
      </c>
      <c r="N134" s="463">
        <v>0.03</v>
      </c>
      <c r="O134" s="463">
        <v>0.03</v>
      </c>
      <c r="P134" s="463">
        <v>0.03</v>
      </c>
      <c r="Q134" s="463">
        <v>0.03</v>
      </c>
      <c r="R134" s="463">
        <v>0.03</v>
      </c>
    </row>
    <row r="135" spans="2:18" outlineLevel="1">
      <c r="B135" s="12" t="s">
        <v>322</v>
      </c>
      <c r="C135" s="13"/>
      <c r="D135" s="13"/>
      <c r="E135" s="13"/>
      <c r="F135" s="13"/>
      <c r="G135" s="13"/>
      <c r="H135" s="13"/>
      <c r="I135" s="19">
        <v>0.12</v>
      </c>
      <c r="J135" s="19">
        <v>8.5000000000000006E-2</v>
      </c>
      <c r="K135" s="19">
        <v>0.06</v>
      </c>
      <c r="L135" s="19">
        <v>0.04</v>
      </c>
      <c r="M135" s="19">
        <v>0.02</v>
      </c>
      <c r="N135" s="19">
        <v>0.01</v>
      </c>
      <c r="O135" s="19">
        <v>0.01</v>
      </c>
      <c r="P135" s="19">
        <v>0.01</v>
      </c>
      <c r="Q135" s="19">
        <v>0.01</v>
      </c>
      <c r="R135" s="19">
        <v>0.01</v>
      </c>
    </row>
    <row r="136" spans="2:18" outlineLevel="1">
      <c r="B136" s="12" t="s">
        <v>21</v>
      </c>
      <c r="C136" s="13"/>
      <c r="D136" s="13"/>
      <c r="E136" s="13"/>
      <c r="F136" s="13"/>
      <c r="G136" s="13"/>
      <c r="H136" s="13"/>
      <c r="I136" s="19">
        <v>0.15</v>
      </c>
      <c r="J136" s="19">
        <v>0.12</v>
      </c>
      <c r="K136" s="19">
        <v>0.09</v>
      </c>
      <c r="L136" s="19">
        <v>7.0000000000000007E-2</v>
      </c>
      <c r="M136" s="19">
        <v>0.06</v>
      </c>
      <c r="N136" s="19">
        <v>0.06</v>
      </c>
      <c r="O136" s="19">
        <v>0.06</v>
      </c>
      <c r="P136" s="19">
        <v>0.06</v>
      </c>
      <c r="Q136" s="19">
        <v>0.06</v>
      </c>
      <c r="R136" s="19">
        <v>0.06</v>
      </c>
    </row>
    <row r="137" spans="2:18" outlineLevel="1">
      <c r="B137" s="15" t="str">
        <f>"Current Case - "&amp;CHOOSE($I$4,$B$16,$B$17,$B$18)</f>
        <v>Current Case - Base Case</v>
      </c>
      <c r="C137" s="14"/>
      <c r="D137" s="14"/>
      <c r="E137" s="14"/>
      <c r="F137" s="14"/>
      <c r="G137" s="14"/>
      <c r="H137" s="14"/>
      <c r="I137" s="39">
        <f>CHOOSE($I$4,I134,I135,I136)</f>
        <v>0.12</v>
      </c>
      <c r="J137" s="39">
        <f>CHOOSE($I$4,J134,J135,J136)</f>
        <v>8.5000000000000006E-2</v>
      </c>
      <c r="K137" s="39">
        <f>CHOOSE($I$4,K134,K135,K136)</f>
        <v>0.06</v>
      </c>
      <c r="L137" s="39">
        <f>CHOOSE($I$4,L134,L135,L136)</f>
        <v>0.04</v>
      </c>
      <c r="M137" s="39">
        <f>CHOOSE($I$4,M134,M135,M136)</f>
        <v>0.02</v>
      </c>
      <c r="N137" s="39">
        <f t="shared" ref="N137:R137" si="46">CHOOSE($I$4,N134,N135,N136)</f>
        <v>0.01</v>
      </c>
      <c r="O137" s="39">
        <f t="shared" si="46"/>
        <v>0.01</v>
      </c>
      <c r="P137" s="39">
        <f t="shared" si="46"/>
        <v>0.01</v>
      </c>
      <c r="Q137" s="39">
        <f t="shared" si="46"/>
        <v>0.01</v>
      </c>
      <c r="R137" s="39">
        <f t="shared" si="46"/>
        <v>0.01</v>
      </c>
    </row>
    <row r="139" spans="2:18" ht="18">
      <c r="B139" s="10" t="s">
        <v>565</v>
      </c>
      <c r="C139" s="10"/>
      <c r="D139" s="10"/>
      <c r="E139" s="10"/>
      <c r="F139" s="10"/>
      <c r="G139" s="10"/>
      <c r="H139" s="10"/>
      <c r="I139" s="10"/>
      <c r="J139" s="10"/>
      <c r="K139" s="10"/>
      <c r="L139" s="10"/>
      <c r="M139" s="10"/>
      <c r="N139" s="10"/>
      <c r="O139" s="10"/>
      <c r="P139" s="10"/>
      <c r="Q139" s="10"/>
      <c r="R139" s="10"/>
    </row>
    <row r="140" spans="2:18" outlineLevel="1"/>
    <row r="141" spans="2:18" outlineLevel="1">
      <c r="B141" s="11" t="s">
        <v>533</v>
      </c>
    </row>
    <row r="142" spans="2:18" outlineLevel="1">
      <c r="B142" s="12" t="s">
        <v>20</v>
      </c>
      <c r="C142" s="13"/>
      <c r="D142" s="13"/>
      <c r="E142" s="13"/>
      <c r="F142" s="13"/>
      <c r="G142" s="13"/>
      <c r="H142" s="13"/>
      <c r="I142" s="19">
        <v>7.7899999999999997E-2</v>
      </c>
      <c r="J142" s="19">
        <v>7.7899999999999997E-2</v>
      </c>
      <c r="K142" s="19">
        <v>7.7899999999999997E-2</v>
      </c>
      <c r="L142" s="19">
        <v>7.7899999999999997E-2</v>
      </c>
      <c r="M142" s="19">
        <v>7.7899999999999997E-2</v>
      </c>
      <c r="N142" s="19">
        <v>7.7899999999999997E-2</v>
      </c>
      <c r="O142" s="19">
        <v>7.7899999999999997E-2</v>
      </c>
      <c r="P142" s="19">
        <v>7.7899999999999997E-2</v>
      </c>
      <c r="Q142" s="19">
        <v>7.7899999999999997E-2</v>
      </c>
      <c r="R142" s="19">
        <v>7.7899999999999997E-2</v>
      </c>
    </row>
    <row r="143" spans="2:18" outlineLevel="1">
      <c r="B143" s="12" t="s">
        <v>322</v>
      </c>
      <c r="C143" s="13"/>
      <c r="D143" s="13"/>
      <c r="E143" s="13"/>
      <c r="F143" s="13"/>
      <c r="G143" s="13"/>
      <c r="H143" s="13"/>
      <c r="I143" s="19">
        <v>7.7899999999999997E-2</v>
      </c>
      <c r="J143" s="19">
        <v>7.7899999999999997E-2</v>
      </c>
      <c r="K143" s="19">
        <v>7.7899999999999997E-2</v>
      </c>
      <c r="L143" s="19">
        <v>7.7899999999999997E-2</v>
      </c>
      <c r="M143" s="19">
        <v>7.7899999999999997E-2</v>
      </c>
      <c r="N143" s="19">
        <v>7.7899999999999997E-2</v>
      </c>
      <c r="O143" s="19">
        <v>7.7899999999999997E-2</v>
      </c>
      <c r="P143" s="19">
        <v>7.7899999999999997E-2</v>
      </c>
      <c r="Q143" s="19">
        <v>7.7899999999999997E-2</v>
      </c>
      <c r="R143" s="19">
        <v>7.7899999999999997E-2</v>
      </c>
    </row>
    <row r="144" spans="2:18" outlineLevel="1">
      <c r="B144" s="12" t="s">
        <v>21</v>
      </c>
      <c r="C144" s="13"/>
      <c r="D144" s="13"/>
      <c r="E144" s="13"/>
      <c r="F144" s="13"/>
      <c r="G144" s="13"/>
      <c r="H144" s="13"/>
      <c r="I144" s="19">
        <v>7.7899999999999997E-2</v>
      </c>
      <c r="J144" s="19">
        <v>7.7899999999999997E-2</v>
      </c>
      <c r="K144" s="19">
        <v>7.7899999999999997E-2</v>
      </c>
      <c r="L144" s="19">
        <v>7.7899999999999997E-2</v>
      </c>
      <c r="M144" s="19">
        <v>7.7899999999999997E-2</v>
      </c>
      <c r="N144" s="19">
        <v>7.7899999999999997E-2</v>
      </c>
      <c r="O144" s="19">
        <v>7.7899999999999997E-2</v>
      </c>
      <c r="P144" s="19">
        <v>7.7899999999999997E-2</v>
      </c>
      <c r="Q144" s="19">
        <v>7.7899999999999997E-2</v>
      </c>
      <c r="R144" s="19">
        <v>7.7899999999999997E-2</v>
      </c>
    </row>
    <row r="145" spans="2:18" outlineLevel="1">
      <c r="B145" s="15" t="str">
        <f>"Current Case - "&amp;CHOOSE($I$4,$B$16,$B$17,$B$18)</f>
        <v>Current Case - Base Case</v>
      </c>
      <c r="C145" s="14"/>
      <c r="D145" s="14"/>
      <c r="E145" s="14"/>
      <c r="F145" s="14"/>
      <c r="G145" s="14"/>
      <c r="H145" s="14"/>
      <c r="I145" s="39">
        <f>CHOOSE($I$4,I142,I143,I144)</f>
        <v>7.7899999999999997E-2</v>
      </c>
      <c r="J145" s="39">
        <f>CHOOSE($I$4,J142,J143,J144)</f>
        <v>7.7899999999999997E-2</v>
      </c>
      <c r="K145" s="39">
        <f>CHOOSE($I$4,K142,K143,K144)</f>
        <v>7.7899999999999997E-2</v>
      </c>
      <c r="L145" s="39">
        <f>CHOOSE($I$4,L142,L143,L144)</f>
        <v>7.7899999999999997E-2</v>
      </c>
      <c r="M145" s="39">
        <f>CHOOSE($I$4,M142,M143,M144)</f>
        <v>7.7899999999999997E-2</v>
      </c>
      <c r="N145" s="39">
        <f t="shared" ref="N145:R145" si="47">CHOOSE($I$4,N142,N143,N144)</f>
        <v>7.7899999999999997E-2</v>
      </c>
      <c r="O145" s="39">
        <f t="shared" si="47"/>
        <v>7.7899999999999997E-2</v>
      </c>
      <c r="P145" s="39">
        <f t="shared" si="47"/>
        <v>7.7899999999999997E-2</v>
      </c>
      <c r="Q145" s="39">
        <f t="shared" si="47"/>
        <v>7.7899999999999997E-2</v>
      </c>
      <c r="R145" s="39">
        <f t="shared" si="47"/>
        <v>7.7899999999999997E-2</v>
      </c>
    </row>
    <row r="147" spans="2:18" ht="18">
      <c r="B147" s="10" t="s">
        <v>566</v>
      </c>
      <c r="C147" s="10"/>
      <c r="D147" s="10"/>
      <c r="E147" s="10"/>
      <c r="F147" s="10"/>
      <c r="G147" s="10"/>
      <c r="H147" s="10"/>
      <c r="I147" s="10"/>
      <c r="J147" s="10"/>
      <c r="K147" s="10"/>
      <c r="L147" s="10"/>
      <c r="M147" s="10"/>
      <c r="N147" s="10"/>
      <c r="O147" s="10"/>
      <c r="P147" s="10"/>
      <c r="Q147" s="10"/>
      <c r="R147" s="10"/>
    </row>
    <row r="148" spans="2:18" outlineLevel="1"/>
    <row r="149" spans="2:18" outlineLevel="1">
      <c r="B149" s="11" t="s">
        <v>29</v>
      </c>
    </row>
    <row r="150" spans="2:18" outlineLevel="1">
      <c r="B150" s="12" t="s">
        <v>20</v>
      </c>
      <c r="C150" s="13"/>
      <c r="D150" s="13"/>
      <c r="E150" s="13"/>
      <c r="F150" s="13"/>
      <c r="G150" s="13"/>
      <c r="H150" s="13"/>
      <c r="I150" s="19">
        <v>0.15</v>
      </c>
      <c r="J150" s="19">
        <v>0.15</v>
      </c>
      <c r="K150" s="19">
        <v>0.2</v>
      </c>
      <c r="L150" s="19">
        <v>0.35</v>
      </c>
      <c r="M150" s="19">
        <v>0.5</v>
      </c>
      <c r="N150" s="19">
        <v>0.5</v>
      </c>
      <c r="O150" s="19">
        <v>0.5</v>
      </c>
      <c r="P150" s="19">
        <v>0.5</v>
      </c>
      <c r="Q150" s="19">
        <v>0.5</v>
      </c>
      <c r="R150" s="19">
        <v>0.5</v>
      </c>
    </row>
    <row r="151" spans="2:18" outlineLevel="1">
      <c r="B151" s="12" t="s">
        <v>322</v>
      </c>
      <c r="C151" s="13"/>
      <c r="D151" s="13"/>
      <c r="E151" s="13"/>
      <c r="F151" s="13"/>
      <c r="G151" s="13"/>
      <c r="H151" s="13"/>
      <c r="I151" s="19">
        <v>0.15</v>
      </c>
      <c r="J151" s="19">
        <v>0.15</v>
      </c>
      <c r="K151" s="19">
        <v>0.2</v>
      </c>
      <c r="L151" s="19">
        <v>0.35</v>
      </c>
      <c r="M151" s="19">
        <v>0.5</v>
      </c>
      <c r="N151" s="19">
        <v>0.55000000000000004</v>
      </c>
      <c r="O151" s="19">
        <v>0.55000000000000004</v>
      </c>
      <c r="P151" s="19">
        <v>0.6</v>
      </c>
      <c r="Q151" s="19">
        <v>0.65</v>
      </c>
      <c r="R151" s="19">
        <v>0.7</v>
      </c>
    </row>
    <row r="152" spans="2:18" outlineLevel="1">
      <c r="B152" s="12" t="s">
        <v>21</v>
      </c>
      <c r="C152" s="13"/>
      <c r="D152" s="13"/>
      <c r="E152" s="13"/>
      <c r="F152" s="13"/>
      <c r="G152" s="13"/>
      <c r="H152" s="13"/>
      <c r="I152" s="19">
        <v>0.15</v>
      </c>
      <c r="J152" s="19">
        <v>0.15</v>
      </c>
      <c r="K152" s="19">
        <v>0.2</v>
      </c>
      <c r="L152" s="19">
        <v>0.35</v>
      </c>
      <c r="M152" s="19">
        <v>0.5</v>
      </c>
      <c r="N152" s="19">
        <v>0.5</v>
      </c>
      <c r="O152" s="19">
        <v>0.5</v>
      </c>
      <c r="P152" s="19">
        <v>0.5</v>
      </c>
      <c r="Q152" s="19">
        <v>0.5</v>
      </c>
      <c r="R152" s="19">
        <v>0.5</v>
      </c>
    </row>
    <row r="153" spans="2:18" outlineLevel="1">
      <c r="B153" s="15" t="str">
        <f>"Current Case - "&amp;CHOOSE($I$4,$B$16,$B$17,$B$18)</f>
        <v>Current Case - Base Case</v>
      </c>
      <c r="C153" s="14"/>
      <c r="D153" s="14"/>
      <c r="E153" s="14"/>
      <c r="F153" s="14"/>
      <c r="G153" s="14"/>
      <c r="H153" s="14"/>
      <c r="I153" s="39">
        <f>CHOOSE($I$4,I150,I151,I152)</f>
        <v>0.15</v>
      </c>
      <c r="J153" s="39">
        <f>CHOOSE($I$4,J150,J151,J152)</f>
        <v>0.15</v>
      </c>
      <c r="K153" s="39">
        <f>CHOOSE($I$4,K150,K151,K152)</f>
        <v>0.2</v>
      </c>
      <c r="L153" s="39">
        <f>CHOOSE($I$4,L150,L151,L152)</f>
        <v>0.35</v>
      </c>
      <c r="M153" s="39">
        <f>CHOOSE($I$4,M150,M151,M152)</f>
        <v>0.5</v>
      </c>
      <c r="N153" s="39">
        <f t="shared" ref="N153:R153" si="48">CHOOSE($I$4,N150,N151,N152)</f>
        <v>0.55000000000000004</v>
      </c>
      <c r="O153" s="39">
        <f t="shared" si="48"/>
        <v>0.55000000000000004</v>
      </c>
      <c r="P153" s="39">
        <f t="shared" si="48"/>
        <v>0.6</v>
      </c>
      <c r="Q153" s="39">
        <f t="shared" si="48"/>
        <v>0.65</v>
      </c>
      <c r="R153" s="39">
        <f t="shared" si="48"/>
        <v>0.7</v>
      </c>
    </row>
    <row r="155" spans="2:18" ht="18">
      <c r="B155" s="10" t="s">
        <v>484</v>
      </c>
      <c r="C155" s="10"/>
      <c r="D155" s="10"/>
      <c r="E155" s="10"/>
      <c r="F155" s="10"/>
      <c r="G155" s="10"/>
      <c r="H155" s="10"/>
      <c r="I155" s="10"/>
      <c r="J155" s="10"/>
      <c r="K155" s="10"/>
      <c r="L155" s="10"/>
      <c r="M155" s="10"/>
      <c r="N155" s="10"/>
      <c r="O155" s="10"/>
      <c r="P155" s="10"/>
      <c r="Q155" s="10"/>
      <c r="R155" s="10"/>
    </row>
    <row r="157" spans="2:18">
      <c r="B157" s="11" t="s">
        <v>485</v>
      </c>
    </row>
    <row r="158" spans="2:18">
      <c r="B158" s="12" t="s">
        <v>20</v>
      </c>
      <c r="C158" s="13"/>
      <c r="D158" s="13"/>
      <c r="E158" s="13"/>
      <c r="F158" s="13"/>
      <c r="G158" s="13"/>
      <c r="H158" s="13"/>
      <c r="I158" s="19">
        <v>5.0000000000000001E-3</v>
      </c>
      <c r="J158" s="19">
        <v>5.0000000000000001E-3</v>
      </c>
      <c r="K158" s="19">
        <v>5.0000000000000001E-3</v>
      </c>
      <c r="L158" s="19">
        <v>5.0000000000000001E-3</v>
      </c>
      <c r="M158" s="19">
        <v>5.0000000000000001E-3</v>
      </c>
      <c r="N158" s="19">
        <v>5.0000000000000001E-3</v>
      </c>
      <c r="O158" s="19">
        <v>5.0000000000000001E-3</v>
      </c>
      <c r="P158" s="19">
        <v>5.0000000000000001E-3</v>
      </c>
      <c r="Q158" s="19">
        <v>5.0000000000000001E-3</v>
      </c>
      <c r="R158" s="19">
        <v>5.0000000000000001E-3</v>
      </c>
    </row>
    <row r="159" spans="2:18">
      <c r="B159" s="12" t="s">
        <v>322</v>
      </c>
      <c r="C159" s="13"/>
      <c r="D159" s="13"/>
      <c r="E159" s="13"/>
      <c r="F159" s="13"/>
      <c r="G159" s="13"/>
      <c r="H159" s="13"/>
      <c r="I159" s="19">
        <v>5.0000000000000001E-3</v>
      </c>
      <c r="J159" s="19">
        <v>5.0000000000000001E-3</v>
      </c>
      <c r="K159" s="19">
        <v>5.0000000000000001E-3</v>
      </c>
      <c r="L159" s="19">
        <v>5.0000000000000001E-3</v>
      </c>
      <c r="M159" s="19">
        <v>5.0000000000000001E-3</v>
      </c>
      <c r="N159" s="19">
        <v>5.0000000000000001E-3</v>
      </c>
      <c r="O159" s="19">
        <v>5.0000000000000001E-3</v>
      </c>
      <c r="P159" s="19">
        <v>5.0000000000000001E-3</v>
      </c>
      <c r="Q159" s="19">
        <v>5.0000000000000001E-3</v>
      </c>
      <c r="R159" s="19">
        <v>5.0000000000000001E-3</v>
      </c>
    </row>
    <row r="160" spans="2:18">
      <c r="B160" s="12" t="s">
        <v>21</v>
      </c>
      <c r="C160" s="13"/>
      <c r="D160" s="13"/>
      <c r="E160" s="13"/>
      <c r="F160" s="13"/>
      <c r="G160" s="13"/>
      <c r="H160" s="13"/>
      <c r="I160" s="19">
        <v>5.0000000000000001E-3</v>
      </c>
      <c r="J160" s="19">
        <v>5.0000000000000001E-3</v>
      </c>
      <c r="K160" s="19">
        <v>5.0000000000000001E-3</v>
      </c>
      <c r="L160" s="19">
        <v>5.0000000000000001E-3</v>
      </c>
      <c r="M160" s="19">
        <v>5.0000000000000001E-3</v>
      </c>
      <c r="N160" s="19">
        <v>5.0000000000000001E-3</v>
      </c>
      <c r="O160" s="19">
        <v>5.0000000000000001E-3</v>
      </c>
      <c r="P160" s="19">
        <v>5.0000000000000001E-3</v>
      </c>
      <c r="Q160" s="19">
        <v>5.0000000000000001E-3</v>
      </c>
      <c r="R160" s="19">
        <v>5.0000000000000001E-3</v>
      </c>
    </row>
    <row r="161" spans="2:18">
      <c r="B161" s="15" t="str">
        <f>"Current Case - "&amp;CHOOSE($I$4,$B$16,$B$17,$B$18)</f>
        <v>Current Case - Base Case</v>
      </c>
      <c r="C161" s="14"/>
      <c r="D161" s="14"/>
      <c r="E161" s="14"/>
      <c r="F161" s="14"/>
      <c r="G161" s="14"/>
      <c r="H161" s="14"/>
      <c r="I161" s="39">
        <f>CHOOSE($I$4,I158,I159,I160)</f>
        <v>5.0000000000000001E-3</v>
      </c>
      <c r="J161" s="39">
        <f>CHOOSE($I$4,J158,J159,J160)</f>
        <v>5.0000000000000001E-3</v>
      </c>
      <c r="K161" s="39">
        <f>CHOOSE($I$4,K158,K159,K160)</f>
        <v>5.0000000000000001E-3</v>
      </c>
      <c r="L161" s="39">
        <f>CHOOSE($I$4,L158,L159,L160)</f>
        <v>5.0000000000000001E-3</v>
      </c>
      <c r="M161" s="39">
        <f>CHOOSE($I$4,M158,M159,M160)</f>
        <v>5.0000000000000001E-3</v>
      </c>
      <c r="N161" s="39">
        <f t="shared" ref="N161:R161" si="49">CHOOSE($I$4,N158,N159,N160)</f>
        <v>5.0000000000000001E-3</v>
      </c>
      <c r="O161" s="39">
        <f t="shared" si="49"/>
        <v>5.0000000000000001E-3</v>
      </c>
      <c r="P161" s="39">
        <f t="shared" si="49"/>
        <v>5.0000000000000001E-3</v>
      </c>
      <c r="Q161" s="39">
        <f t="shared" si="49"/>
        <v>5.0000000000000001E-3</v>
      </c>
      <c r="R161" s="39">
        <f t="shared" si="49"/>
        <v>5.0000000000000001E-3</v>
      </c>
    </row>
  </sheetData>
  <mergeCells count="3">
    <mergeCell ref="I8:M8"/>
    <mergeCell ref="D8:H8"/>
    <mergeCell ref="N8:R8"/>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87AE2-0167-46FE-98F9-89E12633614A}">
  <dimension ref="A2:R233"/>
  <sheetViews>
    <sheetView showGridLines="0" zoomScale="78" zoomScaleNormal="85" workbookViewId="0">
      <pane xSplit="1" ySplit="9" topLeftCell="B212" activePane="bottomRight" state="frozen"/>
      <selection pane="topRight" activeCell="B1" sqref="B1"/>
      <selection pane="bottomLeft" activeCell="A10" sqref="A10"/>
      <selection pane="bottomRight" activeCell="I233" sqref="I233"/>
    </sheetView>
  </sheetViews>
  <sheetFormatPr defaultRowHeight="14.4" outlineLevelRow="1"/>
  <cols>
    <col min="1" max="1" width="1.88671875" customWidth="1"/>
    <col min="2" max="2" width="49" customWidth="1"/>
    <col min="3" max="3" width="8.5546875" customWidth="1"/>
    <col min="4" max="9" width="8.88671875" customWidth="1"/>
    <col min="10" max="18" width="9.44140625" bestFit="1" customWidth="1"/>
  </cols>
  <sheetData>
    <row r="2" spans="2:18" ht="21">
      <c r="B2" s="8" t="str">
        <f>'Input Sheet'!C6</f>
        <v>Varun Beverages Ltd.</v>
      </c>
      <c r="C2" s="8"/>
      <c r="D2" s="8"/>
      <c r="E2" s="8"/>
    </row>
    <row r="3" spans="2:18" ht="18">
      <c r="B3" s="9" t="s">
        <v>52</v>
      </c>
      <c r="C3" s="9"/>
      <c r="D3" s="9"/>
      <c r="E3" s="9"/>
    </row>
    <row r="4" spans="2:18">
      <c r="H4" t="s">
        <v>22</v>
      </c>
      <c r="I4">
        <v>0</v>
      </c>
    </row>
    <row r="8" spans="2:18" ht="15.6">
      <c r="D8" s="559" t="s">
        <v>18</v>
      </c>
      <c r="E8" s="559"/>
      <c r="F8" s="559"/>
      <c r="G8" s="559"/>
      <c r="H8" s="559"/>
      <c r="I8" s="558" t="s">
        <v>19</v>
      </c>
      <c r="J8" s="558"/>
      <c r="K8" s="558"/>
      <c r="L8" s="558"/>
      <c r="M8" s="558"/>
      <c r="N8" s="560" t="s">
        <v>970</v>
      </c>
      <c r="O8" s="560"/>
      <c r="P8" s="560"/>
      <c r="Q8" s="560"/>
      <c r="R8" s="560"/>
    </row>
    <row r="9" spans="2:18" ht="15.6">
      <c r="B9" s="6" t="s">
        <v>17</v>
      </c>
      <c r="C9" s="6"/>
      <c r="D9" s="453">
        <v>2019</v>
      </c>
      <c r="E9" s="453">
        <v>2020</v>
      </c>
      <c r="F9" s="453">
        <v>2021</v>
      </c>
      <c r="G9" s="453">
        <v>2022</v>
      </c>
      <c r="H9" s="453">
        <v>2023</v>
      </c>
      <c r="I9" s="305">
        <f>H9+1</f>
        <v>2024</v>
      </c>
      <c r="J9" s="305">
        <f t="shared" ref="J9:M9" si="0">I9+1</f>
        <v>2025</v>
      </c>
      <c r="K9" s="305">
        <f t="shared" si="0"/>
        <v>2026</v>
      </c>
      <c r="L9" s="305">
        <f t="shared" si="0"/>
        <v>2027</v>
      </c>
      <c r="M9" s="305">
        <f t="shared" si="0"/>
        <v>2028</v>
      </c>
      <c r="N9" s="305">
        <f t="shared" ref="N9" si="1">M9+1</f>
        <v>2029</v>
      </c>
      <c r="O9" s="305">
        <f t="shared" ref="O9" si="2">N9+1</f>
        <v>2030</v>
      </c>
      <c r="P9" s="305">
        <f t="shared" ref="P9" si="3">O9+1</f>
        <v>2031</v>
      </c>
      <c r="Q9" s="305">
        <f t="shared" ref="Q9" si="4">P9+1</f>
        <v>2032</v>
      </c>
      <c r="R9" s="305">
        <f t="shared" ref="R9" si="5">Q9+1</f>
        <v>2033</v>
      </c>
    </row>
    <row r="11" spans="2:18" ht="18">
      <c r="B11" s="10" t="s">
        <v>444</v>
      </c>
      <c r="C11" s="10"/>
      <c r="D11" s="10"/>
      <c r="E11" s="10"/>
      <c r="F11" s="10"/>
      <c r="G11" s="10"/>
      <c r="H11" s="10"/>
      <c r="I11" s="10"/>
      <c r="J11" s="10"/>
      <c r="K11" s="10"/>
      <c r="L11" s="10"/>
      <c r="M11" s="10"/>
      <c r="N11" s="10"/>
      <c r="O11" s="10"/>
      <c r="P11" s="10"/>
      <c r="Q11" s="10"/>
      <c r="R11" s="10"/>
    </row>
    <row r="12" spans="2:18" outlineLevel="1"/>
    <row r="13" spans="2:18" outlineLevel="1">
      <c r="B13" s="307" t="s">
        <v>36</v>
      </c>
      <c r="C13" s="7"/>
      <c r="D13" s="535">
        <f>IncomeStatement!G6</f>
        <v>7129.58</v>
      </c>
      <c r="E13" s="535">
        <f>IncomeStatement!H6</f>
        <v>6450.14</v>
      </c>
      <c r="F13" s="535">
        <f>IncomeStatement!I6</f>
        <v>8823.2300000000014</v>
      </c>
      <c r="G13" s="535">
        <f>IncomeStatement!J6</f>
        <v>13173.14</v>
      </c>
      <c r="H13" s="535">
        <f>IncomeStatement!K6</f>
        <v>16042.581</v>
      </c>
      <c r="I13" s="536">
        <f>H13*(1+I15)</f>
        <v>20053.22625</v>
      </c>
      <c r="J13" s="536">
        <f t="shared" ref="J13:M13" si="6">I13*(1+J15)</f>
        <v>24414.802959375</v>
      </c>
      <c r="K13" s="536">
        <f t="shared" si="6"/>
        <v>28931.541506859376</v>
      </c>
      <c r="L13" s="536">
        <f t="shared" si="6"/>
        <v>33343.60158665543</v>
      </c>
      <c r="M13" s="536">
        <f t="shared" si="6"/>
        <v>37344.833777054082</v>
      </c>
      <c r="N13" s="536">
        <f t="shared" ref="N13" si="7">M13*(1+N15)</f>
        <v>41826.213830300578</v>
      </c>
      <c r="O13" s="536">
        <f t="shared" ref="O13" si="8">N13*(1+O15)</f>
        <v>46845.359489936651</v>
      </c>
      <c r="P13" s="536">
        <f t="shared" ref="P13" si="9">O13*(1+P15)</f>
        <v>52466.802628729056</v>
      </c>
      <c r="Q13" s="536">
        <f t="shared" ref="Q13" si="10">P13*(1+Q15)</f>
        <v>58762.81894417655</v>
      </c>
      <c r="R13" s="536">
        <f t="shared" ref="R13" si="11">Q13*(1+R15)</f>
        <v>65814.357217477736</v>
      </c>
    </row>
    <row r="14" spans="2:18" outlineLevel="1">
      <c r="D14" s="45"/>
      <c r="E14" s="45"/>
      <c r="F14" s="45"/>
      <c r="G14" s="45"/>
      <c r="H14" s="45"/>
      <c r="I14" s="34"/>
      <c r="J14" s="34"/>
      <c r="K14" s="34"/>
      <c r="L14" s="34"/>
      <c r="M14" s="34"/>
      <c r="N14" s="34"/>
      <c r="O14" s="34"/>
      <c r="P14" s="34"/>
      <c r="Q14" s="34"/>
      <c r="R14" s="34"/>
    </row>
    <row r="15" spans="2:18" outlineLevel="1">
      <c r="B15" t="s">
        <v>324</v>
      </c>
      <c r="D15" s="45"/>
      <c r="E15" s="299">
        <f>E13/D13-1</f>
        <v>-9.5298741300329004E-2</v>
      </c>
      <c r="F15" s="299">
        <f t="shared" ref="F15:H15" si="12">F13/E13-1</f>
        <v>0.36791294452523515</v>
      </c>
      <c r="G15" s="299">
        <f t="shared" si="12"/>
        <v>0.49300652935489575</v>
      </c>
      <c r="H15" s="299">
        <f t="shared" si="12"/>
        <v>0.21782513508548451</v>
      </c>
      <c r="I15" s="298">
        <f>ControlSheet!I19</f>
        <v>0.25</v>
      </c>
      <c r="J15" s="298">
        <f>ControlSheet!J19</f>
        <v>0.2175</v>
      </c>
      <c r="K15" s="298">
        <f>ControlSheet!K19</f>
        <v>0.185</v>
      </c>
      <c r="L15" s="298">
        <f>ControlSheet!L19</f>
        <v>0.1525</v>
      </c>
      <c r="M15" s="298">
        <f>ControlSheet!M19</f>
        <v>0.12</v>
      </c>
      <c r="N15" s="298">
        <f>ControlSheet!N19</f>
        <v>0.12</v>
      </c>
      <c r="O15" s="298">
        <f>ControlSheet!O19</f>
        <v>0.12</v>
      </c>
      <c r="P15" s="298">
        <f>ControlSheet!P19</f>
        <v>0.12</v>
      </c>
      <c r="Q15" s="298">
        <f>ControlSheet!Q19</f>
        <v>0.12</v>
      </c>
      <c r="R15" s="298">
        <f>ControlSheet!R19</f>
        <v>0.12</v>
      </c>
    </row>
    <row r="17" spans="2:18" ht="18">
      <c r="B17" s="10" t="s">
        <v>25</v>
      </c>
      <c r="C17" s="10"/>
      <c r="D17" s="10"/>
      <c r="E17" s="10"/>
      <c r="F17" s="10"/>
      <c r="G17" s="10"/>
      <c r="H17" s="10"/>
      <c r="I17" s="10"/>
      <c r="J17" s="10"/>
      <c r="K17" s="10"/>
      <c r="L17" s="10"/>
      <c r="M17" s="10"/>
      <c r="N17" s="10"/>
      <c r="O17" s="10"/>
      <c r="P17" s="10"/>
      <c r="Q17" s="10"/>
      <c r="R17" s="10"/>
    </row>
    <row r="18" spans="2:18" outlineLevel="1"/>
    <row r="19" spans="2:18" outlineLevel="1"/>
    <row r="20" spans="2:18" outlineLevel="1">
      <c r="B20" s="27" t="s">
        <v>46</v>
      </c>
      <c r="C20" s="27"/>
      <c r="D20" s="255">
        <f>IncomeStatement!G16*-1</f>
        <v>3219.43</v>
      </c>
      <c r="E20" s="255">
        <f>IncomeStatement!H16*-1</f>
        <v>2763.9400000000005</v>
      </c>
      <c r="F20" s="255">
        <f>IncomeStatement!I16*-1</f>
        <v>4034.6600000000003</v>
      </c>
      <c r="G20" s="255">
        <f>IncomeStatement!J16*-1</f>
        <v>6261.15</v>
      </c>
      <c r="H20" s="255">
        <f>IncomeStatement!K16*-1</f>
        <v>7404.8879999999999</v>
      </c>
      <c r="I20" s="256">
        <f>I22*I13</f>
        <v>9023.9518124999995</v>
      </c>
      <c r="J20" s="256">
        <f>J22*J13</f>
        <v>11322.364872410157</v>
      </c>
      <c r="K20" s="256">
        <f>K22*K13</f>
        <v>13814.811069525353</v>
      </c>
      <c r="L20" s="256">
        <f>L22*L13</f>
        <v>16380.044279444479</v>
      </c>
      <c r="M20" s="256">
        <f>M22*M13</f>
        <v>18859.141057412311</v>
      </c>
      <c r="N20" s="256">
        <f t="shared" ref="N20:R20" si="13">N22*N13</f>
        <v>21122.237984301792</v>
      </c>
      <c r="O20" s="256">
        <f t="shared" si="13"/>
        <v>23656.906542418008</v>
      </c>
      <c r="P20" s="256">
        <f t="shared" si="13"/>
        <v>26495.735327508173</v>
      </c>
      <c r="Q20" s="256">
        <f t="shared" si="13"/>
        <v>29675.223566809156</v>
      </c>
      <c r="R20" s="256">
        <f t="shared" si="13"/>
        <v>33236.25039482626</v>
      </c>
    </row>
    <row r="21" spans="2:18" outlineLevel="1">
      <c r="B21" s="214"/>
      <c r="C21" s="214"/>
      <c r="D21" s="45"/>
      <c r="E21" s="45"/>
      <c r="F21" s="45"/>
      <c r="G21" s="45"/>
      <c r="H21" s="45"/>
      <c r="I21" s="34"/>
      <c r="J21" s="34"/>
      <c r="K21" s="34"/>
      <c r="L21" s="34"/>
      <c r="M21" s="34"/>
      <c r="N21" s="34"/>
      <c r="O21" s="34"/>
      <c r="P21" s="34"/>
      <c r="Q21" s="34"/>
      <c r="R21" s="34"/>
    </row>
    <row r="22" spans="2:18" outlineLevel="1">
      <c r="B22" t="s">
        <v>445</v>
      </c>
      <c r="D22" s="300">
        <f>D20/D13</f>
        <v>0.45155955890809835</v>
      </c>
      <c r="E22" s="300">
        <f t="shared" ref="E22:H22" si="14">E20/E13</f>
        <v>0.42850852849705595</v>
      </c>
      <c r="F22" s="300">
        <f t="shared" si="14"/>
        <v>0.45727698359897678</v>
      </c>
      <c r="G22" s="300">
        <f t="shared" si="14"/>
        <v>0.47529670222892945</v>
      </c>
      <c r="H22" s="300">
        <f t="shared" si="14"/>
        <v>0.46157709909646083</v>
      </c>
      <c r="I22" s="301">
        <f>ControlSheet!I29</f>
        <v>0.44999999999999996</v>
      </c>
      <c r="J22" s="301">
        <f>ControlSheet!J29</f>
        <v>0.46375</v>
      </c>
      <c r="K22" s="301">
        <f>ControlSheet!K29</f>
        <v>0.47750000000000004</v>
      </c>
      <c r="L22" s="301">
        <f>ControlSheet!L29</f>
        <v>0.49124999999999996</v>
      </c>
      <c r="M22" s="301">
        <f>ControlSheet!M29</f>
        <v>0.505</v>
      </c>
      <c r="N22" s="301">
        <f>ControlSheet!N29</f>
        <v>0.505</v>
      </c>
      <c r="O22" s="301">
        <f>ControlSheet!O29</f>
        <v>0.505</v>
      </c>
      <c r="P22" s="301">
        <f>ControlSheet!P29</f>
        <v>0.505</v>
      </c>
      <c r="Q22" s="301">
        <f>ControlSheet!Q29</f>
        <v>0.505</v>
      </c>
      <c r="R22" s="301">
        <f>ControlSheet!R29</f>
        <v>0.505</v>
      </c>
    </row>
    <row r="24" spans="2:18" ht="18">
      <c r="B24" s="10" t="s">
        <v>26</v>
      </c>
      <c r="C24" s="10"/>
      <c r="D24" s="10"/>
      <c r="E24" s="10"/>
      <c r="F24" s="10"/>
      <c r="G24" s="10"/>
      <c r="H24" s="10"/>
      <c r="I24" s="10"/>
      <c r="J24" s="10"/>
      <c r="K24" s="10"/>
      <c r="L24" s="10"/>
      <c r="M24" s="10"/>
      <c r="N24" s="10"/>
      <c r="O24" s="10"/>
      <c r="P24" s="10"/>
      <c r="Q24" s="10"/>
      <c r="R24" s="10"/>
    </row>
    <row r="25" spans="2:18" outlineLevel="1"/>
    <row r="26" spans="2:18" outlineLevel="1">
      <c r="B26" s="307" t="s">
        <v>338</v>
      </c>
      <c r="C26" s="7"/>
      <c r="D26" s="255"/>
      <c r="E26" s="255"/>
      <c r="F26" s="255"/>
      <c r="G26" s="255"/>
      <c r="H26" s="255"/>
      <c r="I26" s="256"/>
      <c r="J26" s="256"/>
      <c r="K26" s="256"/>
      <c r="L26" s="256"/>
      <c r="M26" s="256"/>
      <c r="N26" s="256"/>
      <c r="O26" s="256"/>
      <c r="P26" s="256"/>
      <c r="Q26" s="256"/>
      <c r="R26" s="256"/>
    </row>
    <row r="27" spans="2:18" outlineLevel="1">
      <c r="H27" s="33"/>
      <c r="I27" s="34"/>
      <c r="J27" s="34"/>
      <c r="K27" s="34"/>
      <c r="L27" s="34"/>
      <c r="M27" s="34"/>
      <c r="N27" s="34"/>
      <c r="O27" s="34"/>
      <c r="P27" s="34"/>
      <c r="Q27" s="34"/>
      <c r="R27" s="34"/>
    </row>
    <row r="28" spans="2:18" outlineLevel="1">
      <c r="B28" t="s">
        <v>338</v>
      </c>
      <c r="D28" s="537">
        <f>'Assumptions working'!J271</f>
        <v>811</v>
      </c>
      <c r="E28" s="537">
        <f>'Assumptions working'!K271</f>
        <v>890</v>
      </c>
      <c r="F28" s="537">
        <f>'Assumptions working'!L271</f>
        <v>1008</v>
      </c>
      <c r="G28" s="537">
        <f>'Assumptions working'!M271</f>
        <v>1217</v>
      </c>
      <c r="H28" s="537">
        <f>'Assumptions working'!N271</f>
        <v>1447</v>
      </c>
      <c r="I28" s="34">
        <f>I$13*I29</f>
        <v>2050.4593296848752</v>
      </c>
      <c r="J28" s="34">
        <f t="shared" ref="J28:R28" si="15">J$13*J29</f>
        <v>2496.4342338913357</v>
      </c>
      <c r="K28" s="34">
        <f t="shared" si="15"/>
        <v>2958.2745671612329</v>
      </c>
      <c r="L28" s="34">
        <f t="shared" si="15"/>
        <v>3409.4114386533206</v>
      </c>
      <c r="M28" s="34">
        <f t="shared" si="15"/>
        <v>3818.5408112917189</v>
      </c>
      <c r="N28" s="34">
        <f t="shared" si="15"/>
        <v>4276.7657086467261</v>
      </c>
      <c r="O28" s="34">
        <f t="shared" si="15"/>
        <v>4789.9775936843334</v>
      </c>
      <c r="P28" s="34">
        <f t="shared" si="15"/>
        <v>5364.7749049264539</v>
      </c>
      <c r="Q28" s="34">
        <f t="shared" si="15"/>
        <v>6008.5478935176297</v>
      </c>
      <c r="R28" s="34">
        <f t="shared" si="15"/>
        <v>6729.5736407397453</v>
      </c>
    </row>
    <row r="29" spans="2:18" outlineLevel="1">
      <c r="B29" s="28" t="s">
        <v>349</v>
      </c>
      <c r="C29" s="28"/>
      <c r="D29" s="29">
        <f>'Assumptions working'!J272</f>
        <v>0.11374474053295933</v>
      </c>
      <c r="E29" s="29">
        <f>'Assumptions working'!K272</f>
        <v>0.13798449612403102</v>
      </c>
      <c r="F29" s="29">
        <f>'Assumptions working'!L272</f>
        <v>0.11424685481128868</v>
      </c>
      <c r="G29" s="29">
        <f>'Assumptions working'!M272</f>
        <v>9.2385940939801112E-2</v>
      </c>
      <c r="H29" s="29">
        <f>'Assumptions working'!N272</f>
        <v>9.0195100666957545E-2</v>
      </c>
      <c r="I29" s="29">
        <f>ControlSheet!I37</f>
        <v>0.10225084503222394</v>
      </c>
      <c r="J29" s="29">
        <f>ControlSheet!J37</f>
        <v>0.10225084503222394</v>
      </c>
      <c r="K29" s="29">
        <f>ControlSheet!K37</f>
        <v>0.10225084503222394</v>
      </c>
      <c r="L29" s="29">
        <f>ControlSheet!L37</f>
        <v>0.10225084503222394</v>
      </c>
      <c r="M29" s="29">
        <f>ControlSheet!M37</f>
        <v>0.10225084503222394</v>
      </c>
      <c r="N29" s="29">
        <f>ControlSheet!N37</f>
        <v>0.10225084503222394</v>
      </c>
      <c r="O29" s="29">
        <f>ControlSheet!O37</f>
        <v>0.10225084503222394</v>
      </c>
      <c r="P29" s="29">
        <f>ControlSheet!P37</f>
        <v>0.10225084503222394</v>
      </c>
      <c r="Q29" s="29">
        <f>ControlSheet!Q37</f>
        <v>0.10225084503222394</v>
      </c>
      <c r="R29" s="29">
        <f>ControlSheet!R37</f>
        <v>0.10225084503222394</v>
      </c>
    </row>
    <row r="30" spans="2:18" outlineLevel="1"/>
    <row r="31" spans="2:18" outlineLevel="1">
      <c r="B31" s="307" t="s">
        <v>339</v>
      </c>
      <c r="C31" s="7"/>
      <c r="D31" s="255"/>
      <c r="E31" s="255"/>
      <c r="F31" s="255"/>
      <c r="G31" s="255"/>
      <c r="H31" s="255"/>
      <c r="I31" s="256"/>
      <c r="J31" s="256"/>
      <c r="K31" s="256"/>
      <c r="L31" s="256"/>
      <c r="M31" s="256"/>
      <c r="N31" s="256"/>
      <c r="O31" s="256"/>
      <c r="P31" s="256"/>
      <c r="Q31" s="256"/>
      <c r="R31" s="256"/>
    </row>
    <row r="32" spans="2:18" outlineLevel="1">
      <c r="H32" s="33"/>
      <c r="I32" s="34"/>
      <c r="J32" s="34"/>
      <c r="K32" s="34"/>
      <c r="L32" s="34"/>
      <c r="M32" s="34"/>
      <c r="N32" s="34"/>
      <c r="O32" s="34"/>
      <c r="P32" s="34"/>
      <c r="Q32" s="34"/>
      <c r="R32" s="34"/>
    </row>
    <row r="33" spans="2:18" outlineLevel="1">
      <c r="B33" t="s">
        <v>339</v>
      </c>
      <c r="D33" s="537">
        <f>'Assumptions working'!J274</f>
        <v>279</v>
      </c>
      <c r="E33" s="537">
        <f>'Assumptions working'!K274</f>
        <v>267</v>
      </c>
      <c r="F33" s="537">
        <f>'Assumptions working'!L274</f>
        <v>330</v>
      </c>
      <c r="G33" s="537">
        <f>'Assumptions working'!M274</f>
        <v>479</v>
      </c>
      <c r="H33" s="537">
        <f>'Assumptions working'!N274</f>
        <v>550</v>
      </c>
      <c r="I33" s="34">
        <f>I$13*I34</f>
        <v>793.009592117122</v>
      </c>
      <c r="J33" s="34">
        <f t="shared" ref="J33" si="16">J$13*J34</f>
        <v>965.48917840259605</v>
      </c>
      <c r="K33" s="34">
        <f t="shared" ref="K33" si="17">K$13*K34</f>
        <v>1144.1046764070763</v>
      </c>
      <c r="L33" s="34">
        <f t="shared" ref="L33" si="18">L$13*L34</f>
        <v>1318.5806395591555</v>
      </c>
      <c r="M33" s="34">
        <f t="shared" ref="M33:R33" si="19">M$13*M34</f>
        <v>1476.8103163062542</v>
      </c>
      <c r="N33" s="34">
        <f t="shared" si="19"/>
        <v>1654.027554263005</v>
      </c>
      <c r="O33" s="34">
        <f t="shared" si="19"/>
        <v>1852.5108607745656</v>
      </c>
      <c r="P33" s="34">
        <f t="shared" si="19"/>
        <v>2074.812164067514</v>
      </c>
      <c r="Q33" s="34">
        <f t="shared" si="19"/>
        <v>2323.7896237556156</v>
      </c>
      <c r="R33" s="34">
        <f t="shared" si="19"/>
        <v>2602.6443786062896</v>
      </c>
    </row>
    <row r="34" spans="2:18" outlineLevel="1">
      <c r="B34" s="28" t="s">
        <v>350</v>
      </c>
      <c r="C34" s="28"/>
      <c r="D34" s="199">
        <f>'Assumptions working'!J275</f>
        <v>3.9130434782608699E-2</v>
      </c>
      <c r="E34" s="199">
        <f>'Assumptions working'!K275</f>
        <v>4.13953488372093E-2</v>
      </c>
      <c r="F34" s="199">
        <f>'Assumptions working'!L275</f>
        <v>3.7402244134648079E-2</v>
      </c>
      <c r="G34" s="199">
        <f>'Assumptions working'!M275</f>
        <v>3.63622561299628E-2</v>
      </c>
      <c r="H34" s="199">
        <f>'Assumptions working'!N275</f>
        <v>3.4282864800847725E-2</v>
      </c>
      <c r="I34" s="29">
        <f>ControlSheet!I43</f>
        <v>3.9545237371324329E-2</v>
      </c>
      <c r="J34" s="29">
        <f>ControlSheet!J43</f>
        <v>3.9545237371324329E-2</v>
      </c>
      <c r="K34" s="29">
        <f>ControlSheet!K43</f>
        <v>3.9545237371324329E-2</v>
      </c>
      <c r="L34" s="29">
        <f>ControlSheet!L43</f>
        <v>3.9545237371324329E-2</v>
      </c>
      <c r="M34" s="29">
        <f>ControlSheet!M43</f>
        <v>3.9545237371324329E-2</v>
      </c>
      <c r="N34" s="29">
        <f>ControlSheet!N43</f>
        <v>3.9545237371324329E-2</v>
      </c>
      <c r="O34" s="29">
        <f>ControlSheet!O43</f>
        <v>3.9545237371324329E-2</v>
      </c>
      <c r="P34" s="29">
        <f>ControlSheet!P43</f>
        <v>3.9545237371324329E-2</v>
      </c>
      <c r="Q34" s="29">
        <f>ControlSheet!Q43</f>
        <v>3.9545237371324329E-2</v>
      </c>
      <c r="R34" s="29">
        <f>ControlSheet!R43</f>
        <v>3.9545237371324329E-2</v>
      </c>
    </row>
    <row r="35" spans="2:18" outlineLevel="1"/>
    <row r="36" spans="2:18" outlineLevel="1">
      <c r="B36" s="307" t="s">
        <v>341</v>
      </c>
      <c r="C36" s="7"/>
      <c r="D36" s="255"/>
      <c r="E36" s="255"/>
      <c r="F36" s="255"/>
      <c r="G36" s="255"/>
      <c r="H36" s="255"/>
      <c r="I36" s="256"/>
      <c r="J36" s="256"/>
      <c r="K36" s="256"/>
      <c r="L36" s="256"/>
      <c r="M36" s="256"/>
      <c r="N36" s="256"/>
      <c r="O36" s="256"/>
      <c r="P36" s="256"/>
      <c r="Q36" s="256"/>
      <c r="R36" s="256"/>
    </row>
    <row r="37" spans="2:18" outlineLevel="1">
      <c r="H37" s="33"/>
      <c r="I37" s="34"/>
      <c r="J37" s="34"/>
      <c r="K37" s="34"/>
      <c r="L37" s="34"/>
      <c r="M37" s="34"/>
      <c r="N37" s="34"/>
      <c r="O37" s="34"/>
      <c r="P37" s="34"/>
      <c r="Q37" s="34"/>
      <c r="R37" s="34"/>
    </row>
    <row r="38" spans="2:18" outlineLevel="1">
      <c r="B38" t="s">
        <v>341</v>
      </c>
      <c r="D38" s="537">
        <f>'Assumptions working'!J277</f>
        <v>168</v>
      </c>
      <c r="E38" s="537">
        <f>'Assumptions working'!K277</f>
        <v>157</v>
      </c>
      <c r="F38" s="537">
        <f>'Assumptions working'!L277</f>
        <v>316</v>
      </c>
      <c r="G38" s="537">
        <f>'Assumptions working'!M277</f>
        <v>418</v>
      </c>
      <c r="H38" s="537">
        <f>'Assumptions working'!N277</f>
        <v>510</v>
      </c>
      <c r="I38" s="34">
        <f>I$13*I39</f>
        <v>544.21281894355639</v>
      </c>
      <c r="J38" s="34">
        <f t="shared" ref="J38" si="20">J$13*J39</f>
        <v>662.57910706377993</v>
      </c>
      <c r="K38" s="34">
        <f t="shared" ref="K38" si="21">K$13*K39</f>
        <v>785.15624187057927</v>
      </c>
      <c r="L38" s="34">
        <f t="shared" ref="L38" si="22">L$13*L39</f>
        <v>904.8925687558426</v>
      </c>
      <c r="M38" s="34">
        <f t="shared" ref="M38:R38" si="23">M$13*M39</f>
        <v>1013.4796770065436</v>
      </c>
      <c r="N38" s="34">
        <f t="shared" si="23"/>
        <v>1135.0972382473292</v>
      </c>
      <c r="O38" s="34">
        <f t="shared" si="23"/>
        <v>1271.3089068370086</v>
      </c>
      <c r="P38" s="34">
        <f t="shared" si="23"/>
        <v>1423.86597565745</v>
      </c>
      <c r="Q38" s="34">
        <f t="shared" si="23"/>
        <v>1594.729892736344</v>
      </c>
      <c r="R38" s="34">
        <f t="shared" si="23"/>
        <v>1786.0974798647053</v>
      </c>
    </row>
    <row r="39" spans="2:18" outlineLevel="1">
      <c r="B39" s="28" t="s">
        <v>351</v>
      </c>
      <c r="C39" s="28"/>
      <c r="D39" s="29">
        <f>'Assumptions working'!J278</f>
        <v>2.356241234221599E-2</v>
      </c>
      <c r="E39" s="29">
        <f>'Assumptions working'!K278</f>
        <v>2.4341085271317828E-2</v>
      </c>
      <c r="F39" s="29">
        <f>'Assumptions working'!L278</f>
        <v>3.581548226226907E-2</v>
      </c>
      <c r="G39" s="29">
        <f>'Assumptions working'!M278</f>
        <v>3.1731572155165873E-2</v>
      </c>
      <c r="H39" s="29">
        <f>'Assumptions working'!N278</f>
        <v>3.1789565542604252E-2</v>
      </c>
      <c r="I39" s="29">
        <f>ControlSheet!I49</f>
        <v>2.7138417138417137E-2</v>
      </c>
      <c r="J39" s="29">
        <f>ControlSheet!J49</f>
        <v>2.7138417138417137E-2</v>
      </c>
      <c r="K39" s="29">
        <f>ControlSheet!K49</f>
        <v>2.7138417138417137E-2</v>
      </c>
      <c r="L39" s="29">
        <f>ControlSheet!L49</f>
        <v>2.7138417138417137E-2</v>
      </c>
      <c r="M39" s="29">
        <f>ControlSheet!M49</f>
        <v>2.7138417138417137E-2</v>
      </c>
      <c r="N39" s="29">
        <f>ControlSheet!N49</f>
        <v>2.7138417138417137E-2</v>
      </c>
      <c r="O39" s="29">
        <f>ControlSheet!O49</f>
        <v>2.7138417138417137E-2</v>
      </c>
      <c r="P39" s="29">
        <f>ControlSheet!P49</f>
        <v>2.7138417138417137E-2</v>
      </c>
      <c r="Q39" s="29">
        <f>ControlSheet!Q49</f>
        <v>2.7138417138417137E-2</v>
      </c>
      <c r="R39" s="29">
        <f>ControlSheet!R49</f>
        <v>2.7138417138417137E-2</v>
      </c>
    </row>
    <row r="40" spans="2:18" outlineLevel="1"/>
    <row r="41" spans="2:18" outlineLevel="1">
      <c r="B41" s="307" t="s">
        <v>346</v>
      </c>
      <c r="C41" s="7"/>
      <c r="D41" s="255"/>
      <c r="E41" s="255"/>
      <c r="F41" s="255"/>
      <c r="G41" s="255"/>
      <c r="H41" s="255"/>
      <c r="I41" s="256"/>
      <c r="J41" s="256"/>
      <c r="K41" s="256"/>
      <c r="L41" s="256"/>
      <c r="M41" s="256"/>
      <c r="N41" s="256"/>
      <c r="O41" s="256"/>
      <c r="P41" s="256"/>
      <c r="Q41" s="256"/>
      <c r="R41" s="256"/>
    </row>
    <row r="42" spans="2:18" outlineLevel="1">
      <c r="H42" s="33"/>
      <c r="I42" s="34"/>
      <c r="J42" s="34"/>
      <c r="K42" s="34"/>
      <c r="L42" s="34"/>
      <c r="M42" s="34"/>
      <c r="N42" s="34"/>
      <c r="O42" s="34"/>
      <c r="P42" s="34"/>
      <c r="Q42" s="34"/>
      <c r="R42" s="34"/>
    </row>
    <row r="43" spans="2:18" outlineLevel="1">
      <c r="B43" t="s">
        <v>346</v>
      </c>
      <c r="D43" s="537">
        <f>'Assumptions working'!J280</f>
        <v>838.68000000000006</v>
      </c>
      <c r="E43" s="537">
        <f>'Assumptions working'!K280</f>
        <v>886.59999999999991</v>
      </c>
      <c r="F43" s="537">
        <f>'Assumptions working'!L280</f>
        <v>1097.23</v>
      </c>
      <c r="G43" s="537">
        <f>'Assumptions working'!M280</f>
        <v>1550.2399999999998</v>
      </c>
      <c r="H43" s="537">
        <f>'Assumptions working'!N280</f>
        <v>1851.6210000000001</v>
      </c>
      <c r="I43" s="34">
        <f>I$13*I44</f>
        <v>2336.6326052637792</v>
      </c>
      <c r="J43" s="34">
        <f t="shared" ref="J43" si="24">J$13*J44</f>
        <v>2844.850196908651</v>
      </c>
      <c r="K43" s="34">
        <f t="shared" ref="K43" si="25">K$13*K44</f>
        <v>3371.1474833367515</v>
      </c>
      <c r="L43" s="34">
        <f t="shared" ref="L43" si="26">L$13*L44</f>
        <v>3885.2474745456061</v>
      </c>
      <c r="M43" s="34">
        <f t="shared" ref="M43:R43" si="27">M$13*M44</f>
        <v>4351.4771714910794</v>
      </c>
      <c r="N43" s="34">
        <f t="shared" si="27"/>
        <v>4873.6544320700095</v>
      </c>
      <c r="O43" s="34">
        <f t="shared" si="27"/>
        <v>5458.4929639184111</v>
      </c>
      <c r="P43" s="34">
        <f t="shared" si="27"/>
        <v>6113.5121195886213</v>
      </c>
      <c r="Q43" s="34">
        <f t="shared" si="27"/>
        <v>6847.1335739392562</v>
      </c>
      <c r="R43" s="34">
        <f t="shared" si="27"/>
        <v>7668.7896028119676</v>
      </c>
    </row>
    <row r="44" spans="2:18" outlineLevel="1">
      <c r="B44" s="28" t="s">
        <v>352</v>
      </c>
      <c r="C44" s="28"/>
      <c r="D44" s="29">
        <f>'Assumptions working'!J281</f>
        <v>0.11762692847124825</v>
      </c>
      <c r="E44" s="29">
        <f>'Assumptions working'!K281</f>
        <v>0.13745736434108527</v>
      </c>
      <c r="F44" s="29">
        <f>'Assumptions working'!L281</f>
        <v>0.12436019494503003</v>
      </c>
      <c r="G44" s="29">
        <f>'Assumptions working'!M281</f>
        <v>0.11768313975556061</v>
      </c>
      <c r="H44" s="29">
        <f>'Assumptions working'!N281</f>
        <v>0.11541613164620085</v>
      </c>
      <c r="I44" s="29">
        <f>ControlSheet!I55</f>
        <v>0.11652153005872455</v>
      </c>
      <c r="J44" s="29">
        <f>ControlSheet!J55</f>
        <v>0.11652153005872455</v>
      </c>
      <c r="K44" s="29">
        <f>ControlSheet!K55</f>
        <v>0.11652153005872455</v>
      </c>
      <c r="L44" s="29">
        <f>ControlSheet!L55</f>
        <v>0.11652153005872455</v>
      </c>
      <c r="M44" s="29">
        <f>ControlSheet!M55</f>
        <v>0.11652153005872455</v>
      </c>
      <c r="N44" s="29">
        <f>ControlSheet!N55</f>
        <v>0.11652153005872455</v>
      </c>
      <c r="O44" s="29">
        <f>ControlSheet!O55</f>
        <v>0.11652153005872455</v>
      </c>
      <c r="P44" s="29">
        <f>ControlSheet!P55</f>
        <v>0.11652153005872455</v>
      </c>
      <c r="Q44" s="29">
        <f>ControlSheet!Q55</f>
        <v>0.11652153005872455</v>
      </c>
      <c r="R44" s="29">
        <f>ControlSheet!R55</f>
        <v>0.11652153005872455</v>
      </c>
    </row>
    <row r="45" spans="2:18" outlineLevel="1"/>
    <row r="46" spans="2:18" outlineLevel="1">
      <c r="B46" s="307" t="s">
        <v>347</v>
      </c>
      <c r="C46" s="7"/>
      <c r="D46" s="255"/>
      <c r="E46" s="255"/>
      <c r="F46" s="255"/>
      <c r="G46" s="255"/>
      <c r="H46" s="255"/>
      <c r="I46" s="256"/>
      <c r="J46" s="256"/>
      <c r="K46" s="256"/>
      <c r="L46" s="256"/>
      <c r="M46" s="256"/>
      <c r="N46" s="256"/>
      <c r="O46" s="256"/>
      <c r="P46" s="256"/>
      <c r="Q46" s="256"/>
      <c r="R46" s="256"/>
    </row>
    <row r="47" spans="2:18" outlineLevel="1">
      <c r="H47" s="33"/>
      <c r="I47" s="34"/>
      <c r="J47" s="34"/>
      <c r="K47" s="34"/>
      <c r="L47" s="34"/>
      <c r="M47" s="34"/>
      <c r="N47" s="34"/>
      <c r="O47" s="34"/>
      <c r="P47" s="34"/>
      <c r="Q47" s="34"/>
      <c r="R47" s="34"/>
    </row>
    <row r="48" spans="2:18" outlineLevel="1">
      <c r="B48" t="s">
        <v>347</v>
      </c>
      <c r="D48" s="537">
        <f>'Assumptions working'!J283</f>
        <v>366</v>
      </c>
      <c r="E48" s="537">
        <f>'Assumptions working'!K283</f>
        <v>284</v>
      </c>
      <c r="F48" s="537">
        <f>'Assumptions working'!L283</f>
        <v>383</v>
      </c>
      <c r="G48" s="537">
        <f>'Assumptions working'!M283</f>
        <v>460</v>
      </c>
      <c r="H48" s="537">
        <f>'Assumptions working'!N283</f>
        <v>670</v>
      </c>
      <c r="I48" s="34">
        <f>I$13*I49</f>
        <v>853.98703196716599</v>
      </c>
      <c r="J48" s="34">
        <f t="shared" ref="J48" si="28">J$13*J49</f>
        <v>1039.7292114200245</v>
      </c>
      <c r="K48" s="34">
        <f t="shared" ref="K48" si="29">K$13*K49</f>
        <v>1232.079115532729</v>
      </c>
      <c r="L48" s="34">
        <f t="shared" ref="L48" si="30">L$13*L49</f>
        <v>1419.9711806514704</v>
      </c>
      <c r="M48" s="34">
        <f t="shared" ref="M48:R48" si="31">M$13*M49</f>
        <v>1590.3677223296468</v>
      </c>
      <c r="N48" s="34">
        <f t="shared" si="31"/>
        <v>1781.2118490092046</v>
      </c>
      <c r="O48" s="34">
        <f t="shared" si="31"/>
        <v>1994.9572708903092</v>
      </c>
      <c r="P48" s="34">
        <f t="shared" si="31"/>
        <v>2234.3521433971468</v>
      </c>
      <c r="Q48" s="34">
        <f t="shared" si="31"/>
        <v>2502.4744006048045</v>
      </c>
      <c r="R48" s="34">
        <f t="shared" si="31"/>
        <v>2802.771328677381</v>
      </c>
    </row>
    <row r="49" spans="2:18" outlineLevel="1">
      <c r="B49" s="28" t="s">
        <v>353</v>
      </c>
      <c r="C49" s="28"/>
      <c r="D49" s="29">
        <f>'Assumptions working'!J284</f>
        <v>5.1332398316970548E-2</v>
      </c>
      <c r="E49" s="29">
        <f>'Assumptions working'!K284</f>
        <v>4.4031007751937981E-2</v>
      </c>
      <c r="F49" s="29">
        <f>'Assumptions working'!L284</f>
        <v>4.3409271222940041E-2</v>
      </c>
      <c r="G49" s="29">
        <f>'Assumptions working'!M284</f>
        <v>3.4919911941091626E-2</v>
      </c>
      <c r="H49" s="29">
        <f>'Assumptions working'!N284</f>
        <v>4.1762762575578136E-2</v>
      </c>
      <c r="I49" s="29">
        <f>ControlSheet!I61</f>
        <v>4.2586016899259088E-2</v>
      </c>
      <c r="J49" s="29">
        <f>ControlSheet!J61</f>
        <v>4.2586016899259088E-2</v>
      </c>
      <c r="K49" s="29">
        <f>ControlSheet!K61</f>
        <v>4.2586016899259088E-2</v>
      </c>
      <c r="L49" s="29">
        <f>ControlSheet!L61</f>
        <v>4.2586016899259088E-2</v>
      </c>
      <c r="M49" s="29">
        <f>ControlSheet!M61</f>
        <v>4.2586016899259088E-2</v>
      </c>
      <c r="N49" s="29">
        <f>ControlSheet!N61</f>
        <v>4.2586016899259088E-2</v>
      </c>
      <c r="O49" s="29">
        <f>ControlSheet!O61</f>
        <v>4.2586016899259088E-2</v>
      </c>
      <c r="P49" s="29">
        <f>ControlSheet!P61</f>
        <v>4.2586016899259088E-2</v>
      </c>
      <c r="Q49" s="29">
        <f>ControlSheet!Q61</f>
        <v>4.2586016899259088E-2</v>
      </c>
      <c r="R49" s="29">
        <f>ControlSheet!R61</f>
        <v>4.2586016899259088E-2</v>
      </c>
    </row>
    <row r="50" spans="2:18" outlineLevel="1"/>
    <row r="51" spans="2:18" ht="15" outlineLevel="1" thickBot="1">
      <c r="B51" s="25" t="s">
        <v>27</v>
      </c>
      <c r="C51" s="25"/>
      <c r="D51" s="538">
        <f>SUM(D48,D43,D38,D33,D28)</f>
        <v>2462.6800000000003</v>
      </c>
      <c r="E51" s="538">
        <f t="shared" ref="E51:M51" si="32">SUM(E48,E43,E38,E33,E28)</f>
        <v>2484.6</v>
      </c>
      <c r="F51" s="538">
        <f t="shared" si="32"/>
        <v>3134.23</v>
      </c>
      <c r="G51" s="538">
        <f t="shared" si="32"/>
        <v>4124.24</v>
      </c>
      <c r="H51" s="538">
        <f t="shared" si="32"/>
        <v>5028.6210000000001</v>
      </c>
      <c r="I51" s="538">
        <f t="shared" si="32"/>
        <v>6578.3013779764988</v>
      </c>
      <c r="J51" s="538">
        <f t="shared" si="32"/>
        <v>8009.0819276863867</v>
      </c>
      <c r="K51" s="538">
        <f t="shared" si="32"/>
        <v>9490.7620843083678</v>
      </c>
      <c r="L51" s="538">
        <f t="shared" si="32"/>
        <v>10938.103302165395</v>
      </c>
      <c r="M51" s="538">
        <f t="shared" si="32"/>
        <v>12250.675698425244</v>
      </c>
      <c r="N51" s="538">
        <f t="shared" ref="N51:R51" si="33">SUM(N48,N43,N38,N33,N28)</f>
        <v>13720.756782236274</v>
      </c>
      <c r="O51" s="538">
        <f t="shared" si="33"/>
        <v>15367.247596104629</v>
      </c>
      <c r="P51" s="538">
        <f t="shared" si="33"/>
        <v>17211.317307637186</v>
      </c>
      <c r="Q51" s="538">
        <f t="shared" si="33"/>
        <v>19276.675384553651</v>
      </c>
      <c r="R51" s="538">
        <f t="shared" si="33"/>
        <v>21589.876430700089</v>
      </c>
    </row>
    <row r="52" spans="2:18" outlineLevel="1">
      <c r="B52" t="s">
        <v>446</v>
      </c>
      <c r="D52" s="37">
        <f>D51/D13</f>
        <v>0.34541726160587305</v>
      </c>
      <c r="E52" s="37">
        <f t="shared" ref="E52:M52" si="34">E51/E13</f>
        <v>0.38520094137491584</v>
      </c>
      <c r="F52" s="37">
        <f t="shared" si="34"/>
        <v>0.35522478729444878</v>
      </c>
      <c r="G52" s="37">
        <f t="shared" si="34"/>
        <v>0.31307949357556358</v>
      </c>
      <c r="H52" s="37">
        <f t="shared" si="34"/>
        <v>0.31345461182337181</v>
      </c>
      <c r="I52" s="37">
        <f t="shared" si="34"/>
        <v>0.32804204649994906</v>
      </c>
      <c r="J52" s="37">
        <f t="shared" si="34"/>
        <v>0.328042046499949</v>
      </c>
      <c r="K52" s="37">
        <f t="shared" si="34"/>
        <v>0.328042046499949</v>
      </c>
      <c r="L52" s="37">
        <f t="shared" si="34"/>
        <v>0.328042046499949</v>
      </c>
      <c r="M52" s="37">
        <f t="shared" si="34"/>
        <v>0.32804204649994906</v>
      </c>
      <c r="N52" s="37">
        <f t="shared" ref="N52:R52" si="35">N51/N13</f>
        <v>0.32804204649994906</v>
      </c>
      <c r="O52" s="37">
        <f t="shared" si="35"/>
        <v>0.32804204649994906</v>
      </c>
      <c r="P52" s="37">
        <f t="shared" si="35"/>
        <v>0.32804204649994906</v>
      </c>
      <c r="Q52" s="37">
        <f t="shared" si="35"/>
        <v>0.32804204649994906</v>
      </c>
      <c r="R52" s="37">
        <f t="shared" si="35"/>
        <v>0.32804204649994906</v>
      </c>
    </row>
    <row r="54" spans="2:18" ht="18">
      <c r="B54" s="10" t="s">
        <v>30</v>
      </c>
      <c r="C54" s="10"/>
      <c r="D54" s="10"/>
      <c r="E54" s="10"/>
      <c r="F54" s="10"/>
      <c r="G54" s="10"/>
      <c r="H54" s="10"/>
      <c r="I54" s="10"/>
      <c r="J54" s="10"/>
      <c r="K54" s="10"/>
      <c r="L54" s="10"/>
      <c r="M54" s="10"/>
      <c r="N54" s="10"/>
      <c r="O54" s="10"/>
      <c r="P54" s="10"/>
      <c r="Q54" s="10"/>
      <c r="R54" s="10"/>
    </row>
    <row r="55" spans="2:18" outlineLevel="1"/>
    <row r="56" spans="2:18" outlineLevel="1">
      <c r="B56" s="307" t="s">
        <v>454</v>
      </c>
      <c r="C56" s="7"/>
      <c r="D56" s="255"/>
      <c r="E56" s="255"/>
      <c r="F56" s="255"/>
      <c r="G56" s="255"/>
      <c r="H56" s="255"/>
      <c r="I56" s="256"/>
      <c r="J56" s="256"/>
      <c r="K56" s="256"/>
      <c r="L56" s="256"/>
      <c r="M56" s="256"/>
      <c r="N56" s="256"/>
      <c r="O56" s="256"/>
      <c r="P56" s="256"/>
      <c r="Q56" s="256"/>
      <c r="R56" s="256"/>
    </row>
    <row r="57" spans="2:18" outlineLevel="1"/>
    <row r="58" spans="2:18" outlineLevel="1">
      <c r="B58" t="s">
        <v>455</v>
      </c>
      <c r="D58" s="34"/>
      <c r="E58" s="34"/>
      <c r="F58" s="34"/>
      <c r="G58" s="34"/>
      <c r="H58" s="34"/>
      <c r="I58" s="45">
        <f>BalanceSheet!J6</f>
        <v>6803.1319999999996</v>
      </c>
      <c r="J58" s="34">
        <f>I61</f>
        <v>9472.6373007745315</v>
      </c>
      <c r="K58" s="34">
        <f t="shared" ref="K58:M58" si="36">J61</f>
        <v>9900.6934169539509</v>
      </c>
      <c r="L58" s="34">
        <f t="shared" si="36"/>
        <v>11101.423176339144</v>
      </c>
      <c r="M58" s="34">
        <f t="shared" si="36"/>
        <v>12012.85663861164</v>
      </c>
      <c r="N58" s="34">
        <f t="shared" ref="N58" si="37">M61</f>
        <v>12486.43348429017</v>
      </c>
      <c r="O58" s="34">
        <f t="shared" ref="O58" si="38">N61</f>
        <v>12991.985974368421</v>
      </c>
      <c r="P58" s="34">
        <f t="shared" ref="P58" si="39">O61</f>
        <v>13533.351186174357</v>
      </c>
      <c r="Q58" s="34">
        <f t="shared" ref="Q58" si="40">P61</f>
        <v>14114.826646315303</v>
      </c>
      <c r="R58" s="34">
        <f t="shared" ref="R58" si="41">Q61</f>
        <v>14741.225584591457</v>
      </c>
    </row>
    <row r="59" spans="2:18" outlineLevel="1">
      <c r="B59" t="s">
        <v>456</v>
      </c>
      <c r="D59" s="34"/>
      <c r="E59" s="34"/>
      <c r="F59" s="34"/>
      <c r="G59" s="34"/>
      <c r="H59" s="34"/>
      <c r="I59" s="33">
        <f>'Assumptions working'!C558</f>
        <v>3600</v>
      </c>
      <c r="J59" s="33">
        <f>'Assumptions working'!D558</f>
        <v>1500</v>
      </c>
      <c r="K59" s="33">
        <f>(K13-J13)/'Assumptions working'!E$559</f>
        <v>2509.2991930468756</v>
      </c>
      <c r="L59" s="33">
        <f>(L13-K13)/'Assumptions working'!F$559</f>
        <v>2451.1444887755856</v>
      </c>
      <c r="M59" s="33">
        <f>(M13-L13)/'Assumptions working'!G$559</f>
        <v>2222.9067724436954</v>
      </c>
      <c r="N59" s="33">
        <f>(N13-M13)/'Assumptions working'!H$559</f>
        <v>2489.6555851369421</v>
      </c>
      <c r="O59" s="33">
        <f>(O13-N13)/'Assumptions working'!I$559</f>
        <v>2788.4142553533738</v>
      </c>
      <c r="P59" s="33">
        <f>(P13-O13)/'Assumptions working'!J$559</f>
        <v>3123.0239659957806</v>
      </c>
      <c r="Q59" s="33">
        <f>(Q13-P13)/'Assumptions working'!K$559</f>
        <v>3497.7868419152742</v>
      </c>
      <c r="R59" s="33">
        <f>(R13-Q13)/'Assumptions working'!L$559</f>
        <v>3917.5212629451034</v>
      </c>
    </row>
    <row r="60" spans="2:18" outlineLevel="1">
      <c r="B60" t="s">
        <v>32</v>
      </c>
      <c r="D60" s="34"/>
      <c r="E60" s="34"/>
      <c r="F60" s="34"/>
      <c r="G60" s="34"/>
      <c r="H60" s="34">
        <f>((IncomeStatement!K35*-1)/SUM(BalanceSheet!J6,BalanceSheet!J8))*BalanceSheet!J6</f>
        <v>591.01665619719915</v>
      </c>
      <c r="I60" s="34">
        <f t="shared" ref="I60:R60" si="42">H60+I59/$C$100</f>
        <v>930.49469922546837</v>
      </c>
      <c r="J60" s="34">
        <f t="shared" si="42"/>
        <v>1071.9438838205806</v>
      </c>
      <c r="K60" s="34">
        <f t="shared" si="42"/>
        <v>1308.569433661683</v>
      </c>
      <c r="L60" s="34">
        <f t="shared" si="42"/>
        <v>1539.7110265030894</v>
      </c>
      <c r="M60" s="34">
        <f t="shared" si="42"/>
        <v>1749.3299267651651</v>
      </c>
      <c r="N60" s="34">
        <f t="shared" si="42"/>
        <v>1984.1030950586899</v>
      </c>
      <c r="O60" s="34">
        <f t="shared" si="42"/>
        <v>2247.0490435474376</v>
      </c>
      <c r="P60" s="34">
        <f t="shared" si="42"/>
        <v>2541.5485058548352</v>
      </c>
      <c r="Q60" s="34">
        <f t="shared" si="42"/>
        <v>2871.3879036391204</v>
      </c>
      <c r="R60" s="34">
        <f t="shared" si="42"/>
        <v>3240.8080291575197</v>
      </c>
    </row>
    <row r="61" spans="2:18" outlineLevel="1">
      <c r="B61" s="20" t="s">
        <v>462</v>
      </c>
      <c r="C61" s="21"/>
      <c r="D61" s="306">
        <f>BalanceSheet!F6</f>
        <v>5892.5</v>
      </c>
      <c r="E61" s="306">
        <f>BalanceSheet!G6</f>
        <v>5827.19</v>
      </c>
      <c r="F61" s="306">
        <f>BalanceSheet!H6</f>
        <v>5155.17</v>
      </c>
      <c r="G61" s="306">
        <f>BalanceSheet!I6</f>
        <v>5441.5780000000004</v>
      </c>
      <c r="H61" s="306">
        <f>BalanceSheet!J6</f>
        <v>6803.1319999999996</v>
      </c>
      <c r="I61" s="267">
        <f>SUM(I58:I59)-I60</f>
        <v>9472.6373007745315</v>
      </c>
      <c r="J61" s="267">
        <f t="shared" ref="J61:M61" si="43">SUM(J58:J59)-J60</f>
        <v>9900.6934169539509</v>
      </c>
      <c r="K61" s="267">
        <f t="shared" si="43"/>
        <v>11101.423176339144</v>
      </c>
      <c r="L61" s="267">
        <f t="shared" si="43"/>
        <v>12012.85663861164</v>
      </c>
      <c r="M61" s="267">
        <f t="shared" si="43"/>
        <v>12486.43348429017</v>
      </c>
      <c r="N61" s="267">
        <f t="shared" ref="N61:R61" si="44">SUM(N58:N59)-N60</f>
        <v>12991.985974368421</v>
      </c>
      <c r="O61" s="267">
        <f t="shared" si="44"/>
        <v>13533.351186174357</v>
      </c>
      <c r="P61" s="267">
        <f t="shared" si="44"/>
        <v>14114.826646315303</v>
      </c>
      <c r="Q61" s="267">
        <f t="shared" si="44"/>
        <v>14741.225584591457</v>
      </c>
      <c r="R61" s="267">
        <f t="shared" si="44"/>
        <v>15417.93881837904</v>
      </c>
    </row>
    <row r="62" spans="2:18" outlineLevel="1">
      <c r="B62" s="28" t="s">
        <v>463</v>
      </c>
      <c r="C62" s="28"/>
      <c r="D62" s="28"/>
      <c r="E62" s="28"/>
      <c r="F62" s="28"/>
      <c r="G62" s="28"/>
      <c r="H62" s="28"/>
      <c r="I62" s="28"/>
      <c r="J62" s="268">
        <f>J61/I61-1</f>
        <v>4.5188694825718745E-2</v>
      </c>
      <c r="K62" s="268">
        <f t="shared" ref="K62:M62" si="45">K61/J61-1</f>
        <v>0.12127733975976507</v>
      </c>
      <c r="L62" s="268">
        <f t="shared" si="45"/>
        <v>8.2100596274454762E-2</v>
      </c>
      <c r="M62" s="268">
        <f t="shared" si="45"/>
        <v>3.9422500403139882E-2</v>
      </c>
      <c r="N62" s="268">
        <f t="shared" ref="N62" si="46">N61/M61-1</f>
        <v>4.0488141847254688E-2</v>
      </c>
      <c r="O62" s="268">
        <f t="shared" ref="O62" si="47">O61/N61-1</f>
        <v>4.1669165351162052E-2</v>
      </c>
      <c r="P62" s="268">
        <f t="shared" ref="P62" si="48">P61/O61-1</f>
        <v>4.2966110325650897E-2</v>
      </c>
      <c r="Q62" s="268">
        <f t="shared" ref="Q62" si="49">Q61/P61-1</f>
        <v>4.4378790754732833E-2</v>
      </c>
      <c r="R62" s="268">
        <f t="shared" ref="R62" si="50">R61/Q61-1</f>
        <v>4.5906171770068394E-2</v>
      </c>
    </row>
    <row r="63" spans="2:18" outlineLevel="1"/>
    <row r="64" spans="2:18" outlineLevel="1">
      <c r="B64" s="307" t="s">
        <v>465</v>
      </c>
      <c r="C64" s="7"/>
      <c r="D64" s="255"/>
      <c r="E64" s="255"/>
      <c r="F64" s="255"/>
      <c r="G64" s="255"/>
      <c r="H64" s="255"/>
      <c r="I64" s="256"/>
      <c r="J64" s="256"/>
      <c r="K64" s="256"/>
      <c r="L64" s="256"/>
      <c r="M64" s="256"/>
      <c r="N64" s="256"/>
      <c r="O64" s="256"/>
      <c r="P64" s="256"/>
      <c r="Q64" s="256"/>
      <c r="R64" s="256"/>
    </row>
    <row r="65" spans="2:18" outlineLevel="1">
      <c r="B65" t="s">
        <v>465</v>
      </c>
      <c r="C65" s="269"/>
      <c r="D65" s="45">
        <f>BalanceSheet!F8</f>
        <v>0</v>
      </c>
      <c r="E65" s="45">
        <f>BalanceSheet!G8</f>
        <v>0</v>
      </c>
      <c r="F65" s="45">
        <f>BalanceSheet!H8</f>
        <v>572.79899999999998</v>
      </c>
      <c r="G65" s="45">
        <f>BalanceSheet!I8</f>
        <v>915.50099999999998</v>
      </c>
      <c r="H65" s="45">
        <f>BalanceSheet!J8</f>
        <v>1034.7070000000001</v>
      </c>
      <c r="I65" s="34">
        <f>H65*(1+I71)</f>
        <v>1034.7070000000001</v>
      </c>
      <c r="J65" s="34">
        <f>I68</f>
        <v>944.81765619719931</v>
      </c>
      <c r="K65" s="34">
        <f t="shared" ref="K65:M65" si="51">J68</f>
        <v>854.92831239439852</v>
      </c>
      <c r="L65" s="34">
        <f t="shared" si="51"/>
        <v>765.03896859159772</v>
      </c>
      <c r="M65" s="34">
        <f t="shared" si="51"/>
        <v>675.14962478879693</v>
      </c>
      <c r="N65" s="34">
        <f t="shared" ref="N65" si="52">M68</f>
        <v>585.26028098599613</v>
      </c>
      <c r="O65" s="34">
        <f t="shared" ref="O65" si="53">N68</f>
        <v>495.37093718319539</v>
      </c>
      <c r="P65" s="34">
        <f t="shared" ref="P65" si="54">O68</f>
        <v>405.48159338039466</v>
      </c>
      <c r="Q65" s="34">
        <f t="shared" ref="Q65" si="55">P68</f>
        <v>315.59224957759392</v>
      </c>
      <c r="R65" s="34">
        <f t="shared" ref="R65" si="56">Q68</f>
        <v>225.70290577479318</v>
      </c>
    </row>
    <row r="66" spans="2:18" outlineLevel="1">
      <c r="B66" t="s">
        <v>468</v>
      </c>
      <c r="D66" s="34"/>
      <c r="E66" s="34"/>
      <c r="F66" s="34"/>
      <c r="G66" s="34"/>
      <c r="H66" s="34"/>
      <c r="I66" s="34">
        <f>I65*I71</f>
        <v>0</v>
      </c>
      <c r="J66" s="34">
        <f>J65*J71</f>
        <v>0</v>
      </c>
      <c r="K66" s="34">
        <f>K65*K71</f>
        <v>0</v>
      </c>
      <c r="L66" s="34">
        <f>L65*L71</f>
        <v>0</v>
      </c>
      <c r="M66" s="34">
        <f>M65*M71</f>
        <v>0</v>
      </c>
      <c r="N66" s="34">
        <f t="shared" ref="N66:R66" si="57">N65*N71</f>
        <v>0</v>
      </c>
      <c r="O66" s="34">
        <f t="shared" si="57"/>
        <v>0</v>
      </c>
      <c r="P66" s="34">
        <f t="shared" si="57"/>
        <v>0</v>
      </c>
      <c r="Q66" s="34">
        <f t="shared" si="57"/>
        <v>0</v>
      </c>
      <c r="R66" s="34">
        <f t="shared" si="57"/>
        <v>0</v>
      </c>
    </row>
    <row r="67" spans="2:18" outlineLevel="1">
      <c r="B67" t="s">
        <v>32</v>
      </c>
      <c r="D67" s="34"/>
      <c r="E67" s="34"/>
      <c r="F67" s="34"/>
      <c r="G67" s="34"/>
      <c r="H67" s="34">
        <f>((IncomeStatement!$K$35*-1)/SUM(BalanceSheet!$J$6,BalanceSheet!$J$8))*BalanceSheet!J8</f>
        <v>89.889343802800738</v>
      </c>
      <c r="I67" s="34">
        <f t="shared" ref="I67:R67" si="58">H67+I66/$C$100</f>
        <v>89.889343802800738</v>
      </c>
      <c r="J67" s="34">
        <f t="shared" si="58"/>
        <v>89.889343802800738</v>
      </c>
      <c r="K67" s="34">
        <f t="shared" si="58"/>
        <v>89.889343802800738</v>
      </c>
      <c r="L67" s="34">
        <f t="shared" si="58"/>
        <v>89.889343802800738</v>
      </c>
      <c r="M67" s="34">
        <f t="shared" si="58"/>
        <v>89.889343802800738</v>
      </c>
      <c r="N67" s="34">
        <f t="shared" si="58"/>
        <v>89.889343802800738</v>
      </c>
      <c r="O67" s="34">
        <f t="shared" si="58"/>
        <v>89.889343802800738</v>
      </c>
      <c r="P67" s="34">
        <f t="shared" si="58"/>
        <v>89.889343802800738</v>
      </c>
      <c r="Q67" s="34">
        <f t="shared" si="58"/>
        <v>89.889343802800738</v>
      </c>
      <c r="R67" s="34">
        <f t="shared" si="58"/>
        <v>89.889343802800738</v>
      </c>
    </row>
    <row r="68" spans="2:18" outlineLevel="1">
      <c r="B68" s="20" t="s">
        <v>546</v>
      </c>
      <c r="C68" s="21"/>
      <c r="D68" s="267"/>
      <c r="E68" s="267"/>
      <c r="F68" s="267"/>
      <c r="G68" s="267"/>
      <c r="H68" s="267"/>
      <c r="I68" s="267">
        <f>SUM(I65:I66)-I67</f>
        <v>944.81765619719931</v>
      </c>
      <c r="J68" s="267">
        <f t="shared" ref="J68:M68" si="59">SUM(J65:J66)-J67</f>
        <v>854.92831239439852</v>
      </c>
      <c r="K68" s="267">
        <f t="shared" si="59"/>
        <v>765.03896859159772</v>
      </c>
      <c r="L68" s="267">
        <f t="shared" si="59"/>
        <v>675.14962478879693</v>
      </c>
      <c r="M68" s="267">
        <f t="shared" si="59"/>
        <v>585.26028098599613</v>
      </c>
      <c r="N68" s="267">
        <f t="shared" ref="N68:R68" si="60">SUM(N65:N66)-N67</f>
        <v>495.37093718319539</v>
      </c>
      <c r="O68" s="267">
        <f t="shared" si="60"/>
        <v>405.48159338039466</v>
      </c>
      <c r="P68" s="267">
        <f t="shared" si="60"/>
        <v>315.59224957759392</v>
      </c>
      <c r="Q68" s="267">
        <f t="shared" si="60"/>
        <v>225.70290577479318</v>
      </c>
      <c r="R68" s="267">
        <f t="shared" si="60"/>
        <v>135.81356197199244</v>
      </c>
    </row>
    <row r="69" spans="2:18" outlineLevel="1">
      <c r="B69" s="28" t="s">
        <v>463</v>
      </c>
      <c r="C69" s="28"/>
      <c r="D69" s="28"/>
      <c r="E69" s="28"/>
      <c r="F69" s="28"/>
      <c r="G69" s="28"/>
      <c r="H69" s="28"/>
      <c r="I69" s="271"/>
      <c r="J69" s="271">
        <f>J68/I68-1</f>
        <v>-9.5139356481330761E-2</v>
      </c>
      <c r="K69" s="271">
        <f t="shared" ref="K69:M69" si="61">K68/J68-1</f>
        <v>-0.10514255113513271</v>
      </c>
      <c r="L69" s="271">
        <f t="shared" si="61"/>
        <v>-0.11749642500993518</v>
      </c>
      <c r="M69" s="271">
        <f t="shared" si="61"/>
        <v>-0.13313988559339029</v>
      </c>
      <c r="N69" s="271">
        <f t="shared" ref="N69" si="62">N68/M68-1</f>
        <v>-0.15358866255431325</v>
      </c>
      <c r="O69" s="271">
        <f t="shared" ref="O69" si="63">O68/N68-1</f>
        <v>-0.18145865462744815</v>
      </c>
      <c r="P69" s="271">
        <f t="shared" ref="P69" si="64">P68/O68-1</f>
        <v>-0.22168538663720005</v>
      </c>
      <c r="Q69" s="271">
        <f t="shared" ref="Q69" si="65">Q68/P68-1</f>
        <v>-0.284827475716256</v>
      </c>
      <c r="R69" s="271">
        <f t="shared" ref="R69" si="66">R68/Q68-1</f>
        <v>-0.39826400769732451</v>
      </c>
    </row>
    <row r="70" spans="2:18" outlineLevel="1">
      <c r="B70" s="11"/>
      <c r="D70" s="34"/>
      <c r="E70" s="34"/>
      <c r="F70" s="34"/>
      <c r="G70" s="34"/>
      <c r="H70" s="34"/>
      <c r="I70" s="34"/>
      <c r="J70" s="34"/>
      <c r="K70" s="34"/>
      <c r="L70" s="34"/>
      <c r="M70" s="34"/>
      <c r="N70" s="34"/>
      <c r="O70" s="34"/>
      <c r="P70" s="34"/>
      <c r="Q70" s="34"/>
      <c r="R70" s="34"/>
    </row>
    <row r="71" spans="2:18" outlineLevel="1">
      <c r="B71" s="28" t="s">
        <v>463</v>
      </c>
      <c r="C71" s="28"/>
      <c r="D71" s="28"/>
      <c r="E71" s="28"/>
      <c r="F71" s="28"/>
      <c r="G71" s="28"/>
      <c r="H71" s="28"/>
      <c r="I71" s="270">
        <f>ControlSheet!I73</f>
        <v>0</v>
      </c>
      <c r="J71" s="270">
        <f>ControlSheet!J73</f>
        <v>0</v>
      </c>
      <c r="K71" s="270">
        <f>ControlSheet!K73</f>
        <v>0</v>
      </c>
      <c r="L71" s="270">
        <f>ControlSheet!L73</f>
        <v>0</v>
      </c>
      <c r="M71" s="270">
        <f>ControlSheet!M73</f>
        <v>0</v>
      </c>
      <c r="N71" s="270">
        <f>ControlSheet!N73</f>
        <v>0</v>
      </c>
      <c r="O71" s="270">
        <f>ControlSheet!O73</f>
        <v>0</v>
      </c>
      <c r="P71" s="270">
        <f>ControlSheet!P73</f>
        <v>0</v>
      </c>
      <c r="Q71" s="270">
        <f>ControlSheet!Q73</f>
        <v>0</v>
      </c>
      <c r="R71" s="270">
        <f>ControlSheet!R73</f>
        <v>0</v>
      </c>
    </row>
    <row r="72" spans="2:18" outlineLevel="1"/>
    <row r="73" spans="2:18" outlineLevel="1">
      <c r="B73" s="307" t="s">
        <v>466</v>
      </c>
      <c r="C73" s="7"/>
      <c r="D73" s="255"/>
      <c r="E73" s="255"/>
      <c r="F73" s="255"/>
      <c r="G73" s="255"/>
      <c r="H73" s="255"/>
      <c r="I73" s="256"/>
      <c r="J73" s="256"/>
      <c r="K73" s="256"/>
      <c r="L73" s="256"/>
      <c r="M73" s="256"/>
      <c r="N73" s="256"/>
      <c r="O73" s="256"/>
      <c r="P73" s="256"/>
      <c r="Q73" s="256"/>
      <c r="R73" s="256"/>
    </row>
    <row r="74" spans="2:18" outlineLevel="1">
      <c r="B74" t="s">
        <v>466</v>
      </c>
      <c r="C74" s="269"/>
      <c r="D74" s="45">
        <f>BalanceSheet!F7</f>
        <v>63.82</v>
      </c>
      <c r="E74" s="45">
        <f>BalanceSheet!G7</f>
        <v>66.819999999999993</v>
      </c>
      <c r="F74" s="45">
        <f>BalanceSheet!H7</f>
        <v>496.61</v>
      </c>
      <c r="G74" s="45">
        <f>BalanceSheet!I7</f>
        <v>606.63</v>
      </c>
      <c r="H74" s="45">
        <f>BalanceSheet!J7</f>
        <v>1922.222</v>
      </c>
      <c r="I74" s="34">
        <f t="shared" ref="I74:R74" si="67">H74*(1+I75)</f>
        <v>1922.222</v>
      </c>
      <c r="J74" s="34">
        <f t="shared" si="67"/>
        <v>1922.222</v>
      </c>
      <c r="K74" s="34">
        <f t="shared" si="67"/>
        <v>1922.222</v>
      </c>
      <c r="L74" s="34">
        <f t="shared" si="67"/>
        <v>1922.222</v>
      </c>
      <c r="M74" s="34">
        <f t="shared" si="67"/>
        <v>1922.222</v>
      </c>
      <c r="N74" s="34">
        <f t="shared" si="67"/>
        <v>1922.222</v>
      </c>
      <c r="O74" s="34">
        <f t="shared" si="67"/>
        <v>1922.222</v>
      </c>
      <c r="P74" s="34">
        <f t="shared" si="67"/>
        <v>1922.222</v>
      </c>
      <c r="Q74" s="34">
        <f t="shared" si="67"/>
        <v>1922.222</v>
      </c>
      <c r="R74" s="34">
        <f t="shared" si="67"/>
        <v>1922.222</v>
      </c>
    </row>
    <row r="75" spans="2:18" outlineLevel="1">
      <c r="B75" s="28" t="s">
        <v>463</v>
      </c>
      <c r="C75" s="28"/>
      <c r="D75" s="28"/>
      <c r="E75" s="28"/>
      <c r="F75" s="28"/>
      <c r="G75" s="28"/>
      <c r="H75" s="58"/>
      <c r="I75" s="29">
        <f>ControlSheet!I79</f>
        <v>0</v>
      </c>
      <c r="J75" s="29">
        <f>ControlSheet!J79</f>
        <v>0</v>
      </c>
      <c r="K75" s="29">
        <f>ControlSheet!K79</f>
        <v>0</v>
      </c>
      <c r="L75" s="29">
        <f>ControlSheet!L79</f>
        <v>0</v>
      </c>
      <c r="M75" s="29">
        <f>ControlSheet!M79</f>
        <v>0</v>
      </c>
      <c r="N75" s="29">
        <f>ControlSheet!N79</f>
        <v>0</v>
      </c>
      <c r="O75" s="29">
        <f>ControlSheet!O79</f>
        <v>0</v>
      </c>
      <c r="P75" s="29">
        <f>ControlSheet!P79</f>
        <v>0</v>
      </c>
      <c r="Q75" s="29">
        <f>ControlSheet!Q79</f>
        <v>0</v>
      </c>
      <c r="R75" s="29">
        <f>ControlSheet!R79</f>
        <v>0</v>
      </c>
    </row>
    <row r="76" spans="2:18" outlineLevel="1"/>
    <row r="77" spans="2:18" outlineLevel="1">
      <c r="B77" s="307" t="s">
        <v>469</v>
      </c>
      <c r="C77" s="7"/>
      <c r="D77" s="255"/>
      <c r="E77" s="255"/>
      <c r="F77" s="255"/>
      <c r="G77" s="255"/>
      <c r="H77" s="255"/>
      <c r="I77" s="256"/>
      <c r="J77" s="256"/>
      <c r="K77" s="256"/>
      <c r="L77" s="256"/>
      <c r="M77" s="256"/>
      <c r="N77" s="256"/>
      <c r="O77" s="256"/>
      <c r="P77" s="256"/>
      <c r="Q77" s="256"/>
      <c r="R77" s="256"/>
    </row>
    <row r="78" spans="2:18" outlineLevel="1">
      <c r="B78" t="s">
        <v>469</v>
      </c>
      <c r="C78" s="269"/>
      <c r="D78" s="45">
        <f>BalanceSheet!F9</f>
        <v>562.30999999999995</v>
      </c>
      <c r="E78" s="45">
        <f>BalanceSheet!G9</f>
        <v>557.19999999999993</v>
      </c>
      <c r="F78" s="45">
        <f>BalanceSheet!H9</f>
        <v>558.56999999999994</v>
      </c>
      <c r="G78" s="45">
        <f>BalanceSheet!I9</f>
        <v>550.91</v>
      </c>
      <c r="H78" s="45">
        <f>BalanceSheet!J9</f>
        <v>547.1</v>
      </c>
      <c r="I78" s="34">
        <f>H78*(1+I79)</f>
        <v>547.1</v>
      </c>
      <c r="J78" s="34">
        <f t="shared" ref="J78:R78" si="68">I78*(1+J79)</f>
        <v>547.1</v>
      </c>
      <c r="K78" s="34">
        <f t="shared" si="68"/>
        <v>547.1</v>
      </c>
      <c r="L78" s="34">
        <f t="shared" si="68"/>
        <v>547.1</v>
      </c>
      <c r="M78" s="34">
        <f t="shared" si="68"/>
        <v>547.1</v>
      </c>
      <c r="N78" s="34">
        <f t="shared" si="68"/>
        <v>547.1</v>
      </c>
      <c r="O78" s="34">
        <f t="shared" si="68"/>
        <v>547.1</v>
      </c>
      <c r="P78" s="34">
        <f t="shared" si="68"/>
        <v>547.1</v>
      </c>
      <c r="Q78" s="34">
        <f t="shared" si="68"/>
        <v>547.1</v>
      </c>
      <c r="R78" s="34">
        <f t="shared" si="68"/>
        <v>547.1</v>
      </c>
    </row>
    <row r="79" spans="2:18" outlineLevel="1">
      <c r="B79" s="28" t="s">
        <v>463</v>
      </c>
      <c r="C79" s="28"/>
      <c r="D79" s="28"/>
      <c r="E79" s="28"/>
      <c r="F79" s="28"/>
      <c r="G79" s="28"/>
      <c r="H79" s="28"/>
      <c r="I79" s="270">
        <f>ControlSheet!I88</f>
        <v>0</v>
      </c>
      <c r="J79" s="270">
        <f>ControlSheet!J88</f>
        <v>0</v>
      </c>
      <c r="K79" s="270">
        <f>ControlSheet!K88</f>
        <v>0</v>
      </c>
      <c r="L79" s="270">
        <f>ControlSheet!L88</f>
        <v>0</v>
      </c>
      <c r="M79" s="270">
        <f>ControlSheet!M88</f>
        <v>0</v>
      </c>
      <c r="N79" s="270">
        <f>ControlSheet!N88</f>
        <v>0</v>
      </c>
      <c r="O79" s="270">
        <f>ControlSheet!O88</f>
        <v>0</v>
      </c>
      <c r="P79" s="270">
        <f>ControlSheet!P88</f>
        <v>0</v>
      </c>
      <c r="Q79" s="270">
        <f>ControlSheet!Q88</f>
        <v>0</v>
      </c>
      <c r="R79" s="270">
        <f>ControlSheet!R88</f>
        <v>0</v>
      </c>
    </row>
    <row r="80" spans="2:18" outlineLevel="1"/>
    <row r="81" spans="2:18" outlineLevel="1">
      <c r="B81" s="307" t="s">
        <v>12</v>
      </c>
      <c r="C81" s="7"/>
      <c r="D81" s="255"/>
      <c r="E81" s="255"/>
      <c r="F81" s="255"/>
      <c r="G81" s="255"/>
      <c r="H81" s="255"/>
      <c r="I81" s="256"/>
      <c r="J81" s="256"/>
      <c r="K81" s="256"/>
      <c r="L81" s="256"/>
      <c r="M81" s="256"/>
      <c r="N81" s="256"/>
      <c r="O81" s="256"/>
      <c r="P81" s="256"/>
      <c r="Q81" s="256"/>
      <c r="R81" s="256"/>
    </row>
    <row r="82" spans="2:18" outlineLevel="1">
      <c r="B82" t="s">
        <v>12</v>
      </c>
      <c r="D82" s="45">
        <f>BalanceSheet!F10</f>
        <v>24.23</v>
      </c>
      <c r="E82" s="45">
        <f>BalanceSheet!G10</f>
        <v>24.23</v>
      </c>
      <c r="F82" s="45">
        <f>BalanceSheet!H10</f>
        <v>24.23</v>
      </c>
      <c r="G82" s="45">
        <f>BalanceSheet!I10</f>
        <v>24.23</v>
      </c>
      <c r="H82" s="45">
        <f>BalanceSheet!J10</f>
        <v>24.23</v>
      </c>
      <c r="I82" s="34">
        <f>H82*(1+I83)</f>
        <v>24.23</v>
      </c>
      <c r="J82" s="34">
        <f>I82*(1+J83)</f>
        <v>24.23</v>
      </c>
      <c r="K82" s="34">
        <f>J82*(1+K83)</f>
        <v>24.23</v>
      </c>
      <c r="L82" s="34">
        <f>K82*(1+L83)</f>
        <v>24.23</v>
      </c>
      <c r="M82" s="34">
        <f>L82*(1+M83)</f>
        <v>24.23</v>
      </c>
      <c r="N82" s="34">
        <f t="shared" ref="N82:R82" si="69">M82*(1+N83)</f>
        <v>24.23</v>
      </c>
      <c r="O82" s="34">
        <f t="shared" si="69"/>
        <v>24.23</v>
      </c>
      <c r="P82" s="34">
        <f t="shared" si="69"/>
        <v>24.23</v>
      </c>
      <c r="Q82" s="34">
        <f t="shared" si="69"/>
        <v>24.23</v>
      </c>
      <c r="R82" s="34">
        <f t="shared" si="69"/>
        <v>24.23</v>
      </c>
    </row>
    <row r="83" spans="2:18" outlineLevel="1">
      <c r="B83" s="28" t="s">
        <v>463</v>
      </c>
      <c r="C83" s="28"/>
      <c r="D83" s="28"/>
      <c r="E83" s="28"/>
      <c r="F83" s="28"/>
      <c r="G83" s="28"/>
      <c r="H83" s="58"/>
      <c r="I83" s="29">
        <f>ControlSheet!I94</f>
        <v>0</v>
      </c>
      <c r="J83" s="29">
        <f>ControlSheet!J94</f>
        <v>0</v>
      </c>
      <c r="K83" s="29">
        <f>ControlSheet!K94</f>
        <v>0</v>
      </c>
      <c r="L83" s="29">
        <f>ControlSheet!L94</f>
        <v>0</v>
      </c>
      <c r="M83" s="29">
        <f>ControlSheet!M94</f>
        <v>0</v>
      </c>
      <c r="N83" s="29">
        <f>ControlSheet!N94</f>
        <v>0</v>
      </c>
      <c r="O83" s="29">
        <f>ControlSheet!O94</f>
        <v>0</v>
      </c>
      <c r="P83" s="29">
        <f>ControlSheet!P94</f>
        <v>0</v>
      </c>
      <c r="Q83" s="29">
        <f>ControlSheet!Q94</f>
        <v>0</v>
      </c>
      <c r="R83" s="29">
        <f>ControlSheet!R94</f>
        <v>0</v>
      </c>
    </row>
    <row r="84" spans="2:18" outlineLevel="1"/>
    <row r="85" spans="2:18" outlineLevel="1">
      <c r="B85" s="307" t="s">
        <v>471</v>
      </c>
      <c r="C85" s="7"/>
      <c r="D85" s="255"/>
      <c r="E85" s="255"/>
      <c r="F85" s="255"/>
      <c r="G85" s="255"/>
      <c r="H85" s="255"/>
      <c r="I85" s="256"/>
      <c r="J85" s="256"/>
      <c r="K85" s="256"/>
      <c r="L85" s="256"/>
      <c r="M85" s="256"/>
      <c r="N85" s="256"/>
      <c r="O85" s="256"/>
      <c r="P85" s="256"/>
      <c r="Q85" s="256"/>
      <c r="R85" s="256"/>
    </row>
    <row r="86" spans="2:18" outlineLevel="1">
      <c r="B86" t="s">
        <v>471</v>
      </c>
      <c r="D86" s="45">
        <f>BalanceSheet!F13</f>
        <v>45.44</v>
      </c>
      <c r="E86" s="45">
        <f>BalanceSheet!G13</f>
        <v>41.91</v>
      </c>
      <c r="F86" s="45">
        <f>BalanceSheet!H13</f>
        <v>42.06</v>
      </c>
      <c r="G86" s="45">
        <f>BalanceSheet!I13</f>
        <v>48.68</v>
      </c>
      <c r="H86" s="45">
        <f>BalanceSheet!J13</f>
        <v>65.418000000000006</v>
      </c>
      <c r="I86" s="34">
        <f>H86*(1+I87)</f>
        <v>65.418000000000006</v>
      </c>
      <c r="J86" s="34">
        <f>I86*(1+J87)</f>
        <v>65.418000000000006</v>
      </c>
      <c r="K86" s="34">
        <f>J86*(1+K87)</f>
        <v>65.418000000000006</v>
      </c>
      <c r="L86" s="34">
        <f>K86*(1+L87)</f>
        <v>65.418000000000006</v>
      </c>
      <c r="M86" s="34">
        <f>L86*(1+M87)</f>
        <v>65.418000000000006</v>
      </c>
      <c r="N86" s="34">
        <f t="shared" ref="N86:R86" si="70">M86*(1+N87)</f>
        <v>65.418000000000006</v>
      </c>
      <c r="O86" s="34">
        <f t="shared" si="70"/>
        <v>65.418000000000006</v>
      </c>
      <c r="P86" s="34">
        <f t="shared" si="70"/>
        <v>65.418000000000006</v>
      </c>
      <c r="Q86" s="34">
        <f t="shared" si="70"/>
        <v>65.418000000000006</v>
      </c>
      <c r="R86" s="34">
        <f t="shared" si="70"/>
        <v>65.418000000000006</v>
      </c>
    </row>
    <row r="87" spans="2:18" outlineLevel="1">
      <c r="B87" s="28" t="s">
        <v>463</v>
      </c>
      <c r="C87" s="28"/>
      <c r="D87" s="28"/>
      <c r="E87" s="28"/>
      <c r="F87" s="28"/>
      <c r="G87" s="28"/>
      <c r="H87" s="58"/>
      <c r="I87" s="29">
        <f>ControlSheet!I100</f>
        <v>0</v>
      </c>
      <c r="J87" s="29">
        <f>ControlSheet!J100</f>
        <v>0</v>
      </c>
      <c r="K87" s="29">
        <f>ControlSheet!K100</f>
        <v>0</v>
      </c>
      <c r="L87" s="29">
        <f>ControlSheet!L100</f>
        <v>0</v>
      </c>
      <c r="M87" s="29">
        <f>ControlSheet!M100</f>
        <v>0</v>
      </c>
      <c r="N87" s="29">
        <f>ControlSheet!N100</f>
        <v>0</v>
      </c>
      <c r="O87" s="29">
        <f>ControlSheet!O100</f>
        <v>0</v>
      </c>
      <c r="P87" s="29">
        <f>ControlSheet!P100</f>
        <v>0</v>
      </c>
      <c r="Q87" s="29">
        <f>ControlSheet!Q100</f>
        <v>0</v>
      </c>
      <c r="R87" s="29">
        <f>ControlSheet!R100</f>
        <v>0</v>
      </c>
    </row>
    <row r="88" spans="2:18" outlineLevel="1"/>
    <row r="89" spans="2:18" outlineLevel="1">
      <c r="B89" s="307" t="s">
        <v>472</v>
      </c>
      <c r="C89" s="7"/>
      <c r="D89" s="255"/>
      <c r="E89" s="255"/>
      <c r="F89" s="255"/>
      <c r="G89" s="255"/>
      <c r="H89" s="255"/>
      <c r="I89" s="256"/>
      <c r="J89" s="256"/>
      <c r="K89" s="256"/>
      <c r="L89" s="256"/>
      <c r="M89" s="256"/>
      <c r="N89" s="256"/>
      <c r="O89" s="256"/>
      <c r="P89" s="256"/>
      <c r="Q89" s="256"/>
      <c r="R89" s="256"/>
    </row>
    <row r="90" spans="2:18" outlineLevel="1">
      <c r="B90" t="s">
        <v>472</v>
      </c>
      <c r="D90" s="45">
        <f>BalanceSheet!F18</f>
        <v>115.4</v>
      </c>
      <c r="E90" s="45">
        <f>BalanceSheet!G18</f>
        <v>130.34</v>
      </c>
      <c r="F90" s="45">
        <f>BalanceSheet!H18</f>
        <v>183.92</v>
      </c>
      <c r="G90" s="45">
        <f>BalanceSheet!I18</f>
        <v>626.67999999999995</v>
      </c>
      <c r="H90" s="45">
        <f>BalanceSheet!J18</f>
        <v>536.81200000000001</v>
      </c>
      <c r="I90" s="34">
        <f>H90*(1+I91)</f>
        <v>536.81200000000001</v>
      </c>
      <c r="J90" s="34">
        <f>I90*(1+J91)</f>
        <v>536.81200000000001</v>
      </c>
      <c r="K90" s="34">
        <f>J90*(1+K91)</f>
        <v>536.81200000000001</v>
      </c>
      <c r="L90" s="34">
        <f>K90*(1+L91)</f>
        <v>536.81200000000001</v>
      </c>
      <c r="M90" s="34">
        <f>L90*(1+M91)</f>
        <v>536.81200000000001</v>
      </c>
      <c r="N90" s="34">
        <f t="shared" ref="N90:R90" si="71">M90*(1+N91)</f>
        <v>536.81200000000001</v>
      </c>
      <c r="O90" s="34">
        <f t="shared" si="71"/>
        <v>536.81200000000001</v>
      </c>
      <c r="P90" s="34">
        <f t="shared" si="71"/>
        <v>536.81200000000001</v>
      </c>
      <c r="Q90" s="34">
        <f t="shared" si="71"/>
        <v>536.81200000000001</v>
      </c>
      <c r="R90" s="34">
        <f t="shared" si="71"/>
        <v>536.81200000000001</v>
      </c>
    </row>
    <row r="91" spans="2:18" outlineLevel="1">
      <c r="B91" s="28" t="s">
        <v>463</v>
      </c>
      <c r="C91" s="28"/>
      <c r="D91" s="28"/>
      <c r="E91" s="28"/>
      <c r="F91" s="28"/>
      <c r="G91" s="28"/>
      <c r="H91" s="58"/>
      <c r="I91" s="29">
        <f>ControlSheet!I106</f>
        <v>0</v>
      </c>
      <c r="J91" s="29">
        <f>ControlSheet!J106</f>
        <v>0</v>
      </c>
      <c r="K91" s="29">
        <f>ControlSheet!K106</f>
        <v>0</v>
      </c>
      <c r="L91" s="29">
        <f>ControlSheet!L106</f>
        <v>0</v>
      </c>
      <c r="M91" s="29">
        <f>ControlSheet!M106</f>
        <v>0</v>
      </c>
      <c r="N91" s="29">
        <f>ControlSheet!N106</f>
        <v>0</v>
      </c>
      <c r="O91" s="29">
        <f>ControlSheet!O106</f>
        <v>0</v>
      </c>
      <c r="P91" s="29">
        <f>ControlSheet!P106</f>
        <v>0</v>
      </c>
      <c r="Q91" s="29">
        <f>ControlSheet!Q106</f>
        <v>0</v>
      </c>
      <c r="R91" s="29">
        <f>ControlSheet!R106</f>
        <v>0</v>
      </c>
    </row>
    <row r="92" spans="2:18" outlineLevel="1"/>
    <row r="93" spans="2:18" outlineLevel="1">
      <c r="B93" s="307" t="s">
        <v>473</v>
      </c>
      <c r="C93" s="7"/>
      <c r="D93" s="255"/>
      <c r="E93" s="255"/>
      <c r="F93" s="255"/>
      <c r="G93" s="255"/>
      <c r="H93" s="255"/>
      <c r="I93" s="256"/>
      <c r="J93" s="256"/>
      <c r="K93" s="256"/>
      <c r="L93" s="256"/>
      <c r="M93" s="256"/>
      <c r="N93" s="256"/>
      <c r="O93" s="256"/>
      <c r="P93" s="256"/>
      <c r="Q93" s="256"/>
      <c r="R93" s="256"/>
    </row>
    <row r="94" spans="2:18" outlineLevel="1">
      <c r="B94" t="s">
        <v>473</v>
      </c>
      <c r="D94" s="45">
        <f>BalanceSheet!F19</f>
        <v>12.85</v>
      </c>
      <c r="E94" s="45">
        <f>BalanceSheet!G19</f>
        <v>11.02</v>
      </c>
      <c r="F94" s="45">
        <f>BalanceSheet!H19</f>
        <v>2.41</v>
      </c>
      <c r="G94" s="45">
        <f>BalanceSheet!I19</f>
        <v>0</v>
      </c>
      <c r="H94" s="45">
        <f>BalanceSheet!J19</f>
        <v>0</v>
      </c>
      <c r="I94" s="34">
        <f>H94*(1+I95)</f>
        <v>0</v>
      </c>
      <c r="J94" s="34">
        <f>I94*(1+J95)</f>
        <v>0</v>
      </c>
      <c r="K94" s="34">
        <f>J94*(1+K95)</f>
        <v>0</v>
      </c>
      <c r="L94" s="34">
        <f>K94*(1+L95)</f>
        <v>0</v>
      </c>
      <c r="M94" s="34">
        <f>L94*(1+M95)</f>
        <v>0</v>
      </c>
      <c r="N94" s="34">
        <f t="shared" ref="N94:R94" si="72">M94*(1+N95)</f>
        <v>0</v>
      </c>
      <c r="O94" s="34">
        <f t="shared" si="72"/>
        <v>0</v>
      </c>
      <c r="P94" s="34">
        <f t="shared" si="72"/>
        <v>0</v>
      </c>
      <c r="Q94" s="34">
        <f t="shared" si="72"/>
        <v>0</v>
      </c>
      <c r="R94" s="34">
        <f t="shared" si="72"/>
        <v>0</v>
      </c>
    </row>
    <row r="95" spans="2:18" outlineLevel="1">
      <c r="B95" s="28" t="s">
        <v>463</v>
      </c>
      <c r="C95" s="28"/>
      <c r="D95" s="28"/>
      <c r="E95" s="28"/>
      <c r="F95" s="28"/>
      <c r="G95" s="28"/>
      <c r="H95" s="58"/>
      <c r="I95" s="29">
        <f>ControlSheet!I112</f>
        <v>0</v>
      </c>
      <c r="J95" s="29">
        <f>ControlSheet!J112</f>
        <v>0</v>
      </c>
      <c r="K95" s="29">
        <f>ControlSheet!K112</f>
        <v>0</v>
      </c>
      <c r="L95" s="29">
        <f>ControlSheet!L112</f>
        <v>0</v>
      </c>
      <c r="M95" s="29">
        <f>ControlSheet!M112</f>
        <v>0</v>
      </c>
      <c r="N95" s="29">
        <f>ControlSheet!N112</f>
        <v>0</v>
      </c>
      <c r="O95" s="29">
        <f>ControlSheet!O112</f>
        <v>0</v>
      </c>
      <c r="P95" s="29">
        <f>ControlSheet!P112</f>
        <v>0</v>
      </c>
      <c r="Q95" s="29">
        <f>ControlSheet!Q112</f>
        <v>0</v>
      </c>
      <c r="R95" s="29">
        <f>ControlSheet!R112</f>
        <v>0</v>
      </c>
    </row>
    <row r="96" spans="2:18" outlineLevel="1"/>
    <row r="98" spans="2:18" ht="18">
      <c r="B98" s="10" t="s">
        <v>31</v>
      </c>
      <c r="C98" s="10"/>
      <c r="D98" s="10"/>
      <c r="E98" s="10"/>
      <c r="F98" s="10"/>
      <c r="G98" s="10"/>
      <c r="H98" s="10"/>
      <c r="I98" s="10"/>
      <c r="J98" s="10"/>
      <c r="K98" s="10"/>
      <c r="L98" s="10"/>
      <c r="M98" s="10"/>
      <c r="N98" s="10"/>
      <c r="O98" s="10"/>
      <c r="P98" s="10"/>
      <c r="Q98" s="10"/>
      <c r="R98" s="10"/>
    </row>
    <row r="99" spans="2:18" outlineLevel="1"/>
    <row r="100" spans="2:18" outlineLevel="1">
      <c r="B100" s="533" t="s">
        <v>986</v>
      </c>
      <c r="C100" s="534">
        <f>'Assumptions working'!L622</f>
        <v>10.604515001579113</v>
      </c>
    </row>
    <row r="101" spans="2:18" outlineLevel="1"/>
    <row r="102" spans="2:18" outlineLevel="1">
      <c r="B102" s="7" t="s">
        <v>34</v>
      </c>
      <c r="C102" s="7"/>
      <c r="D102" s="7"/>
      <c r="E102" s="7"/>
      <c r="F102" s="7"/>
      <c r="G102" s="7"/>
      <c r="H102" s="272">
        <f t="shared" ref="H102:R102" si="73">SUM(H60,H67)</f>
        <v>680.90599999999995</v>
      </c>
      <c r="I102" s="272">
        <f t="shared" si="73"/>
        <v>1020.3840430282692</v>
      </c>
      <c r="J102" s="272">
        <f t="shared" si="73"/>
        <v>1161.8332276233814</v>
      </c>
      <c r="K102" s="272">
        <f t="shared" si="73"/>
        <v>1398.4587774644838</v>
      </c>
      <c r="L102" s="272">
        <f t="shared" si="73"/>
        <v>1629.6003703058902</v>
      </c>
      <c r="M102" s="272">
        <f t="shared" si="73"/>
        <v>1839.2192705679659</v>
      </c>
      <c r="N102" s="272">
        <f t="shared" si="73"/>
        <v>2073.9924388614904</v>
      </c>
      <c r="O102" s="272">
        <f t="shared" si="73"/>
        <v>2336.9383873502384</v>
      </c>
      <c r="P102" s="272">
        <f t="shared" si="73"/>
        <v>2631.437849657636</v>
      </c>
      <c r="Q102" s="272">
        <f t="shared" si="73"/>
        <v>2961.2772474419212</v>
      </c>
      <c r="R102" s="272">
        <f t="shared" si="73"/>
        <v>3330.6973729603205</v>
      </c>
    </row>
    <row r="103" spans="2:18" outlineLevel="1">
      <c r="B103" t="s">
        <v>467</v>
      </c>
      <c r="I103" s="35">
        <f t="shared" ref="I103:R103" si="74">SUM(I61,I68)</f>
        <v>10417.454956971731</v>
      </c>
      <c r="J103" s="35">
        <f t="shared" si="74"/>
        <v>10755.62172934835</v>
      </c>
      <c r="K103" s="35">
        <f t="shared" si="74"/>
        <v>11866.462144930741</v>
      </c>
      <c r="L103" s="35">
        <f t="shared" si="74"/>
        <v>12688.006263400437</v>
      </c>
      <c r="M103" s="35">
        <f t="shared" si="74"/>
        <v>13071.693765276166</v>
      </c>
      <c r="N103" s="35">
        <f t="shared" si="74"/>
        <v>13487.356911551617</v>
      </c>
      <c r="O103" s="35">
        <f t="shared" si="74"/>
        <v>13938.832779554752</v>
      </c>
      <c r="P103" s="35">
        <f t="shared" si="74"/>
        <v>14430.418895892897</v>
      </c>
      <c r="Q103" s="35">
        <f t="shared" si="74"/>
        <v>14966.92849036625</v>
      </c>
      <c r="R103" s="35">
        <f t="shared" si="74"/>
        <v>15553.752380351032</v>
      </c>
    </row>
    <row r="104" spans="2:18" outlineLevel="1"/>
    <row r="105" spans="2:18" outlineLevel="1">
      <c r="B105" t="s">
        <v>416</v>
      </c>
      <c r="I105" s="171">
        <f t="shared" ref="I105:R105" si="75">I102/I13</f>
        <v>5.0883784499677162E-2</v>
      </c>
      <c r="J105" s="171">
        <f t="shared" si="75"/>
        <v>4.7587245719599429E-2</v>
      </c>
      <c r="K105" s="171">
        <f t="shared" si="75"/>
        <v>4.8336822188783941E-2</v>
      </c>
      <c r="L105" s="171">
        <f t="shared" si="75"/>
        <v>4.8872955912419455E-2</v>
      </c>
      <c r="M105" s="171">
        <f t="shared" si="75"/>
        <v>4.9249630659704363E-2</v>
      </c>
      <c r="N105" s="171">
        <f t="shared" si="75"/>
        <v>4.9585947398351593E-2</v>
      </c>
      <c r="O105" s="171">
        <f t="shared" si="75"/>
        <v>4.9886230200715205E-2</v>
      </c>
      <c r="P105" s="171">
        <f t="shared" si="75"/>
        <v>5.0154339845682711E-2</v>
      </c>
      <c r="Q105" s="171">
        <f t="shared" si="75"/>
        <v>5.0393723457260835E-2</v>
      </c>
      <c r="R105" s="171">
        <f t="shared" si="75"/>
        <v>5.0607458824741311E-2</v>
      </c>
    </row>
    <row r="106" spans="2:18" outlineLevel="1">
      <c r="B106" t="s">
        <v>415</v>
      </c>
      <c r="I106" s="171">
        <f>I102/I103</f>
        <v>9.7949455720506076E-2</v>
      </c>
      <c r="J106" s="171">
        <f t="shared" ref="J106:M106" si="76">J102/J103</f>
        <v>0.10802101978476453</v>
      </c>
      <c r="K106" s="171">
        <f t="shared" si="76"/>
        <v>0.11784968092296104</v>
      </c>
      <c r="L106" s="171">
        <f t="shared" si="76"/>
        <v>0.12843628356384107</v>
      </c>
      <c r="M106" s="171">
        <f t="shared" si="76"/>
        <v>0.14070244480892707</v>
      </c>
      <c r="N106" s="171">
        <f t="shared" ref="N106:R106" si="77">N102/N103</f>
        <v>0.15377308189161679</v>
      </c>
      <c r="O106" s="171">
        <f t="shared" si="77"/>
        <v>0.1676566771629559</v>
      </c>
      <c r="P106" s="171">
        <f t="shared" si="77"/>
        <v>0.18235353170562366</v>
      </c>
      <c r="Q106" s="171">
        <f t="shared" si="77"/>
        <v>0.19785470675215719</v>
      </c>
      <c r="R106" s="171">
        <f t="shared" si="77"/>
        <v>0.21414108258325956</v>
      </c>
    </row>
    <row r="107" spans="2:18" outlineLevel="1"/>
    <row r="108" spans="2:18" outlineLevel="1">
      <c r="B108" s="43" t="s">
        <v>33</v>
      </c>
      <c r="C108" s="43"/>
      <c r="D108" s="43"/>
      <c r="E108" s="43"/>
    </row>
    <row r="109" spans="2:18" outlineLevel="1"/>
    <row r="110" spans="2:18" outlineLevel="1">
      <c r="B110" s="44">
        <f>H9</f>
        <v>2023</v>
      </c>
      <c r="C110" s="44"/>
      <c r="D110" s="44"/>
      <c r="E110" s="44"/>
      <c r="H110" s="34">
        <f>H102</f>
        <v>680.90599999999995</v>
      </c>
      <c r="I110" s="34">
        <f>H110</f>
        <v>680.90599999999995</v>
      </c>
      <c r="J110" s="34">
        <f t="shared" ref="J110:M110" si="78">I110</f>
        <v>680.90599999999995</v>
      </c>
      <c r="K110" s="34">
        <f t="shared" si="78"/>
        <v>680.90599999999995</v>
      </c>
      <c r="L110" s="34">
        <f t="shared" si="78"/>
        <v>680.90599999999995</v>
      </c>
      <c r="M110" s="34">
        <f t="shared" si="78"/>
        <v>680.90599999999995</v>
      </c>
      <c r="N110" s="34">
        <f t="shared" ref="N110:N114" si="79">M110</f>
        <v>680.90599999999995</v>
      </c>
      <c r="O110" s="34">
        <f t="shared" ref="O110:O115" si="80">N110</f>
        <v>680.90599999999995</v>
      </c>
      <c r="P110" s="34">
        <f t="shared" ref="P110:P116" si="81">O110</f>
        <v>680.90599999999995</v>
      </c>
      <c r="Q110" s="34">
        <f t="shared" ref="Q110:Q117" si="82">P110</f>
        <v>680.90599999999995</v>
      </c>
      <c r="R110" s="34">
        <f t="shared" ref="R110:R118" si="83">Q110</f>
        <v>680.90599999999995</v>
      </c>
    </row>
    <row r="111" spans="2:18" outlineLevel="1">
      <c r="B111" s="44">
        <f>B110+1</f>
        <v>2024</v>
      </c>
      <c r="C111" s="44"/>
      <c r="D111" s="44"/>
      <c r="E111" s="44"/>
      <c r="H111" s="46"/>
      <c r="I111" s="34">
        <f>I102-H102</f>
        <v>339.47804302826921</v>
      </c>
      <c r="J111" s="34">
        <f>I111</f>
        <v>339.47804302826921</v>
      </c>
      <c r="K111" s="34">
        <f t="shared" ref="K111:M111" si="84">J111</f>
        <v>339.47804302826921</v>
      </c>
      <c r="L111" s="34">
        <f t="shared" si="84"/>
        <v>339.47804302826921</v>
      </c>
      <c r="M111" s="34">
        <f t="shared" si="84"/>
        <v>339.47804302826921</v>
      </c>
      <c r="N111" s="34">
        <f t="shared" si="79"/>
        <v>339.47804302826921</v>
      </c>
      <c r="O111" s="34">
        <f t="shared" si="80"/>
        <v>339.47804302826921</v>
      </c>
      <c r="P111" s="34">
        <f t="shared" si="81"/>
        <v>339.47804302826921</v>
      </c>
      <c r="Q111" s="34">
        <f t="shared" si="82"/>
        <v>339.47804302826921</v>
      </c>
      <c r="R111" s="34">
        <f t="shared" si="83"/>
        <v>339.47804302826921</v>
      </c>
    </row>
    <row r="112" spans="2:18" outlineLevel="1">
      <c r="B112" s="44">
        <f t="shared" ref="B112:B120" si="85">B111+1</f>
        <v>2025</v>
      </c>
      <c r="C112" s="44"/>
      <c r="D112" s="44"/>
      <c r="E112" s="44"/>
      <c r="H112" s="46"/>
      <c r="I112" s="46"/>
      <c r="J112" s="34">
        <f>J102-I102</f>
        <v>141.44918459511223</v>
      </c>
      <c r="K112" s="34">
        <f>J112</f>
        <v>141.44918459511223</v>
      </c>
      <c r="L112" s="34">
        <f t="shared" ref="L112:M112" si="86">K112</f>
        <v>141.44918459511223</v>
      </c>
      <c r="M112" s="34">
        <f t="shared" si="86"/>
        <v>141.44918459511223</v>
      </c>
      <c r="N112" s="34">
        <f t="shared" si="79"/>
        <v>141.44918459511223</v>
      </c>
      <c r="O112" s="34">
        <f t="shared" si="80"/>
        <v>141.44918459511223</v>
      </c>
      <c r="P112" s="34">
        <f t="shared" si="81"/>
        <v>141.44918459511223</v>
      </c>
      <c r="Q112" s="34">
        <f t="shared" si="82"/>
        <v>141.44918459511223</v>
      </c>
      <c r="R112" s="34">
        <f t="shared" si="83"/>
        <v>141.44918459511223</v>
      </c>
    </row>
    <row r="113" spans="2:18" outlineLevel="1">
      <c r="B113" s="44">
        <f t="shared" si="85"/>
        <v>2026</v>
      </c>
      <c r="C113" s="44"/>
      <c r="D113" s="44"/>
      <c r="E113" s="44"/>
      <c r="H113" s="46"/>
      <c r="I113" s="46"/>
      <c r="J113" s="46"/>
      <c r="K113" s="34">
        <f>K102-J102</f>
        <v>236.62554984110238</v>
      </c>
      <c r="L113" s="34">
        <f>K113</f>
        <v>236.62554984110238</v>
      </c>
      <c r="M113" s="34">
        <f>L113</f>
        <v>236.62554984110238</v>
      </c>
      <c r="N113" s="34">
        <f t="shared" si="79"/>
        <v>236.62554984110238</v>
      </c>
      <c r="O113" s="34">
        <f t="shared" si="80"/>
        <v>236.62554984110238</v>
      </c>
      <c r="P113" s="34">
        <f t="shared" si="81"/>
        <v>236.62554984110238</v>
      </c>
      <c r="Q113" s="34">
        <f t="shared" si="82"/>
        <v>236.62554984110238</v>
      </c>
      <c r="R113" s="34">
        <f t="shared" si="83"/>
        <v>236.62554984110238</v>
      </c>
    </row>
    <row r="114" spans="2:18" outlineLevel="1">
      <c r="B114" s="44">
        <f t="shared" si="85"/>
        <v>2027</v>
      </c>
      <c r="C114" s="44"/>
      <c r="D114" s="44"/>
      <c r="E114" s="44"/>
      <c r="H114" s="46"/>
      <c r="I114" s="46"/>
      <c r="J114" s="46"/>
      <c r="K114" s="46"/>
      <c r="L114" s="34">
        <f>L102-K102</f>
        <v>231.14159284140646</v>
      </c>
      <c r="M114" s="34">
        <f>L114</f>
        <v>231.14159284140646</v>
      </c>
      <c r="N114" s="34">
        <f t="shared" si="79"/>
        <v>231.14159284140646</v>
      </c>
      <c r="O114" s="34">
        <f t="shared" si="80"/>
        <v>231.14159284140646</v>
      </c>
      <c r="P114" s="34">
        <f t="shared" si="81"/>
        <v>231.14159284140646</v>
      </c>
      <c r="Q114" s="34">
        <f t="shared" si="82"/>
        <v>231.14159284140646</v>
      </c>
      <c r="R114" s="34">
        <f t="shared" si="83"/>
        <v>231.14159284140646</v>
      </c>
    </row>
    <row r="115" spans="2:18" outlineLevel="1">
      <c r="B115" s="44">
        <f t="shared" si="85"/>
        <v>2028</v>
      </c>
      <c r="C115" s="44"/>
      <c r="D115" s="44"/>
      <c r="E115" s="44"/>
      <c r="H115" s="46"/>
      <c r="I115" s="46"/>
      <c r="J115" s="46"/>
      <c r="K115" s="46"/>
      <c r="L115" s="46"/>
      <c r="M115" s="34">
        <f>M$102-L$102</f>
        <v>209.61890026207561</v>
      </c>
      <c r="N115" s="34">
        <f>M115</f>
        <v>209.61890026207561</v>
      </c>
      <c r="O115" s="34">
        <f t="shared" si="80"/>
        <v>209.61890026207561</v>
      </c>
      <c r="P115" s="34">
        <f t="shared" si="81"/>
        <v>209.61890026207561</v>
      </c>
      <c r="Q115" s="34">
        <f t="shared" si="82"/>
        <v>209.61890026207561</v>
      </c>
      <c r="R115" s="34">
        <f t="shared" si="83"/>
        <v>209.61890026207561</v>
      </c>
    </row>
    <row r="116" spans="2:18" outlineLevel="1">
      <c r="B116" s="44">
        <f t="shared" si="85"/>
        <v>2029</v>
      </c>
      <c r="C116" s="44"/>
      <c r="D116" s="44"/>
      <c r="E116" s="44"/>
      <c r="H116" s="46"/>
      <c r="I116" s="46"/>
      <c r="J116" s="46"/>
      <c r="K116" s="46"/>
      <c r="L116" s="46"/>
      <c r="M116" s="46"/>
      <c r="N116" s="34">
        <f>N$102-M$102</f>
        <v>234.77316829352458</v>
      </c>
      <c r="O116" s="34">
        <f>N116</f>
        <v>234.77316829352458</v>
      </c>
      <c r="P116" s="34">
        <f t="shared" si="81"/>
        <v>234.77316829352458</v>
      </c>
      <c r="Q116" s="34">
        <f t="shared" si="82"/>
        <v>234.77316829352458</v>
      </c>
      <c r="R116" s="34">
        <f t="shared" si="83"/>
        <v>234.77316829352458</v>
      </c>
    </row>
    <row r="117" spans="2:18" outlineLevel="1">
      <c r="B117" s="44">
        <f t="shared" si="85"/>
        <v>2030</v>
      </c>
      <c r="C117" s="44"/>
      <c r="D117" s="44"/>
      <c r="E117" s="44"/>
      <c r="H117" s="46"/>
      <c r="I117" s="46"/>
      <c r="J117" s="46"/>
      <c r="K117" s="46"/>
      <c r="L117" s="46"/>
      <c r="M117" s="46"/>
      <c r="N117" s="46"/>
      <c r="O117" s="34">
        <f>O$102-N$102</f>
        <v>262.94594848874794</v>
      </c>
      <c r="P117" s="34">
        <f>O117</f>
        <v>262.94594848874794</v>
      </c>
      <c r="Q117" s="34">
        <f t="shared" si="82"/>
        <v>262.94594848874794</v>
      </c>
      <c r="R117" s="34">
        <f t="shared" si="83"/>
        <v>262.94594848874794</v>
      </c>
    </row>
    <row r="118" spans="2:18" outlineLevel="1">
      <c r="B118" s="44">
        <f t="shared" si="85"/>
        <v>2031</v>
      </c>
      <c r="C118" s="44"/>
      <c r="D118" s="44"/>
      <c r="E118" s="44"/>
      <c r="H118" s="46"/>
      <c r="I118" s="46"/>
      <c r="J118" s="46"/>
      <c r="K118" s="46"/>
      <c r="L118" s="46"/>
      <c r="M118" s="46"/>
      <c r="N118" s="46"/>
      <c r="O118" s="46"/>
      <c r="P118" s="34">
        <f>P$102-O$102</f>
        <v>294.49946230739761</v>
      </c>
      <c r="Q118" s="34">
        <f>P118</f>
        <v>294.49946230739761</v>
      </c>
      <c r="R118" s="34">
        <f t="shared" si="83"/>
        <v>294.49946230739761</v>
      </c>
    </row>
    <row r="119" spans="2:18" outlineLevel="1">
      <c r="B119" s="44">
        <f t="shared" si="85"/>
        <v>2032</v>
      </c>
      <c r="C119" s="44"/>
      <c r="D119" s="44"/>
      <c r="E119" s="44"/>
      <c r="H119" s="46"/>
      <c r="I119" s="46"/>
      <c r="J119" s="46"/>
      <c r="K119" s="46"/>
      <c r="L119" s="46"/>
      <c r="M119" s="46"/>
      <c r="N119" s="46"/>
      <c r="O119" s="46"/>
      <c r="P119" s="46"/>
      <c r="Q119" s="34">
        <f>Q$102-P$102</f>
        <v>329.83939778428521</v>
      </c>
      <c r="R119" s="34">
        <f>Q119</f>
        <v>329.83939778428521</v>
      </c>
    </row>
    <row r="120" spans="2:18" outlineLevel="1">
      <c r="B120" s="44">
        <f t="shared" si="85"/>
        <v>2033</v>
      </c>
      <c r="C120" s="44"/>
      <c r="D120" s="44"/>
      <c r="E120" s="44"/>
      <c r="H120" s="46"/>
      <c r="I120" s="46"/>
      <c r="J120" s="46"/>
      <c r="K120" s="46"/>
      <c r="L120" s="46"/>
      <c r="M120" s="46"/>
      <c r="N120" s="46"/>
      <c r="O120" s="46"/>
      <c r="P120" s="46"/>
      <c r="Q120" s="46"/>
      <c r="R120" s="34">
        <f>R$102-Q$102</f>
        <v>369.42012551839935</v>
      </c>
    </row>
    <row r="121" spans="2:18" outlineLevel="1">
      <c r="B121" s="20" t="s">
        <v>34</v>
      </c>
      <c r="C121" s="20"/>
      <c r="D121" s="20"/>
      <c r="E121" s="20"/>
      <c r="F121" s="21"/>
      <c r="G121" s="21"/>
      <c r="H121" s="23">
        <f t="shared" ref="H121:Q121" si="87">SUM(H110:H120)</f>
        <v>680.90599999999995</v>
      </c>
      <c r="I121" s="23">
        <f t="shared" si="87"/>
        <v>1020.3840430282692</v>
      </c>
      <c r="J121" s="23">
        <f t="shared" si="87"/>
        <v>1161.8332276233814</v>
      </c>
      <c r="K121" s="23">
        <f t="shared" si="87"/>
        <v>1398.4587774644838</v>
      </c>
      <c r="L121" s="23">
        <f t="shared" si="87"/>
        <v>1629.6003703058902</v>
      </c>
      <c r="M121" s="23">
        <f t="shared" si="87"/>
        <v>1839.2192705679659</v>
      </c>
      <c r="N121" s="23">
        <f t="shared" si="87"/>
        <v>2073.9924388614904</v>
      </c>
      <c r="O121" s="23">
        <f t="shared" si="87"/>
        <v>2336.9383873502384</v>
      </c>
      <c r="P121" s="23">
        <f t="shared" si="87"/>
        <v>2631.437849657636</v>
      </c>
      <c r="Q121" s="23">
        <f t="shared" si="87"/>
        <v>2961.2772474419212</v>
      </c>
      <c r="R121" s="23">
        <f>SUM(R110:R120)</f>
        <v>3330.6973729603205</v>
      </c>
    </row>
    <row r="122" spans="2:18" outlineLevel="1"/>
    <row r="124" spans="2:18" ht="18">
      <c r="B124" s="10" t="s">
        <v>35</v>
      </c>
      <c r="C124" s="10"/>
      <c r="D124" s="10"/>
      <c r="E124" s="10"/>
      <c r="F124" s="10"/>
      <c r="G124" s="10"/>
      <c r="H124" s="10"/>
      <c r="I124" s="10"/>
      <c r="J124" s="10"/>
      <c r="K124" s="10"/>
      <c r="L124" s="10"/>
      <c r="M124" s="10"/>
      <c r="N124" s="10"/>
      <c r="O124" s="10"/>
      <c r="P124" s="10"/>
      <c r="Q124" s="10"/>
      <c r="R124" s="10"/>
    </row>
    <row r="125" spans="2:18" outlineLevel="1"/>
    <row r="126" spans="2:18" outlineLevel="1">
      <c r="B126" t="s">
        <v>36</v>
      </c>
      <c r="H126" s="35">
        <f t="shared" ref="H126:R126" si="88">H13</f>
        <v>16042.581</v>
      </c>
      <c r="I126" s="35">
        <f t="shared" si="88"/>
        <v>20053.22625</v>
      </c>
      <c r="J126" s="35">
        <f t="shared" si="88"/>
        <v>24414.802959375</v>
      </c>
      <c r="K126" s="35">
        <f t="shared" si="88"/>
        <v>28931.541506859376</v>
      </c>
      <c r="L126" s="35">
        <f t="shared" si="88"/>
        <v>33343.60158665543</v>
      </c>
      <c r="M126" s="35">
        <f t="shared" si="88"/>
        <v>37344.833777054082</v>
      </c>
      <c r="N126" s="35">
        <f t="shared" si="88"/>
        <v>41826.213830300578</v>
      </c>
      <c r="O126" s="35">
        <f t="shared" si="88"/>
        <v>46845.359489936651</v>
      </c>
      <c r="P126" s="35">
        <f t="shared" si="88"/>
        <v>52466.802628729056</v>
      </c>
      <c r="Q126" s="35">
        <f t="shared" si="88"/>
        <v>58762.81894417655</v>
      </c>
      <c r="R126" s="35">
        <f t="shared" si="88"/>
        <v>65814.357217477736</v>
      </c>
    </row>
    <row r="127" spans="2:18" outlineLevel="1">
      <c r="B127" t="s">
        <v>858</v>
      </c>
      <c r="H127" s="47">
        <f t="shared" ref="H127:R127" si="89">H20*-1</f>
        <v>-7404.8879999999999</v>
      </c>
      <c r="I127" s="47">
        <f t="shared" si="89"/>
        <v>-9023.9518124999995</v>
      </c>
      <c r="J127" s="47">
        <f t="shared" si="89"/>
        <v>-11322.364872410157</v>
      </c>
      <c r="K127" s="47">
        <f t="shared" si="89"/>
        <v>-13814.811069525353</v>
      </c>
      <c r="L127" s="47">
        <f t="shared" si="89"/>
        <v>-16380.044279444479</v>
      </c>
      <c r="M127" s="47">
        <f t="shared" si="89"/>
        <v>-18859.141057412311</v>
      </c>
      <c r="N127" s="47">
        <f t="shared" si="89"/>
        <v>-21122.237984301792</v>
      </c>
      <c r="O127" s="47">
        <f t="shared" si="89"/>
        <v>-23656.906542418008</v>
      </c>
      <c r="P127" s="47">
        <f t="shared" si="89"/>
        <v>-26495.735327508173</v>
      </c>
      <c r="Q127" s="47">
        <f t="shared" si="89"/>
        <v>-29675.223566809156</v>
      </c>
      <c r="R127" s="47">
        <f t="shared" si="89"/>
        <v>-33236.25039482626</v>
      </c>
    </row>
    <row r="128" spans="2:18" outlineLevel="1">
      <c r="B128" t="s">
        <v>37</v>
      </c>
      <c r="H128" s="47">
        <f t="shared" ref="H128:R128" si="90">-1*H51</f>
        <v>-5028.6210000000001</v>
      </c>
      <c r="I128" s="47">
        <f t="shared" si="90"/>
        <v>-6578.3013779764988</v>
      </c>
      <c r="J128" s="47">
        <f t="shared" si="90"/>
        <v>-8009.0819276863867</v>
      </c>
      <c r="K128" s="47">
        <f t="shared" si="90"/>
        <v>-9490.7620843083678</v>
      </c>
      <c r="L128" s="47">
        <f t="shared" si="90"/>
        <v>-10938.103302165395</v>
      </c>
      <c r="M128" s="47">
        <f t="shared" si="90"/>
        <v>-12250.675698425244</v>
      </c>
      <c r="N128" s="47">
        <f t="shared" si="90"/>
        <v>-13720.756782236274</v>
      </c>
      <c r="O128" s="47">
        <f t="shared" si="90"/>
        <v>-15367.247596104629</v>
      </c>
      <c r="P128" s="47">
        <f t="shared" si="90"/>
        <v>-17211.317307637186</v>
      </c>
      <c r="Q128" s="47">
        <f t="shared" si="90"/>
        <v>-19276.675384553651</v>
      </c>
      <c r="R128" s="47">
        <f t="shared" si="90"/>
        <v>-21589.876430700089</v>
      </c>
    </row>
    <row r="129" spans="2:18" outlineLevel="1">
      <c r="B129" t="s">
        <v>41</v>
      </c>
      <c r="H129" s="47">
        <f>H121*-1</f>
        <v>-680.90599999999995</v>
      </c>
      <c r="I129" s="47">
        <f t="shared" ref="I129:M129" si="91">I121*-1</f>
        <v>-1020.3840430282692</v>
      </c>
      <c r="J129" s="47">
        <f t="shared" si="91"/>
        <v>-1161.8332276233814</v>
      </c>
      <c r="K129" s="47">
        <f t="shared" si="91"/>
        <v>-1398.4587774644838</v>
      </c>
      <c r="L129" s="47">
        <f t="shared" si="91"/>
        <v>-1629.6003703058902</v>
      </c>
      <c r="M129" s="47">
        <f t="shared" si="91"/>
        <v>-1839.2192705679659</v>
      </c>
      <c r="N129" s="47">
        <f t="shared" ref="N129:R129" si="92">N121*-1</f>
        <v>-2073.9924388614904</v>
      </c>
      <c r="O129" s="47">
        <f t="shared" si="92"/>
        <v>-2336.9383873502384</v>
      </c>
      <c r="P129" s="47">
        <f t="shared" si="92"/>
        <v>-2631.437849657636</v>
      </c>
      <c r="Q129" s="47">
        <f t="shared" si="92"/>
        <v>-2961.2772474419212</v>
      </c>
      <c r="R129" s="47">
        <f t="shared" si="92"/>
        <v>-3330.6973729603205</v>
      </c>
    </row>
    <row r="130" spans="2:18" outlineLevel="1">
      <c r="B130" t="s">
        <v>38</v>
      </c>
      <c r="H130" s="69">
        <f>IncomeStatement!K38</f>
        <v>-268.09899999999999</v>
      </c>
      <c r="I130" s="47">
        <f>I227*-1</f>
        <v>-451.31157201750005</v>
      </c>
      <c r="J130" s="47">
        <f t="shared" ref="J130:M130" si="93">J227*-1</f>
        <v>-454.0306423652508</v>
      </c>
      <c r="K130" s="47">
        <f t="shared" si="93"/>
        <v>-378.23122133428114</v>
      </c>
      <c r="L130" s="47">
        <f t="shared" si="93"/>
        <v>-325.43898520178948</v>
      </c>
      <c r="M130" s="47">
        <f t="shared" si="93"/>
        <v>-281.63870997083427</v>
      </c>
      <c r="N130" s="47">
        <f t="shared" ref="N130:R130" si="94">N227*-1</f>
        <v>-235.9508013264022</v>
      </c>
      <c r="O130" s="47">
        <f t="shared" si="94"/>
        <v>-201.53520733599362</v>
      </c>
      <c r="P130" s="47">
        <f t="shared" si="94"/>
        <v>-176.79364021412553</v>
      </c>
      <c r="Q130" s="47">
        <f t="shared" si="94"/>
        <v>-166.7035916775354</v>
      </c>
      <c r="R130" s="47">
        <f t="shared" si="94"/>
        <v>-173.13626073060192</v>
      </c>
    </row>
    <row r="131" spans="2:18" outlineLevel="1">
      <c r="B131" s="20" t="s">
        <v>39</v>
      </c>
      <c r="C131" s="20"/>
      <c r="D131" s="20"/>
      <c r="E131" s="20"/>
      <c r="F131" s="21"/>
      <c r="G131" s="21"/>
      <c r="H131" s="48">
        <f>SUM(H126:H130)</f>
        <v>2660.0669999999991</v>
      </c>
      <c r="I131" s="48">
        <f t="shared" ref="I131:M131" si="95">SUM(I126:I130)</f>
        <v>2979.2774444777324</v>
      </c>
      <c r="J131" s="48">
        <f t="shared" si="95"/>
        <v>3467.4922892898239</v>
      </c>
      <c r="K131" s="48">
        <f t="shared" si="95"/>
        <v>3849.2783542268899</v>
      </c>
      <c r="L131" s="48">
        <f t="shared" si="95"/>
        <v>4070.4146495378764</v>
      </c>
      <c r="M131" s="48">
        <f t="shared" si="95"/>
        <v>4114.1590406777259</v>
      </c>
      <c r="N131" s="48">
        <f t="shared" ref="N131:R131" si="96">SUM(N126:N130)</f>
        <v>4673.2758235746187</v>
      </c>
      <c r="O131" s="48">
        <f t="shared" si="96"/>
        <v>5282.7317567277814</v>
      </c>
      <c r="P131" s="48">
        <f t="shared" si="96"/>
        <v>5951.5185037119354</v>
      </c>
      <c r="Q131" s="48">
        <f t="shared" si="96"/>
        <v>6682.9391536942849</v>
      </c>
      <c r="R131" s="48">
        <f t="shared" si="96"/>
        <v>7484.3967582604646</v>
      </c>
    </row>
    <row r="132" spans="2:18" outlineLevel="1">
      <c r="B132" s="7" t="s">
        <v>40</v>
      </c>
      <c r="C132" s="7"/>
      <c r="D132" s="7"/>
      <c r="E132" s="7"/>
      <c r="F132" s="7"/>
      <c r="G132" s="7"/>
      <c r="H132" s="50">
        <f>IncomeStatement!K46</f>
        <v>-637.54700000000003</v>
      </c>
      <c r="I132" s="49">
        <f>(I131*I135)*-1</f>
        <v>-744.8193611194331</v>
      </c>
      <c r="J132" s="49">
        <f t="shared" ref="J132:M132" si="97">(J131*J135)*-1</f>
        <v>-866.87307232245598</v>
      </c>
      <c r="K132" s="49">
        <f t="shared" si="97"/>
        <v>-962.31958855672247</v>
      </c>
      <c r="L132" s="49">
        <f t="shared" si="97"/>
        <v>-1017.6036623844691</v>
      </c>
      <c r="M132" s="49">
        <f t="shared" si="97"/>
        <v>-1028.5397601694315</v>
      </c>
      <c r="N132" s="49">
        <f t="shared" ref="N132:R132" si="98">(N131*N135)*-1</f>
        <v>-1168.3189558936547</v>
      </c>
      <c r="O132" s="49">
        <f t="shared" si="98"/>
        <v>-1320.6829391819454</v>
      </c>
      <c r="P132" s="49">
        <f t="shared" si="98"/>
        <v>-1487.8796259279839</v>
      </c>
      <c r="Q132" s="49">
        <f t="shared" si="98"/>
        <v>-1670.7347884235712</v>
      </c>
      <c r="R132" s="49">
        <f t="shared" si="98"/>
        <v>-1871.0991895651161</v>
      </c>
    </row>
    <row r="133" spans="2:18" outlineLevel="1">
      <c r="B133" s="11" t="s">
        <v>5</v>
      </c>
      <c r="C133" s="11"/>
      <c r="D133" s="11"/>
      <c r="E133" s="11"/>
      <c r="H133" s="35">
        <f>H131+H132</f>
        <v>2022.5199999999991</v>
      </c>
      <c r="I133" s="35">
        <f t="shared" ref="I133:M133" si="99">I131+I132</f>
        <v>2234.4580833582995</v>
      </c>
      <c r="J133" s="35">
        <f t="shared" si="99"/>
        <v>2600.6192169673677</v>
      </c>
      <c r="K133" s="35">
        <f t="shared" si="99"/>
        <v>2886.9587656701674</v>
      </c>
      <c r="L133" s="35">
        <f t="shared" si="99"/>
        <v>3052.810987153407</v>
      </c>
      <c r="M133" s="35">
        <f t="shared" si="99"/>
        <v>3085.6192805082947</v>
      </c>
      <c r="N133" s="35">
        <f t="shared" ref="N133:R133" si="100">N131+N132</f>
        <v>3504.956867680964</v>
      </c>
      <c r="O133" s="35">
        <f t="shared" si="100"/>
        <v>3962.0488175458358</v>
      </c>
      <c r="P133" s="35">
        <f t="shared" si="100"/>
        <v>4463.6388777839511</v>
      </c>
      <c r="Q133" s="35">
        <f t="shared" si="100"/>
        <v>5012.2043652707134</v>
      </c>
      <c r="R133" s="35">
        <f t="shared" si="100"/>
        <v>5613.2975686953487</v>
      </c>
    </row>
    <row r="134" spans="2:18" outlineLevel="1"/>
    <row r="135" spans="2:18" outlineLevel="1">
      <c r="B135" s="51" t="s">
        <v>28</v>
      </c>
      <c r="C135" s="51"/>
      <c r="D135" s="51"/>
      <c r="E135" s="51"/>
      <c r="F135" s="52"/>
      <c r="G135" s="52"/>
      <c r="H135" s="53"/>
      <c r="I135" s="54">
        <f>ControlSheet!I121</f>
        <v>0.25</v>
      </c>
      <c r="J135" s="54">
        <f>ControlSheet!J121</f>
        <v>0.25</v>
      </c>
      <c r="K135" s="54">
        <f>ControlSheet!K121</f>
        <v>0.25</v>
      </c>
      <c r="L135" s="54">
        <f>ControlSheet!L121</f>
        <v>0.25</v>
      </c>
      <c r="M135" s="54">
        <f>ControlSheet!M121</f>
        <v>0.25</v>
      </c>
      <c r="N135" s="54">
        <f>ControlSheet!N121</f>
        <v>0.25</v>
      </c>
      <c r="O135" s="54">
        <f>ControlSheet!O121</f>
        <v>0.25</v>
      </c>
      <c r="P135" s="54">
        <f>ControlSheet!P121</f>
        <v>0.25</v>
      </c>
      <c r="Q135" s="54">
        <f>ControlSheet!Q121</f>
        <v>0.25</v>
      </c>
      <c r="R135" s="54">
        <f>ControlSheet!R121</f>
        <v>0.25</v>
      </c>
    </row>
    <row r="137" spans="2:18" ht="18">
      <c r="B137" s="10" t="s">
        <v>539</v>
      </c>
      <c r="C137" s="10"/>
      <c r="D137" s="10"/>
      <c r="E137" s="10"/>
      <c r="F137" s="10"/>
      <c r="G137" s="10"/>
      <c r="H137" s="10"/>
      <c r="I137" s="10"/>
      <c r="J137" s="10"/>
      <c r="K137" s="10"/>
      <c r="L137" s="10"/>
      <c r="M137" s="10"/>
      <c r="N137" s="10"/>
      <c r="O137" s="10"/>
      <c r="P137" s="10"/>
      <c r="Q137" s="10"/>
      <c r="R137" s="10"/>
    </row>
    <row r="138" spans="2:18" outlineLevel="1"/>
    <row r="139" spans="2:18" outlineLevel="1">
      <c r="B139" t="s">
        <v>540</v>
      </c>
      <c r="H139" s="35"/>
      <c r="I139" s="69">
        <f>'3StatementModel'!H81</f>
        <v>6286.8909999999996</v>
      </c>
      <c r="J139" s="69">
        <f>'3StatementModel'!I81</f>
        <v>8271.4065824170539</v>
      </c>
      <c r="K139" s="69">
        <f>'3StatementModel'!J81</f>
        <v>10585.69582941666</v>
      </c>
      <c r="L139" s="69">
        <f>'3StatementModel'!K81</f>
        <v>13010.989007980228</v>
      </c>
      <c r="M139" s="69">
        <f>'3StatementModel'!L81</f>
        <v>15103.682854786573</v>
      </c>
      <c r="N139" s="69">
        <f>'3StatementModel'!M81</f>
        <v>16739.854579483359</v>
      </c>
      <c r="O139" s="69">
        <f>'3StatementModel'!N81</f>
        <v>18411.194151057971</v>
      </c>
      <c r="P139" s="69">
        <f>'3StatementModel'!O81</f>
        <v>20299.518177805956</v>
      </c>
      <c r="Q139" s="69">
        <f>'3StatementModel'!P81</f>
        <v>22189.907334176991</v>
      </c>
      <c r="R139" s="69">
        <f>'3StatementModel'!Q81</f>
        <v>24047.013795174047</v>
      </c>
    </row>
    <row r="140" spans="2:18" outlineLevel="1">
      <c r="B140" s="40" t="s">
        <v>541</v>
      </c>
      <c r="C140" s="40"/>
      <c r="D140" s="40"/>
      <c r="E140" s="40"/>
      <c r="H140" s="35"/>
      <c r="I140" s="69">
        <f>'3StatementModel'!I42</f>
        <v>2334.724214608299</v>
      </c>
      <c r="J140" s="69">
        <f>'3StatementModel'!J42</f>
        <v>2722.6932317642431</v>
      </c>
      <c r="K140" s="69">
        <f>'3StatementModel'!K42</f>
        <v>3031.6164732044626</v>
      </c>
      <c r="L140" s="69">
        <f>'3StatementModel'!L42</f>
        <v>3219.5289950866845</v>
      </c>
      <c r="M140" s="69">
        <f>'3StatementModel'!M42</f>
        <v>3272.3434493935665</v>
      </c>
      <c r="N140" s="69">
        <f>'3StatementModel'!N42</f>
        <v>3714.0879368324668</v>
      </c>
      <c r="O140" s="69">
        <f>'3StatementModel'!O42</f>
        <v>4196.2756149955212</v>
      </c>
      <c r="P140" s="69">
        <f>'3StatementModel'!P42</f>
        <v>4725.9728909275964</v>
      </c>
      <c r="Q140" s="69">
        <f>'3StatementModel'!Q42</f>
        <v>5306.0184599915965</v>
      </c>
      <c r="R140" s="69">
        <f>'3StatementModel'!R42</f>
        <v>5942.369354782737</v>
      </c>
    </row>
    <row r="141" spans="2:18" outlineLevel="1">
      <c r="B141" s="40" t="s">
        <v>42</v>
      </c>
      <c r="C141" s="40"/>
      <c r="D141" s="40"/>
      <c r="E141" s="40"/>
      <c r="H141" s="35"/>
      <c r="I141" s="47">
        <f>I140*-I144</f>
        <v>-350.20863219124482</v>
      </c>
      <c r="J141" s="47">
        <f t="shared" ref="J141:M141" si="101">J140*-J144</f>
        <v>-408.40398476463645</v>
      </c>
      <c r="K141" s="47">
        <f t="shared" si="101"/>
        <v>-606.32329464089253</v>
      </c>
      <c r="L141" s="47">
        <f t="shared" si="101"/>
        <v>-1126.8351482803396</v>
      </c>
      <c r="M141" s="47">
        <f t="shared" si="101"/>
        <v>-1636.1717246967833</v>
      </c>
      <c r="N141" s="47">
        <f t="shared" ref="N141:R141" si="102">N140*-N144</f>
        <v>-2042.7483652578569</v>
      </c>
      <c r="O141" s="47">
        <f t="shared" si="102"/>
        <v>-2307.9515882475371</v>
      </c>
      <c r="P141" s="47">
        <f t="shared" si="102"/>
        <v>-2835.5837345565578</v>
      </c>
      <c r="Q141" s="47">
        <f t="shared" si="102"/>
        <v>-3448.911998994538</v>
      </c>
      <c r="R141" s="47">
        <f t="shared" si="102"/>
        <v>-4159.6585483479157</v>
      </c>
    </row>
    <row r="142" spans="2:18" outlineLevel="1">
      <c r="B142" s="20" t="s">
        <v>43</v>
      </c>
      <c r="C142" s="20"/>
      <c r="D142" s="20"/>
      <c r="E142" s="20"/>
      <c r="F142" s="20"/>
      <c r="G142" s="20"/>
      <c r="H142" s="38"/>
      <c r="I142" s="23">
        <f>SUM(I139:I141)</f>
        <v>8271.4065824170539</v>
      </c>
      <c r="J142" s="23">
        <f t="shared" ref="J142:M142" si="103">SUM(J139:J141)</f>
        <v>10585.69582941666</v>
      </c>
      <c r="K142" s="23">
        <f t="shared" si="103"/>
        <v>13010.989007980228</v>
      </c>
      <c r="L142" s="23">
        <f t="shared" si="103"/>
        <v>15103.682854786573</v>
      </c>
      <c r="M142" s="23">
        <f t="shared" si="103"/>
        <v>16739.854579483359</v>
      </c>
      <c r="N142" s="23">
        <f t="shared" ref="N142:R142" si="104">SUM(N139:N141)</f>
        <v>18411.194151057971</v>
      </c>
      <c r="O142" s="23">
        <f t="shared" si="104"/>
        <v>20299.518177805956</v>
      </c>
      <c r="P142" s="23">
        <f t="shared" si="104"/>
        <v>22189.907334176991</v>
      </c>
      <c r="Q142" s="23">
        <f t="shared" si="104"/>
        <v>24047.013795174047</v>
      </c>
      <c r="R142" s="23">
        <f t="shared" si="104"/>
        <v>25829.724601608868</v>
      </c>
    </row>
    <row r="143" spans="2:18" outlineLevel="1"/>
    <row r="144" spans="2:18" outlineLevel="1">
      <c r="B144" s="52" t="s">
        <v>44</v>
      </c>
      <c r="C144" s="52"/>
      <c r="D144" s="52"/>
      <c r="E144" s="52"/>
      <c r="F144" s="52"/>
      <c r="G144" s="52"/>
      <c r="H144" s="52"/>
      <c r="I144" s="54">
        <f>ControlSheet!I153</f>
        <v>0.15</v>
      </c>
      <c r="J144" s="54">
        <f>ControlSheet!J153</f>
        <v>0.15</v>
      </c>
      <c r="K144" s="54">
        <f>ControlSheet!K153</f>
        <v>0.2</v>
      </c>
      <c r="L144" s="54">
        <f>ControlSheet!L153</f>
        <v>0.35</v>
      </c>
      <c r="M144" s="54">
        <f>ControlSheet!M153</f>
        <v>0.5</v>
      </c>
      <c r="N144" s="54">
        <f>ControlSheet!N153</f>
        <v>0.55000000000000004</v>
      </c>
      <c r="O144" s="54">
        <f>ControlSheet!O153</f>
        <v>0.55000000000000004</v>
      </c>
      <c r="P144" s="54">
        <f>ControlSheet!P153</f>
        <v>0.6</v>
      </c>
      <c r="Q144" s="54">
        <f>ControlSheet!Q153</f>
        <v>0.65</v>
      </c>
      <c r="R144" s="54">
        <f>ControlSheet!R153</f>
        <v>0.7</v>
      </c>
    </row>
    <row r="146" spans="2:18" ht="18">
      <c r="B146" s="10" t="s">
        <v>45</v>
      </c>
      <c r="C146" s="10"/>
      <c r="D146" s="10"/>
      <c r="E146" s="10"/>
      <c r="F146" s="10"/>
      <c r="G146" s="10"/>
      <c r="H146" s="10"/>
      <c r="I146" s="10"/>
      <c r="J146" s="10"/>
      <c r="K146" s="10"/>
      <c r="L146" s="10"/>
      <c r="M146" s="10"/>
      <c r="N146" s="10"/>
      <c r="O146" s="10"/>
      <c r="P146" s="10"/>
      <c r="Q146" s="10"/>
      <c r="R146" s="10"/>
    </row>
    <row r="147" spans="2:18" outlineLevel="1">
      <c r="M147" s="55">
        <v>365</v>
      </c>
      <c r="N147" s="55">
        <v>365</v>
      </c>
      <c r="O147" s="55">
        <v>365</v>
      </c>
      <c r="P147" s="55">
        <v>365</v>
      </c>
      <c r="Q147" s="55">
        <v>365</v>
      </c>
      <c r="R147" s="55">
        <v>365</v>
      </c>
    </row>
    <row r="148" spans="2:18" outlineLevel="1">
      <c r="B148" s="307" t="s">
        <v>8</v>
      </c>
      <c r="C148" s="7"/>
      <c r="D148" s="255"/>
      <c r="E148" s="255"/>
      <c r="F148" s="255"/>
      <c r="G148" s="255"/>
      <c r="H148" s="255"/>
      <c r="I148" s="256"/>
      <c r="J148" s="256"/>
      <c r="K148" s="256"/>
      <c r="L148" s="256"/>
      <c r="M148" s="256"/>
      <c r="N148" s="256"/>
      <c r="O148" s="256"/>
      <c r="P148" s="256"/>
      <c r="Q148" s="256"/>
      <c r="R148" s="256"/>
    </row>
    <row r="149" spans="2:18" outlineLevel="1">
      <c r="B149" t="s">
        <v>36</v>
      </c>
      <c r="D149" s="34">
        <f t="shared" ref="D149:R149" si="105">D13</f>
        <v>7129.58</v>
      </c>
      <c r="E149" s="34">
        <f t="shared" si="105"/>
        <v>6450.14</v>
      </c>
      <c r="F149" s="34">
        <f t="shared" si="105"/>
        <v>8823.2300000000014</v>
      </c>
      <c r="G149" s="34">
        <f t="shared" si="105"/>
        <v>13173.14</v>
      </c>
      <c r="H149" s="34">
        <f t="shared" si="105"/>
        <v>16042.581</v>
      </c>
      <c r="I149" s="34">
        <f t="shared" si="105"/>
        <v>20053.22625</v>
      </c>
      <c r="J149" s="34">
        <f t="shared" si="105"/>
        <v>24414.802959375</v>
      </c>
      <c r="K149" s="34">
        <f t="shared" si="105"/>
        <v>28931.541506859376</v>
      </c>
      <c r="L149" s="34">
        <f t="shared" si="105"/>
        <v>33343.60158665543</v>
      </c>
      <c r="M149" s="34">
        <f t="shared" si="105"/>
        <v>37344.833777054082</v>
      </c>
      <c r="N149" s="34">
        <f t="shared" si="105"/>
        <v>41826.213830300578</v>
      </c>
      <c r="O149" s="34">
        <f t="shared" si="105"/>
        <v>46845.359489936651</v>
      </c>
      <c r="P149" s="34">
        <f t="shared" si="105"/>
        <v>52466.802628729056</v>
      </c>
      <c r="Q149" s="34">
        <f t="shared" si="105"/>
        <v>58762.81894417655</v>
      </c>
      <c r="R149" s="34">
        <f t="shared" si="105"/>
        <v>65814.357217477736</v>
      </c>
    </row>
    <row r="150" spans="2:18" outlineLevel="1">
      <c r="B150" t="s">
        <v>8</v>
      </c>
      <c r="D150" s="45">
        <f>BalanceSheet!F23</f>
        <v>881.51</v>
      </c>
      <c r="E150" s="45">
        <f>BalanceSheet!G23</f>
        <v>928.8</v>
      </c>
      <c r="F150" s="45">
        <f>BalanceSheet!H23</f>
        <v>1448.09</v>
      </c>
      <c r="G150" s="45">
        <f>BalanceSheet!I23</f>
        <v>1993.89</v>
      </c>
      <c r="H150" s="45">
        <f>BalanceSheet!J23</f>
        <v>2150.5329999999999</v>
      </c>
      <c r="I150" s="34">
        <f>I151/$M$147*I149</f>
        <v>2856.8979863013697</v>
      </c>
      <c r="J150" s="34">
        <f t="shared" ref="J150" si="106">J151/$M$147*J149</f>
        <v>3478.2732983219175</v>
      </c>
      <c r="K150" s="34">
        <f t="shared" ref="K150" si="107">K151/$M$147*K149</f>
        <v>3725.4313721161388</v>
      </c>
      <c r="L150" s="34">
        <f t="shared" ref="L150" si="108">L151/$M$147*L149</f>
        <v>4293.5596563638501</v>
      </c>
      <c r="M150" s="34">
        <f t="shared" ref="M150:R150" si="109">M151/$M$147*M149</f>
        <v>4808.7868151275115</v>
      </c>
      <c r="N150" s="34">
        <f t="shared" si="109"/>
        <v>5385.8412329428138</v>
      </c>
      <c r="O150" s="34">
        <f t="shared" si="109"/>
        <v>6032.1421808959522</v>
      </c>
      <c r="P150" s="34">
        <f t="shared" si="109"/>
        <v>6755.9992426034678</v>
      </c>
      <c r="Q150" s="34">
        <f t="shared" si="109"/>
        <v>7566.7191517158844</v>
      </c>
      <c r="R150" s="34">
        <f t="shared" si="109"/>
        <v>8474.7254499217906</v>
      </c>
    </row>
    <row r="151" spans="2:18" outlineLevel="1">
      <c r="B151" s="51" t="s">
        <v>48</v>
      </c>
      <c r="C151" s="51"/>
      <c r="D151" s="56">
        <f>((D150+C150)/2)/D149*$M$147</f>
        <v>22.564523436163139</v>
      </c>
      <c r="E151" s="56">
        <f>((E150+D150)/2)/E149*$M$147</f>
        <v>51.220837842279387</v>
      </c>
      <c r="F151" s="56">
        <f t="shared" ref="F151:H151" si="110">((F150+E150)/2)/F149*$M$147</f>
        <v>49.163676454087664</v>
      </c>
      <c r="G151" s="56">
        <f t="shared" si="110"/>
        <v>47.685012836726855</v>
      </c>
      <c r="H151" s="56">
        <f t="shared" si="110"/>
        <v>47.146852336291765</v>
      </c>
      <c r="I151" s="257">
        <v>52</v>
      </c>
      <c r="J151" s="257">
        <v>52</v>
      </c>
      <c r="K151" s="257">
        <v>47</v>
      </c>
      <c r="L151" s="257">
        <v>47</v>
      </c>
      <c r="M151" s="257">
        <v>47</v>
      </c>
      <c r="N151" s="257">
        <v>47</v>
      </c>
      <c r="O151" s="257">
        <v>47</v>
      </c>
      <c r="P151" s="257">
        <v>47</v>
      </c>
      <c r="Q151" s="257">
        <v>47</v>
      </c>
      <c r="R151" s="257">
        <v>47</v>
      </c>
    </row>
    <row r="152" spans="2:18" outlineLevel="1">
      <c r="B152" s="51" t="s">
        <v>447</v>
      </c>
      <c r="C152" s="51"/>
      <c r="D152" s="252">
        <f>D150/D149</f>
        <v>0.12364122430774323</v>
      </c>
      <c r="E152" s="252">
        <f t="shared" ref="E152:M152" si="111">E150/E149</f>
        <v>0.14399687448644524</v>
      </c>
      <c r="F152" s="252">
        <f t="shared" si="111"/>
        <v>0.16412243588799111</v>
      </c>
      <c r="G152" s="252">
        <f t="shared" si="111"/>
        <v>0.151360267939155</v>
      </c>
      <c r="H152" s="252">
        <f t="shared" si="111"/>
        <v>0.13405155940929953</v>
      </c>
      <c r="I152" s="252">
        <f t="shared" si="111"/>
        <v>0.14246575342465753</v>
      </c>
      <c r="J152" s="252">
        <f t="shared" si="111"/>
        <v>0.14246575342465753</v>
      </c>
      <c r="K152" s="252">
        <f t="shared" si="111"/>
        <v>0.12876712328767123</v>
      </c>
      <c r="L152" s="252">
        <f t="shared" si="111"/>
        <v>0.12876712328767123</v>
      </c>
      <c r="M152" s="252">
        <f t="shared" si="111"/>
        <v>0.12876712328767123</v>
      </c>
      <c r="N152" s="252">
        <f t="shared" ref="N152:R152" si="112">N150/N149</f>
        <v>0.12876712328767123</v>
      </c>
      <c r="O152" s="252">
        <f t="shared" si="112"/>
        <v>0.12876712328767123</v>
      </c>
      <c r="P152" s="252">
        <f t="shared" si="112"/>
        <v>0.12876712328767123</v>
      </c>
      <c r="Q152" s="252">
        <f t="shared" si="112"/>
        <v>0.12876712328767123</v>
      </c>
      <c r="R152" s="252">
        <f t="shared" si="112"/>
        <v>0.12876712328767123</v>
      </c>
    </row>
    <row r="153" spans="2:18" outlineLevel="1">
      <c r="M153" s="55"/>
      <c r="N153" s="55"/>
      <c r="O153" s="55"/>
      <c r="P153" s="55"/>
      <c r="Q153" s="55"/>
      <c r="R153" s="55"/>
    </row>
    <row r="154" spans="2:18" outlineLevel="1">
      <c r="B154" s="307" t="s">
        <v>357</v>
      </c>
      <c r="C154" s="7"/>
      <c r="D154" s="255"/>
      <c r="E154" s="255"/>
      <c r="F154" s="255"/>
      <c r="G154" s="255"/>
      <c r="H154" s="255"/>
      <c r="I154" s="256"/>
      <c r="J154" s="256"/>
      <c r="K154" s="256"/>
      <c r="L154" s="256"/>
      <c r="M154" s="256"/>
      <c r="N154" s="256"/>
      <c r="O154" s="256"/>
      <c r="P154" s="256"/>
      <c r="Q154" s="256"/>
      <c r="R154" s="256"/>
    </row>
    <row r="155" spans="2:18" outlineLevel="1">
      <c r="B155" t="s">
        <v>36</v>
      </c>
      <c r="D155" s="34">
        <f t="shared" ref="D155:R155" si="113">D13</f>
        <v>7129.58</v>
      </c>
      <c r="E155" s="34">
        <f t="shared" si="113"/>
        <v>6450.14</v>
      </c>
      <c r="F155" s="34">
        <f t="shared" si="113"/>
        <v>8823.2300000000014</v>
      </c>
      <c r="G155" s="34">
        <f t="shared" si="113"/>
        <v>13173.14</v>
      </c>
      <c r="H155" s="34">
        <f t="shared" si="113"/>
        <v>16042.581</v>
      </c>
      <c r="I155" s="34">
        <f t="shared" si="113"/>
        <v>20053.22625</v>
      </c>
      <c r="J155" s="34">
        <f t="shared" si="113"/>
        <v>24414.802959375</v>
      </c>
      <c r="K155" s="34">
        <f t="shared" si="113"/>
        <v>28931.541506859376</v>
      </c>
      <c r="L155" s="34">
        <f t="shared" si="113"/>
        <v>33343.60158665543</v>
      </c>
      <c r="M155" s="34">
        <f t="shared" si="113"/>
        <v>37344.833777054082</v>
      </c>
      <c r="N155" s="34">
        <f t="shared" si="113"/>
        <v>41826.213830300578</v>
      </c>
      <c r="O155" s="34">
        <f t="shared" si="113"/>
        <v>46845.359489936651</v>
      </c>
      <c r="P155" s="34">
        <f t="shared" si="113"/>
        <v>52466.802628729056</v>
      </c>
      <c r="Q155" s="34">
        <f t="shared" si="113"/>
        <v>58762.81894417655</v>
      </c>
      <c r="R155" s="34">
        <f t="shared" si="113"/>
        <v>65814.357217477736</v>
      </c>
    </row>
    <row r="156" spans="2:18" outlineLevel="1">
      <c r="B156" t="s">
        <v>357</v>
      </c>
      <c r="D156" s="45">
        <f>BalanceSheet!F24</f>
        <v>172.56</v>
      </c>
      <c r="E156" s="45">
        <f>BalanceSheet!G24</f>
        <v>241.8</v>
      </c>
      <c r="F156" s="45">
        <f>BalanceSheet!H24</f>
        <v>221.25</v>
      </c>
      <c r="G156" s="45">
        <f>BalanceSheet!I24</f>
        <v>299.33999999999997</v>
      </c>
      <c r="H156" s="45">
        <f>BalanceSheet!J24</f>
        <v>359.38499999999999</v>
      </c>
      <c r="I156" s="34">
        <f>I157/$M$147*I155</f>
        <v>494.4631130136986</v>
      </c>
      <c r="J156" s="34">
        <f t="shared" ref="J156:M156" si="114">J157/$M$147*J155</f>
        <v>602.00884009417803</v>
      </c>
      <c r="K156" s="34">
        <f t="shared" si="114"/>
        <v>713.38047551160105</v>
      </c>
      <c r="L156" s="34">
        <f t="shared" si="114"/>
        <v>822.17099802712016</v>
      </c>
      <c r="M156" s="34">
        <f t="shared" si="114"/>
        <v>920.83151779037462</v>
      </c>
      <c r="N156" s="34">
        <f t="shared" ref="N156:R156" si="115">N157/$M$147*N155</f>
        <v>1031.3312999252196</v>
      </c>
      <c r="O156" s="34">
        <f t="shared" si="115"/>
        <v>1155.0910559162462</v>
      </c>
      <c r="P156" s="34">
        <f t="shared" si="115"/>
        <v>1293.7019826261958</v>
      </c>
      <c r="Q156" s="34">
        <f t="shared" si="115"/>
        <v>1448.9462205413395</v>
      </c>
      <c r="R156" s="34">
        <f t="shared" si="115"/>
        <v>1622.8197670063003</v>
      </c>
    </row>
    <row r="157" spans="2:18" outlineLevel="1">
      <c r="B157" s="51" t="s">
        <v>451</v>
      </c>
      <c r="C157" s="51"/>
      <c r="D157" s="56">
        <f>AVERAGE(C156:D156)/D155*$M$147</f>
        <v>8.8342370798840886</v>
      </c>
      <c r="E157" s="56">
        <f>AVERAGE(D156:E156)/E155*$M$147</f>
        <v>11.723885062959873</v>
      </c>
      <c r="F157" s="56">
        <f t="shared" ref="F157:H157" si="116">AVERAGE(E156:F156)/F155*$M$147</f>
        <v>9.5777425047289917</v>
      </c>
      <c r="G157" s="56">
        <f t="shared" si="116"/>
        <v>7.212226925395159</v>
      </c>
      <c r="H157" s="56">
        <f t="shared" si="116"/>
        <v>7.4936391158006304</v>
      </c>
      <c r="I157" s="257">
        <v>9</v>
      </c>
      <c r="J157" s="257">
        <v>9</v>
      </c>
      <c r="K157" s="257">
        <v>9</v>
      </c>
      <c r="L157" s="257">
        <v>9</v>
      </c>
      <c r="M157" s="257">
        <v>9</v>
      </c>
      <c r="N157" s="257">
        <v>9</v>
      </c>
      <c r="O157" s="257">
        <v>9</v>
      </c>
      <c r="P157" s="257">
        <v>9</v>
      </c>
      <c r="Q157" s="257">
        <v>9</v>
      </c>
      <c r="R157" s="257">
        <v>9</v>
      </c>
    </row>
    <row r="158" spans="2:18" outlineLevel="1"/>
    <row r="159" spans="2:18" outlineLevel="1">
      <c r="B159" s="307" t="s">
        <v>10</v>
      </c>
      <c r="C159" s="7"/>
      <c r="D159" s="255"/>
      <c r="E159" s="255"/>
      <c r="F159" s="255"/>
      <c r="G159" s="255"/>
      <c r="H159" s="255"/>
      <c r="I159" s="256"/>
      <c r="J159" s="256"/>
      <c r="K159" s="256"/>
      <c r="L159" s="256"/>
      <c r="M159" s="256"/>
      <c r="N159" s="256"/>
      <c r="O159" s="256"/>
      <c r="P159" s="256"/>
      <c r="Q159" s="256"/>
      <c r="R159" s="256"/>
    </row>
    <row r="160" spans="2:18" outlineLevel="1">
      <c r="B160" t="s">
        <v>36</v>
      </c>
      <c r="D160" s="35">
        <f t="shared" ref="D160:R160" si="117">D13</f>
        <v>7129.58</v>
      </c>
      <c r="E160" s="35">
        <f t="shared" si="117"/>
        <v>6450.14</v>
      </c>
      <c r="F160" s="35">
        <f t="shared" si="117"/>
        <v>8823.2300000000014</v>
      </c>
      <c r="G160" s="35">
        <f t="shared" si="117"/>
        <v>13173.14</v>
      </c>
      <c r="H160" s="35">
        <f t="shared" si="117"/>
        <v>16042.581</v>
      </c>
      <c r="I160" s="35">
        <f t="shared" si="117"/>
        <v>20053.22625</v>
      </c>
      <c r="J160" s="35">
        <f t="shared" si="117"/>
        <v>24414.802959375</v>
      </c>
      <c r="K160" s="35">
        <f t="shared" si="117"/>
        <v>28931.541506859376</v>
      </c>
      <c r="L160" s="35">
        <f t="shared" si="117"/>
        <v>33343.60158665543</v>
      </c>
      <c r="M160" s="35">
        <f t="shared" si="117"/>
        <v>37344.833777054082</v>
      </c>
      <c r="N160" s="35">
        <f t="shared" si="117"/>
        <v>41826.213830300578</v>
      </c>
      <c r="O160" s="35">
        <f t="shared" si="117"/>
        <v>46845.359489936651</v>
      </c>
      <c r="P160" s="35">
        <f t="shared" si="117"/>
        <v>52466.802628729056</v>
      </c>
      <c r="Q160" s="35">
        <f t="shared" si="117"/>
        <v>58762.81894417655</v>
      </c>
      <c r="R160" s="35">
        <f t="shared" si="117"/>
        <v>65814.357217477736</v>
      </c>
    </row>
    <row r="161" spans="2:18" outlineLevel="1">
      <c r="B161" t="s">
        <v>10</v>
      </c>
      <c r="D161" s="45">
        <f>BalanceSheet!F25</f>
        <v>446.74</v>
      </c>
      <c r="E161" s="45">
        <f>BalanceSheet!G25</f>
        <v>439.03</v>
      </c>
      <c r="F161" s="45">
        <f>BalanceSheet!H25</f>
        <v>540.16000000000008</v>
      </c>
      <c r="G161" s="45">
        <f>BalanceSheet!I25</f>
        <v>825.54</v>
      </c>
      <c r="H161" s="45">
        <f>BalanceSheet!J25</f>
        <v>1265.8499999999999</v>
      </c>
      <c r="I161" s="34">
        <f>I162*I160</f>
        <v>1303.45970625</v>
      </c>
      <c r="J161" s="34">
        <f t="shared" ref="J161" si="118">J162*J160</f>
        <v>1586.962192359375</v>
      </c>
      <c r="K161" s="34">
        <f t="shared" ref="K161" si="119">K162*K160</f>
        <v>1880.5501979458595</v>
      </c>
      <c r="L161" s="34">
        <f t="shared" ref="L161" si="120">L162*L160</f>
        <v>2167.3341031326031</v>
      </c>
      <c r="M161" s="34">
        <f t="shared" ref="M161:R161" si="121">M162*M160</f>
        <v>2427.4141955085156</v>
      </c>
      <c r="N161" s="34">
        <f t="shared" si="121"/>
        <v>2718.7038989695375</v>
      </c>
      <c r="O161" s="34">
        <f t="shared" si="121"/>
        <v>3044.9483668458824</v>
      </c>
      <c r="P161" s="34">
        <f t="shared" si="121"/>
        <v>3410.3421708673886</v>
      </c>
      <c r="Q161" s="34">
        <f t="shared" si="121"/>
        <v>3819.5832313714759</v>
      </c>
      <c r="R161" s="34">
        <f t="shared" si="121"/>
        <v>4277.9332191360527</v>
      </c>
    </row>
    <row r="162" spans="2:18" outlineLevel="1">
      <c r="B162" s="51" t="s">
        <v>374</v>
      </c>
      <c r="C162" s="51"/>
      <c r="D162" s="57">
        <f t="shared" ref="D162:G162" si="122">D161/D160</f>
        <v>6.2660072542842643E-2</v>
      </c>
      <c r="E162" s="57">
        <f t="shared" si="122"/>
        <v>6.806518928271324E-2</v>
      </c>
      <c r="F162" s="57">
        <f t="shared" si="122"/>
        <v>6.1220210739151085E-2</v>
      </c>
      <c r="G162" s="57">
        <f t="shared" si="122"/>
        <v>6.2668429850438093E-2</v>
      </c>
      <c r="H162" s="57">
        <f>H161/H160</f>
        <v>7.8905632454029678E-2</v>
      </c>
      <c r="I162" s="260">
        <v>6.5000000000000002E-2</v>
      </c>
      <c r="J162" s="260">
        <v>6.5000000000000002E-2</v>
      </c>
      <c r="K162" s="260">
        <v>6.5000000000000002E-2</v>
      </c>
      <c r="L162" s="260">
        <v>6.5000000000000002E-2</v>
      </c>
      <c r="M162" s="260">
        <v>6.5000000000000002E-2</v>
      </c>
      <c r="N162" s="260">
        <v>6.5000000000000002E-2</v>
      </c>
      <c r="O162" s="260">
        <v>6.5000000000000002E-2</v>
      </c>
      <c r="P162" s="260">
        <v>6.5000000000000002E-2</v>
      </c>
      <c r="Q162" s="260">
        <v>6.5000000000000002E-2</v>
      </c>
      <c r="R162" s="260">
        <v>6.5000000000000002E-2</v>
      </c>
    </row>
    <row r="163" spans="2:18" outlineLevel="1"/>
    <row r="164" spans="2:18" outlineLevel="1">
      <c r="B164" s="307" t="s">
        <v>506</v>
      </c>
      <c r="C164" s="7"/>
      <c r="D164" s="255"/>
      <c r="E164" s="255"/>
      <c r="F164" s="255"/>
      <c r="G164" s="255"/>
      <c r="H164" s="255"/>
      <c r="I164" s="256"/>
      <c r="J164" s="256"/>
      <c r="K164" s="256"/>
      <c r="L164" s="256"/>
      <c r="M164" s="256"/>
      <c r="N164" s="256"/>
      <c r="O164" s="256"/>
      <c r="P164" s="256"/>
      <c r="Q164" s="256"/>
      <c r="R164" s="256"/>
    </row>
    <row r="165" spans="2:18" outlineLevel="1">
      <c r="B165" t="s">
        <v>46</v>
      </c>
      <c r="D165" s="35">
        <f t="shared" ref="D165:R165" si="123">D20</f>
        <v>3219.43</v>
      </c>
      <c r="E165" s="35">
        <f t="shared" si="123"/>
        <v>2763.9400000000005</v>
      </c>
      <c r="F165" s="35">
        <f t="shared" si="123"/>
        <v>4034.6600000000003</v>
      </c>
      <c r="G165" s="35">
        <f t="shared" si="123"/>
        <v>6261.15</v>
      </c>
      <c r="H165" s="35">
        <f t="shared" si="123"/>
        <v>7404.8879999999999</v>
      </c>
      <c r="I165" s="35">
        <f t="shared" si="123"/>
        <v>9023.9518124999995</v>
      </c>
      <c r="J165" s="35">
        <f t="shared" si="123"/>
        <v>11322.364872410157</v>
      </c>
      <c r="K165" s="35">
        <f t="shared" si="123"/>
        <v>13814.811069525353</v>
      </c>
      <c r="L165" s="35">
        <f t="shared" si="123"/>
        <v>16380.044279444479</v>
      </c>
      <c r="M165" s="35">
        <f t="shared" si="123"/>
        <v>18859.141057412311</v>
      </c>
      <c r="N165" s="35">
        <f t="shared" si="123"/>
        <v>21122.237984301792</v>
      </c>
      <c r="O165" s="35">
        <f t="shared" si="123"/>
        <v>23656.906542418008</v>
      </c>
      <c r="P165" s="35">
        <f t="shared" si="123"/>
        <v>26495.735327508173</v>
      </c>
      <c r="Q165" s="35">
        <f t="shared" si="123"/>
        <v>29675.223566809156</v>
      </c>
      <c r="R165" s="35">
        <f t="shared" si="123"/>
        <v>33236.25039482626</v>
      </c>
    </row>
    <row r="166" spans="2:18" outlineLevel="1">
      <c r="B166" t="s">
        <v>506</v>
      </c>
      <c r="D166" s="45">
        <f>BalanceSheet!F56</f>
        <v>477.66</v>
      </c>
      <c r="E166" s="45">
        <f>BalanceSheet!G56</f>
        <v>511.39</v>
      </c>
      <c r="F166" s="45">
        <f>BalanceSheet!H56</f>
        <v>711.75</v>
      </c>
      <c r="G166" s="45">
        <f>BalanceSheet!I56</f>
        <v>824.26</v>
      </c>
      <c r="H166" s="45">
        <f>BalanceSheet!J56</f>
        <v>758.24800000000005</v>
      </c>
      <c r="I166" s="34">
        <f>I167/$M$147*I165</f>
        <v>988.92622602739721</v>
      </c>
      <c r="J166" s="34">
        <f t="shared" ref="J166" si="124">J167/$M$147*J165</f>
        <v>1240.8071093052226</v>
      </c>
      <c r="K166" s="34">
        <f t="shared" ref="K166" si="125">K167/$M$147*K165</f>
        <v>1513.9518980301755</v>
      </c>
      <c r="L166" s="34">
        <f t="shared" ref="L166" si="126">L167/$M$147*L165</f>
        <v>1795.0733456925454</v>
      </c>
      <c r="M166" s="34">
        <f t="shared" ref="M166:R166" si="127">M167/$M$147*M165</f>
        <v>2066.7551843739516</v>
      </c>
      <c r="N166" s="34">
        <f t="shared" si="127"/>
        <v>2314.7658064988264</v>
      </c>
      <c r="O166" s="34">
        <f t="shared" si="127"/>
        <v>2592.5377032786855</v>
      </c>
      <c r="P166" s="34">
        <f t="shared" si="127"/>
        <v>2903.6422276721282</v>
      </c>
      <c r="Q166" s="34">
        <f t="shared" si="127"/>
        <v>3252.0792949927841</v>
      </c>
      <c r="R166" s="34">
        <f t="shared" si="127"/>
        <v>3642.3288103919185</v>
      </c>
    </row>
    <row r="167" spans="2:18" outlineLevel="1">
      <c r="B167" s="51" t="s">
        <v>508</v>
      </c>
      <c r="C167" s="51"/>
      <c r="D167" s="56">
        <f t="shared" ref="D167:G167" si="128">D166/D165*$M$147</f>
        <v>54.154275756888651</v>
      </c>
      <c r="E167" s="56">
        <f t="shared" si="128"/>
        <v>67.533068735211316</v>
      </c>
      <c r="F167" s="56">
        <f t="shared" si="128"/>
        <v>64.389254608814625</v>
      </c>
      <c r="G167" s="56">
        <f t="shared" si="128"/>
        <v>48.051060907341302</v>
      </c>
      <c r="H167" s="56">
        <f>H166/H165*$M$147</f>
        <v>37.375382315032994</v>
      </c>
      <c r="I167" s="257">
        <v>40</v>
      </c>
      <c r="J167" s="257">
        <v>40</v>
      </c>
      <c r="K167" s="257">
        <v>40</v>
      </c>
      <c r="L167" s="257">
        <v>40</v>
      </c>
      <c r="M167" s="257">
        <v>40</v>
      </c>
      <c r="N167" s="257">
        <v>40</v>
      </c>
      <c r="O167" s="257">
        <v>40</v>
      </c>
      <c r="P167" s="257">
        <v>40</v>
      </c>
      <c r="Q167" s="257">
        <v>40</v>
      </c>
      <c r="R167" s="257">
        <v>40</v>
      </c>
    </row>
    <row r="168" spans="2:18" outlineLevel="1"/>
    <row r="169" spans="2:18" outlineLevel="1">
      <c r="B169" s="307" t="s">
        <v>515</v>
      </c>
      <c r="C169" s="7"/>
      <c r="D169" s="255"/>
      <c r="E169" s="255"/>
      <c r="F169" s="255"/>
      <c r="G169" s="255"/>
      <c r="H169" s="255"/>
      <c r="I169" s="256"/>
      <c r="J169" s="256"/>
      <c r="K169" s="256"/>
      <c r="L169" s="256"/>
      <c r="M169" s="256"/>
      <c r="N169" s="256"/>
      <c r="O169" s="256"/>
      <c r="P169" s="256"/>
      <c r="Q169" s="256"/>
      <c r="R169" s="256"/>
    </row>
    <row r="170" spans="2:18" outlineLevel="1">
      <c r="B170" t="s">
        <v>36</v>
      </c>
      <c r="D170" s="35">
        <f t="shared" ref="D170:R170" si="129">D13</f>
        <v>7129.58</v>
      </c>
      <c r="E170" s="35">
        <f t="shared" si="129"/>
        <v>6450.14</v>
      </c>
      <c r="F170" s="35">
        <f t="shared" si="129"/>
        <v>8823.2300000000014</v>
      </c>
      <c r="G170" s="35">
        <f t="shared" si="129"/>
        <v>13173.14</v>
      </c>
      <c r="H170" s="35">
        <f t="shared" si="129"/>
        <v>16042.581</v>
      </c>
      <c r="I170" s="35">
        <f t="shared" si="129"/>
        <v>20053.22625</v>
      </c>
      <c r="J170" s="35">
        <f t="shared" si="129"/>
        <v>24414.802959375</v>
      </c>
      <c r="K170" s="35">
        <f t="shared" si="129"/>
        <v>28931.541506859376</v>
      </c>
      <c r="L170" s="35">
        <f t="shared" si="129"/>
        <v>33343.60158665543</v>
      </c>
      <c r="M170" s="35">
        <f t="shared" si="129"/>
        <v>37344.833777054082</v>
      </c>
      <c r="N170" s="35">
        <f t="shared" si="129"/>
        <v>41826.213830300578</v>
      </c>
      <c r="O170" s="35">
        <f t="shared" si="129"/>
        <v>46845.359489936651</v>
      </c>
      <c r="P170" s="35">
        <f t="shared" si="129"/>
        <v>52466.802628729056</v>
      </c>
      <c r="Q170" s="35">
        <f t="shared" si="129"/>
        <v>58762.81894417655</v>
      </c>
      <c r="R170" s="35">
        <f t="shared" si="129"/>
        <v>65814.357217477736</v>
      </c>
    </row>
    <row r="171" spans="2:18" outlineLevel="1">
      <c r="B171" t="s">
        <v>515</v>
      </c>
      <c r="D171" s="45">
        <f>BalanceSheet!F58</f>
        <v>467.15</v>
      </c>
      <c r="E171" s="45">
        <f>BalanceSheet!G58</f>
        <v>713.86</v>
      </c>
      <c r="F171" s="45">
        <f>BalanceSheet!H58</f>
        <v>1528.57</v>
      </c>
      <c r="G171" s="45">
        <f>BalanceSheet!I58</f>
        <v>1967.79</v>
      </c>
      <c r="H171" s="45">
        <f>BalanceSheet!J58</f>
        <v>2005.4490000000001</v>
      </c>
      <c r="I171" s="35">
        <f>I170*I172</f>
        <v>2406.38715</v>
      </c>
      <c r="J171" s="35">
        <f t="shared" ref="J171:R171" si="130">J170*J172</f>
        <v>2075.2582515468753</v>
      </c>
      <c r="K171" s="35">
        <f t="shared" si="130"/>
        <v>1735.8924904115624</v>
      </c>
      <c r="L171" s="35">
        <f t="shared" si="130"/>
        <v>1333.7440634662173</v>
      </c>
      <c r="M171" s="35">
        <f t="shared" si="130"/>
        <v>746.89667554108166</v>
      </c>
      <c r="N171" s="35">
        <f t="shared" si="130"/>
        <v>418.26213830300577</v>
      </c>
      <c r="O171" s="35">
        <f t="shared" si="130"/>
        <v>468.45359489936652</v>
      </c>
      <c r="P171" s="35">
        <f t="shared" si="130"/>
        <v>524.66802628729056</v>
      </c>
      <c r="Q171" s="35">
        <f t="shared" si="130"/>
        <v>587.62818944176547</v>
      </c>
      <c r="R171" s="35">
        <f t="shared" si="130"/>
        <v>658.14357217477743</v>
      </c>
    </row>
    <row r="172" spans="2:18" outlineLevel="1">
      <c r="B172" s="51" t="s">
        <v>527</v>
      </c>
      <c r="C172" s="51"/>
      <c r="D172" s="91">
        <f>D171/D170</f>
        <v>6.5522793769057924E-2</v>
      </c>
      <c r="E172" s="91">
        <f t="shared" ref="E172:H172" si="131">E171/E170</f>
        <v>0.1106735667752948</v>
      </c>
      <c r="F172" s="91">
        <f t="shared" si="131"/>
        <v>0.17324381207335632</v>
      </c>
      <c r="G172" s="91">
        <f t="shared" si="131"/>
        <v>0.14937896355766356</v>
      </c>
      <c r="H172" s="91">
        <f t="shared" si="131"/>
        <v>0.12500787747308242</v>
      </c>
      <c r="I172" s="539">
        <f>ControlSheet!I137</f>
        <v>0.12</v>
      </c>
      <c r="J172" s="539">
        <f>ControlSheet!J137</f>
        <v>8.5000000000000006E-2</v>
      </c>
      <c r="K172" s="539">
        <f>ControlSheet!K137</f>
        <v>0.06</v>
      </c>
      <c r="L172" s="539">
        <f>ControlSheet!L137</f>
        <v>0.04</v>
      </c>
      <c r="M172" s="539">
        <f>ControlSheet!M137</f>
        <v>0.02</v>
      </c>
      <c r="N172" s="539">
        <f>ControlSheet!N137</f>
        <v>0.01</v>
      </c>
      <c r="O172" s="539">
        <f>ControlSheet!O137</f>
        <v>0.01</v>
      </c>
      <c r="P172" s="539">
        <f>ControlSheet!P137</f>
        <v>0.01</v>
      </c>
      <c r="Q172" s="539">
        <f>ControlSheet!Q137</f>
        <v>0.01</v>
      </c>
      <c r="R172" s="539">
        <f>ControlSheet!R137</f>
        <v>0.01</v>
      </c>
    </row>
    <row r="173" spans="2:18" outlineLevel="1"/>
    <row r="174" spans="2:18" outlineLevel="1">
      <c r="B174" s="307" t="s">
        <v>205</v>
      </c>
      <c r="C174" s="7"/>
      <c r="D174" s="255"/>
      <c r="E174" s="255"/>
      <c r="F174" s="255"/>
      <c r="G174" s="255"/>
      <c r="H174" s="255"/>
      <c r="I174" s="256"/>
      <c r="J174" s="256"/>
      <c r="K174" s="256"/>
      <c r="L174" s="256"/>
      <c r="M174" s="256"/>
      <c r="N174" s="256"/>
      <c r="O174" s="256"/>
      <c r="P174" s="256"/>
      <c r="Q174" s="256"/>
      <c r="R174" s="256"/>
    </row>
    <row r="175" spans="2:18" outlineLevel="1">
      <c r="B175" t="str">
        <f>B174</f>
        <v>Lease Liabilities</v>
      </c>
      <c r="D175" s="45">
        <f>BalanceSheet!F59</f>
        <v>0</v>
      </c>
      <c r="E175" s="45">
        <f>BalanceSheet!G59</f>
        <v>0</v>
      </c>
      <c r="F175" s="45">
        <f>BalanceSheet!H59</f>
        <v>13.6</v>
      </c>
      <c r="G175" s="45">
        <f>BalanceSheet!I59</f>
        <v>23.577000000000002</v>
      </c>
      <c r="H175" s="45">
        <f>BalanceSheet!J59</f>
        <v>39.037999999999997</v>
      </c>
      <c r="I175" s="35">
        <f>H175*(1+I176)</f>
        <v>39.037999999999997</v>
      </c>
      <c r="J175" s="35">
        <f t="shared" ref="J175" si="132">I175*(1+J176)</f>
        <v>39.037999999999997</v>
      </c>
      <c r="K175" s="35">
        <f t="shared" ref="K175" si="133">J175*(1+K176)</f>
        <v>39.037999999999997</v>
      </c>
      <c r="L175" s="35">
        <f t="shared" ref="L175" si="134">K175*(1+L176)</f>
        <v>39.037999999999997</v>
      </c>
      <c r="M175" s="35">
        <f t="shared" ref="M175" si="135">L175*(1+M176)</f>
        <v>39.037999999999997</v>
      </c>
      <c r="N175" s="35">
        <f t="shared" ref="N175" si="136">M175*(1+N176)</f>
        <v>39.037999999999997</v>
      </c>
      <c r="O175" s="35">
        <f t="shared" ref="O175" si="137">N175*(1+O176)</f>
        <v>39.037999999999997</v>
      </c>
      <c r="P175" s="35">
        <f t="shared" ref="P175" si="138">O175*(1+P176)</f>
        <v>39.037999999999997</v>
      </c>
      <c r="Q175" s="35">
        <f t="shared" ref="Q175" si="139">P175*(1+Q176)</f>
        <v>39.037999999999997</v>
      </c>
      <c r="R175" s="35">
        <f t="shared" ref="R175" si="140">Q175*(1+R176)</f>
        <v>39.037999999999997</v>
      </c>
    </row>
    <row r="176" spans="2:18" outlineLevel="1">
      <c r="B176" s="291" t="s">
        <v>324</v>
      </c>
      <c r="C176" s="291"/>
      <c r="D176" s="52"/>
      <c r="E176" s="52"/>
      <c r="F176" s="52"/>
      <c r="G176" s="52"/>
      <c r="H176" s="290"/>
      <c r="I176" s="260">
        <v>0</v>
      </c>
      <c r="J176" s="260">
        <v>0</v>
      </c>
      <c r="K176" s="260">
        <v>0</v>
      </c>
      <c r="L176" s="260">
        <v>0</v>
      </c>
      <c r="M176" s="260">
        <v>0</v>
      </c>
      <c r="N176" s="260">
        <v>0</v>
      </c>
      <c r="O176" s="260">
        <v>0</v>
      </c>
      <c r="P176" s="260">
        <v>0</v>
      </c>
      <c r="Q176" s="260">
        <v>0</v>
      </c>
      <c r="R176" s="260">
        <v>0</v>
      </c>
    </row>
    <row r="177" spans="2:18" outlineLevel="1"/>
    <row r="178" spans="2:18" outlineLevel="1">
      <c r="B178" s="307" t="s">
        <v>215</v>
      </c>
      <c r="C178" s="7"/>
      <c r="D178" s="255"/>
      <c r="E178" s="255"/>
      <c r="F178" s="255"/>
      <c r="G178" s="255"/>
      <c r="H178" s="255"/>
      <c r="I178" s="256"/>
      <c r="J178" s="256"/>
      <c r="K178" s="256"/>
      <c r="L178" s="256"/>
      <c r="M178" s="256"/>
      <c r="N178" s="256"/>
      <c r="O178" s="256"/>
      <c r="P178" s="256"/>
      <c r="Q178" s="256"/>
      <c r="R178" s="256"/>
    </row>
    <row r="179" spans="2:18" outlineLevel="1">
      <c r="B179" t="str">
        <f>B178</f>
        <v xml:space="preserve">Others Financial Liabilities - Short-term </v>
      </c>
      <c r="D179" s="45">
        <f>BalanceSheet!F60</f>
        <v>1025.81</v>
      </c>
      <c r="E179" s="45">
        <f>BalanceSheet!G60</f>
        <v>854.35</v>
      </c>
      <c r="F179" s="45">
        <f>BalanceSheet!H60</f>
        <v>392.97</v>
      </c>
      <c r="G179" s="45">
        <f>BalanceSheet!I60</f>
        <v>559.39</v>
      </c>
      <c r="H179" s="45">
        <f>BalanceSheet!J60</f>
        <v>763.83900000000006</v>
      </c>
      <c r="I179" s="35">
        <f>H179*(1+I180)</f>
        <v>763.83900000000006</v>
      </c>
      <c r="J179" s="35">
        <f t="shared" ref="J179:M179" si="141">I179*(1+J180)</f>
        <v>763.83900000000006</v>
      </c>
      <c r="K179" s="35">
        <f t="shared" si="141"/>
        <v>763.83900000000006</v>
      </c>
      <c r="L179" s="35">
        <f t="shared" si="141"/>
        <v>763.83900000000006</v>
      </c>
      <c r="M179" s="35">
        <f t="shared" si="141"/>
        <v>763.83900000000006</v>
      </c>
      <c r="N179" s="35">
        <f t="shared" ref="N179" si="142">M179*(1+N180)</f>
        <v>763.83900000000006</v>
      </c>
      <c r="O179" s="35">
        <f t="shared" ref="O179" si="143">N179*(1+O180)</f>
        <v>763.83900000000006</v>
      </c>
      <c r="P179" s="35">
        <f t="shared" ref="P179" si="144">O179*(1+P180)</f>
        <v>763.83900000000006</v>
      </c>
      <c r="Q179" s="35">
        <f t="shared" ref="Q179" si="145">P179*(1+Q180)</f>
        <v>763.83900000000006</v>
      </c>
      <c r="R179" s="35">
        <f t="shared" ref="R179" si="146">Q179*(1+R180)</f>
        <v>763.83900000000006</v>
      </c>
    </row>
    <row r="180" spans="2:18" outlineLevel="1">
      <c r="B180" s="291" t="s">
        <v>324</v>
      </c>
      <c r="C180" s="291"/>
      <c r="D180" s="52"/>
      <c r="E180" s="52"/>
      <c r="F180" s="52"/>
      <c r="G180" s="52"/>
      <c r="H180" s="290"/>
      <c r="I180" s="260">
        <v>0</v>
      </c>
      <c r="J180" s="260">
        <v>0</v>
      </c>
      <c r="K180" s="260">
        <v>0</v>
      </c>
      <c r="L180" s="260">
        <v>0</v>
      </c>
      <c r="M180" s="260">
        <v>0</v>
      </c>
      <c r="N180" s="260">
        <v>0</v>
      </c>
      <c r="O180" s="260">
        <v>0</v>
      </c>
      <c r="P180" s="260">
        <v>0</v>
      </c>
      <c r="Q180" s="260">
        <v>0</v>
      </c>
      <c r="R180" s="260">
        <v>0</v>
      </c>
    </row>
    <row r="181" spans="2:18" outlineLevel="1"/>
    <row r="182" spans="2:18" outlineLevel="1">
      <c r="B182" s="307" t="s">
        <v>542</v>
      </c>
      <c r="C182" s="7"/>
      <c r="D182" s="255"/>
      <c r="E182" s="255"/>
      <c r="F182" s="255"/>
      <c r="G182" s="255"/>
      <c r="H182" s="255"/>
      <c r="I182" s="256"/>
      <c r="J182" s="256"/>
      <c r="K182" s="256"/>
      <c r="L182" s="256"/>
      <c r="M182" s="256"/>
      <c r="N182" s="256"/>
      <c r="O182" s="256"/>
      <c r="P182" s="256"/>
      <c r="Q182" s="256"/>
      <c r="R182" s="256"/>
    </row>
    <row r="183" spans="2:18" outlineLevel="1">
      <c r="B183" t="str">
        <f>B182</f>
        <v>Current Tax Liabilities - Short-term</v>
      </c>
      <c r="D183" s="45">
        <f>BalanceSheet!F61</f>
        <v>15.2</v>
      </c>
      <c r="E183" s="45">
        <f>BalanceSheet!G61</f>
        <v>3.89</v>
      </c>
      <c r="F183" s="45">
        <f>BalanceSheet!H61</f>
        <v>13.94</v>
      </c>
      <c r="G183" s="45">
        <f>BalanceSheet!I61</f>
        <v>75.569999999999993</v>
      </c>
      <c r="H183" s="45">
        <f>BalanceSheet!J61</f>
        <v>39.002000000000002</v>
      </c>
      <c r="I183" s="35">
        <f>H183*(1+I184)</f>
        <v>39.002000000000002</v>
      </c>
      <c r="J183" s="35">
        <f t="shared" ref="J183" si="147">I183*(1+J184)</f>
        <v>39.002000000000002</v>
      </c>
      <c r="K183" s="35">
        <f t="shared" ref="K183" si="148">J183*(1+K184)</f>
        <v>39.002000000000002</v>
      </c>
      <c r="L183" s="35">
        <f t="shared" ref="L183" si="149">K183*(1+L184)</f>
        <v>39.002000000000002</v>
      </c>
      <c r="M183" s="35">
        <f t="shared" ref="M183" si="150">L183*(1+M184)</f>
        <v>39.002000000000002</v>
      </c>
      <c r="N183" s="35">
        <f t="shared" ref="N183" si="151">M183*(1+N184)</f>
        <v>39.002000000000002</v>
      </c>
      <c r="O183" s="35">
        <f t="shared" ref="O183" si="152">N183*(1+O184)</f>
        <v>39.002000000000002</v>
      </c>
      <c r="P183" s="35">
        <f t="shared" ref="P183" si="153">O183*(1+P184)</f>
        <v>39.002000000000002</v>
      </c>
      <c r="Q183" s="35">
        <f t="shared" ref="Q183" si="154">P183*(1+Q184)</f>
        <v>39.002000000000002</v>
      </c>
      <c r="R183" s="35">
        <f t="shared" ref="R183" si="155">Q183*(1+R184)</f>
        <v>39.002000000000002</v>
      </c>
    </row>
    <row r="184" spans="2:18" outlineLevel="1">
      <c r="B184" s="291" t="s">
        <v>324</v>
      </c>
      <c r="C184" s="291"/>
      <c r="D184" s="52"/>
      <c r="E184" s="52"/>
      <c r="F184" s="52"/>
      <c r="G184" s="52"/>
      <c r="H184" s="290"/>
      <c r="I184" s="260">
        <v>0</v>
      </c>
      <c r="J184" s="260">
        <v>0</v>
      </c>
      <c r="K184" s="260">
        <v>0</v>
      </c>
      <c r="L184" s="260">
        <v>0</v>
      </c>
      <c r="M184" s="260">
        <v>0</v>
      </c>
      <c r="N184" s="260">
        <v>0</v>
      </c>
      <c r="O184" s="260">
        <v>0</v>
      </c>
      <c r="P184" s="260">
        <v>0</v>
      </c>
      <c r="Q184" s="260">
        <v>0</v>
      </c>
      <c r="R184" s="260">
        <v>0</v>
      </c>
    </row>
    <row r="185" spans="2:18" outlineLevel="1"/>
    <row r="186" spans="2:18" outlineLevel="1">
      <c r="B186" s="307" t="s">
        <v>217</v>
      </c>
      <c r="C186" s="7"/>
      <c r="D186" s="255"/>
      <c r="E186" s="255"/>
      <c r="F186" s="255"/>
      <c r="G186" s="255"/>
      <c r="H186" s="255"/>
      <c r="I186" s="256"/>
      <c r="J186" s="256"/>
      <c r="K186" s="256"/>
      <c r="L186" s="256"/>
      <c r="M186" s="256"/>
      <c r="N186" s="256"/>
      <c r="O186" s="256"/>
      <c r="P186" s="256"/>
      <c r="Q186" s="256"/>
      <c r="R186" s="256"/>
    </row>
    <row r="187" spans="2:18" outlineLevel="1">
      <c r="B187" t="str">
        <f>B186</f>
        <v xml:space="preserve">Provisions </v>
      </c>
      <c r="D187" s="45">
        <f>BalanceSheet!F62</f>
        <v>29.98</v>
      </c>
      <c r="E187" s="45">
        <f>BalanceSheet!G62</f>
        <v>33.17</v>
      </c>
      <c r="F187" s="45">
        <f>BalanceSheet!H62</f>
        <v>49.74</v>
      </c>
      <c r="G187" s="45">
        <f>BalanceSheet!I62</f>
        <v>29.19</v>
      </c>
      <c r="H187" s="45">
        <f>BalanceSheet!J62</f>
        <v>82.543000000000006</v>
      </c>
      <c r="I187" s="35">
        <f>H187*(1+I188)</f>
        <v>82.543000000000006</v>
      </c>
      <c r="J187" s="35">
        <f t="shared" ref="J187" si="156">I187*(1+J188)</f>
        <v>82.543000000000006</v>
      </c>
      <c r="K187" s="35">
        <f t="shared" ref="K187" si="157">J187*(1+K188)</f>
        <v>82.543000000000006</v>
      </c>
      <c r="L187" s="35">
        <f t="shared" ref="L187" si="158">K187*(1+L188)</f>
        <v>82.543000000000006</v>
      </c>
      <c r="M187" s="35">
        <f t="shared" ref="M187" si="159">L187*(1+M188)</f>
        <v>82.543000000000006</v>
      </c>
      <c r="N187" s="35">
        <f t="shared" ref="N187" si="160">M187*(1+N188)</f>
        <v>82.543000000000006</v>
      </c>
      <c r="O187" s="35">
        <f t="shared" ref="O187" si="161">N187*(1+O188)</f>
        <v>82.543000000000006</v>
      </c>
      <c r="P187" s="35">
        <f t="shared" ref="P187" si="162">O187*(1+P188)</f>
        <v>82.543000000000006</v>
      </c>
      <c r="Q187" s="35">
        <f t="shared" ref="Q187" si="163">P187*(1+Q188)</f>
        <v>82.543000000000006</v>
      </c>
      <c r="R187" s="35">
        <f t="shared" ref="R187" si="164">Q187*(1+R188)</f>
        <v>82.543000000000006</v>
      </c>
    </row>
    <row r="188" spans="2:18" outlineLevel="1">
      <c r="B188" s="291" t="s">
        <v>324</v>
      </c>
      <c r="C188" s="291"/>
      <c r="D188" s="52"/>
      <c r="E188" s="52"/>
      <c r="F188" s="52"/>
      <c r="G188" s="52"/>
      <c r="H188" s="290"/>
      <c r="I188" s="260">
        <v>0</v>
      </c>
      <c r="J188" s="260">
        <v>0</v>
      </c>
      <c r="K188" s="260">
        <v>0</v>
      </c>
      <c r="L188" s="260">
        <v>0</v>
      </c>
      <c r="M188" s="260">
        <v>0</v>
      </c>
      <c r="N188" s="260">
        <v>0</v>
      </c>
      <c r="O188" s="260">
        <v>0</v>
      </c>
      <c r="P188" s="260">
        <v>0</v>
      </c>
      <c r="Q188" s="260">
        <v>0</v>
      </c>
      <c r="R188" s="260">
        <v>0</v>
      </c>
    </row>
    <row r="189" spans="2:18" outlineLevel="1"/>
    <row r="190" spans="2:18" outlineLevel="1">
      <c r="B190" s="307" t="s">
        <v>213</v>
      </c>
      <c r="C190" s="7"/>
      <c r="D190" s="255"/>
      <c r="E190" s="255"/>
      <c r="F190" s="255"/>
      <c r="G190" s="255"/>
      <c r="H190" s="255"/>
      <c r="I190" s="256"/>
      <c r="J190" s="256"/>
      <c r="K190" s="256"/>
      <c r="L190" s="256"/>
      <c r="M190" s="256"/>
      <c r="N190" s="256"/>
      <c r="O190" s="256"/>
      <c r="P190" s="256"/>
      <c r="Q190" s="256"/>
      <c r="R190" s="256"/>
    </row>
    <row r="191" spans="2:18" outlineLevel="1">
      <c r="B191" t="str">
        <f>B190</f>
        <v xml:space="preserve">Other Current Liabilities </v>
      </c>
      <c r="D191" s="45">
        <f>BalanceSheet!F63</f>
        <v>204.49</v>
      </c>
      <c r="E191" s="45">
        <f>BalanceSheet!G63</f>
        <v>318.29000000000002</v>
      </c>
      <c r="F191" s="45">
        <f>BalanceSheet!H63</f>
        <v>309.68</v>
      </c>
      <c r="G191" s="45">
        <f>BalanceSheet!I63</f>
        <v>488.98</v>
      </c>
      <c r="H191" s="45">
        <f>BalanceSheet!J63</f>
        <v>465.09300000000002</v>
      </c>
      <c r="I191" s="35">
        <f>H191*(1+I192)</f>
        <v>465.09300000000002</v>
      </c>
      <c r="J191" s="35">
        <f t="shared" ref="J191" si="165">I191*(1+J192)</f>
        <v>465.09300000000002</v>
      </c>
      <c r="K191" s="35">
        <f t="shared" ref="K191" si="166">J191*(1+K192)</f>
        <v>465.09300000000002</v>
      </c>
      <c r="L191" s="35">
        <f t="shared" ref="L191" si="167">K191*(1+L192)</f>
        <v>465.09300000000002</v>
      </c>
      <c r="M191" s="35">
        <f t="shared" ref="M191" si="168">L191*(1+M192)</f>
        <v>465.09300000000002</v>
      </c>
      <c r="N191" s="35">
        <f t="shared" ref="N191" si="169">M191*(1+N192)</f>
        <v>465.09300000000002</v>
      </c>
      <c r="O191" s="35">
        <f t="shared" ref="O191" si="170">N191*(1+O192)</f>
        <v>465.09300000000002</v>
      </c>
      <c r="P191" s="35">
        <f t="shared" ref="P191" si="171">O191*(1+P192)</f>
        <v>465.09300000000002</v>
      </c>
      <c r="Q191" s="35">
        <f t="shared" ref="Q191" si="172">P191*(1+Q192)</f>
        <v>465.09300000000002</v>
      </c>
      <c r="R191" s="35">
        <f t="shared" ref="R191" si="173">Q191*(1+R192)</f>
        <v>465.09300000000002</v>
      </c>
    </row>
    <row r="192" spans="2:18" outlineLevel="1">
      <c r="B192" s="291" t="s">
        <v>324</v>
      </c>
      <c r="C192" s="291"/>
      <c r="D192" s="52"/>
      <c r="E192" s="52"/>
      <c r="F192" s="52"/>
      <c r="G192" s="52"/>
      <c r="H192" s="290"/>
      <c r="I192" s="260">
        <v>0</v>
      </c>
      <c r="J192" s="260">
        <v>0</v>
      </c>
      <c r="K192" s="260">
        <v>0</v>
      </c>
      <c r="L192" s="260">
        <v>0</v>
      </c>
      <c r="M192" s="260">
        <v>0</v>
      </c>
      <c r="N192" s="260">
        <v>0</v>
      </c>
      <c r="O192" s="260">
        <v>0</v>
      </c>
      <c r="P192" s="260">
        <v>0</v>
      </c>
      <c r="Q192" s="260">
        <v>0</v>
      </c>
      <c r="R192" s="260">
        <v>0</v>
      </c>
    </row>
    <row r="193" spans="2:18" outlineLevel="1"/>
    <row r="194" spans="2:18" outlineLevel="1">
      <c r="B194" s="307" t="s">
        <v>76</v>
      </c>
      <c r="C194" s="7"/>
      <c r="D194" s="255"/>
      <c r="E194" s="255"/>
      <c r="F194" s="255"/>
      <c r="G194" s="255"/>
      <c r="H194" s="255"/>
      <c r="I194" s="256"/>
      <c r="J194" s="256"/>
      <c r="K194" s="256"/>
      <c r="L194" s="256"/>
      <c r="M194" s="256"/>
      <c r="N194" s="256"/>
      <c r="O194" s="256"/>
      <c r="P194" s="256"/>
      <c r="Q194" s="256"/>
      <c r="R194" s="256"/>
    </row>
    <row r="195" spans="2:18" outlineLevel="1">
      <c r="B195" s="43"/>
      <c r="C195" s="43"/>
      <c r="D195" s="43"/>
      <c r="E195" s="43"/>
      <c r="F195" s="11"/>
      <c r="G195" s="11"/>
      <c r="H195" s="96"/>
      <c r="I195" s="96"/>
      <c r="J195" s="96"/>
      <c r="K195" s="96"/>
      <c r="L195" s="96"/>
      <c r="M195" s="96"/>
      <c r="N195" s="96"/>
      <c r="O195" s="96"/>
      <c r="P195" s="96"/>
      <c r="Q195" s="96"/>
      <c r="R195" s="96"/>
    </row>
    <row r="196" spans="2:18" outlineLevel="1">
      <c r="B196" s="81" t="s">
        <v>77</v>
      </c>
      <c r="C196" s="81"/>
      <c r="D196" s="81"/>
      <c r="E196" s="81"/>
      <c r="F196" s="11"/>
      <c r="G196" s="11"/>
      <c r="H196" s="96"/>
      <c r="I196" s="98">
        <f>I150-H150</f>
        <v>706.36498630136975</v>
      </c>
      <c r="J196" s="98">
        <f>J150-I150</f>
        <v>621.37531202054788</v>
      </c>
      <c r="K196" s="98">
        <f>K150-J150</f>
        <v>247.15807379422131</v>
      </c>
      <c r="L196" s="98">
        <f>L150-K150</f>
        <v>568.12828424771124</v>
      </c>
      <c r="M196" s="98">
        <f>M150-L150</f>
        <v>515.22715876366146</v>
      </c>
      <c r="N196" s="98">
        <f t="shared" ref="N196:R196" si="174">N150-M150</f>
        <v>577.05441781530226</v>
      </c>
      <c r="O196" s="98">
        <f t="shared" si="174"/>
        <v>646.30094795313835</v>
      </c>
      <c r="P196" s="98">
        <f t="shared" si="174"/>
        <v>723.85706170751564</v>
      </c>
      <c r="Q196" s="98">
        <f t="shared" si="174"/>
        <v>810.71990911241664</v>
      </c>
      <c r="R196" s="98">
        <f t="shared" si="174"/>
        <v>908.00629820590621</v>
      </c>
    </row>
    <row r="197" spans="2:18" outlineLevel="1">
      <c r="B197" s="81" t="s">
        <v>450</v>
      </c>
      <c r="C197" s="81"/>
      <c r="D197" s="81"/>
      <c r="E197" s="81"/>
      <c r="F197" s="11"/>
      <c r="G197" s="11"/>
      <c r="H197" s="96"/>
      <c r="I197" s="98">
        <f>I156-H156</f>
        <v>135.07811301369861</v>
      </c>
      <c r="J197" s="98">
        <f>J156-I156</f>
        <v>107.54572708047942</v>
      </c>
      <c r="K197" s="98">
        <f>K156-J156</f>
        <v>111.37163541742302</v>
      </c>
      <c r="L197" s="98">
        <f>L156-K156</f>
        <v>108.79052251551911</v>
      </c>
      <c r="M197" s="98">
        <f>M156-L156</f>
        <v>98.660519763254456</v>
      </c>
      <c r="N197" s="98">
        <f t="shared" ref="N197:R197" si="175">N156-M156</f>
        <v>110.49978213484496</v>
      </c>
      <c r="O197" s="98">
        <f t="shared" si="175"/>
        <v>123.75975599102662</v>
      </c>
      <c r="P197" s="98">
        <f t="shared" si="175"/>
        <v>138.61092670994958</v>
      </c>
      <c r="Q197" s="98">
        <f t="shared" si="175"/>
        <v>155.24423791514369</v>
      </c>
      <c r="R197" s="98">
        <f t="shared" si="175"/>
        <v>173.87354646496078</v>
      </c>
    </row>
    <row r="198" spans="2:18" outlineLevel="1">
      <c r="B198" s="78" t="s">
        <v>78</v>
      </c>
      <c r="C198" s="81"/>
      <c r="D198" s="81"/>
      <c r="E198" s="81"/>
      <c r="F198" s="11"/>
      <c r="G198" s="11"/>
      <c r="H198" s="96"/>
      <c r="I198" s="98">
        <f>I161-H161</f>
        <v>37.609706250000045</v>
      </c>
      <c r="J198" s="98">
        <f>J161-I161</f>
        <v>283.50248610937501</v>
      </c>
      <c r="K198" s="98">
        <f>K161-J161</f>
        <v>293.58800558648454</v>
      </c>
      <c r="L198" s="98">
        <f>L161-K161</f>
        <v>286.7839051867436</v>
      </c>
      <c r="M198" s="98">
        <f>M161-L161</f>
        <v>260.0800923759125</v>
      </c>
      <c r="N198" s="98">
        <f t="shared" ref="N198:R198" si="176">N161-M161</f>
        <v>291.28970346102187</v>
      </c>
      <c r="O198" s="98">
        <f t="shared" si="176"/>
        <v>326.24446787634497</v>
      </c>
      <c r="P198" s="98">
        <f t="shared" si="176"/>
        <v>365.39380402150618</v>
      </c>
      <c r="Q198" s="98">
        <f t="shared" si="176"/>
        <v>409.24106050408727</v>
      </c>
      <c r="R198" s="98">
        <f t="shared" si="176"/>
        <v>458.34998776457678</v>
      </c>
    </row>
    <row r="199" spans="2:18" outlineLevel="1">
      <c r="B199" s="11" t="s">
        <v>80</v>
      </c>
      <c r="C199" s="20"/>
      <c r="D199" s="20"/>
      <c r="E199" s="20"/>
      <c r="F199" s="20"/>
      <c r="G199" s="20"/>
      <c r="H199" s="99"/>
      <c r="I199" s="101">
        <f>SUM(I196:I198)</f>
        <v>879.05280556506841</v>
      </c>
      <c r="J199" s="101">
        <f>SUM(J196:J198)</f>
        <v>1012.4235252104023</v>
      </c>
      <c r="K199" s="101">
        <f>SUM(K196:K198)</f>
        <v>652.11771479812887</v>
      </c>
      <c r="L199" s="101">
        <f>SUM(L196:L198)</f>
        <v>963.70271194997395</v>
      </c>
      <c r="M199" s="101">
        <f>SUM(M196:M198)</f>
        <v>873.96777090282842</v>
      </c>
      <c r="N199" s="101">
        <f t="shared" ref="N199:R199" si="177">SUM(N196:N198)</f>
        <v>978.84390341116909</v>
      </c>
      <c r="O199" s="101">
        <f t="shared" si="177"/>
        <v>1096.3051718205099</v>
      </c>
      <c r="P199" s="101">
        <f t="shared" si="177"/>
        <v>1227.8617924389714</v>
      </c>
      <c r="Q199" s="101">
        <f t="shared" si="177"/>
        <v>1375.2052075316476</v>
      </c>
      <c r="R199" s="101">
        <f t="shared" si="177"/>
        <v>1540.2298324354438</v>
      </c>
    </row>
    <row r="200" spans="2:18" outlineLevel="1">
      <c r="B200" s="11"/>
      <c r="C200" s="11"/>
      <c r="D200" s="11"/>
      <c r="E200" s="11"/>
      <c r="F200" s="11"/>
      <c r="G200" s="11"/>
      <c r="H200" s="73"/>
      <c r="I200" s="73"/>
      <c r="J200" s="73"/>
      <c r="K200" s="73"/>
      <c r="L200" s="73"/>
      <c r="M200" s="73"/>
      <c r="N200" s="73"/>
      <c r="O200" s="73"/>
      <c r="P200" s="73"/>
      <c r="Q200" s="73"/>
      <c r="R200" s="73"/>
    </row>
    <row r="201" spans="2:18" outlineLevel="1">
      <c r="B201" s="4" t="str">
        <f>"Change in "&amp;B164</f>
        <v>Change in Trade Payables</v>
      </c>
      <c r="C201" s="4"/>
      <c r="D201" s="4"/>
      <c r="E201" s="4"/>
      <c r="F201" s="11"/>
      <c r="G201" s="11"/>
      <c r="H201" s="73"/>
      <c r="I201" s="100">
        <f>I166-H166</f>
        <v>230.67822602739716</v>
      </c>
      <c r="J201" s="100">
        <f>J166-I166</f>
        <v>251.88088327782543</v>
      </c>
      <c r="K201" s="100">
        <f>K166-J166</f>
        <v>273.14478872495283</v>
      </c>
      <c r="L201" s="100">
        <f>L166-K166</f>
        <v>281.12144766236997</v>
      </c>
      <c r="M201" s="100">
        <f>M166-L166</f>
        <v>271.68183868140613</v>
      </c>
      <c r="N201" s="100">
        <f t="shared" ref="N201:R201" si="178">N166-M166</f>
        <v>248.01062212487477</v>
      </c>
      <c r="O201" s="100">
        <f t="shared" si="178"/>
        <v>277.77189677985916</v>
      </c>
      <c r="P201" s="100">
        <f t="shared" si="178"/>
        <v>311.10452439344272</v>
      </c>
      <c r="Q201" s="100">
        <f t="shared" si="178"/>
        <v>348.43706732065584</v>
      </c>
      <c r="R201" s="100">
        <f t="shared" si="178"/>
        <v>390.24951539913445</v>
      </c>
    </row>
    <row r="202" spans="2:18" outlineLevel="1">
      <c r="B202" s="4" t="str">
        <f>"Change in "&amp;B169</f>
        <v>Change in Short Term Borrowings</v>
      </c>
      <c r="C202" s="4"/>
      <c r="D202" s="4"/>
      <c r="E202" s="4"/>
      <c r="F202" s="11"/>
      <c r="G202" s="11"/>
      <c r="H202" s="73"/>
      <c r="I202" s="100">
        <f>I171-H171</f>
        <v>400.93814999999995</v>
      </c>
      <c r="J202" s="100">
        <f t="shared" ref="J202:M202" si="179">J171-I171</f>
        <v>-331.12889845312475</v>
      </c>
      <c r="K202" s="100">
        <f t="shared" si="179"/>
        <v>-339.36576113531282</v>
      </c>
      <c r="L202" s="100">
        <f t="shared" si="179"/>
        <v>-402.14842694534514</v>
      </c>
      <c r="M202" s="100">
        <f t="shared" si="179"/>
        <v>-586.84738792513565</v>
      </c>
      <c r="N202" s="100">
        <f t="shared" ref="N202" si="180">N171-M171</f>
        <v>-328.63453723807589</v>
      </c>
      <c r="O202" s="100">
        <f t="shared" ref="O202" si="181">O171-N171</f>
        <v>50.191456596360752</v>
      </c>
      <c r="P202" s="100">
        <f t="shared" ref="P202" si="182">P171-O171</f>
        <v>56.214431387924037</v>
      </c>
      <c r="Q202" s="100">
        <f t="shared" ref="Q202" si="183">Q171-P171</f>
        <v>62.960163154474913</v>
      </c>
      <c r="R202" s="100">
        <f t="shared" ref="R202" si="184">R171-Q171</f>
        <v>70.515382733011961</v>
      </c>
    </row>
    <row r="203" spans="2:18" outlineLevel="1">
      <c r="B203" s="4" t="str">
        <f>"Change in "&amp;B174</f>
        <v>Change in Lease Liabilities</v>
      </c>
      <c r="C203" s="4"/>
      <c r="D203" s="4"/>
      <c r="E203" s="4"/>
      <c r="F203" s="11"/>
      <c r="G203" s="11"/>
      <c r="H203" s="73"/>
      <c r="I203" s="100">
        <f>I175-H175</f>
        <v>0</v>
      </c>
      <c r="J203" s="100">
        <f t="shared" ref="J203:M203" si="185">J175-I175</f>
        <v>0</v>
      </c>
      <c r="K203" s="100">
        <f t="shared" si="185"/>
        <v>0</v>
      </c>
      <c r="L203" s="100">
        <f t="shared" si="185"/>
        <v>0</v>
      </c>
      <c r="M203" s="100">
        <f t="shared" si="185"/>
        <v>0</v>
      </c>
      <c r="N203" s="100">
        <f t="shared" ref="N203" si="186">N175-M175</f>
        <v>0</v>
      </c>
      <c r="O203" s="100">
        <f t="shared" ref="O203" si="187">O175-N175</f>
        <v>0</v>
      </c>
      <c r="P203" s="100">
        <f t="shared" ref="P203" si="188">P175-O175</f>
        <v>0</v>
      </c>
      <c r="Q203" s="100">
        <f t="shared" ref="Q203" si="189">Q175-P175</f>
        <v>0</v>
      </c>
      <c r="R203" s="100">
        <f t="shared" ref="R203" si="190">R175-Q175</f>
        <v>0</v>
      </c>
    </row>
    <row r="204" spans="2:18" outlineLevel="1">
      <c r="B204" s="4" t="str">
        <f>"Change in "&amp;B178</f>
        <v xml:space="preserve">Change in Others Financial Liabilities - Short-term </v>
      </c>
      <c r="C204" s="4"/>
      <c r="D204" s="4"/>
      <c r="E204" s="4"/>
      <c r="F204" s="11"/>
      <c r="G204" s="11"/>
      <c r="H204" s="73"/>
      <c r="I204" s="100">
        <f>I179-H179</f>
        <v>0</v>
      </c>
      <c r="J204" s="100">
        <f t="shared" ref="J204:M204" si="191">J179-I179</f>
        <v>0</v>
      </c>
      <c r="K204" s="100">
        <f t="shared" si="191"/>
        <v>0</v>
      </c>
      <c r="L204" s="100">
        <f t="shared" si="191"/>
        <v>0</v>
      </c>
      <c r="M204" s="100">
        <f t="shared" si="191"/>
        <v>0</v>
      </c>
      <c r="N204" s="100">
        <f t="shared" ref="N204" si="192">N179-M179</f>
        <v>0</v>
      </c>
      <c r="O204" s="100">
        <f t="shared" ref="O204" si="193">O179-N179</f>
        <v>0</v>
      </c>
      <c r="P204" s="100">
        <f t="shared" ref="P204" si="194">P179-O179</f>
        <v>0</v>
      </c>
      <c r="Q204" s="100">
        <f t="shared" ref="Q204" si="195">Q179-P179</f>
        <v>0</v>
      </c>
      <c r="R204" s="100">
        <f t="shared" ref="R204" si="196">R179-Q179</f>
        <v>0</v>
      </c>
    </row>
    <row r="205" spans="2:18" outlineLevel="1">
      <c r="B205" s="4" t="str">
        <f>"Change in "&amp;B182</f>
        <v>Change in Current Tax Liabilities - Short-term</v>
      </c>
      <c r="C205" s="4"/>
      <c r="D205" s="4"/>
      <c r="E205" s="4"/>
      <c r="F205" s="11"/>
      <c r="G205" s="11"/>
      <c r="H205" s="73"/>
      <c r="I205" s="100">
        <f>I183-H183</f>
        <v>0</v>
      </c>
      <c r="J205" s="100">
        <f t="shared" ref="J205:M205" si="197">J183-I183</f>
        <v>0</v>
      </c>
      <c r="K205" s="100">
        <f t="shared" si="197"/>
        <v>0</v>
      </c>
      <c r="L205" s="100">
        <f t="shared" si="197"/>
        <v>0</v>
      </c>
      <c r="M205" s="100">
        <f t="shared" si="197"/>
        <v>0</v>
      </c>
      <c r="N205" s="100">
        <f t="shared" ref="N205" si="198">N183-M183</f>
        <v>0</v>
      </c>
      <c r="O205" s="100">
        <f t="shared" ref="O205" si="199">O183-N183</f>
        <v>0</v>
      </c>
      <c r="P205" s="100">
        <f t="shared" ref="P205" si="200">P183-O183</f>
        <v>0</v>
      </c>
      <c r="Q205" s="100">
        <f t="shared" ref="Q205" si="201">Q183-P183</f>
        <v>0</v>
      </c>
      <c r="R205" s="100">
        <f t="shared" ref="R205" si="202">R183-Q183</f>
        <v>0</v>
      </c>
    </row>
    <row r="206" spans="2:18" outlineLevel="1">
      <c r="B206" s="4" t="str">
        <f>"Change in "&amp;B186</f>
        <v xml:space="preserve">Change in Provisions </v>
      </c>
      <c r="C206" s="4"/>
      <c r="D206" s="4"/>
      <c r="E206" s="4"/>
      <c r="F206" s="11"/>
      <c r="G206" s="11"/>
      <c r="H206" s="73"/>
      <c r="I206" s="100">
        <f>I187-H187</f>
        <v>0</v>
      </c>
      <c r="J206" s="100">
        <f t="shared" ref="J206:M206" si="203">J187-I187</f>
        <v>0</v>
      </c>
      <c r="K206" s="100">
        <f t="shared" si="203"/>
        <v>0</v>
      </c>
      <c r="L206" s="100">
        <f t="shared" si="203"/>
        <v>0</v>
      </c>
      <c r="M206" s="100">
        <f t="shared" si="203"/>
        <v>0</v>
      </c>
      <c r="N206" s="100">
        <f t="shared" ref="N206" si="204">N187-M187</f>
        <v>0</v>
      </c>
      <c r="O206" s="100">
        <f t="shared" ref="O206" si="205">O187-N187</f>
        <v>0</v>
      </c>
      <c r="P206" s="100">
        <f t="shared" ref="P206" si="206">P187-O187</f>
        <v>0</v>
      </c>
      <c r="Q206" s="100">
        <f t="shared" ref="Q206" si="207">Q187-P187</f>
        <v>0</v>
      </c>
      <c r="R206" s="100">
        <f t="shared" ref="R206" si="208">R187-Q187</f>
        <v>0</v>
      </c>
    </row>
    <row r="207" spans="2:18" outlineLevel="1">
      <c r="B207" s="4" t="str">
        <f>"Change in "&amp;B190</f>
        <v xml:space="preserve">Change in Other Current Liabilities </v>
      </c>
      <c r="C207" s="4"/>
      <c r="D207" s="4"/>
      <c r="E207" s="4"/>
      <c r="F207" s="11"/>
      <c r="G207" s="11"/>
      <c r="H207" s="73"/>
      <c r="I207" s="100">
        <f>I191-H191</f>
        <v>0</v>
      </c>
      <c r="J207" s="100">
        <f t="shared" ref="J207:M207" si="209">J191-I191</f>
        <v>0</v>
      </c>
      <c r="K207" s="100">
        <f t="shared" si="209"/>
        <v>0</v>
      </c>
      <c r="L207" s="100">
        <f t="shared" si="209"/>
        <v>0</v>
      </c>
      <c r="M207" s="100">
        <f t="shared" si="209"/>
        <v>0</v>
      </c>
      <c r="N207" s="100">
        <f t="shared" ref="N207" si="210">N191-M191</f>
        <v>0</v>
      </c>
      <c r="O207" s="100">
        <f t="shared" ref="O207" si="211">O191-N191</f>
        <v>0</v>
      </c>
      <c r="P207" s="100">
        <f t="shared" ref="P207" si="212">P191-O191</f>
        <v>0</v>
      </c>
      <c r="Q207" s="100">
        <f t="shared" ref="Q207" si="213">Q191-P191</f>
        <v>0</v>
      </c>
      <c r="R207" s="100">
        <f t="shared" ref="R207" si="214">R191-Q191</f>
        <v>0</v>
      </c>
    </row>
    <row r="208" spans="2:18" outlineLevel="1">
      <c r="B208" s="20" t="s">
        <v>79</v>
      </c>
      <c r="C208" s="20"/>
      <c r="D208" s="20"/>
      <c r="E208" s="20"/>
      <c r="F208" s="20"/>
      <c r="G208" s="20"/>
      <c r="H208" s="99"/>
      <c r="I208" s="101">
        <f>SUM(I201:I207)</f>
        <v>631.61637602739711</v>
      </c>
      <c r="J208" s="101">
        <f>SUM(J201:J207)</f>
        <v>-79.248015175299315</v>
      </c>
      <c r="K208" s="101">
        <f>SUM(K201:K207)</f>
        <v>-66.220972410359991</v>
      </c>
      <c r="L208" s="101">
        <f>SUM(L201:L207)</f>
        <v>-121.02697928297516</v>
      </c>
      <c r="M208" s="101">
        <f>SUM(M201:M207)</f>
        <v>-315.16554924372952</v>
      </c>
      <c r="N208" s="101">
        <f t="shared" ref="N208:R208" si="215">SUM(N201:N207)</f>
        <v>-80.623915113201122</v>
      </c>
      <c r="O208" s="101">
        <f t="shared" si="215"/>
        <v>327.96335337621991</v>
      </c>
      <c r="P208" s="101">
        <f t="shared" si="215"/>
        <v>367.31895578136675</v>
      </c>
      <c r="Q208" s="101">
        <f t="shared" si="215"/>
        <v>411.39723047513075</v>
      </c>
      <c r="R208" s="101">
        <f t="shared" si="215"/>
        <v>460.76489813214641</v>
      </c>
    </row>
    <row r="209" spans="1:18" outlineLevel="1">
      <c r="B209" s="11"/>
      <c r="C209" s="11"/>
      <c r="D209" s="11"/>
      <c r="E209" s="11"/>
      <c r="F209" s="11"/>
      <c r="G209" s="11"/>
      <c r="H209" s="96"/>
      <c r="I209" s="96"/>
      <c r="J209" s="96"/>
      <c r="K209" s="96"/>
      <c r="L209" s="96"/>
      <c r="M209" s="96"/>
      <c r="N209" s="96"/>
      <c r="O209" s="96"/>
      <c r="P209" s="96"/>
      <c r="Q209" s="96"/>
      <c r="R209" s="96"/>
    </row>
    <row r="210" spans="1:18" outlineLevel="1">
      <c r="B210" s="11" t="s">
        <v>543</v>
      </c>
      <c r="F210" s="11"/>
      <c r="G210" s="11"/>
      <c r="H210" s="96"/>
      <c r="I210" s="97">
        <f>I199-I201</f>
        <v>648.37457953767125</v>
      </c>
      <c r="J210" s="97">
        <f>J199-J201</f>
        <v>760.54264193257688</v>
      </c>
      <c r="K210" s="97">
        <f>K199-K201</f>
        <v>378.97292607317604</v>
      </c>
      <c r="L210" s="97">
        <f>L199-L201</f>
        <v>682.58126428760397</v>
      </c>
      <c r="M210" s="97">
        <f>M199-M201</f>
        <v>602.28593222142229</v>
      </c>
      <c r="N210" s="97">
        <f t="shared" ref="N210:R210" si="216">N199-N201</f>
        <v>730.83328128629432</v>
      </c>
      <c r="O210" s="97">
        <f t="shared" si="216"/>
        <v>818.53327504065078</v>
      </c>
      <c r="P210" s="97">
        <f t="shared" si="216"/>
        <v>916.75726804552869</v>
      </c>
      <c r="Q210" s="97">
        <f t="shared" si="216"/>
        <v>1026.7681402109918</v>
      </c>
      <c r="R210" s="97">
        <f t="shared" si="216"/>
        <v>1149.9803170363093</v>
      </c>
    </row>
    <row r="211" spans="1:18" outlineLevel="1">
      <c r="B211" t="s">
        <v>544</v>
      </c>
      <c r="F211" s="11"/>
      <c r="G211" s="11"/>
      <c r="H211" s="96"/>
      <c r="I211" s="97">
        <f>I199-I208</f>
        <v>247.4364295376713</v>
      </c>
      <c r="J211" s="97">
        <f t="shared" ref="J211:M211" si="217">J199-J208</f>
        <v>1091.6715403857015</v>
      </c>
      <c r="K211" s="97">
        <f t="shared" si="217"/>
        <v>718.33868720848886</v>
      </c>
      <c r="L211" s="97">
        <f t="shared" si="217"/>
        <v>1084.7296912329491</v>
      </c>
      <c r="M211" s="97">
        <f t="shared" si="217"/>
        <v>1189.1333201465579</v>
      </c>
      <c r="N211" s="97">
        <f t="shared" ref="N211:R211" si="218">N199-N208</f>
        <v>1059.4678185243702</v>
      </c>
      <c r="O211" s="97">
        <f t="shared" si="218"/>
        <v>768.34181844429008</v>
      </c>
      <c r="P211" s="97">
        <f t="shared" si="218"/>
        <v>860.54283665760465</v>
      </c>
      <c r="Q211" s="97">
        <f t="shared" si="218"/>
        <v>963.80797705651685</v>
      </c>
      <c r="R211" s="97">
        <f t="shared" si="218"/>
        <v>1079.4649343032975</v>
      </c>
    </row>
    <row r="213" spans="1:18" ht="18">
      <c r="B213" s="10" t="s">
        <v>50</v>
      </c>
      <c r="C213" s="10"/>
      <c r="D213" s="10"/>
      <c r="E213" s="10"/>
      <c r="F213" s="10"/>
      <c r="G213" s="10"/>
      <c r="H213" s="10"/>
      <c r="I213" s="10"/>
      <c r="J213" s="10"/>
      <c r="K213" s="10"/>
      <c r="L213" s="10"/>
      <c r="M213" s="10"/>
      <c r="N213" s="10"/>
      <c r="O213" s="10"/>
      <c r="P213" s="10"/>
      <c r="Q213" s="10"/>
      <c r="R213" s="10"/>
    </row>
    <row r="214" spans="1:18" outlineLevel="1"/>
    <row r="215" spans="1:18" outlineLevel="1">
      <c r="B215" s="307" t="s">
        <v>514</v>
      </c>
      <c r="C215" s="7"/>
      <c r="D215" s="255">
        <f>BalanceSheet!F47</f>
        <v>2355.38</v>
      </c>
      <c r="E215" s="255">
        <f>BalanceSheet!G47</f>
        <v>1979.62</v>
      </c>
      <c r="F215" s="255">
        <f>BalanceSheet!H47</f>
        <v>1813.33</v>
      </c>
      <c r="G215" s="255">
        <f>BalanceSheet!I47</f>
        <v>1727.02</v>
      </c>
      <c r="H215" s="255">
        <f>BalanceSheet!J47</f>
        <v>3188.9380000000001</v>
      </c>
      <c r="I215" s="256">
        <f>H215*(1+I216)</f>
        <v>3986.1725000000001</v>
      </c>
      <c r="J215" s="256">
        <f t="shared" ref="J215:M215" si="219">I215*(1+J216)</f>
        <v>3188.9380000000001</v>
      </c>
      <c r="K215" s="256">
        <f t="shared" si="219"/>
        <v>2710.5972999999999</v>
      </c>
      <c r="L215" s="256">
        <f t="shared" si="219"/>
        <v>2575.0674349999999</v>
      </c>
      <c r="M215" s="256">
        <f t="shared" si="219"/>
        <v>2575.0674349999999</v>
      </c>
      <c r="N215" s="256">
        <f t="shared" ref="N215" si="220">M215*(1+N216)</f>
        <v>2317.5606914999998</v>
      </c>
      <c r="O215" s="256">
        <f t="shared" ref="O215" si="221">N215*(1+O216)</f>
        <v>1969.9265877749999</v>
      </c>
      <c r="P215" s="256">
        <f t="shared" ref="P215" si="222">O215*(1+P216)</f>
        <v>1575.94127022</v>
      </c>
      <c r="Q215" s="256">
        <f t="shared" ref="Q215" si="223">P215*(1+Q216)</f>
        <v>1591.7006829222</v>
      </c>
      <c r="R215" s="256">
        <f t="shared" ref="R215" si="224">Q215*(1+R216)</f>
        <v>1607.6176897514219</v>
      </c>
    </row>
    <row r="216" spans="1:18" outlineLevel="1">
      <c r="B216" s="189" t="s">
        <v>516</v>
      </c>
      <c r="E216" s="37">
        <f>E215/D215-1</f>
        <v>-0.15953264441406489</v>
      </c>
      <c r="F216" s="37">
        <f t="shared" ref="F216:H216" si="225">F215/E215-1</f>
        <v>-8.40009698831089E-2</v>
      </c>
      <c r="G216" s="37">
        <f t="shared" si="225"/>
        <v>-4.7597513966018301E-2</v>
      </c>
      <c r="H216" s="37">
        <f t="shared" si="225"/>
        <v>0.84649743488784157</v>
      </c>
      <c r="I216" s="103">
        <f>ControlSheet!I129</f>
        <v>0.25</v>
      </c>
      <c r="J216" s="103">
        <f>ControlSheet!J129</f>
        <v>-0.2</v>
      </c>
      <c r="K216" s="103">
        <f>ControlSheet!K129</f>
        <v>-0.15</v>
      </c>
      <c r="L216" s="103">
        <f>ControlSheet!L129</f>
        <v>-0.05</v>
      </c>
      <c r="M216" s="103">
        <f>ControlSheet!M129</f>
        <v>0</v>
      </c>
      <c r="N216" s="103">
        <f>ControlSheet!N129</f>
        <v>-0.1</v>
      </c>
      <c r="O216" s="103">
        <f>ControlSheet!O129</f>
        <v>-0.15</v>
      </c>
      <c r="P216" s="103">
        <f>ControlSheet!P129</f>
        <v>-0.2</v>
      </c>
      <c r="Q216" s="103">
        <f>ControlSheet!Q129</f>
        <v>0.01</v>
      </c>
      <c r="R216" s="103">
        <f>ControlSheet!R129</f>
        <v>0.01</v>
      </c>
    </row>
    <row r="217" spans="1:18" outlineLevel="1"/>
    <row r="218" spans="1:18" outlineLevel="1">
      <c r="B218" s="28" t="s">
        <v>515</v>
      </c>
      <c r="C218" s="28"/>
      <c r="D218" s="285">
        <f t="shared" ref="D218:M218" si="226">D171</f>
        <v>467.15</v>
      </c>
      <c r="E218" s="285">
        <f t="shared" si="226"/>
        <v>713.86</v>
      </c>
      <c r="F218" s="285">
        <f t="shared" si="226"/>
        <v>1528.57</v>
      </c>
      <c r="G218" s="285">
        <f t="shared" si="226"/>
        <v>1967.79</v>
      </c>
      <c r="H218" s="285">
        <f t="shared" si="226"/>
        <v>2005.4490000000001</v>
      </c>
      <c r="I218" s="285">
        <f t="shared" si="226"/>
        <v>2406.38715</v>
      </c>
      <c r="J218" s="285">
        <f t="shared" si="226"/>
        <v>2075.2582515468753</v>
      </c>
      <c r="K218" s="285">
        <f t="shared" si="226"/>
        <v>1735.8924904115624</v>
      </c>
      <c r="L218" s="285">
        <f t="shared" si="226"/>
        <v>1333.7440634662173</v>
      </c>
      <c r="M218" s="285">
        <f t="shared" si="226"/>
        <v>746.89667554108166</v>
      </c>
      <c r="N218" s="285">
        <f t="shared" ref="N218:R218" si="227">N171</f>
        <v>418.26213830300577</v>
      </c>
      <c r="O218" s="285">
        <f t="shared" si="227"/>
        <v>468.45359489936652</v>
      </c>
      <c r="P218" s="285">
        <f t="shared" si="227"/>
        <v>524.66802628729056</v>
      </c>
      <c r="Q218" s="285">
        <f t="shared" si="227"/>
        <v>587.62818944176547</v>
      </c>
      <c r="R218" s="285">
        <f t="shared" si="227"/>
        <v>658.14357217477743</v>
      </c>
    </row>
    <row r="219" spans="1:18" outlineLevel="1">
      <c r="B219" s="28" t="s">
        <v>528</v>
      </c>
      <c r="C219" s="28"/>
      <c r="D219" s="285">
        <f t="shared" ref="D219:R219" si="228">D218+D215</f>
        <v>2822.53</v>
      </c>
      <c r="E219" s="285">
        <f t="shared" si="228"/>
        <v>2693.48</v>
      </c>
      <c r="F219" s="285">
        <f t="shared" si="228"/>
        <v>3341.8999999999996</v>
      </c>
      <c r="G219" s="285">
        <f t="shared" si="228"/>
        <v>3694.81</v>
      </c>
      <c r="H219" s="285">
        <f t="shared" si="228"/>
        <v>5194.3870000000006</v>
      </c>
      <c r="I219" s="285">
        <f t="shared" si="228"/>
        <v>6392.5596500000001</v>
      </c>
      <c r="J219" s="285">
        <f t="shared" si="228"/>
        <v>5264.1962515468749</v>
      </c>
      <c r="K219" s="285">
        <f t="shared" si="228"/>
        <v>4446.4897904115624</v>
      </c>
      <c r="L219" s="285">
        <f t="shared" si="228"/>
        <v>3908.811498466217</v>
      </c>
      <c r="M219" s="285">
        <f t="shared" si="228"/>
        <v>3321.9641105410815</v>
      </c>
      <c r="N219" s="285">
        <f t="shared" si="228"/>
        <v>2735.8228298030058</v>
      </c>
      <c r="O219" s="285">
        <f t="shared" si="228"/>
        <v>2438.3801826743666</v>
      </c>
      <c r="P219" s="285">
        <f t="shared" si="228"/>
        <v>2100.6092965072903</v>
      </c>
      <c r="Q219" s="285">
        <f t="shared" si="228"/>
        <v>2179.3288723639653</v>
      </c>
      <c r="R219" s="285">
        <f t="shared" si="228"/>
        <v>2265.7612619261995</v>
      </c>
    </row>
    <row r="220" spans="1:18" outlineLevel="1">
      <c r="B220" s="28" t="s">
        <v>518</v>
      </c>
      <c r="C220" s="28"/>
      <c r="D220" s="237">
        <f t="shared" ref="D220:R220" si="229">D215/D219</f>
        <v>0.8344924588932624</v>
      </c>
      <c r="E220" s="237">
        <f t="shared" si="229"/>
        <v>0.7349674027651959</v>
      </c>
      <c r="F220" s="237">
        <f t="shared" si="229"/>
        <v>0.54260450641850444</v>
      </c>
      <c r="G220" s="237">
        <f t="shared" si="229"/>
        <v>0.46741781038808489</v>
      </c>
      <c r="H220" s="237">
        <f t="shared" si="229"/>
        <v>0.61391998709376094</v>
      </c>
      <c r="I220" s="237">
        <f t="shared" si="229"/>
        <v>0.62356438081887899</v>
      </c>
      <c r="J220" s="237">
        <f t="shared" si="229"/>
        <v>0.60577870725525029</v>
      </c>
      <c r="K220" s="237">
        <f t="shared" si="229"/>
        <v>0.60960385107487447</v>
      </c>
      <c r="L220" s="237">
        <f t="shared" si="229"/>
        <v>0.65878526913114988</v>
      </c>
      <c r="M220" s="237">
        <f t="shared" si="229"/>
        <v>0.77516413462413147</v>
      </c>
      <c r="N220" s="237">
        <f t="shared" si="229"/>
        <v>0.84711651143976929</v>
      </c>
      <c r="O220" s="237">
        <f t="shared" si="229"/>
        <v>0.8078832832435604</v>
      </c>
      <c r="P220" s="237">
        <f t="shared" si="229"/>
        <v>0.75023055112644577</v>
      </c>
      <c r="Q220" s="237">
        <f t="shared" si="229"/>
        <v>0.73036277502974933</v>
      </c>
      <c r="R220" s="237">
        <f t="shared" si="229"/>
        <v>0.70952651400912925</v>
      </c>
    </row>
    <row r="221" spans="1:18" outlineLevel="1">
      <c r="B221" s="28" t="s">
        <v>519</v>
      </c>
      <c r="C221" s="28"/>
      <c r="D221" s="237">
        <f t="shared" ref="D221:R221" si="230">D218/D219</f>
        <v>0.16550754110673754</v>
      </c>
      <c r="E221" s="237">
        <f t="shared" si="230"/>
        <v>0.26503259723480405</v>
      </c>
      <c r="F221" s="237">
        <f t="shared" si="230"/>
        <v>0.45739549358149556</v>
      </c>
      <c r="G221" s="237">
        <f t="shared" si="230"/>
        <v>0.53258218961191506</v>
      </c>
      <c r="H221" s="237">
        <f t="shared" si="230"/>
        <v>0.38608001290623895</v>
      </c>
      <c r="I221" s="237">
        <f t="shared" si="230"/>
        <v>0.37643561918112095</v>
      </c>
      <c r="J221" s="237">
        <f t="shared" si="230"/>
        <v>0.39422129274474982</v>
      </c>
      <c r="K221" s="237">
        <f t="shared" si="230"/>
        <v>0.39039614892512553</v>
      </c>
      <c r="L221" s="237">
        <f t="shared" si="230"/>
        <v>0.34121473086885018</v>
      </c>
      <c r="M221" s="237">
        <f t="shared" si="230"/>
        <v>0.22483586537586861</v>
      </c>
      <c r="N221" s="237">
        <f t="shared" si="230"/>
        <v>0.15288348856023068</v>
      </c>
      <c r="O221" s="237">
        <f t="shared" si="230"/>
        <v>0.19211671675643952</v>
      </c>
      <c r="P221" s="237">
        <f t="shared" si="230"/>
        <v>0.24976944887355432</v>
      </c>
      <c r="Q221" s="237">
        <f t="shared" si="230"/>
        <v>0.26963722497025078</v>
      </c>
      <c r="R221" s="237">
        <f t="shared" si="230"/>
        <v>0.29047348599087069</v>
      </c>
    </row>
    <row r="222" spans="1:18">
      <c r="B222" s="11"/>
      <c r="C222" s="11"/>
      <c r="D222" s="11"/>
      <c r="E222" s="11"/>
      <c r="F222" s="11"/>
      <c r="G222" s="11"/>
      <c r="H222" s="31"/>
      <c r="I222" s="31"/>
      <c r="J222" s="31"/>
      <c r="K222" s="31"/>
      <c r="L222" s="31"/>
      <c r="M222" s="31"/>
      <c r="N222" s="31"/>
      <c r="O222" s="31"/>
      <c r="P222" s="31"/>
      <c r="Q222" s="31"/>
      <c r="R222" s="31"/>
    </row>
    <row r="223" spans="1:18" ht="18">
      <c r="A223" t="s">
        <v>220</v>
      </c>
      <c r="B223" s="10" t="s">
        <v>51</v>
      </c>
      <c r="C223" s="10"/>
      <c r="D223" s="10"/>
      <c r="E223" s="10"/>
      <c r="F223" s="10"/>
      <c r="G223" s="10"/>
      <c r="H223" s="10"/>
      <c r="I223" s="10"/>
      <c r="J223" s="10"/>
      <c r="K223" s="10"/>
      <c r="L223" s="10"/>
      <c r="M223" s="10"/>
      <c r="N223" s="10"/>
      <c r="O223" s="10"/>
      <c r="P223" s="10"/>
      <c r="Q223" s="10"/>
      <c r="R223" s="10"/>
    </row>
    <row r="225" spans="1:18">
      <c r="B225" t="s">
        <v>531</v>
      </c>
      <c r="I225" s="103">
        <f>ControlSheet!I145</f>
        <v>7.7899999999999997E-2</v>
      </c>
      <c r="J225" s="103">
        <f>ControlSheet!J145</f>
        <v>7.7899999999999997E-2</v>
      </c>
      <c r="K225" s="103">
        <f>ControlSheet!K145</f>
        <v>7.7899999999999997E-2</v>
      </c>
      <c r="L225" s="103">
        <f>ControlSheet!L145</f>
        <v>7.7899999999999997E-2</v>
      </c>
      <c r="M225" s="103">
        <f>ControlSheet!M145</f>
        <v>7.7899999999999997E-2</v>
      </c>
      <c r="N225" s="103">
        <f>ControlSheet!N145</f>
        <v>7.7899999999999997E-2</v>
      </c>
      <c r="O225" s="103">
        <f>ControlSheet!O145</f>
        <v>7.7899999999999997E-2</v>
      </c>
      <c r="P225" s="103">
        <f>ControlSheet!P145</f>
        <v>7.7899999999999997E-2</v>
      </c>
      <c r="Q225" s="103">
        <f>ControlSheet!Q145</f>
        <v>7.7899999999999997E-2</v>
      </c>
      <c r="R225" s="103">
        <f>ControlSheet!R145</f>
        <v>7.7899999999999997E-2</v>
      </c>
    </row>
    <row r="226" spans="1:18">
      <c r="B226" t="s">
        <v>532</v>
      </c>
      <c r="I226" s="35">
        <f>AVERAGE(H219:I219)</f>
        <v>5793.4733250000008</v>
      </c>
      <c r="J226" s="35">
        <f t="shared" ref="J226:M226" si="231">AVERAGE(I219:J219)</f>
        <v>5828.377950773438</v>
      </c>
      <c r="K226" s="35">
        <f t="shared" si="231"/>
        <v>4855.3430209792186</v>
      </c>
      <c r="L226" s="35">
        <f t="shared" si="231"/>
        <v>4177.6506444388897</v>
      </c>
      <c r="M226" s="35">
        <f t="shared" si="231"/>
        <v>3615.387804503649</v>
      </c>
      <c r="N226" s="35">
        <f t="shared" ref="N226" si="232">AVERAGE(M219:N219)</f>
        <v>3028.8934701720436</v>
      </c>
      <c r="O226" s="35">
        <f t="shared" ref="O226" si="233">AVERAGE(N219:O219)</f>
        <v>2587.1015062386859</v>
      </c>
      <c r="P226" s="35">
        <f t="shared" ref="P226" si="234">AVERAGE(O219:P219)</f>
        <v>2269.4947395908284</v>
      </c>
      <c r="Q226" s="35">
        <f t="shared" ref="Q226" si="235">AVERAGE(P219:Q219)</f>
        <v>2139.9690844356278</v>
      </c>
      <c r="R226" s="35">
        <f t="shared" ref="R226" si="236">AVERAGE(Q219:R219)</f>
        <v>2222.5450671450826</v>
      </c>
    </row>
    <row r="227" spans="1:18">
      <c r="B227" s="20" t="s">
        <v>534</v>
      </c>
      <c r="C227" s="20"/>
      <c r="D227" s="20"/>
      <c r="E227" s="20"/>
      <c r="F227" s="20"/>
      <c r="G227" s="20"/>
      <c r="H227" s="20"/>
      <c r="I227" s="23">
        <f>I225*I226</f>
        <v>451.31157201750005</v>
      </c>
      <c r="J227" s="23">
        <f t="shared" ref="J227:M227" si="237">J225*J226</f>
        <v>454.0306423652508</v>
      </c>
      <c r="K227" s="23">
        <f t="shared" si="237"/>
        <v>378.23122133428114</v>
      </c>
      <c r="L227" s="23">
        <f t="shared" si="237"/>
        <v>325.43898520178948</v>
      </c>
      <c r="M227" s="23">
        <f t="shared" si="237"/>
        <v>281.63870997083427</v>
      </c>
      <c r="N227" s="23">
        <f t="shared" ref="N227:R227" si="238">N225*N226</f>
        <v>235.9508013264022</v>
      </c>
      <c r="O227" s="23">
        <f t="shared" si="238"/>
        <v>201.53520733599362</v>
      </c>
      <c r="P227" s="23">
        <f t="shared" si="238"/>
        <v>176.79364021412553</v>
      </c>
      <c r="Q227" s="23">
        <f t="shared" si="238"/>
        <v>166.7035916775354</v>
      </c>
      <c r="R227" s="23">
        <f t="shared" si="238"/>
        <v>173.13626073060192</v>
      </c>
    </row>
    <row r="229" spans="1:18" ht="18">
      <c r="A229" t="s">
        <v>220</v>
      </c>
      <c r="B229" s="10" t="s">
        <v>484</v>
      </c>
      <c r="C229" s="10"/>
      <c r="D229" s="10"/>
      <c r="E229" s="10"/>
      <c r="F229" s="10"/>
      <c r="G229" s="10"/>
      <c r="H229" s="10"/>
      <c r="I229" s="10"/>
      <c r="J229" s="10"/>
      <c r="K229" s="10"/>
      <c r="L229" s="10"/>
      <c r="M229" s="10"/>
      <c r="N229" s="10"/>
      <c r="O229" s="10"/>
      <c r="P229" s="10"/>
      <c r="Q229" s="10"/>
      <c r="R229" s="10"/>
    </row>
    <row r="231" spans="1:18">
      <c r="B231" t="s">
        <v>36</v>
      </c>
      <c r="I231" s="34">
        <f t="shared" ref="I231:R231" si="239">I13</f>
        <v>20053.22625</v>
      </c>
      <c r="J231" s="34">
        <f t="shared" si="239"/>
        <v>24414.802959375</v>
      </c>
      <c r="K231" s="34">
        <f t="shared" si="239"/>
        <v>28931.541506859376</v>
      </c>
      <c r="L231" s="34">
        <f t="shared" si="239"/>
        <v>33343.60158665543</v>
      </c>
      <c r="M231" s="34">
        <f t="shared" si="239"/>
        <v>37344.833777054082</v>
      </c>
      <c r="N231" s="34">
        <f t="shared" si="239"/>
        <v>41826.213830300578</v>
      </c>
      <c r="O231" s="34">
        <f t="shared" si="239"/>
        <v>46845.359489936651</v>
      </c>
      <c r="P231" s="34">
        <f t="shared" si="239"/>
        <v>52466.802628729056</v>
      </c>
      <c r="Q231" s="34">
        <f t="shared" si="239"/>
        <v>58762.81894417655</v>
      </c>
      <c r="R231" s="34">
        <f t="shared" si="239"/>
        <v>65814.357217477736</v>
      </c>
    </row>
    <row r="232" spans="1:18">
      <c r="B232" t="s">
        <v>485</v>
      </c>
      <c r="I232" s="103">
        <f>ControlSheet!I161</f>
        <v>5.0000000000000001E-3</v>
      </c>
      <c r="J232" s="103">
        <f>ControlSheet!J161</f>
        <v>5.0000000000000001E-3</v>
      </c>
      <c r="K232" s="103">
        <f>ControlSheet!K161</f>
        <v>5.0000000000000001E-3</v>
      </c>
      <c r="L232" s="103">
        <f>ControlSheet!L161</f>
        <v>5.0000000000000001E-3</v>
      </c>
      <c r="M232" s="103">
        <f>ControlSheet!M161</f>
        <v>5.0000000000000001E-3</v>
      </c>
      <c r="N232" s="103">
        <f>ControlSheet!N161</f>
        <v>5.0000000000000001E-3</v>
      </c>
      <c r="O232" s="103">
        <f>ControlSheet!O161</f>
        <v>5.0000000000000001E-3</v>
      </c>
      <c r="P232" s="103">
        <f>ControlSheet!P161</f>
        <v>5.0000000000000001E-3</v>
      </c>
      <c r="Q232" s="103">
        <f>ControlSheet!Q161</f>
        <v>5.0000000000000001E-3</v>
      </c>
      <c r="R232" s="103">
        <f>ControlSheet!R161</f>
        <v>5.0000000000000001E-3</v>
      </c>
    </row>
    <row r="233" spans="1:18">
      <c r="B233" s="20" t="s">
        <v>484</v>
      </c>
      <c r="C233" s="20"/>
      <c r="D233" s="20"/>
      <c r="E233" s="20"/>
      <c r="F233" s="20"/>
      <c r="G233" s="20"/>
      <c r="H233" s="20"/>
      <c r="I233" s="23">
        <f>I231*I232</f>
        <v>100.26613125</v>
      </c>
      <c r="J233" s="23">
        <f t="shared" ref="J233" si="240">J231*J232</f>
        <v>122.07401479687501</v>
      </c>
      <c r="K233" s="23">
        <f t="shared" ref="K233" si="241">K231*K232</f>
        <v>144.65770753429689</v>
      </c>
      <c r="L233" s="23">
        <f t="shared" ref="L233" si="242">L231*L232</f>
        <v>166.71800793327716</v>
      </c>
      <c r="M233" s="23">
        <f t="shared" ref="M233:R233" si="243">M231*M232</f>
        <v>186.72416888527042</v>
      </c>
      <c r="N233" s="23">
        <f t="shared" si="243"/>
        <v>209.13106915150289</v>
      </c>
      <c r="O233" s="23">
        <f t="shared" si="243"/>
        <v>234.22679744968326</v>
      </c>
      <c r="P233" s="23">
        <f t="shared" si="243"/>
        <v>262.33401314364528</v>
      </c>
      <c r="Q233" s="23">
        <f t="shared" si="243"/>
        <v>293.81409472088274</v>
      </c>
      <c r="R233" s="23">
        <f t="shared" si="243"/>
        <v>329.07178608738872</v>
      </c>
    </row>
  </sheetData>
  <mergeCells count="3">
    <mergeCell ref="I8:M8"/>
    <mergeCell ref="D8:H8"/>
    <mergeCell ref="N8:R8"/>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C2474-55E0-4327-9BAC-E88725A61D25}">
  <dimension ref="B2:Z351"/>
  <sheetViews>
    <sheetView showGridLines="0" zoomScale="84" zoomScaleNormal="85" workbookViewId="0">
      <pane ySplit="9" topLeftCell="A27" activePane="bottomLeft" state="frozen"/>
      <selection activeCell="F1" sqref="F1"/>
      <selection pane="bottomLeft" activeCell="I149" sqref="I149"/>
    </sheetView>
  </sheetViews>
  <sheetFormatPr defaultRowHeight="14.4"/>
  <cols>
    <col min="1" max="1" width="1.88671875" customWidth="1"/>
    <col min="2" max="2" width="42.21875" customWidth="1"/>
    <col min="3" max="3" width="10.33203125" customWidth="1"/>
    <col min="4" max="4" width="14" customWidth="1"/>
    <col min="5" max="5" width="13.6640625" customWidth="1"/>
    <col min="6" max="6" width="11.88671875" customWidth="1"/>
    <col min="7" max="7" width="12.33203125" customWidth="1"/>
    <col min="8" max="8" width="12.21875" bestFit="1" customWidth="1"/>
    <col min="9" max="9" width="11.33203125" bestFit="1" customWidth="1"/>
    <col min="10" max="11" width="11.33203125" customWidth="1"/>
    <col min="12" max="13" width="11.33203125" bestFit="1" customWidth="1"/>
    <col min="14" max="18" width="11.33203125" customWidth="1"/>
    <col min="19" max="19" width="3.77734375" customWidth="1"/>
  </cols>
  <sheetData>
    <row r="2" spans="2:21" ht="21">
      <c r="B2" s="8" t="str">
        <f>'Input Sheet'!C6</f>
        <v>Varun Beverages Ltd.</v>
      </c>
      <c r="C2" s="8"/>
      <c r="D2" s="8"/>
    </row>
    <row r="3" spans="2:21" ht="18">
      <c r="B3" s="9" t="s">
        <v>53</v>
      </c>
      <c r="C3" s="9"/>
      <c r="D3" s="9"/>
    </row>
    <row r="4" spans="2:21">
      <c r="H4" t="s">
        <v>22</v>
      </c>
      <c r="I4">
        <v>0</v>
      </c>
    </row>
    <row r="7" spans="2:21">
      <c r="T7" s="561" t="s">
        <v>58</v>
      </c>
      <c r="U7" s="561"/>
    </row>
    <row r="8" spans="2:21">
      <c r="D8" s="562" t="s">
        <v>18</v>
      </c>
      <c r="E8" s="562"/>
      <c r="F8" s="562"/>
      <c r="G8" s="562"/>
      <c r="H8" s="562"/>
      <c r="I8" s="563" t="s">
        <v>19</v>
      </c>
      <c r="J8" s="563"/>
      <c r="K8" s="563"/>
      <c r="L8" s="563"/>
      <c r="M8" s="563"/>
      <c r="N8" s="563"/>
      <c r="O8" s="563"/>
      <c r="P8" s="563"/>
      <c r="Q8" s="563"/>
      <c r="R8" s="563"/>
      <c r="T8" s="90" t="s">
        <v>56</v>
      </c>
      <c r="U8" s="90" t="s">
        <v>57</v>
      </c>
    </row>
    <row r="9" spans="2:21" ht="15.6">
      <c r="B9" s="74" t="s">
        <v>17</v>
      </c>
      <c r="C9" s="74"/>
      <c r="D9" s="453">
        <v>2019</v>
      </c>
      <c r="E9" s="453">
        <v>2020</v>
      </c>
      <c r="F9" s="453">
        <v>2021</v>
      </c>
      <c r="G9" s="453">
        <v>2022</v>
      </c>
      <c r="H9" s="453">
        <v>2023</v>
      </c>
      <c r="I9" s="454">
        <f t="shared" ref="I9" si="0">H9+1</f>
        <v>2024</v>
      </c>
      <c r="J9" s="454">
        <f>I9+1</f>
        <v>2025</v>
      </c>
      <c r="K9" s="454">
        <f t="shared" ref="K9" si="1">J9+1</f>
        <v>2026</v>
      </c>
      <c r="L9" s="454">
        <f t="shared" ref="L9" si="2">K9+1</f>
        <v>2027</v>
      </c>
      <c r="M9" s="454">
        <f t="shared" ref="M9" si="3">L9+1</f>
        <v>2028</v>
      </c>
      <c r="N9" s="454">
        <f>M9+1</f>
        <v>2029</v>
      </c>
      <c r="O9" s="454">
        <f t="shared" ref="O9" si="4">N9+1</f>
        <v>2030</v>
      </c>
      <c r="P9" s="454">
        <f t="shared" ref="P9" si="5">O9+1</f>
        <v>2031</v>
      </c>
      <c r="Q9" s="454">
        <f t="shared" ref="Q9" si="6">P9+1</f>
        <v>2032</v>
      </c>
      <c r="R9" s="454">
        <f t="shared" ref="R9" si="7">Q9+1</f>
        <v>2033</v>
      </c>
    </row>
    <row r="10" spans="2:21">
      <c r="B10" s="74"/>
      <c r="C10" s="74"/>
      <c r="D10" s="74"/>
      <c r="F10" s="75"/>
      <c r="G10" s="62"/>
      <c r="H10" s="62"/>
      <c r="I10" s="62"/>
      <c r="J10" s="62"/>
      <c r="K10" s="62"/>
      <c r="L10" s="62"/>
      <c r="M10" s="62"/>
      <c r="N10" s="62"/>
      <c r="O10" s="62"/>
      <c r="P10" s="62"/>
      <c r="Q10" s="62"/>
      <c r="R10" s="62"/>
    </row>
    <row r="11" spans="2:21" ht="18">
      <c r="B11" s="10" t="s">
        <v>65</v>
      </c>
      <c r="C11" s="10"/>
      <c r="D11" s="10"/>
      <c r="E11" s="10"/>
      <c r="F11" s="10"/>
      <c r="G11" s="10"/>
      <c r="H11" s="10"/>
      <c r="I11" s="10"/>
      <c r="J11" s="10"/>
      <c r="K11" s="10"/>
      <c r="L11" s="10"/>
      <c r="M11" s="10"/>
      <c r="N11" s="10"/>
      <c r="O11" s="10"/>
      <c r="P11" s="10"/>
      <c r="Q11" s="10"/>
      <c r="R11" s="10"/>
    </row>
    <row r="13" spans="2:21">
      <c r="B13" s="76" t="s">
        <v>36</v>
      </c>
      <c r="C13" s="76"/>
      <c r="D13" s="201">
        <f>Schedules!D13</f>
        <v>7129.58</v>
      </c>
      <c r="E13" s="201">
        <f>Schedules!E13</f>
        <v>6450.14</v>
      </c>
      <c r="F13" s="201">
        <f>Schedules!F13</f>
        <v>8823.2300000000014</v>
      </c>
      <c r="G13" s="201">
        <f>Schedules!G13</f>
        <v>13173.14</v>
      </c>
      <c r="H13" s="201">
        <f>Schedules!H13</f>
        <v>16042.581</v>
      </c>
      <c r="I13" s="201">
        <f>Schedules!I13</f>
        <v>20053.22625</v>
      </c>
      <c r="J13" s="201">
        <f>Schedules!J13</f>
        <v>24414.802959375</v>
      </c>
      <c r="K13" s="201">
        <f>Schedules!K13</f>
        <v>28931.541506859376</v>
      </c>
      <c r="L13" s="201">
        <f>Schedules!L13</f>
        <v>33343.60158665543</v>
      </c>
      <c r="M13" s="201">
        <f>Schedules!M13</f>
        <v>37344.833777054082</v>
      </c>
      <c r="N13" s="201">
        <f>Schedules!N13</f>
        <v>41826.213830300578</v>
      </c>
      <c r="O13" s="201">
        <f>Schedules!O13</f>
        <v>46845.359489936651</v>
      </c>
      <c r="P13" s="201">
        <f>Schedules!P13</f>
        <v>52466.802628729056</v>
      </c>
      <c r="Q13" s="201">
        <f>Schedules!Q13</f>
        <v>58762.81894417655</v>
      </c>
      <c r="R13" s="201">
        <f>Schedules!R13</f>
        <v>65814.357217477736</v>
      </c>
      <c r="T13" s="37">
        <f>_xlfn.RRI($M$9-$H$9,$H13,$M13)</f>
        <v>0.18410784381170364</v>
      </c>
      <c r="U13" s="37">
        <f>_xlfn.RRI($M$9-$J$9,$J13,$M13)</f>
        <v>0.15219442368593117</v>
      </c>
    </row>
    <row r="14" spans="2:21">
      <c r="B14" s="81" t="s">
        <v>0</v>
      </c>
      <c r="C14" s="81"/>
      <c r="D14" s="201">
        <f>Schedules!D20</f>
        <v>3219.43</v>
      </c>
      <c r="E14" s="201">
        <f>Schedules!E20</f>
        <v>2763.9400000000005</v>
      </c>
      <c r="F14" s="201">
        <f>Schedules!F20</f>
        <v>4034.6600000000003</v>
      </c>
      <c r="G14" s="201">
        <f>Schedules!G20</f>
        <v>6261.15</v>
      </c>
      <c r="H14" s="201">
        <f>Schedules!H20</f>
        <v>7404.8879999999999</v>
      </c>
      <c r="I14" s="201">
        <f>Schedules!I20</f>
        <v>9023.9518124999995</v>
      </c>
      <c r="J14" s="201">
        <f>Schedules!J20</f>
        <v>11322.364872410157</v>
      </c>
      <c r="K14" s="201">
        <f>Schedules!K20</f>
        <v>13814.811069525353</v>
      </c>
      <c r="L14" s="201">
        <f>Schedules!L20</f>
        <v>16380.044279444479</v>
      </c>
      <c r="M14" s="201">
        <f>Schedules!M20</f>
        <v>18859.141057412311</v>
      </c>
      <c r="N14" s="201">
        <f>Schedules!N20</f>
        <v>21122.237984301792</v>
      </c>
      <c r="O14" s="201">
        <f>Schedules!O20</f>
        <v>23656.906542418008</v>
      </c>
      <c r="P14" s="201">
        <f>Schedules!P20</f>
        <v>26495.735327508173</v>
      </c>
      <c r="Q14" s="201">
        <f>Schedules!Q20</f>
        <v>29675.223566809156</v>
      </c>
      <c r="R14" s="201">
        <f>Schedules!R20</f>
        <v>33236.25039482626</v>
      </c>
      <c r="T14" s="37">
        <f>_xlfn.RRI($M$9-$H$9,$H14,$M14)</f>
        <v>0.2055929035560593</v>
      </c>
      <c r="U14" s="37">
        <f t="shared" ref="U14:U42" si="8">_xlfn.RRI($M$9-$J$9,$J14,$M14)</f>
        <v>0.18539089617152404</v>
      </c>
    </row>
    <row r="15" spans="2:21">
      <c r="B15" s="88" t="s">
        <v>1</v>
      </c>
      <c r="C15" s="88"/>
      <c r="D15" s="515">
        <f>D13-D14</f>
        <v>3910.15</v>
      </c>
      <c r="E15" s="515">
        <f t="shared" ref="E15:M15" si="9">E13-E14</f>
        <v>3686.2</v>
      </c>
      <c r="F15" s="515">
        <f t="shared" si="9"/>
        <v>4788.5700000000015</v>
      </c>
      <c r="G15" s="515">
        <f t="shared" si="9"/>
        <v>6911.99</v>
      </c>
      <c r="H15" s="515">
        <f t="shared" si="9"/>
        <v>8637.6929999999993</v>
      </c>
      <c r="I15" s="515">
        <f t="shared" si="9"/>
        <v>11029.2744375</v>
      </c>
      <c r="J15" s="515">
        <f t="shared" si="9"/>
        <v>13092.438086964843</v>
      </c>
      <c r="K15" s="515">
        <f t="shared" si="9"/>
        <v>15116.730437334023</v>
      </c>
      <c r="L15" s="515">
        <f t="shared" si="9"/>
        <v>16963.557307210951</v>
      </c>
      <c r="M15" s="515">
        <f t="shared" si="9"/>
        <v>18485.692719641771</v>
      </c>
      <c r="N15" s="515">
        <f t="shared" ref="N15:R15" si="10">N13-N14</f>
        <v>20703.975845998786</v>
      </c>
      <c r="O15" s="515">
        <f t="shared" si="10"/>
        <v>23188.452947518643</v>
      </c>
      <c r="P15" s="515">
        <f t="shared" si="10"/>
        <v>25971.067301220883</v>
      </c>
      <c r="Q15" s="515">
        <f t="shared" si="10"/>
        <v>29087.595377367394</v>
      </c>
      <c r="R15" s="515">
        <f t="shared" si="10"/>
        <v>32578.106822651476</v>
      </c>
      <c r="T15" s="37">
        <f>_xlfn.RRI($M$9-$H$9,$H15,$M15)</f>
        <v>0.16436084623116809</v>
      </c>
      <c r="U15" s="37">
        <f t="shared" si="8"/>
        <v>0.12185932004627387</v>
      </c>
    </row>
    <row r="16" spans="2:21">
      <c r="B16" s="1"/>
      <c r="C16" s="1"/>
      <c r="D16" s="95"/>
      <c r="E16" s="95"/>
      <c r="F16" s="95"/>
      <c r="G16" s="95"/>
      <c r="H16" s="95"/>
      <c r="I16" s="95"/>
      <c r="J16" s="95"/>
      <c r="K16" s="95"/>
      <c r="L16" s="95"/>
      <c r="M16" s="95"/>
      <c r="N16" s="95"/>
      <c r="O16" s="95"/>
      <c r="P16" s="95"/>
      <c r="Q16" s="95"/>
      <c r="R16" s="95"/>
      <c r="T16" s="37"/>
      <c r="U16" s="37"/>
    </row>
    <row r="17" spans="2:21">
      <c r="B17" s="203" t="s">
        <v>356</v>
      </c>
      <c r="C17" s="203"/>
      <c r="D17" s="204">
        <f>D15/D$13</f>
        <v>0.5484404410919016</v>
      </c>
      <c r="E17" s="204">
        <f t="shared" ref="E17:M17" si="11">E15/E$13</f>
        <v>0.5714914715029441</v>
      </c>
      <c r="F17" s="204">
        <f t="shared" si="11"/>
        <v>0.54272301640102327</v>
      </c>
      <c r="G17" s="204">
        <f t="shared" si="11"/>
        <v>0.5247032977710705</v>
      </c>
      <c r="H17" s="204">
        <f t="shared" si="11"/>
        <v>0.53842290090353906</v>
      </c>
      <c r="I17" s="204">
        <f t="shared" si="11"/>
        <v>0.55000000000000004</v>
      </c>
      <c r="J17" s="204">
        <f t="shared" si="11"/>
        <v>0.53625</v>
      </c>
      <c r="K17" s="204">
        <f t="shared" si="11"/>
        <v>0.52249999999999996</v>
      </c>
      <c r="L17" s="204">
        <f t="shared" si="11"/>
        <v>0.50875000000000004</v>
      </c>
      <c r="M17" s="204">
        <f t="shared" si="11"/>
        <v>0.495</v>
      </c>
      <c r="N17" s="204">
        <f t="shared" ref="N17:R17" si="12">N15/N$13</f>
        <v>0.495</v>
      </c>
      <c r="O17" s="204">
        <f t="shared" si="12"/>
        <v>0.495</v>
      </c>
      <c r="P17" s="204">
        <f t="shared" si="12"/>
        <v>0.495</v>
      </c>
      <c r="Q17" s="204">
        <f t="shared" si="12"/>
        <v>0.49500000000000005</v>
      </c>
      <c r="R17" s="204">
        <f t="shared" si="12"/>
        <v>0.49499999999999994</v>
      </c>
      <c r="T17" s="37"/>
      <c r="U17" s="37"/>
    </row>
    <row r="18" spans="2:21">
      <c r="B18" s="79"/>
      <c r="C18" s="79"/>
      <c r="D18" s="79"/>
      <c r="F18" s="87"/>
      <c r="G18" s="87"/>
      <c r="H18" s="87"/>
      <c r="I18" s="87"/>
      <c r="J18" s="87"/>
      <c r="K18" s="87"/>
      <c r="L18" s="87"/>
      <c r="M18" s="87"/>
      <c r="N18" s="87"/>
      <c r="O18" s="87"/>
      <c r="P18" s="87"/>
      <c r="Q18" s="87"/>
      <c r="R18" s="87"/>
      <c r="T18" s="37"/>
      <c r="U18" s="37"/>
    </row>
    <row r="19" spans="2:21">
      <c r="B19" s="80" t="s">
        <v>355</v>
      </c>
      <c r="C19" s="80"/>
      <c r="D19" s="80"/>
      <c r="F19" s="87"/>
      <c r="G19" s="87"/>
      <c r="H19" s="87"/>
      <c r="I19" s="87"/>
      <c r="J19" s="87"/>
      <c r="K19" s="87"/>
      <c r="L19" s="87"/>
      <c r="M19" s="87"/>
      <c r="N19" s="87"/>
      <c r="O19" s="87"/>
      <c r="P19" s="87"/>
      <c r="Q19" s="87"/>
      <c r="R19" s="87"/>
      <c r="T19" s="37"/>
      <c r="U19" s="37"/>
    </row>
    <row r="20" spans="2:21">
      <c r="B20" s="81" t="str">
        <f>Schedules!B26</f>
        <v>Employee Cost</v>
      </c>
      <c r="C20" s="81"/>
      <c r="D20" s="201">
        <f>Schedules!D28</f>
        <v>811</v>
      </c>
      <c r="E20" s="201">
        <f>Schedules!E28</f>
        <v>890</v>
      </c>
      <c r="F20" s="201">
        <f>Schedules!F28</f>
        <v>1008</v>
      </c>
      <c r="G20" s="201">
        <f>Schedules!G28</f>
        <v>1217</v>
      </c>
      <c r="H20" s="201">
        <f>Schedules!H28</f>
        <v>1447</v>
      </c>
      <c r="I20" s="201">
        <f>Schedules!I28</f>
        <v>2050.4593296848752</v>
      </c>
      <c r="J20" s="201">
        <f>Schedules!J28</f>
        <v>2496.4342338913357</v>
      </c>
      <c r="K20" s="201">
        <f>Schedules!K28</f>
        <v>2958.2745671612329</v>
      </c>
      <c r="L20" s="201">
        <f>Schedules!L28</f>
        <v>3409.4114386533206</v>
      </c>
      <c r="M20" s="201">
        <f>Schedules!M28</f>
        <v>3818.5408112917189</v>
      </c>
      <c r="N20" s="201">
        <f>Schedules!N28</f>
        <v>4276.7657086467261</v>
      </c>
      <c r="O20" s="201">
        <f>Schedules!O28</f>
        <v>4789.9775936843334</v>
      </c>
      <c r="P20" s="201">
        <f>Schedules!P28</f>
        <v>5364.7749049264539</v>
      </c>
      <c r="Q20" s="201">
        <f>Schedules!Q28</f>
        <v>6008.5478935176297</v>
      </c>
      <c r="R20" s="201">
        <f>Schedules!R28</f>
        <v>6729.5736407397453</v>
      </c>
      <c r="T20" s="37">
        <f>_xlfn.RRI($M$9-$H$9,$H20,$M20)</f>
        <v>0.21418756589068422</v>
      </c>
      <c r="U20" s="37">
        <f t="shared" si="8"/>
        <v>0.15219442368593117</v>
      </c>
    </row>
    <row r="21" spans="2:21">
      <c r="B21" s="81" t="str">
        <f>Schedules!B31</f>
        <v>Power &amp; Fuel Cost</v>
      </c>
      <c r="C21" s="81"/>
      <c r="D21" s="201">
        <f>Schedules!D33</f>
        <v>279</v>
      </c>
      <c r="E21" s="201">
        <f>Schedules!E33</f>
        <v>267</v>
      </c>
      <c r="F21" s="201">
        <f>Schedules!F33</f>
        <v>330</v>
      </c>
      <c r="G21" s="201">
        <f>Schedules!G33</f>
        <v>479</v>
      </c>
      <c r="H21" s="201">
        <f>Schedules!H33</f>
        <v>550</v>
      </c>
      <c r="I21" s="201">
        <f>Schedules!I33</f>
        <v>793.009592117122</v>
      </c>
      <c r="J21" s="201">
        <f>Schedules!J33</f>
        <v>965.48917840259605</v>
      </c>
      <c r="K21" s="201">
        <f>Schedules!K33</f>
        <v>1144.1046764070763</v>
      </c>
      <c r="L21" s="201">
        <f>Schedules!L33</f>
        <v>1318.5806395591555</v>
      </c>
      <c r="M21" s="201">
        <f>Schedules!M33</f>
        <v>1476.8103163062542</v>
      </c>
      <c r="N21" s="201">
        <f>Schedules!N33</f>
        <v>1654.027554263005</v>
      </c>
      <c r="O21" s="201">
        <f>Schedules!O33</f>
        <v>1852.5108607745656</v>
      </c>
      <c r="P21" s="201">
        <f>Schedules!P33</f>
        <v>2074.812164067514</v>
      </c>
      <c r="Q21" s="201">
        <f>Schedules!Q33</f>
        <v>2323.7896237556156</v>
      </c>
      <c r="R21" s="201">
        <f>Schedules!R33</f>
        <v>2602.6443786062896</v>
      </c>
      <c r="T21" s="37">
        <f>_xlfn.RRI($M$9-$H$9,$H21,$M21)</f>
        <v>0.21840705652652748</v>
      </c>
      <c r="U21" s="37">
        <f t="shared" si="8"/>
        <v>0.15219442368593117</v>
      </c>
    </row>
    <row r="22" spans="2:21">
      <c r="B22" s="82" t="str">
        <f>Schedules!B36</f>
        <v>Selling and Distribution Cost</v>
      </c>
      <c r="C22" s="82"/>
      <c r="D22" s="201">
        <f>Schedules!D38</f>
        <v>168</v>
      </c>
      <c r="E22" s="201">
        <f>Schedules!E38</f>
        <v>157</v>
      </c>
      <c r="F22" s="201">
        <f>Schedules!F38</f>
        <v>316</v>
      </c>
      <c r="G22" s="201">
        <f>Schedules!G38</f>
        <v>418</v>
      </c>
      <c r="H22" s="201">
        <f>Schedules!H38</f>
        <v>510</v>
      </c>
      <c r="I22" s="201">
        <f>Schedules!I38</f>
        <v>544.21281894355639</v>
      </c>
      <c r="J22" s="201">
        <f>Schedules!J38</f>
        <v>662.57910706377993</v>
      </c>
      <c r="K22" s="201">
        <f>Schedules!K38</f>
        <v>785.15624187057927</v>
      </c>
      <c r="L22" s="201">
        <f>Schedules!L38</f>
        <v>904.8925687558426</v>
      </c>
      <c r="M22" s="201">
        <f>Schedules!M38</f>
        <v>1013.4796770065436</v>
      </c>
      <c r="N22" s="201">
        <f>Schedules!N38</f>
        <v>1135.0972382473292</v>
      </c>
      <c r="O22" s="201">
        <f>Schedules!O38</f>
        <v>1271.3089068370086</v>
      </c>
      <c r="P22" s="201">
        <f>Schedules!P38</f>
        <v>1423.86597565745</v>
      </c>
      <c r="Q22" s="201">
        <f>Schedules!Q38</f>
        <v>1594.729892736344</v>
      </c>
      <c r="R22" s="201">
        <f>Schedules!R38</f>
        <v>1786.0974798647053</v>
      </c>
      <c r="T22" s="37">
        <f>_xlfn.RRI($M$9-$H$9,$H22,$M22)</f>
        <v>0.14722598055836089</v>
      </c>
      <c r="U22" s="37">
        <f t="shared" si="8"/>
        <v>0.15219442368593117</v>
      </c>
    </row>
    <row r="23" spans="2:21">
      <c r="B23" s="81" t="str">
        <f>Schedules!B41</f>
        <v>Other Operating Expenses</v>
      </c>
      <c r="C23" s="81"/>
      <c r="D23" s="201">
        <f>Schedules!D43</f>
        <v>838.68000000000006</v>
      </c>
      <c r="E23" s="201">
        <f>Schedules!E43</f>
        <v>886.59999999999991</v>
      </c>
      <c r="F23" s="201">
        <f>Schedules!F43</f>
        <v>1097.23</v>
      </c>
      <c r="G23" s="201">
        <f>Schedules!G43</f>
        <v>1550.2399999999998</v>
      </c>
      <c r="H23" s="201">
        <f>Schedules!H43</f>
        <v>1851.6210000000001</v>
      </c>
      <c r="I23" s="201">
        <f>Schedules!I43</f>
        <v>2336.6326052637792</v>
      </c>
      <c r="J23" s="201">
        <f>Schedules!J43</f>
        <v>2844.850196908651</v>
      </c>
      <c r="K23" s="201">
        <f>Schedules!K43</f>
        <v>3371.1474833367515</v>
      </c>
      <c r="L23" s="201">
        <f>Schedules!L43</f>
        <v>3885.2474745456061</v>
      </c>
      <c r="M23" s="201">
        <f>Schedules!M43</f>
        <v>4351.4771714910794</v>
      </c>
      <c r="N23" s="201">
        <f>Schedules!N43</f>
        <v>4873.6544320700095</v>
      </c>
      <c r="O23" s="201">
        <f>Schedules!O43</f>
        <v>5458.4929639184111</v>
      </c>
      <c r="P23" s="201">
        <f>Schedules!P43</f>
        <v>6113.5121195886213</v>
      </c>
      <c r="Q23" s="201">
        <f>Schedules!Q43</f>
        <v>6847.1335739392562</v>
      </c>
      <c r="R23" s="201">
        <f>Schedules!R43</f>
        <v>7668.7896028119676</v>
      </c>
      <c r="T23" s="37">
        <f>_xlfn.RRI($M$9-$H$9,$H23,$M23)</f>
        <v>0.18636116650062395</v>
      </c>
      <c r="U23" s="37">
        <f t="shared" si="8"/>
        <v>0.15219442368593117</v>
      </c>
    </row>
    <row r="24" spans="2:21">
      <c r="B24" s="81" t="str">
        <f>Schedules!B46</f>
        <v>Other SG&amp;A Expenses</v>
      </c>
      <c r="C24" s="81"/>
      <c r="D24" s="201">
        <f>Schedules!D48</f>
        <v>366</v>
      </c>
      <c r="E24" s="201">
        <f>Schedules!E48</f>
        <v>284</v>
      </c>
      <c r="F24" s="201">
        <f>Schedules!F48</f>
        <v>383</v>
      </c>
      <c r="G24" s="201">
        <f>Schedules!G48</f>
        <v>460</v>
      </c>
      <c r="H24" s="201">
        <f>Schedules!H48</f>
        <v>670</v>
      </c>
      <c r="I24" s="201">
        <f>Schedules!I48</f>
        <v>853.98703196716599</v>
      </c>
      <c r="J24" s="201">
        <f>Schedules!J48</f>
        <v>1039.7292114200245</v>
      </c>
      <c r="K24" s="201">
        <f>Schedules!K48</f>
        <v>1232.079115532729</v>
      </c>
      <c r="L24" s="201">
        <f>Schedules!L48</f>
        <v>1419.9711806514704</v>
      </c>
      <c r="M24" s="201">
        <f>Schedules!M48</f>
        <v>1590.3677223296468</v>
      </c>
      <c r="N24" s="201">
        <f>Schedules!N48</f>
        <v>1781.2118490092046</v>
      </c>
      <c r="O24" s="201">
        <f>Schedules!O48</f>
        <v>1994.9572708903092</v>
      </c>
      <c r="P24" s="201">
        <f>Schedules!P48</f>
        <v>2234.3521433971468</v>
      </c>
      <c r="Q24" s="201">
        <f>Schedules!Q48</f>
        <v>2502.4744006048045</v>
      </c>
      <c r="R24" s="201">
        <f>Schedules!R48</f>
        <v>2802.771328677381</v>
      </c>
      <c r="T24" s="37">
        <f>_xlfn.RRI($M$9-$H$9,$H24,$M24)</f>
        <v>0.18873363188302994</v>
      </c>
      <c r="U24" s="37">
        <f t="shared" si="8"/>
        <v>0.15219442368593117</v>
      </c>
    </row>
    <row r="25" spans="2:21">
      <c r="B25" s="81"/>
      <c r="C25" s="81"/>
      <c r="D25" s="201"/>
      <c r="E25" s="201"/>
      <c r="F25" s="201"/>
      <c r="G25" s="201"/>
      <c r="H25" s="201"/>
      <c r="I25" s="201"/>
      <c r="J25" s="201"/>
      <c r="K25" s="201"/>
      <c r="L25" s="201"/>
      <c r="M25" s="201"/>
      <c r="N25" s="201"/>
      <c r="O25" s="201"/>
      <c r="P25" s="201"/>
      <c r="Q25" s="201"/>
      <c r="R25" s="201"/>
      <c r="T25" s="37"/>
      <c r="U25" s="37"/>
    </row>
    <row r="26" spans="2:21">
      <c r="B26" s="89" t="s">
        <v>54</v>
      </c>
      <c r="C26" s="89"/>
      <c r="D26" s="308">
        <f>D15-SUM(D20:D24)</f>
        <v>1447.4699999999998</v>
      </c>
      <c r="E26" s="308">
        <f t="shared" ref="E26:L26" si="13">E15-SUM(E20:E24)</f>
        <v>1201.5999999999999</v>
      </c>
      <c r="F26" s="308">
        <f t="shared" si="13"/>
        <v>1654.3400000000015</v>
      </c>
      <c r="G26" s="308">
        <f t="shared" si="13"/>
        <v>2787.75</v>
      </c>
      <c r="H26" s="308">
        <f t="shared" si="13"/>
        <v>3609.0719999999992</v>
      </c>
      <c r="I26" s="202">
        <f t="shared" si="13"/>
        <v>4450.9730595235014</v>
      </c>
      <c r="J26" s="202">
        <f t="shared" si="13"/>
        <v>5083.3561592784563</v>
      </c>
      <c r="K26" s="202">
        <f t="shared" si="13"/>
        <v>5625.9683530256534</v>
      </c>
      <c r="L26" s="202">
        <f t="shared" si="13"/>
        <v>6025.4540050455562</v>
      </c>
      <c r="M26" s="202">
        <f>M15-SUM(M20:M24)</f>
        <v>6235.0170212165285</v>
      </c>
      <c r="N26" s="202">
        <f t="shared" ref="N26:R26" si="14">N15-SUM(N20:N24)</f>
        <v>6983.2190637625117</v>
      </c>
      <c r="O26" s="202">
        <f t="shared" si="14"/>
        <v>7821.2053514140152</v>
      </c>
      <c r="P26" s="202">
        <f t="shared" si="14"/>
        <v>8759.7499935836968</v>
      </c>
      <c r="Q26" s="202">
        <f t="shared" si="14"/>
        <v>9810.9199928137423</v>
      </c>
      <c r="R26" s="202">
        <f t="shared" si="14"/>
        <v>10988.230391951387</v>
      </c>
      <c r="T26" s="37">
        <f>_xlfn.RRI($M$9-$H$9,$H26,$M26)</f>
        <v>0.11554840461115057</v>
      </c>
      <c r="U26" s="37">
        <f t="shared" si="8"/>
        <v>7.0440095499499922E-2</v>
      </c>
    </row>
    <row r="27" spans="2:21">
      <c r="B27" s="83"/>
      <c r="C27" s="83"/>
      <c r="D27" s="205"/>
      <c r="E27" s="205"/>
      <c r="F27" s="205"/>
      <c r="G27" s="205"/>
      <c r="H27" s="205"/>
      <c r="I27" s="205"/>
      <c r="J27" s="205"/>
      <c r="K27" s="205"/>
      <c r="L27" s="205"/>
      <c r="M27" s="205"/>
      <c r="N27" s="205"/>
      <c r="O27" s="205"/>
      <c r="P27" s="205"/>
      <c r="Q27" s="205"/>
      <c r="R27" s="205"/>
      <c r="T27" s="37"/>
      <c r="U27" s="37"/>
    </row>
    <row r="28" spans="2:21">
      <c r="B28" s="203" t="s">
        <v>96</v>
      </c>
      <c r="C28" s="203"/>
      <c r="D28" s="204">
        <f>D26/D$13</f>
        <v>0.2030231794860286</v>
      </c>
      <c r="E28" s="204">
        <f t="shared" ref="E28:M28" si="15">E26/E$13</f>
        <v>0.18629053012802821</v>
      </c>
      <c r="F28" s="204">
        <f t="shared" si="15"/>
        <v>0.18749822910657449</v>
      </c>
      <c r="G28" s="204">
        <f t="shared" si="15"/>
        <v>0.21162380419550691</v>
      </c>
      <c r="H28" s="204">
        <f t="shared" si="15"/>
        <v>0.22496828908016728</v>
      </c>
      <c r="I28" s="204">
        <f t="shared" si="15"/>
        <v>0.22195795350005096</v>
      </c>
      <c r="J28" s="204">
        <f t="shared" si="15"/>
        <v>0.20820795350005095</v>
      </c>
      <c r="K28" s="204">
        <f t="shared" si="15"/>
        <v>0.19445795350005091</v>
      </c>
      <c r="L28" s="204">
        <f t="shared" si="15"/>
        <v>0.18070795350005101</v>
      </c>
      <c r="M28" s="204">
        <f t="shared" si="15"/>
        <v>0.16695795350005097</v>
      </c>
      <c r="N28" s="204">
        <f t="shared" ref="N28:R28" si="16">N26/N$13</f>
        <v>0.16695795350005094</v>
      </c>
      <c r="O28" s="204">
        <f t="shared" si="16"/>
        <v>0.16695795350005099</v>
      </c>
      <c r="P28" s="204">
        <f t="shared" si="16"/>
        <v>0.16695795350005097</v>
      </c>
      <c r="Q28" s="204">
        <f t="shared" si="16"/>
        <v>0.16695795350005097</v>
      </c>
      <c r="R28" s="204">
        <f t="shared" si="16"/>
        <v>0.16695795350005091</v>
      </c>
      <c r="T28" s="37"/>
      <c r="U28" s="37"/>
    </row>
    <row r="29" spans="2:21">
      <c r="B29" s="81"/>
      <c r="C29" s="81"/>
      <c r="D29" s="81"/>
      <c r="F29" s="87"/>
      <c r="G29" s="87"/>
      <c r="H29" s="87"/>
      <c r="I29" s="47"/>
      <c r="J29" s="47"/>
      <c r="K29" s="47"/>
      <c r="L29" s="47"/>
      <c r="M29" s="47"/>
      <c r="N29" s="47"/>
      <c r="O29" s="47"/>
      <c r="P29" s="47"/>
      <c r="Q29" s="47"/>
      <c r="R29" s="47"/>
      <c r="T29" s="37"/>
      <c r="U29" s="37"/>
    </row>
    <row r="30" spans="2:21">
      <c r="B30" s="76" t="s">
        <v>41</v>
      </c>
      <c r="C30" s="76"/>
      <c r="D30" s="201">
        <f>IncomeStatement!G35*-1</f>
        <v>488.63</v>
      </c>
      <c r="E30" s="201">
        <f>IncomeStatement!H35*-1</f>
        <v>528.70000000000005</v>
      </c>
      <c r="F30" s="201">
        <f>IncomeStatement!I35*-1</f>
        <v>531.26</v>
      </c>
      <c r="G30" s="201">
        <f>IncomeStatement!J35*-1</f>
        <v>617.19000000000005</v>
      </c>
      <c r="H30" s="201">
        <f>IncomeStatement!K35*-1</f>
        <v>680.90599999999995</v>
      </c>
      <c r="I30" s="201">
        <f>(Schedules!I121)</f>
        <v>1020.3840430282692</v>
      </c>
      <c r="J30" s="201">
        <f>(Schedules!J121)</f>
        <v>1161.8332276233814</v>
      </c>
      <c r="K30" s="201">
        <f>(Schedules!K121)</f>
        <v>1398.4587774644838</v>
      </c>
      <c r="L30" s="201">
        <f>(Schedules!L121)</f>
        <v>1629.6003703058902</v>
      </c>
      <c r="M30" s="201">
        <f>(Schedules!M121)</f>
        <v>1839.2192705679659</v>
      </c>
      <c r="N30" s="201">
        <f>(Schedules!N121)</f>
        <v>2073.9924388614904</v>
      </c>
      <c r="O30" s="201">
        <f>(Schedules!O121)</f>
        <v>2336.9383873502384</v>
      </c>
      <c r="P30" s="201">
        <f>(Schedules!P121)</f>
        <v>2631.437849657636</v>
      </c>
      <c r="Q30" s="201">
        <f>(Schedules!Q121)</f>
        <v>2961.2772474419212</v>
      </c>
      <c r="R30" s="201">
        <f>(Schedules!R121)</f>
        <v>3330.6973729603205</v>
      </c>
      <c r="T30" s="37">
        <f>_xlfn.RRI($M$9-$H$9,$H30,$M30)</f>
        <v>0.21985797416978037</v>
      </c>
      <c r="U30" s="37">
        <f t="shared" si="8"/>
        <v>0.16545785136002822</v>
      </c>
    </row>
    <row r="31" spans="2:21">
      <c r="B31" s="89" t="s">
        <v>55</v>
      </c>
      <c r="C31" s="89"/>
      <c r="D31" s="515">
        <f>D26-D30</f>
        <v>958.8399999999998</v>
      </c>
      <c r="E31" s="515">
        <f t="shared" ref="E31:M31" si="17">E26-E30</f>
        <v>672.89999999999986</v>
      </c>
      <c r="F31" s="515">
        <f t="shared" si="17"/>
        <v>1123.0800000000015</v>
      </c>
      <c r="G31" s="515">
        <f t="shared" si="17"/>
        <v>2170.56</v>
      </c>
      <c r="H31" s="515">
        <f t="shared" si="17"/>
        <v>2928.1659999999993</v>
      </c>
      <c r="I31" s="513">
        <f t="shared" si="17"/>
        <v>3430.5890164952325</v>
      </c>
      <c r="J31" s="513">
        <f t="shared" si="17"/>
        <v>3921.5229316550749</v>
      </c>
      <c r="K31" s="513">
        <f t="shared" si="17"/>
        <v>4227.5095755611692</v>
      </c>
      <c r="L31" s="513">
        <f t="shared" si="17"/>
        <v>4395.8536347396657</v>
      </c>
      <c r="M31" s="513">
        <f t="shared" si="17"/>
        <v>4395.7977506485622</v>
      </c>
      <c r="N31" s="513">
        <f t="shared" ref="N31:R31" si="18">N26-N30</f>
        <v>4909.2266249010208</v>
      </c>
      <c r="O31" s="513">
        <f t="shared" si="18"/>
        <v>5484.2669640637769</v>
      </c>
      <c r="P31" s="513">
        <f t="shared" si="18"/>
        <v>6128.3121439260613</v>
      </c>
      <c r="Q31" s="513">
        <f t="shared" si="18"/>
        <v>6849.6427453718206</v>
      </c>
      <c r="R31" s="513">
        <f t="shared" si="18"/>
        <v>7657.5330189910665</v>
      </c>
      <c r="T31" s="37">
        <f>_xlfn.RRI($M$9-$H$9,$H31,$M31)</f>
        <v>8.4646956016580566E-2</v>
      </c>
      <c r="U31" s="37">
        <f t="shared" si="8"/>
        <v>3.8789731218078716E-2</v>
      </c>
    </row>
    <row r="32" spans="2:21">
      <c r="B32" s="81"/>
      <c r="C32" s="81"/>
      <c r="D32" s="81"/>
      <c r="F32" s="87"/>
      <c r="G32" s="87"/>
      <c r="H32" s="87"/>
      <c r="I32" s="47"/>
      <c r="J32" s="47"/>
      <c r="K32" s="47"/>
      <c r="L32" s="47"/>
      <c r="M32" s="47"/>
      <c r="N32" s="47"/>
      <c r="O32" s="47"/>
      <c r="P32" s="47"/>
      <c r="Q32" s="47"/>
      <c r="R32" s="47"/>
      <c r="T32" s="37"/>
      <c r="U32" s="37"/>
    </row>
    <row r="33" spans="2:21">
      <c r="B33" s="203" t="s">
        <v>97</v>
      </c>
      <c r="C33" s="203"/>
      <c r="D33" s="204">
        <f>D31/D$13</f>
        <v>0.13448758552397194</v>
      </c>
      <c r="E33" s="204">
        <f t="shared" ref="E33:M33" si="19">E31/E$13</f>
        <v>0.1043233170132741</v>
      </c>
      <c r="F33" s="204">
        <f t="shared" si="19"/>
        <v>0.12728671926267379</v>
      </c>
      <c r="G33" s="204">
        <f t="shared" si="19"/>
        <v>0.16477164897662971</v>
      </c>
      <c r="H33" s="204">
        <f t="shared" si="19"/>
        <v>0.18252461994737626</v>
      </c>
      <c r="I33" s="204">
        <f t="shared" si="19"/>
        <v>0.17107416900037381</v>
      </c>
      <c r="J33" s="204">
        <f t="shared" si="19"/>
        <v>0.16062070778045151</v>
      </c>
      <c r="K33" s="204">
        <f t="shared" si="19"/>
        <v>0.14612113131126697</v>
      </c>
      <c r="L33" s="204">
        <f t="shared" si="19"/>
        <v>0.13183499758763154</v>
      </c>
      <c r="M33" s="204">
        <f t="shared" si="19"/>
        <v>0.1177083228403466</v>
      </c>
      <c r="N33" s="204">
        <f t="shared" ref="N33:R33" si="20">N31/N$13</f>
        <v>0.11737200610169934</v>
      </c>
      <c r="O33" s="204">
        <f t="shared" si="20"/>
        <v>0.11707172329933578</v>
      </c>
      <c r="P33" s="204">
        <f t="shared" si="20"/>
        <v>0.11680361365436825</v>
      </c>
      <c r="Q33" s="204">
        <f t="shared" si="20"/>
        <v>0.11656423004279012</v>
      </c>
      <c r="R33" s="204">
        <f t="shared" si="20"/>
        <v>0.11635049467530958</v>
      </c>
      <c r="T33" s="37"/>
      <c r="U33" s="37"/>
    </row>
    <row r="34" spans="2:21">
      <c r="B34" s="81"/>
      <c r="C34" s="81"/>
      <c r="D34" s="81"/>
      <c r="F34" s="87"/>
      <c r="G34" s="87"/>
      <c r="H34" s="87"/>
      <c r="I34" s="47"/>
      <c r="J34" s="47"/>
      <c r="K34" s="47"/>
      <c r="L34" s="47"/>
      <c r="M34" s="47"/>
      <c r="N34" s="47"/>
      <c r="O34" s="47"/>
      <c r="P34" s="47"/>
      <c r="Q34" s="47"/>
      <c r="R34" s="47"/>
      <c r="T34" s="37"/>
      <c r="U34" s="37"/>
    </row>
    <row r="35" spans="2:21">
      <c r="B35" s="76" t="s">
        <v>461</v>
      </c>
      <c r="C35" s="76"/>
      <c r="D35" s="201">
        <f>IncomeStatement!G38*-1</f>
        <v>309.64</v>
      </c>
      <c r="E35" s="201">
        <f>IncomeStatement!H38*-1</f>
        <v>281.10000000000002</v>
      </c>
      <c r="F35" s="201">
        <f>IncomeStatement!I38*-1</f>
        <v>184.7</v>
      </c>
      <c r="G35" s="201">
        <f>IncomeStatement!J38*-1</f>
        <v>186.12</v>
      </c>
      <c r="H35" s="201">
        <f>IncomeStatement!K38*-1</f>
        <v>268.09899999999999</v>
      </c>
      <c r="I35" s="201">
        <f>Schedules!I227</f>
        <v>451.31157201750005</v>
      </c>
      <c r="J35" s="201">
        <f>Schedules!J227</f>
        <v>454.0306423652508</v>
      </c>
      <c r="K35" s="201">
        <f>Schedules!K227</f>
        <v>378.23122133428114</v>
      </c>
      <c r="L35" s="201">
        <f>Schedules!L227</f>
        <v>325.43898520178948</v>
      </c>
      <c r="M35" s="201">
        <f>Schedules!M227</f>
        <v>281.63870997083427</v>
      </c>
      <c r="N35" s="201">
        <f>Schedules!N227</f>
        <v>235.9508013264022</v>
      </c>
      <c r="O35" s="201">
        <f>Schedules!O227</f>
        <v>201.53520733599362</v>
      </c>
      <c r="P35" s="201">
        <f>Schedules!P227</f>
        <v>176.79364021412553</v>
      </c>
      <c r="Q35" s="201">
        <f>Schedules!Q227</f>
        <v>166.7035916775354</v>
      </c>
      <c r="R35" s="201">
        <f>Schedules!R227</f>
        <v>173.13626073060192</v>
      </c>
      <c r="T35" s="37"/>
      <c r="U35" s="37"/>
    </row>
    <row r="36" spans="2:21">
      <c r="B36" s="76" t="s">
        <v>163</v>
      </c>
      <c r="C36" s="76"/>
      <c r="D36" s="201">
        <f>IncomeStatement!G39</f>
        <v>42.53</v>
      </c>
      <c r="E36" s="201">
        <f>IncomeStatement!H39</f>
        <v>36.97</v>
      </c>
      <c r="F36" s="201">
        <f>IncomeStatement!I39</f>
        <v>67.930000000000007</v>
      </c>
      <c r="G36" s="201">
        <f>IncomeStatement!J39</f>
        <v>38.85</v>
      </c>
      <c r="H36" s="201">
        <f>IncomeStatement!K39</f>
        <v>79.358999999999995</v>
      </c>
      <c r="I36" s="201">
        <f>Schedules!I233</f>
        <v>100.26613125</v>
      </c>
      <c r="J36" s="201">
        <f>Schedules!J233</f>
        <v>122.07401479687501</v>
      </c>
      <c r="K36" s="201">
        <f>Schedules!K233</f>
        <v>144.65770753429689</v>
      </c>
      <c r="L36" s="201">
        <f>Schedules!L233</f>
        <v>166.71800793327716</v>
      </c>
      <c r="M36" s="201">
        <f>Schedules!M233</f>
        <v>186.72416888527042</v>
      </c>
      <c r="N36" s="201">
        <f>Schedules!N233</f>
        <v>209.13106915150289</v>
      </c>
      <c r="O36" s="201">
        <f>Schedules!O233</f>
        <v>234.22679744968326</v>
      </c>
      <c r="P36" s="201">
        <f>Schedules!P233</f>
        <v>262.33401314364528</v>
      </c>
      <c r="Q36" s="201">
        <f>Schedules!Q233</f>
        <v>293.81409472088274</v>
      </c>
      <c r="R36" s="201">
        <f>Schedules!R233</f>
        <v>329.07178608738872</v>
      </c>
      <c r="T36" s="37"/>
      <c r="U36" s="37"/>
    </row>
    <row r="37" spans="2:21">
      <c r="B37" s="76" t="s">
        <v>166</v>
      </c>
      <c r="C37" s="76"/>
      <c r="D37" s="201">
        <f>IncomeStatement!G43</f>
        <v>0</v>
      </c>
      <c r="E37" s="201">
        <f>IncomeStatement!H43</f>
        <v>-66.53</v>
      </c>
      <c r="F37" s="201">
        <f>IncomeStatement!I43</f>
        <v>0</v>
      </c>
      <c r="G37" s="201">
        <f>IncomeStatement!J43</f>
        <v>0</v>
      </c>
      <c r="H37" s="201">
        <f>IncomeStatement!K43</f>
        <v>0</v>
      </c>
      <c r="I37" s="218">
        <v>0</v>
      </c>
      <c r="J37" s="218">
        <v>0</v>
      </c>
      <c r="K37" s="218">
        <v>0</v>
      </c>
      <c r="L37" s="218">
        <v>0</v>
      </c>
      <c r="M37" s="218">
        <v>0</v>
      </c>
      <c r="N37" s="218">
        <v>0</v>
      </c>
      <c r="O37" s="218">
        <v>0</v>
      </c>
      <c r="P37" s="218">
        <v>0</v>
      </c>
      <c r="Q37" s="218">
        <v>0</v>
      </c>
      <c r="R37" s="218">
        <v>0</v>
      </c>
      <c r="T37" s="37"/>
      <c r="U37" s="37"/>
    </row>
    <row r="38" spans="2:21">
      <c r="B38" s="76" t="s">
        <v>165</v>
      </c>
      <c r="C38" s="76"/>
      <c r="D38" s="201">
        <f>IncomeStatement!G42</f>
        <v>4.3600000000000003</v>
      </c>
      <c r="E38" s="201">
        <f>IncomeStatement!H42</f>
        <v>0</v>
      </c>
      <c r="F38" s="201">
        <f>IncomeStatement!I42</f>
        <v>0</v>
      </c>
      <c r="G38" s="201">
        <f>IncomeStatement!J42</f>
        <v>-0.01</v>
      </c>
      <c r="H38" s="201">
        <f>IncomeStatement!K42</f>
        <v>-0.47899999999999998</v>
      </c>
      <c r="I38" s="218">
        <v>0</v>
      </c>
      <c r="J38" s="218">
        <v>0</v>
      </c>
      <c r="K38" s="218">
        <v>0</v>
      </c>
      <c r="L38" s="218">
        <v>0</v>
      </c>
      <c r="M38" s="218">
        <v>0</v>
      </c>
      <c r="N38" s="218">
        <v>0</v>
      </c>
      <c r="O38" s="218">
        <v>0</v>
      </c>
      <c r="P38" s="218">
        <v>0</v>
      </c>
      <c r="Q38" s="218">
        <v>0</v>
      </c>
      <c r="R38" s="218">
        <v>0</v>
      </c>
      <c r="T38" s="37"/>
      <c r="U38" s="37"/>
    </row>
    <row r="39" spans="2:21">
      <c r="B39" s="89" t="s">
        <v>486</v>
      </c>
      <c r="C39" s="274"/>
      <c r="D39" s="515">
        <f t="shared" ref="D39:M39" si="21">D31-D35+SUM(D36:D38)</f>
        <v>696.0899999999998</v>
      </c>
      <c r="E39" s="515">
        <f t="shared" si="21"/>
        <v>362.23999999999984</v>
      </c>
      <c r="F39" s="515">
        <f t="shared" si="21"/>
        <v>1006.3100000000015</v>
      </c>
      <c r="G39" s="515">
        <f t="shared" si="21"/>
        <v>2023.28</v>
      </c>
      <c r="H39" s="515">
        <f t="shared" si="21"/>
        <v>2738.9469999999992</v>
      </c>
      <c r="I39" s="515">
        <f t="shared" si="21"/>
        <v>3079.5435757277323</v>
      </c>
      <c r="J39" s="513">
        <f t="shared" si="21"/>
        <v>3589.5663040866989</v>
      </c>
      <c r="K39" s="513">
        <f t="shared" si="21"/>
        <v>3993.9360617611851</v>
      </c>
      <c r="L39" s="513">
        <f t="shared" si="21"/>
        <v>4237.1326574711538</v>
      </c>
      <c r="M39" s="513">
        <f t="shared" si="21"/>
        <v>4300.8832095629978</v>
      </c>
      <c r="N39" s="513">
        <f t="shared" ref="N39:R39" si="22">N31-N35+SUM(N36:N38)</f>
        <v>4882.4068927261214</v>
      </c>
      <c r="O39" s="513">
        <f t="shared" si="22"/>
        <v>5516.9585541774668</v>
      </c>
      <c r="P39" s="513">
        <f t="shared" si="22"/>
        <v>6213.8525168555807</v>
      </c>
      <c r="Q39" s="513">
        <f t="shared" si="22"/>
        <v>6976.7532484151679</v>
      </c>
      <c r="R39" s="513">
        <f t="shared" si="22"/>
        <v>7813.4685443478529</v>
      </c>
      <c r="T39" s="37"/>
      <c r="U39" s="37"/>
    </row>
    <row r="40" spans="2:21">
      <c r="B40" s="76"/>
      <c r="C40" s="76"/>
      <c r="D40" s="83"/>
      <c r="F40" s="87"/>
      <c r="G40" s="87"/>
      <c r="H40" s="87"/>
      <c r="I40" s="47"/>
      <c r="J40" s="47"/>
      <c r="K40" s="47"/>
      <c r="L40" s="47"/>
      <c r="M40" s="47"/>
      <c r="N40" s="47"/>
      <c r="O40" s="47"/>
      <c r="P40" s="47"/>
      <c r="Q40" s="47"/>
      <c r="R40" s="47"/>
      <c r="T40" s="37"/>
      <c r="U40" s="37"/>
    </row>
    <row r="41" spans="2:21">
      <c r="B41" s="275" t="s">
        <v>4</v>
      </c>
      <c r="C41" s="81"/>
      <c r="D41" s="201">
        <f>IncomeStatement!G46*-1</f>
        <v>224.07</v>
      </c>
      <c r="E41" s="201">
        <f>IncomeStatement!H46*-1</f>
        <v>5.23</v>
      </c>
      <c r="F41" s="201">
        <f>IncomeStatement!I46*-1</f>
        <v>260.56</v>
      </c>
      <c r="G41" s="201">
        <f>IncomeStatement!J46*-1</f>
        <v>473.52</v>
      </c>
      <c r="H41" s="201">
        <f>IncomeStatement!K46*-1</f>
        <v>637.54700000000003</v>
      </c>
      <c r="I41" s="514">
        <f>Schedules!I132*-1</f>
        <v>744.8193611194331</v>
      </c>
      <c r="J41" s="514">
        <f>Schedules!J132*-1</f>
        <v>866.87307232245598</v>
      </c>
      <c r="K41" s="514">
        <f>Schedules!K132*-1</f>
        <v>962.31958855672247</v>
      </c>
      <c r="L41" s="514">
        <f>Schedules!L132*-1</f>
        <v>1017.6036623844691</v>
      </c>
      <c r="M41" s="514">
        <f>Schedules!M132*-1</f>
        <v>1028.5397601694315</v>
      </c>
      <c r="N41" s="514">
        <f>Schedules!N132*-1</f>
        <v>1168.3189558936547</v>
      </c>
      <c r="O41" s="514">
        <f>Schedules!O132*-1</f>
        <v>1320.6829391819454</v>
      </c>
      <c r="P41" s="514">
        <f>Schedules!P132*-1</f>
        <v>1487.8796259279839</v>
      </c>
      <c r="Q41" s="514">
        <f>Schedules!Q132*-1</f>
        <v>1670.7347884235712</v>
      </c>
      <c r="R41" s="514">
        <f>Schedules!R132*-1</f>
        <v>1871.0991895651161</v>
      </c>
      <c r="T41" s="37">
        <f>_xlfn.RRI($M$9-$H$9,$H41,$M41)</f>
        <v>0.10037768776843747</v>
      </c>
      <c r="U41" s="37">
        <f t="shared" si="8"/>
        <v>5.8656798260458887E-2</v>
      </c>
    </row>
    <row r="42" spans="2:21" ht="15" thickBot="1">
      <c r="B42" s="84" t="s">
        <v>5</v>
      </c>
      <c r="C42" s="84"/>
      <c r="D42" s="309">
        <f>D39-D41</f>
        <v>472.01999999999981</v>
      </c>
      <c r="E42" s="309">
        <f t="shared" ref="E42:M42" si="23">E39-E41</f>
        <v>357.00999999999982</v>
      </c>
      <c r="F42" s="309">
        <f t="shared" si="23"/>
        <v>745.75000000000159</v>
      </c>
      <c r="G42" s="309">
        <f t="shared" si="23"/>
        <v>1549.76</v>
      </c>
      <c r="H42" s="309">
        <f t="shared" si="23"/>
        <v>2101.3999999999992</v>
      </c>
      <c r="I42" s="84">
        <f t="shared" si="23"/>
        <v>2334.724214608299</v>
      </c>
      <c r="J42" s="84">
        <f t="shared" si="23"/>
        <v>2722.6932317642431</v>
      </c>
      <c r="K42" s="84">
        <f t="shared" si="23"/>
        <v>3031.6164732044626</v>
      </c>
      <c r="L42" s="84">
        <f t="shared" si="23"/>
        <v>3219.5289950866845</v>
      </c>
      <c r="M42" s="84">
        <f t="shared" si="23"/>
        <v>3272.3434493935665</v>
      </c>
      <c r="N42" s="84">
        <f t="shared" ref="N42:R42" si="24">N39-N41</f>
        <v>3714.0879368324668</v>
      </c>
      <c r="O42" s="84">
        <f t="shared" si="24"/>
        <v>4196.2756149955212</v>
      </c>
      <c r="P42" s="84">
        <f t="shared" si="24"/>
        <v>4725.9728909275964</v>
      </c>
      <c r="Q42" s="84">
        <f t="shared" si="24"/>
        <v>5306.0184599915965</v>
      </c>
      <c r="R42" s="84">
        <f t="shared" si="24"/>
        <v>5942.369354782737</v>
      </c>
      <c r="T42" s="37">
        <f>_xlfn.RRI($M$9-$H$9,$H42,$M42)</f>
        <v>9.2622224859032043E-2</v>
      </c>
      <c r="U42" s="37">
        <f t="shared" si="8"/>
        <v>6.3212455466759465E-2</v>
      </c>
    </row>
    <row r="43" spans="2:21">
      <c r="B43" s="11"/>
      <c r="C43" s="11"/>
      <c r="D43" s="11"/>
    </row>
    <row r="44" spans="2:21">
      <c r="B44" s="52" t="s">
        <v>59</v>
      </c>
      <c r="C44" s="52"/>
      <c r="D44" s="91" t="str">
        <f t="shared" ref="D44" si="25">IFERROR(D13/C13-1,"NM")</f>
        <v>NM</v>
      </c>
      <c r="E44" s="91">
        <f t="shared" ref="E44" si="26">IFERROR(E13/D13-1,"NM")</f>
        <v>-9.5298741300329004E-2</v>
      </c>
      <c r="F44" s="91">
        <f t="shared" ref="F44:M44" si="27">IFERROR(F13/E13-1,"NM")</f>
        <v>0.36791294452523515</v>
      </c>
      <c r="G44" s="91">
        <f t="shared" si="27"/>
        <v>0.49300652935489575</v>
      </c>
      <c r="H44" s="91">
        <f t="shared" si="27"/>
        <v>0.21782513508548451</v>
      </c>
      <c r="I44" s="91">
        <f t="shared" si="27"/>
        <v>0.25</v>
      </c>
      <c r="J44" s="91">
        <f>IFERROR(J13/I13-1,"NM")</f>
        <v>0.21750000000000003</v>
      </c>
      <c r="K44" s="91">
        <f t="shared" si="27"/>
        <v>0.18500000000000005</v>
      </c>
      <c r="L44" s="91">
        <f t="shared" si="27"/>
        <v>0.15250000000000008</v>
      </c>
      <c r="M44" s="91">
        <f t="shared" si="27"/>
        <v>0.12000000000000011</v>
      </c>
      <c r="N44" s="91">
        <f>IFERROR(N13/M13-1,"NM")</f>
        <v>0.12000000000000011</v>
      </c>
      <c r="O44" s="91">
        <f t="shared" ref="O44" si="28">IFERROR(O13/N13-1,"NM")</f>
        <v>0.12000000000000011</v>
      </c>
      <c r="P44" s="91">
        <f t="shared" ref="P44" si="29">IFERROR(P13/O13-1,"NM")</f>
        <v>0.12000000000000011</v>
      </c>
      <c r="Q44" s="91">
        <f t="shared" ref="Q44" si="30">IFERROR(Q13/P13-1,"NM")</f>
        <v>0.12000000000000011</v>
      </c>
      <c r="R44" s="91">
        <f t="shared" ref="R44" si="31">IFERROR(R13/Q13-1,"NM")</f>
        <v>0.12000000000000011</v>
      </c>
    </row>
    <row r="45" spans="2:21">
      <c r="B45" s="52" t="s">
        <v>60</v>
      </c>
      <c r="C45" s="52"/>
      <c r="D45" s="91">
        <f t="shared" ref="D45:E45" si="32">IFERROR((D15/D13),"NM")</f>
        <v>0.5484404410919016</v>
      </c>
      <c r="E45" s="91">
        <f t="shared" si="32"/>
        <v>0.5714914715029441</v>
      </c>
      <c r="F45" s="91">
        <f t="shared" ref="F45:M45" si="33">IFERROR((F15/F13),"NM")</f>
        <v>0.54272301640102327</v>
      </c>
      <c r="G45" s="91">
        <f t="shared" si="33"/>
        <v>0.5247032977710705</v>
      </c>
      <c r="H45" s="91">
        <f t="shared" si="33"/>
        <v>0.53842290090353906</v>
      </c>
      <c r="I45" s="91">
        <f t="shared" si="33"/>
        <v>0.55000000000000004</v>
      </c>
      <c r="J45" s="91">
        <f t="shared" si="33"/>
        <v>0.53625</v>
      </c>
      <c r="K45" s="91">
        <f t="shared" si="33"/>
        <v>0.52249999999999996</v>
      </c>
      <c r="L45" s="91">
        <f t="shared" si="33"/>
        <v>0.50875000000000004</v>
      </c>
      <c r="M45" s="91">
        <f t="shared" si="33"/>
        <v>0.495</v>
      </c>
      <c r="N45" s="91">
        <f t="shared" ref="N45:R45" si="34">IFERROR((N15/N13),"NM")</f>
        <v>0.495</v>
      </c>
      <c r="O45" s="91">
        <f t="shared" si="34"/>
        <v>0.495</v>
      </c>
      <c r="P45" s="91">
        <f t="shared" si="34"/>
        <v>0.495</v>
      </c>
      <c r="Q45" s="91">
        <f t="shared" si="34"/>
        <v>0.49500000000000005</v>
      </c>
      <c r="R45" s="91">
        <f t="shared" si="34"/>
        <v>0.49499999999999994</v>
      </c>
    </row>
    <row r="46" spans="2:21">
      <c r="B46" s="52" t="s">
        <v>61</v>
      </c>
      <c r="C46" s="52"/>
      <c r="D46" s="91">
        <f t="shared" ref="D46:E46" si="35">IFERROR((D26/D13),"NM")</f>
        <v>0.2030231794860286</v>
      </c>
      <c r="E46" s="91">
        <f t="shared" si="35"/>
        <v>0.18629053012802821</v>
      </c>
      <c r="F46" s="91">
        <f t="shared" ref="F46:M46" si="36">IFERROR((F26/F13),"NM")</f>
        <v>0.18749822910657449</v>
      </c>
      <c r="G46" s="91">
        <f t="shared" si="36"/>
        <v>0.21162380419550691</v>
      </c>
      <c r="H46" s="91">
        <f t="shared" si="36"/>
        <v>0.22496828908016728</v>
      </c>
      <c r="I46" s="91">
        <f t="shared" si="36"/>
        <v>0.22195795350005096</v>
      </c>
      <c r="J46" s="91">
        <f t="shared" si="36"/>
        <v>0.20820795350005095</v>
      </c>
      <c r="K46" s="91">
        <f t="shared" si="36"/>
        <v>0.19445795350005091</v>
      </c>
      <c r="L46" s="91">
        <f t="shared" si="36"/>
        <v>0.18070795350005101</v>
      </c>
      <c r="M46" s="91">
        <f t="shared" si="36"/>
        <v>0.16695795350005097</v>
      </c>
      <c r="N46" s="91">
        <f t="shared" ref="N46:R46" si="37">IFERROR((N26/N13),"NM")</f>
        <v>0.16695795350005094</v>
      </c>
      <c r="O46" s="91">
        <f t="shared" si="37"/>
        <v>0.16695795350005099</v>
      </c>
      <c r="P46" s="91">
        <f t="shared" si="37"/>
        <v>0.16695795350005097</v>
      </c>
      <c r="Q46" s="91">
        <f t="shared" si="37"/>
        <v>0.16695795350005097</v>
      </c>
      <c r="R46" s="91">
        <f t="shared" si="37"/>
        <v>0.16695795350005091</v>
      </c>
    </row>
    <row r="47" spans="2:21">
      <c r="B47" s="52" t="s">
        <v>62</v>
      </c>
      <c r="C47" s="52"/>
      <c r="D47" s="91">
        <f t="shared" ref="D47:E47" si="38">IFERROR((D31/D13),"NM")</f>
        <v>0.13448758552397194</v>
      </c>
      <c r="E47" s="91">
        <f t="shared" si="38"/>
        <v>0.1043233170132741</v>
      </c>
      <c r="F47" s="91">
        <f t="shared" ref="F47:M47" si="39">IFERROR((F31/F13),"NM")</f>
        <v>0.12728671926267379</v>
      </c>
      <c r="G47" s="91">
        <f t="shared" si="39"/>
        <v>0.16477164897662971</v>
      </c>
      <c r="H47" s="91">
        <f t="shared" si="39"/>
        <v>0.18252461994737626</v>
      </c>
      <c r="I47" s="91">
        <f t="shared" si="39"/>
        <v>0.17107416900037381</v>
      </c>
      <c r="J47" s="91">
        <f t="shared" si="39"/>
        <v>0.16062070778045151</v>
      </c>
      <c r="K47" s="91">
        <f t="shared" si="39"/>
        <v>0.14612113131126697</v>
      </c>
      <c r="L47" s="91">
        <f t="shared" si="39"/>
        <v>0.13183499758763154</v>
      </c>
      <c r="M47" s="91">
        <f t="shared" si="39"/>
        <v>0.1177083228403466</v>
      </c>
      <c r="N47" s="91">
        <f t="shared" ref="N47:R47" si="40">IFERROR((N31/N13),"NM")</f>
        <v>0.11737200610169934</v>
      </c>
      <c r="O47" s="91">
        <f t="shared" si="40"/>
        <v>0.11707172329933578</v>
      </c>
      <c r="P47" s="91">
        <f t="shared" si="40"/>
        <v>0.11680361365436825</v>
      </c>
      <c r="Q47" s="91">
        <f t="shared" si="40"/>
        <v>0.11656423004279012</v>
      </c>
      <c r="R47" s="91">
        <f t="shared" si="40"/>
        <v>0.11635049467530958</v>
      </c>
    </row>
    <row r="48" spans="2:21">
      <c r="B48" s="52" t="s">
        <v>63</v>
      </c>
      <c r="C48" s="52"/>
      <c r="D48" s="91">
        <f>D41/D39</f>
        <v>0.32189803042710002</v>
      </c>
      <c r="E48" s="91">
        <f t="shared" ref="E48:M48" si="41">E41/E39</f>
        <v>1.4437941696113081E-2</v>
      </c>
      <c r="F48" s="91">
        <f t="shared" si="41"/>
        <v>0.25892617583050909</v>
      </c>
      <c r="G48" s="91">
        <f t="shared" si="41"/>
        <v>0.23403582302004666</v>
      </c>
      <c r="H48" s="91">
        <f t="shared" si="41"/>
        <v>0.23277084222513258</v>
      </c>
      <c r="I48" s="91">
        <f t="shared" si="41"/>
        <v>0.24186030910227452</v>
      </c>
      <c r="J48" s="91">
        <f t="shared" si="41"/>
        <v>0.24149799694061269</v>
      </c>
      <c r="K48" s="91">
        <f t="shared" si="41"/>
        <v>0.24094516629101304</v>
      </c>
      <c r="L48" s="91">
        <f t="shared" si="41"/>
        <v>0.24016327659465</v>
      </c>
      <c r="M48" s="91">
        <f t="shared" si="41"/>
        <v>0.23914617301917829</v>
      </c>
      <c r="N48" s="91">
        <f t="shared" ref="N48:R48" si="42">N41/N39</f>
        <v>0.23929159973009065</v>
      </c>
      <c r="O48" s="91">
        <f t="shared" si="42"/>
        <v>0.23938605414788156</v>
      </c>
      <c r="P48" s="91">
        <f t="shared" si="42"/>
        <v>0.23944559705786214</v>
      </c>
      <c r="Q48" s="91">
        <f t="shared" si="42"/>
        <v>0.23947167528149194</v>
      </c>
      <c r="R48" s="91">
        <f t="shared" si="42"/>
        <v>0.23947100816303171</v>
      </c>
    </row>
    <row r="49" spans="2:18">
      <c r="B49" s="52" t="s">
        <v>64</v>
      </c>
      <c r="C49" s="52"/>
      <c r="D49" s="91">
        <f t="shared" ref="D49:E49" si="43">IFERROR((D42/D13),"NM")</f>
        <v>6.6205863458997552E-2</v>
      </c>
      <c r="E49" s="91">
        <f t="shared" si="43"/>
        <v>5.5349186219213815E-2</v>
      </c>
      <c r="F49" s="91">
        <f t="shared" ref="F49:M49" si="44">IFERROR((F42/F13),"NM")</f>
        <v>8.4521201419435005E-2</v>
      </c>
      <c r="G49" s="91">
        <f t="shared" si="44"/>
        <v>0.11764545127433551</v>
      </c>
      <c r="H49" s="91">
        <f t="shared" si="44"/>
        <v>0.13098889760943075</v>
      </c>
      <c r="I49" s="91">
        <f t="shared" si="44"/>
        <v>0.11642636379312277</v>
      </c>
      <c r="J49" s="91">
        <f t="shared" si="44"/>
        <v>0.11151813251553441</v>
      </c>
      <c r="K49" s="91">
        <f t="shared" si="44"/>
        <v>0.10478586052822997</v>
      </c>
      <c r="L49" s="91">
        <f t="shared" si="44"/>
        <v>9.6556125969762804E-2</v>
      </c>
      <c r="M49" s="91">
        <f t="shared" si="44"/>
        <v>8.7625063989552526E-2</v>
      </c>
      <c r="N49" s="91">
        <f t="shared" ref="N49:R49" si="45">IFERROR((N42/N13),"NM")</f>
        <v>8.879809087911833E-2</v>
      </c>
      <c r="O49" s="91">
        <f t="shared" si="45"/>
        <v>8.9577188876028752E-2</v>
      </c>
      <c r="P49" s="91">
        <f t="shared" si="45"/>
        <v>9.0075488768965165E-2</v>
      </c>
      <c r="Q49" s="91">
        <f t="shared" si="45"/>
        <v>9.0295505820307959E-2</v>
      </c>
      <c r="R49" s="91">
        <f t="shared" si="45"/>
        <v>9.0289863884056507E-2</v>
      </c>
    </row>
    <row r="50" spans="2:18">
      <c r="I50" s="64"/>
      <c r="J50" s="64"/>
      <c r="K50" s="64"/>
      <c r="L50" s="64"/>
      <c r="M50" s="64"/>
      <c r="N50" s="64"/>
      <c r="O50" s="64"/>
      <c r="P50" s="64"/>
      <c r="Q50" s="64"/>
      <c r="R50" s="64"/>
    </row>
    <row r="51" spans="2:18" ht="18">
      <c r="B51" s="10" t="s">
        <v>66</v>
      </c>
      <c r="C51" s="10"/>
      <c r="D51" s="10"/>
      <c r="E51" s="10"/>
      <c r="F51" s="10"/>
      <c r="G51" s="10"/>
      <c r="H51" s="10"/>
      <c r="I51" s="10"/>
      <c r="J51" s="10"/>
      <c r="K51" s="10"/>
      <c r="L51" s="10"/>
      <c r="M51" s="10"/>
      <c r="N51" s="10"/>
      <c r="O51" s="10"/>
      <c r="P51" s="10"/>
      <c r="Q51" s="10"/>
      <c r="R51" s="10"/>
    </row>
    <row r="52" spans="2:18">
      <c r="B52" s="11"/>
      <c r="C52" s="11"/>
      <c r="D52" s="11"/>
      <c r="H52" s="31"/>
      <c r="I52" s="31"/>
      <c r="J52" s="31"/>
      <c r="K52" s="31"/>
      <c r="L52" s="31"/>
      <c r="M52" s="31"/>
      <c r="N52" s="31"/>
      <c r="O52" s="31"/>
      <c r="P52" s="31"/>
      <c r="Q52" s="31"/>
      <c r="R52" s="31"/>
    </row>
    <row r="53" spans="2:18">
      <c r="B53" s="92" t="s">
        <v>6</v>
      </c>
      <c r="C53" s="5"/>
      <c r="D53" s="5"/>
      <c r="E53" s="2"/>
      <c r="G53" s="2"/>
      <c r="H53" s="2"/>
      <c r="I53" s="2"/>
      <c r="J53" s="64"/>
      <c r="K53" s="64"/>
      <c r="L53" s="64"/>
      <c r="M53" s="64"/>
      <c r="N53" s="64"/>
      <c r="O53" s="64"/>
      <c r="P53" s="64"/>
      <c r="Q53" s="64"/>
      <c r="R53" s="64"/>
    </row>
    <row r="54" spans="2:18">
      <c r="B54" s="5"/>
      <c r="C54" s="5"/>
      <c r="D54" s="5"/>
      <c r="E54" s="2"/>
      <c r="G54" s="2"/>
      <c r="H54" s="2"/>
      <c r="I54" s="2"/>
      <c r="J54" s="64"/>
      <c r="K54" s="64"/>
      <c r="L54" s="64"/>
      <c r="M54" s="64"/>
      <c r="N54" s="64"/>
      <c r="O54" s="64"/>
      <c r="P54" s="64"/>
      <c r="Q54" s="64"/>
      <c r="R54" s="64"/>
    </row>
    <row r="55" spans="2:18">
      <c r="B55" s="5" t="s">
        <v>423</v>
      </c>
      <c r="C55" s="92"/>
      <c r="D55" s="69"/>
      <c r="E55" s="69"/>
      <c r="F55" s="69"/>
      <c r="G55" s="69"/>
      <c r="H55" s="69"/>
      <c r="I55" s="69"/>
      <c r="J55" s="69"/>
      <c r="K55" s="69"/>
      <c r="L55" s="69"/>
      <c r="M55" s="69"/>
      <c r="N55" s="69"/>
      <c r="O55" s="69"/>
      <c r="P55" s="69"/>
      <c r="Q55" s="69"/>
      <c r="R55" s="69"/>
    </row>
    <row r="56" spans="2:18">
      <c r="B56" s="273" t="s">
        <v>400</v>
      </c>
      <c r="C56" s="273"/>
      <c r="D56" s="201">
        <f>Schedules!D61</f>
        <v>5892.5</v>
      </c>
      <c r="E56" s="201">
        <f>Schedules!E61</f>
        <v>5827.19</v>
      </c>
      <c r="F56" s="201">
        <f>Schedules!F61</f>
        <v>5155.17</v>
      </c>
      <c r="G56" s="201">
        <f>Schedules!G61</f>
        <v>5441.5780000000004</v>
      </c>
      <c r="H56" s="201">
        <f>Schedules!H61</f>
        <v>6803.1319999999996</v>
      </c>
      <c r="I56" s="201">
        <f>Schedules!I61</f>
        <v>9472.6373007745315</v>
      </c>
      <c r="J56" s="201">
        <f>Schedules!J61</f>
        <v>9900.6934169539509</v>
      </c>
      <c r="K56" s="201">
        <f>Schedules!K61</f>
        <v>11101.423176339144</v>
      </c>
      <c r="L56" s="201">
        <f>Schedules!L61</f>
        <v>12012.85663861164</v>
      </c>
      <c r="M56" s="201">
        <f>Schedules!M61</f>
        <v>12486.43348429017</v>
      </c>
      <c r="N56" s="201">
        <f>Schedules!N61</f>
        <v>12991.985974368421</v>
      </c>
      <c r="O56" s="201">
        <f>Schedules!O61</f>
        <v>13533.351186174357</v>
      </c>
      <c r="P56" s="201">
        <f>Schedules!P61</f>
        <v>14114.826646315303</v>
      </c>
      <c r="Q56" s="201">
        <f>Schedules!Q61</f>
        <v>14741.225584591457</v>
      </c>
      <c r="R56" s="201">
        <f>Schedules!R61</f>
        <v>15417.93881837904</v>
      </c>
    </row>
    <row r="57" spans="2:18">
      <c r="B57" s="273" t="s">
        <v>401</v>
      </c>
      <c r="C57" s="273"/>
      <c r="D57" s="201">
        <f>Schedules!D65</f>
        <v>0</v>
      </c>
      <c r="E57" s="201">
        <f>Schedules!E65</f>
        <v>0</v>
      </c>
      <c r="F57" s="201">
        <f>Schedules!F65</f>
        <v>572.79899999999998</v>
      </c>
      <c r="G57" s="201">
        <f>Schedules!G65</f>
        <v>915.50099999999998</v>
      </c>
      <c r="H57" s="201">
        <f>Schedules!H65</f>
        <v>1034.7070000000001</v>
      </c>
      <c r="I57" s="201">
        <f>Schedules!I68</f>
        <v>944.81765619719931</v>
      </c>
      <c r="J57" s="201">
        <f>Schedules!J68</f>
        <v>854.92831239439852</v>
      </c>
      <c r="K57" s="201">
        <f>Schedules!K68</f>
        <v>765.03896859159772</v>
      </c>
      <c r="L57" s="201">
        <f>Schedules!L68</f>
        <v>675.14962478879693</v>
      </c>
      <c r="M57" s="201">
        <f>Schedules!M68</f>
        <v>585.26028098599613</v>
      </c>
      <c r="N57" s="201">
        <f>Schedules!N68</f>
        <v>495.37093718319539</v>
      </c>
      <c r="O57" s="201">
        <f>Schedules!O68</f>
        <v>405.48159338039466</v>
      </c>
      <c r="P57" s="201">
        <f>Schedules!P68</f>
        <v>315.59224957759392</v>
      </c>
      <c r="Q57" s="201">
        <f>Schedules!Q68</f>
        <v>225.70290577479318</v>
      </c>
      <c r="R57" s="201">
        <f>Schedules!R68</f>
        <v>135.81356197199244</v>
      </c>
    </row>
    <row r="58" spans="2:18">
      <c r="B58" s="273" t="s">
        <v>474</v>
      </c>
      <c r="C58" s="273"/>
      <c r="D58" s="201">
        <f>Schedules!D74</f>
        <v>63.82</v>
      </c>
      <c r="E58" s="201">
        <f>Schedules!E74</f>
        <v>66.819999999999993</v>
      </c>
      <c r="F58" s="201">
        <f>Schedules!F74</f>
        <v>496.61</v>
      </c>
      <c r="G58" s="201">
        <f>Schedules!G74</f>
        <v>606.63</v>
      </c>
      <c r="H58" s="201">
        <f>Schedules!H74</f>
        <v>1922.222</v>
      </c>
      <c r="I58" s="201">
        <f>Schedules!I74</f>
        <v>1922.222</v>
      </c>
      <c r="J58" s="201">
        <f>Schedules!J74</f>
        <v>1922.222</v>
      </c>
      <c r="K58" s="201">
        <f>Schedules!K74</f>
        <v>1922.222</v>
      </c>
      <c r="L58" s="201">
        <f>Schedules!L74</f>
        <v>1922.222</v>
      </c>
      <c r="M58" s="201">
        <f>Schedules!M74</f>
        <v>1922.222</v>
      </c>
      <c r="N58" s="201">
        <f>Schedules!N74</f>
        <v>1922.222</v>
      </c>
      <c r="O58" s="201">
        <f>Schedules!O74</f>
        <v>1922.222</v>
      </c>
      <c r="P58" s="201">
        <f>Schedules!P74</f>
        <v>1922.222</v>
      </c>
      <c r="Q58" s="201">
        <f>Schedules!Q74</f>
        <v>1922.222</v>
      </c>
      <c r="R58" s="201">
        <f>Schedules!R74</f>
        <v>1922.222</v>
      </c>
    </row>
    <row r="59" spans="2:18">
      <c r="B59" s="273" t="s">
        <v>12</v>
      </c>
      <c r="C59" s="273"/>
      <c r="D59" s="201">
        <f>Schedules!D82</f>
        <v>24.23</v>
      </c>
      <c r="E59" s="201">
        <f>Schedules!E82</f>
        <v>24.23</v>
      </c>
      <c r="F59" s="201">
        <f>Schedules!F82</f>
        <v>24.23</v>
      </c>
      <c r="G59" s="201">
        <f>Schedules!G82</f>
        <v>24.23</v>
      </c>
      <c r="H59" s="201">
        <f>Schedules!H82</f>
        <v>24.23</v>
      </c>
      <c r="I59" s="201">
        <f>Schedules!I82</f>
        <v>24.23</v>
      </c>
      <c r="J59" s="201">
        <f>Schedules!J82</f>
        <v>24.23</v>
      </c>
      <c r="K59" s="201">
        <f>Schedules!K82</f>
        <v>24.23</v>
      </c>
      <c r="L59" s="201">
        <f>Schedules!L82</f>
        <v>24.23</v>
      </c>
      <c r="M59" s="201">
        <f>Schedules!M82</f>
        <v>24.23</v>
      </c>
      <c r="N59" s="201">
        <f>Schedules!N82</f>
        <v>24.23</v>
      </c>
      <c r="O59" s="201">
        <f>Schedules!O82</f>
        <v>24.23</v>
      </c>
      <c r="P59" s="201">
        <f>Schedules!P82</f>
        <v>24.23</v>
      </c>
      <c r="Q59" s="201">
        <f>Schedules!Q82</f>
        <v>24.23</v>
      </c>
      <c r="R59" s="201">
        <f>Schedules!R82</f>
        <v>24.23</v>
      </c>
    </row>
    <row r="60" spans="2:18">
      <c r="B60" s="276" t="s">
        <v>487</v>
      </c>
      <c r="C60" s="273"/>
      <c r="D60" s="201">
        <f>BalanceSheet!F11</f>
        <v>0</v>
      </c>
      <c r="E60" s="201">
        <f>BalanceSheet!G11</f>
        <v>0</v>
      </c>
      <c r="F60" s="201">
        <f>BalanceSheet!H11</f>
        <v>0</v>
      </c>
      <c r="G60" s="201">
        <f>BalanceSheet!I11</f>
        <v>4.0000000000000001E-3</v>
      </c>
      <c r="H60" s="201">
        <f>BalanceSheet!J11</f>
        <v>17.931999999999999</v>
      </c>
      <c r="I60" s="312">
        <f>H60</f>
        <v>17.931999999999999</v>
      </c>
      <c r="J60" s="312">
        <f>I60</f>
        <v>17.931999999999999</v>
      </c>
      <c r="K60" s="312">
        <f>J60</f>
        <v>17.931999999999999</v>
      </c>
      <c r="L60" s="312">
        <f t="shared" ref="L60:M60" si="46">K60</f>
        <v>17.931999999999999</v>
      </c>
      <c r="M60" s="312">
        <f t="shared" si="46"/>
        <v>17.931999999999999</v>
      </c>
      <c r="N60" s="312">
        <f>M60</f>
        <v>17.931999999999999</v>
      </c>
      <c r="O60" s="312">
        <f t="shared" ref="O60" si="47">N60</f>
        <v>17.931999999999999</v>
      </c>
      <c r="P60" s="312">
        <f t="shared" ref="P60" si="48">O60</f>
        <v>17.931999999999999</v>
      </c>
      <c r="Q60" s="312">
        <f t="shared" ref="Q60" si="49">P60</f>
        <v>17.931999999999999</v>
      </c>
      <c r="R60" s="312">
        <f t="shared" ref="R60" si="50">Q60</f>
        <v>17.931999999999999</v>
      </c>
    </row>
    <row r="61" spans="2:18">
      <c r="B61" s="273" t="s">
        <v>475</v>
      </c>
      <c r="C61" s="273"/>
      <c r="D61" s="201">
        <f>Schedules!D78</f>
        <v>562.30999999999995</v>
      </c>
      <c r="E61" s="201">
        <f>Schedules!E78</f>
        <v>557.19999999999993</v>
      </c>
      <c r="F61" s="201">
        <f>Schedules!F78</f>
        <v>558.56999999999994</v>
      </c>
      <c r="G61" s="201">
        <f>Schedules!G78</f>
        <v>550.91</v>
      </c>
      <c r="H61" s="201">
        <f>Schedules!H78</f>
        <v>547.1</v>
      </c>
      <c r="I61" s="201">
        <f>Schedules!I78</f>
        <v>547.1</v>
      </c>
      <c r="J61" s="201">
        <f>Schedules!J78</f>
        <v>547.1</v>
      </c>
      <c r="K61" s="201">
        <f>Schedules!K78</f>
        <v>547.1</v>
      </c>
      <c r="L61" s="201">
        <f>Schedules!L78</f>
        <v>547.1</v>
      </c>
      <c r="M61" s="201">
        <f>Schedules!M78</f>
        <v>547.1</v>
      </c>
      <c r="N61" s="201">
        <f>Schedules!N78</f>
        <v>547.1</v>
      </c>
      <c r="O61" s="201">
        <f>Schedules!O78</f>
        <v>547.1</v>
      </c>
      <c r="P61" s="201">
        <f>Schedules!P78</f>
        <v>547.1</v>
      </c>
      <c r="Q61" s="201">
        <f>Schedules!Q78</f>
        <v>547.1</v>
      </c>
      <c r="R61" s="201">
        <f>Schedules!R78</f>
        <v>547.1</v>
      </c>
    </row>
    <row r="62" spans="2:18">
      <c r="B62" s="273" t="s">
        <v>476</v>
      </c>
      <c r="C62" s="273"/>
      <c r="D62" s="201">
        <f>Schedules!D86</f>
        <v>45.44</v>
      </c>
      <c r="E62" s="201">
        <f>Schedules!E86</f>
        <v>41.91</v>
      </c>
      <c r="F62" s="201">
        <f>Schedules!F86</f>
        <v>42.06</v>
      </c>
      <c r="G62" s="201">
        <f>Schedules!G86</f>
        <v>48.68</v>
      </c>
      <c r="H62" s="201">
        <f>Schedules!H86</f>
        <v>65.418000000000006</v>
      </c>
      <c r="I62" s="201">
        <f>Schedules!I86</f>
        <v>65.418000000000006</v>
      </c>
      <c r="J62" s="201">
        <f>Schedules!J86</f>
        <v>65.418000000000006</v>
      </c>
      <c r="K62" s="201">
        <f>Schedules!K86</f>
        <v>65.418000000000006</v>
      </c>
      <c r="L62" s="201">
        <f>Schedules!L86</f>
        <v>65.418000000000006</v>
      </c>
      <c r="M62" s="201">
        <f>Schedules!M86</f>
        <v>65.418000000000006</v>
      </c>
      <c r="N62" s="201">
        <f>Schedules!N86</f>
        <v>65.418000000000006</v>
      </c>
      <c r="O62" s="201">
        <f>Schedules!O86</f>
        <v>65.418000000000006</v>
      </c>
      <c r="P62" s="201">
        <f>Schedules!P86</f>
        <v>65.418000000000006</v>
      </c>
      <c r="Q62" s="201">
        <f>Schedules!Q86</f>
        <v>65.418000000000006</v>
      </c>
      <c r="R62" s="201">
        <f>Schedules!R86</f>
        <v>65.418000000000006</v>
      </c>
    </row>
    <row r="63" spans="2:18">
      <c r="B63" s="273" t="s">
        <v>403</v>
      </c>
      <c r="C63" s="273"/>
      <c r="D63" s="201">
        <f>Schedules!D90</f>
        <v>115.4</v>
      </c>
      <c r="E63" s="201">
        <f>Schedules!E90</f>
        <v>130.34</v>
      </c>
      <c r="F63" s="201">
        <f>Schedules!F90</f>
        <v>183.92</v>
      </c>
      <c r="G63" s="201">
        <f>Schedules!G90</f>
        <v>626.67999999999995</v>
      </c>
      <c r="H63" s="201">
        <f>Schedules!H90</f>
        <v>536.81200000000001</v>
      </c>
      <c r="I63" s="201">
        <f>Schedules!I90</f>
        <v>536.81200000000001</v>
      </c>
      <c r="J63" s="201">
        <f>Schedules!J90</f>
        <v>536.81200000000001</v>
      </c>
      <c r="K63" s="201">
        <f>Schedules!K90</f>
        <v>536.81200000000001</v>
      </c>
      <c r="L63" s="201">
        <f>Schedules!L90</f>
        <v>536.81200000000001</v>
      </c>
      <c r="M63" s="201">
        <f>Schedules!M90</f>
        <v>536.81200000000001</v>
      </c>
      <c r="N63" s="201">
        <f>Schedules!N90</f>
        <v>536.81200000000001</v>
      </c>
      <c r="O63" s="201">
        <f>Schedules!O90</f>
        <v>536.81200000000001</v>
      </c>
      <c r="P63" s="201">
        <f>Schedules!P90</f>
        <v>536.81200000000001</v>
      </c>
      <c r="Q63" s="201">
        <f>Schedules!Q90</f>
        <v>536.81200000000001</v>
      </c>
      <c r="R63" s="201">
        <f>Schedules!R90</f>
        <v>536.81200000000001</v>
      </c>
    </row>
    <row r="64" spans="2:18">
      <c r="B64" s="273" t="s">
        <v>477</v>
      </c>
      <c r="C64" s="273"/>
      <c r="D64" s="201">
        <f>Schedules!D94</f>
        <v>12.85</v>
      </c>
      <c r="E64" s="201">
        <f>Schedules!E94</f>
        <v>11.02</v>
      </c>
      <c r="F64" s="201">
        <f>Schedules!F94</f>
        <v>2.41</v>
      </c>
      <c r="G64" s="201">
        <f>Schedules!G94</f>
        <v>0</v>
      </c>
      <c r="H64" s="201">
        <f>Schedules!H94</f>
        <v>0</v>
      </c>
      <c r="I64" s="201">
        <f>Schedules!I94</f>
        <v>0</v>
      </c>
      <c r="J64" s="201">
        <f>Schedules!J94</f>
        <v>0</v>
      </c>
      <c r="K64" s="201">
        <f>Schedules!K94</f>
        <v>0</v>
      </c>
      <c r="L64" s="201">
        <f>Schedules!L94</f>
        <v>0</v>
      </c>
      <c r="M64" s="201">
        <f>Schedules!M94</f>
        <v>0</v>
      </c>
      <c r="N64" s="201">
        <f>Schedules!N94</f>
        <v>0</v>
      </c>
      <c r="O64" s="201">
        <f>Schedules!O94</f>
        <v>0</v>
      </c>
      <c r="P64" s="201">
        <f>Schedules!P94</f>
        <v>0</v>
      </c>
      <c r="Q64" s="201">
        <f>Schedules!Q94</f>
        <v>0</v>
      </c>
      <c r="R64" s="201">
        <f>Schedules!R94</f>
        <v>0</v>
      </c>
    </row>
    <row r="65" spans="2:23">
      <c r="B65" s="94" t="s">
        <v>478</v>
      </c>
      <c r="C65" s="94"/>
      <c r="D65" s="513">
        <f>SUM(D56:D64)</f>
        <v>6716.5499999999984</v>
      </c>
      <c r="E65" s="513">
        <f t="shared" ref="E65:M65" si="51">SUM(E56:E64)</f>
        <v>6658.7099999999991</v>
      </c>
      <c r="F65" s="513">
        <f t="shared" si="51"/>
        <v>7035.7689999999993</v>
      </c>
      <c r="G65" s="513">
        <f t="shared" si="51"/>
        <v>8214.2129999999997</v>
      </c>
      <c r="H65" s="513">
        <f t="shared" si="51"/>
        <v>10951.553</v>
      </c>
      <c r="I65" s="513">
        <f t="shared" si="51"/>
        <v>13531.168956971731</v>
      </c>
      <c r="J65" s="513">
        <f t="shared" si="51"/>
        <v>13869.33572934835</v>
      </c>
      <c r="K65" s="513">
        <f t="shared" si="51"/>
        <v>14980.176144930741</v>
      </c>
      <c r="L65" s="513">
        <f t="shared" si="51"/>
        <v>15801.720263400437</v>
      </c>
      <c r="M65" s="513">
        <f t="shared" si="51"/>
        <v>16185.407765276166</v>
      </c>
      <c r="N65" s="513">
        <f t="shared" ref="N65:R65" si="52">SUM(N56:N64)</f>
        <v>16601.070911551618</v>
      </c>
      <c r="O65" s="513">
        <f t="shared" si="52"/>
        <v>17052.546779554756</v>
      </c>
      <c r="P65" s="513">
        <f t="shared" si="52"/>
        <v>17544.132895892897</v>
      </c>
      <c r="Q65" s="513">
        <f t="shared" si="52"/>
        <v>18080.642490366252</v>
      </c>
      <c r="R65" s="513">
        <f t="shared" si="52"/>
        <v>18667.466380351034</v>
      </c>
    </row>
    <row r="66" spans="2:23">
      <c r="B66" s="5"/>
      <c r="C66" s="5"/>
      <c r="D66" s="69"/>
      <c r="E66" s="69"/>
      <c r="F66" s="69"/>
      <c r="G66" s="69"/>
      <c r="H66" s="69"/>
      <c r="I66" s="69"/>
      <c r="J66" s="69"/>
      <c r="K66" s="69"/>
      <c r="L66" s="69"/>
      <c r="M66" s="69"/>
      <c r="N66" s="69"/>
      <c r="O66" s="69"/>
      <c r="P66" s="69"/>
      <c r="Q66" s="69"/>
      <c r="R66" s="69"/>
    </row>
    <row r="67" spans="2:23">
      <c r="B67" s="5" t="s">
        <v>83</v>
      </c>
      <c r="C67" s="5"/>
      <c r="D67" s="69"/>
      <c r="E67" s="69"/>
      <c r="F67" s="69"/>
      <c r="G67" s="69"/>
      <c r="H67" s="69"/>
      <c r="I67" s="69"/>
      <c r="J67" s="69"/>
      <c r="K67" s="69"/>
      <c r="L67" s="69"/>
      <c r="M67" s="69"/>
      <c r="N67" s="69"/>
      <c r="O67" s="69"/>
      <c r="P67" s="69"/>
      <c r="Q67" s="69"/>
      <c r="R67" s="69"/>
    </row>
    <row r="68" spans="2:23">
      <c r="B68" s="76" t="s">
        <v>7</v>
      </c>
      <c r="C68" s="81"/>
      <c r="D68" s="512">
        <f>D143</f>
        <v>137.75999999999948</v>
      </c>
      <c r="E68" s="512">
        <f t="shared" ref="E68:M68" si="53">E143</f>
        <v>104.28999999999994</v>
      </c>
      <c r="F68" s="512">
        <f t="shared" si="53"/>
        <v>150.44000000000148</v>
      </c>
      <c r="G68" s="512">
        <f t="shared" si="53"/>
        <v>153.97999999999979</v>
      </c>
      <c r="H68" s="512">
        <f t="shared" si="53"/>
        <v>241.83699999999965</v>
      </c>
      <c r="I68" s="312">
        <f t="shared" si="53"/>
        <v>196.53469590765201</v>
      </c>
      <c r="J68" s="312">
        <f t="shared" si="53"/>
        <v>283.7511301449382</v>
      </c>
      <c r="K68" s="312">
        <f t="shared" si="53"/>
        <v>401.52450591762829</v>
      </c>
      <c r="L68" s="312">
        <f t="shared" si="53"/>
        <v>452.41467802132831</v>
      </c>
      <c r="M68" s="312">
        <f t="shared" si="53"/>
        <v>515.76558069582336</v>
      </c>
      <c r="N68" s="312">
        <f t="shared" ref="N68:R68" si="54">N143</f>
        <v>454.46744397061104</v>
      </c>
      <c r="O68" s="312">
        <f t="shared" si="54"/>
        <v>775.33968054616946</v>
      </c>
      <c r="P68" s="312">
        <f t="shared" si="54"/>
        <v>919.61456636645892</v>
      </c>
      <c r="Q68" s="312">
        <f t="shared" si="54"/>
        <v>1292.162868535846</v>
      </c>
      <c r="R68" s="312">
        <f t="shared" si="54"/>
        <v>1424.5018575118088</v>
      </c>
      <c r="W68" s="47"/>
    </row>
    <row r="69" spans="2:23">
      <c r="B69" s="76" t="s">
        <v>488</v>
      </c>
      <c r="C69" s="81"/>
      <c r="D69" s="505">
        <f>BalanceSheet!F32</f>
        <v>33.11</v>
      </c>
      <c r="E69" s="505">
        <f>BalanceSheet!G32</f>
        <v>85.49</v>
      </c>
      <c r="F69" s="505">
        <f>BalanceSheet!H32</f>
        <v>185.87</v>
      </c>
      <c r="G69" s="505">
        <f>BalanceSheet!I32</f>
        <v>130.94</v>
      </c>
      <c r="H69" s="505">
        <f>BalanceSheet!J32</f>
        <v>217.65</v>
      </c>
      <c r="I69" s="512">
        <f>H69</f>
        <v>217.65</v>
      </c>
      <c r="J69" s="512">
        <f>I69</f>
        <v>217.65</v>
      </c>
      <c r="K69" s="512">
        <f t="shared" ref="K69:M69" si="55">J69</f>
        <v>217.65</v>
      </c>
      <c r="L69" s="512">
        <f t="shared" si="55"/>
        <v>217.65</v>
      </c>
      <c r="M69" s="512">
        <f t="shared" si="55"/>
        <v>217.65</v>
      </c>
      <c r="N69" s="512">
        <f>M69</f>
        <v>217.65</v>
      </c>
      <c r="O69" s="512">
        <f t="shared" ref="O69" si="56">N69</f>
        <v>217.65</v>
      </c>
      <c r="P69" s="512">
        <f t="shared" ref="P69" si="57">O69</f>
        <v>217.65</v>
      </c>
      <c r="Q69" s="512">
        <f t="shared" ref="Q69" si="58">P69</f>
        <v>217.65</v>
      </c>
      <c r="R69" s="512">
        <f t="shared" ref="R69" si="59">Q69</f>
        <v>217.65</v>
      </c>
      <c r="W69" s="47"/>
    </row>
    <row r="70" spans="2:23">
      <c r="B70" s="76" t="s">
        <v>8</v>
      </c>
      <c r="C70" s="81"/>
      <c r="D70" s="201">
        <f>BalanceSheet!F23</f>
        <v>881.51</v>
      </c>
      <c r="E70" s="201">
        <f>BalanceSheet!G23</f>
        <v>928.8</v>
      </c>
      <c r="F70" s="201">
        <f>BalanceSheet!H23</f>
        <v>1448.09</v>
      </c>
      <c r="G70" s="201">
        <f>BalanceSheet!I23</f>
        <v>1993.89</v>
      </c>
      <c r="H70" s="201">
        <f>BalanceSheet!J23</f>
        <v>2150.5329999999999</v>
      </c>
      <c r="I70" s="201">
        <f>Schedules!I150</f>
        <v>2856.8979863013697</v>
      </c>
      <c r="J70" s="201">
        <f>Schedules!J150</f>
        <v>3478.2732983219175</v>
      </c>
      <c r="K70" s="201">
        <f>Schedules!K150</f>
        <v>3725.4313721161388</v>
      </c>
      <c r="L70" s="201">
        <f>Schedules!L150</f>
        <v>4293.5596563638501</v>
      </c>
      <c r="M70" s="201">
        <f>Schedules!M150</f>
        <v>4808.7868151275115</v>
      </c>
      <c r="N70" s="201">
        <f>Schedules!N150</f>
        <v>5385.8412329428138</v>
      </c>
      <c r="O70" s="201">
        <f>Schedules!O150</f>
        <v>6032.1421808959522</v>
      </c>
      <c r="P70" s="201">
        <f>Schedules!P150</f>
        <v>6755.9992426034678</v>
      </c>
      <c r="Q70" s="201">
        <f>Schedules!Q150</f>
        <v>7566.7191517158844</v>
      </c>
      <c r="R70" s="201">
        <f>Schedules!R150</f>
        <v>8474.7254499217906</v>
      </c>
      <c r="W70" s="47"/>
    </row>
    <row r="71" spans="2:23">
      <c r="B71" s="76" t="s">
        <v>357</v>
      </c>
      <c r="C71" s="81"/>
      <c r="D71" s="201">
        <f>BalanceSheet!F24</f>
        <v>172.56</v>
      </c>
      <c r="E71" s="201">
        <f>BalanceSheet!G24</f>
        <v>241.8</v>
      </c>
      <c r="F71" s="201">
        <f>BalanceSheet!H24</f>
        <v>221.25</v>
      </c>
      <c r="G71" s="201">
        <f>BalanceSheet!I24</f>
        <v>299.33999999999997</v>
      </c>
      <c r="H71" s="201">
        <f>BalanceSheet!J24</f>
        <v>359.38499999999999</v>
      </c>
      <c r="I71" s="201">
        <f>Schedules!I156</f>
        <v>494.4631130136986</v>
      </c>
      <c r="J71" s="201">
        <f>Schedules!J156</f>
        <v>602.00884009417803</v>
      </c>
      <c r="K71" s="201">
        <f>Schedules!K156</f>
        <v>713.38047551160105</v>
      </c>
      <c r="L71" s="201">
        <f>Schedules!L156</f>
        <v>822.17099802712016</v>
      </c>
      <c r="M71" s="201">
        <f>Schedules!M156</f>
        <v>920.83151779037462</v>
      </c>
      <c r="N71" s="201">
        <f>Schedules!N156</f>
        <v>1031.3312999252196</v>
      </c>
      <c r="O71" s="201">
        <f>Schedules!O156</f>
        <v>1155.0910559162462</v>
      </c>
      <c r="P71" s="201">
        <f>Schedules!P156</f>
        <v>1293.7019826261958</v>
      </c>
      <c r="Q71" s="201">
        <f>Schedules!Q156</f>
        <v>1448.9462205413395</v>
      </c>
      <c r="R71" s="201">
        <f>Schedules!R156</f>
        <v>1622.8197670063003</v>
      </c>
    </row>
    <row r="72" spans="2:23">
      <c r="B72" s="275" t="s">
        <v>10</v>
      </c>
      <c r="C72" s="78"/>
      <c r="D72" s="201">
        <f>BalanceSheet!F25</f>
        <v>446.74</v>
      </c>
      <c r="E72" s="201">
        <f>BalanceSheet!G25</f>
        <v>439.03</v>
      </c>
      <c r="F72" s="201">
        <f>BalanceSheet!H25</f>
        <v>540.16000000000008</v>
      </c>
      <c r="G72" s="201">
        <f>BalanceSheet!I25</f>
        <v>825.54</v>
      </c>
      <c r="H72" s="201">
        <f>BalanceSheet!J25</f>
        <v>1265.8499999999999</v>
      </c>
      <c r="I72" s="201">
        <f>Schedules!I161</f>
        <v>1303.45970625</v>
      </c>
      <c r="J72" s="201">
        <f>Schedules!J161</f>
        <v>1586.962192359375</v>
      </c>
      <c r="K72" s="201">
        <f>Schedules!K161</f>
        <v>1880.5501979458595</v>
      </c>
      <c r="L72" s="201">
        <f>Schedules!L161</f>
        <v>2167.3341031326031</v>
      </c>
      <c r="M72" s="201">
        <f>Schedules!M161</f>
        <v>2427.4141955085156</v>
      </c>
      <c r="N72" s="201">
        <f>Schedules!N161</f>
        <v>2718.7038989695375</v>
      </c>
      <c r="O72" s="201">
        <f>Schedules!O161</f>
        <v>3044.9483668458824</v>
      </c>
      <c r="P72" s="201">
        <f>Schedules!P161</f>
        <v>3410.3421708673886</v>
      </c>
      <c r="Q72" s="201">
        <f>Schedules!Q161</f>
        <v>3819.5832313714759</v>
      </c>
      <c r="R72" s="201">
        <f>Schedules!R161</f>
        <v>4277.9332191360527</v>
      </c>
    </row>
    <row r="73" spans="2:23">
      <c r="B73" s="1" t="s">
        <v>11</v>
      </c>
      <c r="C73" s="1"/>
      <c r="D73" s="88">
        <f>SUM(D68:D72)</f>
        <v>1671.6799999999994</v>
      </c>
      <c r="E73" s="88">
        <f t="shared" ref="E73:M73" si="60">SUM(E68:E72)</f>
        <v>1799.4099999999999</v>
      </c>
      <c r="F73" s="88">
        <f t="shared" si="60"/>
        <v>2545.8100000000013</v>
      </c>
      <c r="G73" s="88">
        <f t="shared" si="60"/>
        <v>3403.69</v>
      </c>
      <c r="H73" s="88">
        <f t="shared" si="60"/>
        <v>4235.2549999999992</v>
      </c>
      <c r="I73" s="88">
        <f t="shared" si="60"/>
        <v>5069.0055014727204</v>
      </c>
      <c r="J73" s="88">
        <f t="shared" si="60"/>
        <v>6168.6454609204084</v>
      </c>
      <c r="K73" s="88">
        <f t="shared" si="60"/>
        <v>6938.5365514912273</v>
      </c>
      <c r="L73" s="88">
        <f t="shared" si="60"/>
        <v>7953.1294355449008</v>
      </c>
      <c r="M73" s="88">
        <f t="shared" si="60"/>
        <v>8890.448109122226</v>
      </c>
      <c r="N73" s="88">
        <f t="shared" ref="N73:R73" si="61">SUM(N68:N72)</f>
        <v>9807.9938758081807</v>
      </c>
      <c r="O73" s="88">
        <f t="shared" si="61"/>
        <v>11225.171284204251</v>
      </c>
      <c r="P73" s="88">
        <f t="shared" si="61"/>
        <v>12597.30796246351</v>
      </c>
      <c r="Q73" s="88">
        <f t="shared" si="61"/>
        <v>14345.061472164547</v>
      </c>
      <c r="R73" s="88">
        <f t="shared" si="61"/>
        <v>16017.630293575952</v>
      </c>
    </row>
    <row r="74" spans="2:23">
      <c r="B74" s="79"/>
      <c r="C74" s="79"/>
      <c r="D74" s="79"/>
      <c r="E74" s="3"/>
      <c r="F74" s="69"/>
      <c r="G74" s="69"/>
      <c r="H74" s="69"/>
      <c r="I74" s="69"/>
      <c r="J74" s="69"/>
      <c r="K74" s="69"/>
      <c r="L74" s="69"/>
      <c r="M74" s="69"/>
      <c r="N74" s="69"/>
      <c r="O74" s="69"/>
      <c r="P74" s="69"/>
      <c r="Q74" s="69"/>
      <c r="R74" s="69"/>
    </row>
    <row r="75" spans="2:23" ht="15" thickBot="1">
      <c r="B75" s="93" t="s">
        <v>13</v>
      </c>
      <c r="C75" s="93"/>
      <c r="D75" s="510">
        <f>D73+D65</f>
        <v>8388.2299999999977</v>
      </c>
      <c r="E75" s="510">
        <f t="shared" ref="E75:M75" si="62">E73+E65</f>
        <v>8458.119999999999</v>
      </c>
      <c r="F75" s="510">
        <f t="shared" si="62"/>
        <v>9581.5790000000015</v>
      </c>
      <c r="G75" s="510">
        <f t="shared" si="62"/>
        <v>11617.903</v>
      </c>
      <c r="H75" s="510">
        <f t="shared" si="62"/>
        <v>15186.807999999999</v>
      </c>
      <c r="I75" s="511">
        <f t="shared" si="62"/>
        <v>18600.174458444453</v>
      </c>
      <c r="J75" s="511">
        <f t="shared" si="62"/>
        <v>20037.981190268758</v>
      </c>
      <c r="K75" s="511">
        <f t="shared" si="62"/>
        <v>21918.712696421968</v>
      </c>
      <c r="L75" s="511">
        <f t="shared" si="62"/>
        <v>23754.849698945338</v>
      </c>
      <c r="M75" s="511">
        <f t="shared" si="62"/>
        <v>25075.855874398392</v>
      </c>
      <c r="N75" s="511">
        <f t="shared" ref="N75:R75" si="63">N73+N65</f>
        <v>26409.064787359799</v>
      </c>
      <c r="O75" s="511">
        <f t="shared" si="63"/>
        <v>28277.718063759006</v>
      </c>
      <c r="P75" s="511">
        <f t="shared" si="63"/>
        <v>30141.440858356407</v>
      </c>
      <c r="Q75" s="511">
        <f t="shared" si="63"/>
        <v>32425.703962530799</v>
      </c>
      <c r="R75" s="511">
        <f t="shared" si="63"/>
        <v>34685.096673926986</v>
      </c>
      <c r="S75" s="95"/>
    </row>
    <row r="76" spans="2:23">
      <c r="B76" s="3"/>
      <c r="C76" s="3"/>
      <c r="D76" s="3"/>
      <c r="E76" s="3"/>
      <c r="F76" s="69"/>
      <c r="G76" s="69"/>
      <c r="H76" s="69"/>
      <c r="I76" s="69"/>
      <c r="J76" s="69"/>
      <c r="K76" s="69"/>
      <c r="L76" s="69"/>
      <c r="M76" s="69"/>
      <c r="N76" s="69"/>
      <c r="O76" s="69"/>
      <c r="P76" s="69"/>
      <c r="Q76" s="69"/>
      <c r="R76" s="69"/>
    </row>
    <row r="77" spans="2:23">
      <c r="B77" s="92" t="s">
        <v>489</v>
      </c>
      <c r="C77" s="3"/>
      <c r="D77" s="3"/>
      <c r="E77" s="3"/>
      <c r="F77" s="69"/>
      <c r="G77" s="69"/>
      <c r="H77" s="69"/>
      <c r="I77" s="69"/>
      <c r="J77" s="69"/>
      <c r="K77" s="69"/>
      <c r="L77" s="69"/>
      <c r="M77" s="69"/>
      <c r="N77" s="69"/>
      <c r="O77" s="69"/>
      <c r="P77" s="69"/>
      <c r="Q77" s="69"/>
      <c r="R77" s="69"/>
    </row>
    <row r="78" spans="2:23">
      <c r="B78" s="92"/>
      <c r="C78" s="3"/>
      <c r="D78" s="3"/>
      <c r="E78" s="3"/>
      <c r="F78" s="69"/>
      <c r="G78" s="69"/>
      <c r="H78" s="69"/>
      <c r="I78" s="69"/>
      <c r="J78" s="69"/>
      <c r="K78" s="69"/>
      <c r="L78" s="69"/>
      <c r="M78" s="69"/>
      <c r="N78" s="69"/>
      <c r="O78" s="69"/>
      <c r="P78" s="69"/>
      <c r="Q78" s="69"/>
      <c r="R78" s="69"/>
    </row>
    <row r="79" spans="2:23">
      <c r="B79" s="5" t="s">
        <v>490</v>
      </c>
      <c r="C79" s="5"/>
      <c r="D79" s="5"/>
      <c r="E79" s="3"/>
      <c r="F79" s="69"/>
      <c r="G79" s="69"/>
      <c r="H79" s="69"/>
      <c r="I79" s="69"/>
      <c r="J79" s="69"/>
      <c r="K79" s="69"/>
      <c r="L79" s="69"/>
      <c r="M79" s="69"/>
      <c r="N79" s="69"/>
      <c r="O79" s="69"/>
      <c r="P79" s="69"/>
      <c r="Q79" s="69"/>
      <c r="R79" s="69"/>
    </row>
    <row r="80" spans="2:23">
      <c r="B80" s="277" t="s">
        <v>491</v>
      </c>
      <c r="C80" s="82"/>
      <c r="D80" s="201">
        <f>BalanceSheet!F39</f>
        <v>288.69</v>
      </c>
      <c r="E80" s="201">
        <f>BalanceSheet!G39</f>
        <v>288.69</v>
      </c>
      <c r="F80" s="201">
        <f>BalanceSheet!H39</f>
        <v>433.03</v>
      </c>
      <c r="G80" s="201">
        <f>BalanceSheet!I39</f>
        <v>649.54999999999995</v>
      </c>
      <c r="H80" s="201">
        <f>BalanceSheet!J39</f>
        <v>649.60699999999997</v>
      </c>
      <c r="I80" s="312">
        <f>H80</f>
        <v>649.60699999999997</v>
      </c>
      <c r="J80" s="312">
        <f>I80</f>
        <v>649.60699999999997</v>
      </c>
      <c r="K80" s="312">
        <f t="shared" ref="K80:M80" si="64">J80</f>
        <v>649.60699999999997</v>
      </c>
      <c r="L80" s="312">
        <f t="shared" si="64"/>
        <v>649.60699999999997</v>
      </c>
      <c r="M80" s="312">
        <f t="shared" si="64"/>
        <v>649.60699999999997</v>
      </c>
      <c r="N80" s="312">
        <f>M80</f>
        <v>649.60699999999997</v>
      </c>
      <c r="O80" s="312">
        <f t="shared" ref="O80" si="65">N80</f>
        <v>649.60699999999997</v>
      </c>
      <c r="P80" s="312">
        <f t="shared" ref="P80" si="66">O80</f>
        <v>649.60699999999997</v>
      </c>
      <c r="Q80" s="312">
        <f t="shared" ref="Q80" si="67">P80</f>
        <v>649.60699999999997</v>
      </c>
      <c r="R80" s="312">
        <f t="shared" ref="R80" si="68">Q80</f>
        <v>649.60699999999997</v>
      </c>
    </row>
    <row r="81" spans="2:18">
      <c r="B81" s="277" t="s">
        <v>492</v>
      </c>
      <c r="C81" s="82"/>
      <c r="D81" s="201">
        <f>BalanceSheet!F40</f>
        <v>3039.73</v>
      </c>
      <c r="E81" s="201">
        <f>BalanceSheet!G40</f>
        <v>3235.31</v>
      </c>
      <c r="F81" s="201">
        <f>BalanceSheet!H40</f>
        <v>3646.88</v>
      </c>
      <c r="G81" s="201">
        <f>BalanceSheet!I40</f>
        <v>4452.83</v>
      </c>
      <c r="H81" s="201">
        <f>BalanceSheet!J40</f>
        <v>6286.8909999999996</v>
      </c>
      <c r="I81" s="505">
        <f>Schedules!I142</f>
        <v>8271.4065824170539</v>
      </c>
      <c r="J81" s="505">
        <f>Schedules!J142</f>
        <v>10585.69582941666</v>
      </c>
      <c r="K81" s="505">
        <f>Schedules!K142</f>
        <v>13010.989007980228</v>
      </c>
      <c r="L81" s="505">
        <f>Schedules!L142</f>
        <v>15103.682854786573</v>
      </c>
      <c r="M81" s="505">
        <f>Schedules!M142</f>
        <v>16739.854579483359</v>
      </c>
      <c r="N81" s="505">
        <f>Schedules!N142</f>
        <v>18411.194151057971</v>
      </c>
      <c r="O81" s="505">
        <f>Schedules!O142</f>
        <v>20299.518177805956</v>
      </c>
      <c r="P81" s="505">
        <f>Schedules!P142</f>
        <v>22189.907334176991</v>
      </c>
      <c r="Q81" s="505">
        <f>Schedules!Q142</f>
        <v>24047.013795174047</v>
      </c>
      <c r="R81" s="505">
        <f>Schedules!R142</f>
        <v>25829.724601608868</v>
      </c>
    </row>
    <row r="82" spans="2:18">
      <c r="B82" s="88" t="s">
        <v>493</v>
      </c>
      <c r="C82" s="88"/>
      <c r="D82" s="88">
        <f>SUM(D80:D81)</f>
        <v>3328.42</v>
      </c>
      <c r="E82" s="88">
        <f t="shared" ref="E82:H82" si="69">SUM(E80:E81)</f>
        <v>3524</v>
      </c>
      <c r="F82" s="88">
        <f t="shared" si="69"/>
        <v>4079.91</v>
      </c>
      <c r="G82" s="88">
        <f t="shared" si="69"/>
        <v>5102.38</v>
      </c>
      <c r="H82" s="88">
        <f t="shared" si="69"/>
        <v>6936.4979999999996</v>
      </c>
      <c r="I82" s="88">
        <f t="shared" ref="I82:M82" si="70">SUM(I80:I81)</f>
        <v>8921.0135824170538</v>
      </c>
      <c r="J82" s="88">
        <f t="shared" si="70"/>
        <v>11235.30282941666</v>
      </c>
      <c r="K82" s="88">
        <f t="shared" si="70"/>
        <v>13660.596007980228</v>
      </c>
      <c r="L82" s="88">
        <f t="shared" si="70"/>
        <v>15753.289854786573</v>
      </c>
      <c r="M82" s="88">
        <f t="shared" si="70"/>
        <v>17389.461579483359</v>
      </c>
      <c r="N82" s="88">
        <f t="shared" ref="N82:R82" si="71">SUM(N80:N81)</f>
        <v>19060.801151057971</v>
      </c>
      <c r="O82" s="88">
        <f t="shared" si="71"/>
        <v>20949.125177805956</v>
      </c>
      <c r="P82" s="88">
        <f t="shared" si="71"/>
        <v>22839.514334176991</v>
      </c>
      <c r="Q82" s="88">
        <f t="shared" si="71"/>
        <v>24696.620795174047</v>
      </c>
      <c r="R82" s="88">
        <f t="shared" si="71"/>
        <v>26479.331601608868</v>
      </c>
    </row>
    <row r="83" spans="2:18">
      <c r="B83" s="79" t="s">
        <v>202</v>
      </c>
      <c r="C83" s="1"/>
      <c r="D83" s="201">
        <f>BalanceSheet!F43</f>
        <v>30.68</v>
      </c>
      <c r="E83" s="201">
        <f>BalanceSheet!G43</f>
        <v>64.790000000000006</v>
      </c>
      <c r="F83" s="201">
        <f>BalanceSheet!H43</f>
        <v>116.79</v>
      </c>
      <c r="G83" s="201">
        <f>BalanceSheet!I43</f>
        <v>113.11</v>
      </c>
      <c r="H83" s="201">
        <f>BalanceSheet!J43</f>
        <v>148.155</v>
      </c>
      <c r="I83" s="312">
        <f>H83</f>
        <v>148.155</v>
      </c>
      <c r="J83" s="312">
        <f>I83</f>
        <v>148.155</v>
      </c>
      <c r="K83" s="312">
        <f t="shared" ref="K83:M83" si="72">J83</f>
        <v>148.155</v>
      </c>
      <c r="L83" s="312">
        <f t="shared" si="72"/>
        <v>148.155</v>
      </c>
      <c r="M83" s="312">
        <f t="shared" si="72"/>
        <v>148.155</v>
      </c>
      <c r="N83" s="312">
        <f>M83</f>
        <v>148.155</v>
      </c>
      <c r="O83" s="312">
        <f t="shared" ref="O83" si="73">N83</f>
        <v>148.155</v>
      </c>
      <c r="P83" s="312">
        <f t="shared" ref="P83" si="74">O83</f>
        <v>148.155</v>
      </c>
      <c r="Q83" s="312">
        <f t="shared" ref="Q83" si="75">P83</f>
        <v>148.155</v>
      </c>
      <c r="R83" s="312">
        <f t="shared" ref="R83" si="76">Q83</f>
        <v>148.155</v>
      </c>
    </row>
    <row r="84" spans="2:18">
      <c r="B84" s="88" t="s">
        <v>90</v>
      </c>
      <c r="C84" s="88"/>
      <c r="D84" s="310">
        <f>SUM(D82:D83)</f>
        <v>3359.1</v>
      </c>
      <c r="E84" s="310">
        <f t="shared" ref="E84:H84" si="77">SUM(E82:E83)</f>
        <v>3588.79</v>
      </c>
      <c r="F84" s="310">
        <f t="shared" si="77"/>
        <v>4196.7</v>
      </c>
      <c r="G84" s="310">
        <f t="shared" si="77"/>
        <v>5215.49</v>
      </c>
      <c r="H84" s="310">
        <f t="shared" si="77"/>
        <v>7084.6529999999993</v>
      </c>
      <c r="I84" s="88">
        <f t="shared" ref="I84:M84" si="78">SUM(I82:I83)</f>
        <v>9069.1685824170545</v>
      </c>
      <c r="J84" s="88">
        <f t="shared" si="78"/>
        <v>11383.45782941666</v>
      </c>
      <c r="K84" s="88">
        <f t="shared" si="78"/>
        <v>13808.751007980229</v>
      </c>
      <c r="L84" s="88">
        <f t="shared" si="78"/>
        <v>15901.444854786574</v>
      </c>
      <c r="M84" s="88">
        <f t="shared" si="78"/>
        <v>17537.616579483358</v>
      </c>
      <c r="N84" s="88">
        <f t="shared" ref="N84:R84" si="79">SUM(N82:N83)</f>
        <v>19208.95615105797</v>
      </c>
      <c r="O84" s="88">
        <f t="shared" si="79"/>
        <v>21097.280177805955</v>
      </c>
      <c r="P84" s="88">
        <f t="shared" si="79"/>
        <v>22987.66933417699</v>
      </c>
      <c r="Q84" s="88">
        <f t="shared" si="79"/>
        <v>24844.775795174046</v>
      </c>
      <c r="R84" s="88">
        <f t="shared" si="79"/>
        <v>26627.486601608867</v>
      </c>
    </row>
    <row r="85" spans="2:18">
      <c r="B85" s="1"/>
      <c r="C85" s="1"/>
      <c r="D85" s="1"/>
      <c r="E85" s="92"/>
      <c r="F85" s="95"/>
      <c r="G85" s="95"/>
      <c r="H85" s="95"/>
      <c r="I85" s="95"/>
      <c r="J85" s="95"/>
      <c r="K85" s="95"/>
      <c r="L85" s="95"/>
      <c r="M85" s="95"/>
      <c r="N85" s="95"/>
      <c r="O85" s="95"/>
      <c r="P85" s="95"/>
      <c r="Q85" s="95"/>
      <c r="R85" s="95"/>
    </row>
    <row r="86" spans="2:18">
      <c r="B86" s="278" t="s">
        <v>494</v>
      </c>
      <c r="C86" s="1"/>
      <c r="D86" s="1"/>
      <c r="E86" s="92"/>
      <c r="F86" s="95"/>
      <c r="G86" s="95"/>
      <c r="H86" s="95"/>
      <c r="I86" s="95"/>
      <c r="J86" s="95"/>
      <c r="K86" s="95"/>
      <c r="L86" s="95"/>
      <c r="M86" s="95"/>
      <c r="N86" s="95"/>
      <c r="O86" s="95"/>
      <c r="P86" s="95"/>
      <c r="Q86" s="95"/>
      <c r="R86" s="95"/>
    </row>
    <row r="87" spans="2:18">
      <c r="B87" s="79" t="s">
        <v>204</v>
      </c>
      <c r="C87" s="1"/>
      <c r="D87" s="201">
        <f>BalanceSheet!F47</f>
        <v>2355.38</v>
      </c>
      <c r="E87" s="201">
        <f>BalanceSheet!G47</f>
        <v>1979.62</v>
      </c>
      <c r="F87" s="201">
        <f>BalanceSheet!H47</f>
        <v>1813.33</v>
      </c>
      <c r="G87" s="201">
        <f>BalanceSheet!I47</f>
        <v>1727.02</v>
      </c>
      <c r="H87" s="201">
        <f>BalanceSheet!J47</f>
        <v>3188.9380000000001</v>
      </c>
      <c r="I87" s="201">
        <f>Schedules!I215</f>
        <v>3986.1725000000001</v>
      </c>
      <c r="J87" s="201">
        <f>Schedules!J215</f>
        <v>3188.9380000000001</v>
      </c>
      <c r="K87" s="201">
        <f>Schedules!K215</f>
        <v>2710.5972999999999</v>
      </c>
      <c r="L87" s="201">
        <f>Schedules!L215</f>
        <v>2575.0674349999999</v>
      </c>
      <c r="M87" s="201">
        <f>Schedules!M215</f>
        <v>2575.0674349999999</v>
      </c>
      <c r="N87" s="201">
        <f>Schedules!N215</f>
        <v>2317.5606914999998</v>
      </c>
      <c r="O87" s="201">
        <f>Schedules!O215</f>
        <v>1969.9265877749999</v>
      </c>
      <c r="P87" s="201">
        <f>Schedules!P215</f>
        <v>1575.94127022</v>
      </c>
      <c r="Q87" s="201">
        <f>Schedules!Q215</f>
        <v>1591.7006829222</v>
      </c>
      <c r="R87" s="201">
        <f>Schedules!R215</f>
        <v>1607.6176897514219</v>
      </c>
    </row>
    <row r="88" spans="2:18">
      <c r="B88" s="79" t="s">
        <v>205</v>
      </c>
      <c r="C88" s="1"/>
      <c r="D88" s="201">
        <f>BalanceSheet!F48</f>
        <v>0</v>
      </c>
      <c r="E88" s="201">
        <f>BalanceSheet!G48</f>
        <v>0</v>
      </c>
      <c r="F88" s="201">
        <f>BalanceSheet!H48</f>
        <v>31.3</v>
      </c>
      <c r="G88" s="201">
        <f>BalanceSheet!I48</f>
        <v>165.42500000000001</v>
      </c>
      <c r="H88" s="201">
        <f>BalanceSheet!J48</f>
        <v>197.88499999999999</v>
      </c>
      <c r="I88" s="312">
        <f>H88</f>
        <v>197.88499999999999</v>
      </c>
      <c r="J88" s="312">
        <f>I88</f>
        <v>197.88499999999999</v>
      </c>
      <c r="K88" s="312">
        <f t="shared" ref="K88:M88" si="80">J88</f>
        <v>197.88499999999999</v>
      </c>
      <c r="L88" s="312">
        <f t="shared" si="80"/>
        <v>197.88499999999999</v>
      </c>
      <c r="M88" s="312">
        <f t="shared" si="80"/>
        <v>197.88499999999999</v>
      </c>
      <c r="N88" s="312">
        <f>M88</f>
        <v>197.88499999999999</v>
      </c>
      <c r="O88" s="312">
        <f t="shared" ref="O88:O92" si="81">N88</f>
        <v>197.88499999999999</v>
      </c>
      <c r="P88" s="312">
        <f t="shared" ref="P88:P92" si="82">O88</f>
        <v>197.88499999999999</v>
      </c>
      <c r="Q88" s="312">
        <f t="shared" ref="Q88:Q92" si="83">P88</f>
        <v>197.88499999999999</v>
      </c>
      <c r="R88" s="312">
        <f t="shared" ref="R88:R92" si="84">Q88</f>
        <v>197.88499999999999</v>
      </c>
    </row>
    <row r="89" spans="2:18">
      <c r="B89" s="79" t="s">
        <v>206</v>
      </c>
      <c r="C89" s="1"/>
      <c r="D89" s="201">
        <f>BalanceSheet!F49</f>
        <v>0</v>
      </c>
      <c r="E89" s="201">
        <f>BalanceSheet!G49</f>
        <v>24.44</v>
      </c>
      <c r="F89" s="201">
        <f>BalanceSheet!H49</f>
        <v>0</v>
      </c>
      <c r="G89" s="201">
        <f>BalanceSheet!I49</f>
        <v>0</v>
      </c>
      <c r="H89" s="201">
        <f>BalanceSheet!J49</f>
        <v>0</v>
      </c>
      <c r="I89" s="312">
        <f t="shared" ref="I89:M92" si="85">H89</f>
        <v>0</v>
      </c>
      <c r="J89" s="312">
        <f>I89</f>
        <v>0</v>
      </c>
      <c r="K89" s="312">
        <f t="shared" si="85"/>
        <v>0</v>
      </c>
      <c r="L89" s="312">
        <f t="shared" si="85"/>
        <v>0</v>
      </c>
      <c r="M89" s="312">
        <f t="shared" si="85"/>
        <v>0</v>
      </c>
      <c r="N89" s="312">
        <f>M89</f>
        <v>0</v>
      </c>
      <c r="O89" s="312">
        <f t="shared" si="81"/>
        <v>0</v>
      </c>
      <c r="P89" s="312">
        <f t="shared" si="82"/>
        <v>0</v>
      </c>
      <c r="Q89" s="312">
        <f t="shared" si="83"/>
        <v>0</v>
      </c>
      <c r="R89" s="312">
        <f t="shared" si="84"/>
        <v>0</v>
      </c>
    </row>
    <row r="90" spans="2:18">
      <c r="B90" s="79" t="s">
        <v>207</v>
      </c>
      <c r="C90" s="1"/>
      <c r="D90" s="201">
        <f>BalanceSheet!F50</f>
        <v>170.34</v>
      </c>
      <c r="E90" s="201">
        <f>BalanceSheet!G50</f>
        <v>203.91</v>
      </c>
      <c r="F90" s="201">
        <f>BalanceSheet!H50</f>
        <v>208.54</v>
      </c>
      <c r="G90" s="201">
        <f>BalanceSheet!I50</f>
        <v>204.11</v>
      </c>
      <c r="H90" s="201">
        <f>BalanceSheet!J50</f>
        <v>212.64400000000001</v>
      </c>
      <c r="I90" s="312">
        <f t="shared" si="85"/>
        <v>212.64400000000001</v>
      </c>
      <c r="J90" s="312">
        <f>I90</f>
        <v>212.64400000000001</v>
      </c>
      <c r="K90" s="312">
        <f t="shared" si="85"/>
        <v>212.64400000000001</v>
      </c>
      <c r="L90" s="312">
        <f t="shared" si="85"/>
        <v>212.64400000000001</v>
      </c>
      <c r="M90" s="312">
        <f t="shared" si="85"/>
        <v>212.64400000000001</v>
      </c>
      <c r="N90" s="312">
        <f>M90</f>
        <v>212.64400000000001</v>
      </c>
      <c r="O90" s="312">
        <f t="shared" si="81"/>
        <v>212.64400000000001</v>
      </c>
      <c r="P90" s="312">
        <f t="shared" si="82"/>
        <v>212.64400000000001</v>
      </c>
      <c r="Q90" s="312">
        <f t="shared" si="83"/>
        <v>212.64400000000001</v>
      </c>
      <c r="R90" s="312">
        <f t="shared" si="84"/>
        <v>212.64400000000001</v>
      </c>
    </row>
    <row r="91" spans="2:18">
      <c r="B91" s="79" t="s">
        <v>208</v>
      </c>
      <c r="C91" s="1"/>
      <c r="D91" s="201">
        <f>BalanceSheet!F51</f>
        <v>282.51</v>
      </c>
      <c r="E91" s="201">
        <f>BalanceSheet!G51</f>
        <v>225.94</v>
      </c>
      <c r="F91" s="201">
        <f>BalanceSheet!H51</f>
        <v>311.14</v>
      </c>
      <c r="G91" s="201">
        <f>BalanceSheet!I51</f>
        <v>336.85</v>
      </c>
      <c r="H91" s="201">
        <f>BalanceSheet!J51</f>
        <v>343.01100000000002</v>
      </c>
      <c r="I91" s="312">
        <f t="shared" si="85"/>
        <v>343.01100000000002</v>
      </c>
      <c r="J91" s="312">
        <f>I91</f>
        <v>343.01100000000002</v>
      </c>
      <c r="K91" s="312">
        <f t="shared" si="85"/>
        <v>343.01100000000002</v>
      </c>
      <c r="L91" s="312">
        <f t="shared" si="85"/>
        <v>343.01100000000002</v>
      </c>
      <c r="M91" s="312">
        <f t="shared" si="85"/>
        <v>343.01100000000002</v>
      </c>
      <c r="N91" s="312">
        <f>M91</f>
        <v>343.01100000000002</v>
      </c>
      <c r="O91" s="312">
        <f t="shared" si="81"/>
        <v>343.01100000000002</v>
      </c>
      <c r="P91" s="312">
        <f t="shared" si="82"/>
        <v>343.01100000000002</v>
      </c>
      <c r="Q91" s="312">
        <f t="shared" si="83"/>
        <v>343.01100000000002</v>
      </c>
      <c r="R91" s="312">
        <f t="shared" si="84"/>
        <v>343.01100000000002</v>
      </c>
    </row>
    <row r="92" spans="2:18">
      <c r="B92" s="79" t="s">
        <v>209</v>
      </c>
      <c r="C92" s="1"/>
      <c r="D92" s="201">
        <f>BalanceSheet!F52</f>
        <v>0.82</v>
      </c>
      <c r="E92" s="201">
        <f>BalanceSheet!G52</f>
        <v>0.73</v>
      </c>
      <c r="F92" s="201">
        <f>BalanceSheet!H52</f>
        <v>0.67</v>
      </c>
      <c r="G92" s="201">
        <f>BalanceSheet!I52</f>
        <v>0.59</v>
      </c>
      <c r="H92" s="201">
        <f>BalanceSheet!J52</f>
        <v>6.84</v>
      </c>
      <c r="I92" s="312">
        <f t="shared" si="85"/>
        <v>6.84</v>
      </c>
      <c r="J92" s="312">
        <f>I92</f>
        <v>6.84</v>
      </c>
      <c r="K92" s="312">
        <f t="shared" si="85"/>
        <v>6.84</v>
      </c>
      <c r="L92" s="312">
        <f t="shared" si="85"/>
        <v>6.84</v>
      </c>
      <c r="M92" s="312">
        <f t="shared" si="85"/>
        <v>6.84</v>
      </c>
      <c r="N92" s="312">
        <f>M92</f>
        <v>6.84</v>
      </c>
      <c r="O92" s="312">
        <f t="shared" si="81"/>
        <v>6.84</v>
      </c>
      <c r="P92" s="312">
        <f t="shared" si="82"/>
        <v>6.84</v>
      </c>
      <c r="Q92" s="312">
        <f t="shared" si="83"/>
        <v>6.84</v>
      </c>
      <c r="R92" s="312">
        <f t="shared" si="84"/>
        <v>6.84</v>
      </c>
    </row>
    <row r="93" spans="2:18">
      <c r="B93" s="88" t="s">
        <v>210</v>
      </c>
      <c r="C93" s="88"/>
      <c r="D93" s="88">
        <f>SUM(D87:D92)</f>
        <v>2809.0500000000006</v>
      </c>
      <c r="E93" s="88">
        <f t="shared" ref="E93:M93" si="86">SUM(E87:E92)</f>
        <v>2434.64</v>
      </c>
      <c r="F93" s="88">
        <f t="shared" si="86"/>
        <v>2364.98</v>
      </c>
      <c r="G93" s="88">
        <f t="shared" si="86"/>
        <v>2433.9949999999999</v>
      </c>
      <c r="H93" s="88">
        <f t="shared" si="86"/>
        <v>3949.3180000000007</v>
      </c>
      <c r="I93" s="88">
        <f t="shared" si="86"/>
        <v>4746.5525000000007</v>
      </c>
      <c r="J93" s="88">
        <f t="shared" si="86"/>
        <v>3949.3180000000007</v>
      </c>
      <c r="K93" s="88">
        <f t="shared" si="86"/>
        <v>3470.9773</v>
      </c>
      <c r="L93" s="88">
        <f t="shared" si="86"/>
        <v>3335.4474350000005</v>
      </c>
      <c r="M93" s="88">
        <f t="shared" si="86"/>
        <v>3335.4474350000005</v>
      </c>
      <c r="N93" s="88">
        <f t="shared" ref="N93:R93" si="87">SUM(N87:N92)</f>
        <v>3077.9406915000004</v>
      </c>
      <c r="O93" s="88">
        <f t="shared" si="87"/>
        <v>2730.306587775</v>
      </c>
      <c r="P93" s="88">
        <f t="shared" si="87"/>
        <v>2336.3212702200003</v>
      </c>
      <c r="Q93" s="88">
        <f t="shared" si="87"/>
        <v>2352.0806829222001</v>
      </c>
      <c r="R93" s="88">
        <f t="shared" si="87"/>
        <v>2367.9976897514221</v>
      </c>
    </row>
    <row r="94" spans="2:18">
      <c r="B94" s="1"/>
      <c r="C94" s="1"/>
      <c r="D94" s="1"/>
      <c r="E94" s="92"/>
      <c r="F94" s="95"/>
      <c r="G94" s="95"/>
      <c r="H94" s="95"/>
      <c r="I94" s="95"/>
      <c r="J94" s="95"/>
      <c r="K94" s="95"/>
      <c r="L94" s="95"/>
      <c r="M94" s="95"/>
      <c r="N94" s="95"/>
      <c r="O94" s="95"/>
      <c r="P94" s="95"/>
      <c r="Q94" s="95"/>
      <c r="R94" s="95"/>
    </row>
    <row r="95" spans="2:18">
      <c r="B95" s="278" t="s">
        <v>84</v>
      </c>
      <c r="C95" s="1"/>
      <c r="D95" s="1"/>
      <c r="E95" s="92"/>
      <c r="F95" s="95"/>
      <c r="G95" s="95"/>
      <c r="H95" s="95"/>
      <c r="I95" s="95"/>
      <c r="J95" s="95"/>
      <c r="K95" s="95"/>
      <c r="L95" s="95"/>
      <c r="M95" s="95"/>
      <c r="N95" s="95"/>
      <c r="O95" s="95"/>
      <c r="P95" s="95"/>
      <c r="Q95" s="95"/>
      <c r="R95" s="95"/>
    </row>
    <row r="96" spans="2:18">
      <c r="B96" s="79" t="s">
        <v>212</v>
      </c>
      <c r="C96" s="1"/>
      <c r="D96" s="201">
        <f>BalanceSheet!F56</f>
        <v>477.66</v>
      </c>
      <c r="E96" s="201">
        <f>BalanceSheet!G56</f>
        <v>511.39</v>
      </c>
      <c r="F96" s="201">
        <f>BalanceSheet!H56</f>
        <v>711.75</v>
      </c>
      <c r="G96" s="201">
        <f>BalanceSheet!I56</f>
        <v>824.26</v>
      </c>
      <c r="H96" s="201">
        <f>BalanceSheet!J56</f>
        <v>758.24800000000005</v>
      </c>
      <c r="I96" s="201">
        <f>Schedules!I166</f>
        <v>988.92622602739721</v>
      </c>
      <c r="J96" s="201">
        <f>Schedules!J166</f>
        <v>1240.8071093052226</v>
      </c>
      <c r="K96" s="201">
        <f>Schedules!K166</f>
        <v>1513.9518980301755</v>
      </c>
      <c r="L96" s="201">
        <f>Schedules!L166</f>
        <v>1795.0733456925454</v>
      </c>
      <c r="M96" s="201">
        <f>Schedules!M166</f>
        <v>2066.7551843739516</v>
      </c>
      <c r="N96" s="201">
        <f>Schedules!N166</f>
        <v>2314.7658064988264</v>
      </c>
      <c r="O96" s="201">
        <f>Schedules!O166</f>
        <v>2592.5377032786855</v>
      </c>
      <c r="P96" s="201">
        <f>Schedules!P166</f>
        <v>2903.6422276721282</v>
      </c>
      <c r="Q96" s="201">
        <f>Schedules!Q166</f>
        <v>3252.0792949927841</v>
      </c>
      <c r="R96" s="201">
        <f>Schedules!R166</f>
        <v>3642.3288103919185</v>
      </c>
    </row>
    <row r="97" spans="2:18">
      <c r="B97" s="79" t="s">
        <v>214</v>
      </c>
      <c r="C97" s="1"/>
      <c r="D97" s="201">
        <f>BalanceSheet!F58</f>
        <v>467.15</v>
      </c>
      <c r="E97" s="201">
        <f>BalanceSheet!G58</f>
        <v>713.86</v>
      </c>
      <c r="F97" s="201">
        <f>BalanceSheet!H58</f>
        <v>1528.57</v>
      </c>
      <c r="G97" s="201">
        <f>BalanceSheet!I58</f>
        <v>1967.79</v>
      </c>
      <c r="H97" s="201">
        <f>BalanceSheet!J58</f>
        <v>2005.4490000000001</v>
      </c>
      <c r="I97" s="201">
        <f>Schedules!I171</f>
        <v>2406.38715</v>
      </c>
      <c r="J97" s="201">
        <f>Schedules!J171</f>
        <v>2075.2582515468753</v>
      </c>
      <c r="K97" s="201">
        <f>Schedules!K171</f>
        <v>1735.8924904115624</v>
      </c>
      <c r="L97" s="201">
        <f>Schedules!L171</f>
        <v>1333.7440634662173</v>
      </c>
      <c r="M97" s="201">
        <f>Schedules!M171</f>
        <v>746.89667554108166</v>
      </c>
      <c r="N97" s="201">
        <f>Schedules!N171</f>
        <v>418.26213830300577</v>
      </c>
      <c r="O97" s="201">
        <f>Schedules!O171</f>
        <v>468.45359489936652</v>
      </c>
      <c r="P97" s="201">
        <f>Schedules!P171</f>
        <v>524.66802628729056</v>
      </c>
      <c r="Q97" s="201">
        <f>Schedules!Q171</f>
        <v>587.62818944176547</v>
      </c>
      <c r="R97" s="201">
        <f>Schedules!R171</f>
        <v>658.14357217477743</v>
      </c>
    </row>
    <row r="98" spans="2:18">
      <c r="B98" s="79" t="s">
        <v>205</v>
      </c>
      <c r="C98" s="1"/>
      <c r="D98" s="201">
        <f>BalanceSheet!F59</f>
        <v>0</v>
      </c>
      <c r="E98" s="201">
        <f>BalanceSheet!G59</f>
        <v>0</v>
      </c>
      <c r="F98" s="201">
        <f>BalanceSheet!H59</f>
        <v>13.6</v>
      </c>
      <c r="G98" s="201">
        <f>BalanceSheet!I59</f>
        <v>23.577000000000002</v>
      </c>
      <c r="H98" s="201">
        <f>BalanceSheet!J59</f>
        <v>39.037999999999997</v>
      </c>
      <c r="I98" s="201">
        <f>Schedules!I175</f>
        <v>39.037999999999997</v>
      </c>
      <c r="J98" s="201">
        <f>Schedules!J175</f>
        <v>39.037999999999997</v>
      </c>
      <c r="K98" s="201">
        <f>Schedules!K175</f>
        <v>39.037999999999997</v>
      </c>
      <c r="L98" s="201">
        <f>Schedules!L175</f>
        <v>39.037999999999997</v>
      </c>
      <c r="M98" s="201">
        <f>Schedules!M175</f>
        <v>39.037999999999997</v>
      </c>
      <c r="N98" s="201">
        <f>Schedules!N175</f>
        <v>39.037999999999997</v>
      </c>
      <c r="O98" s="201">
        <f>Schedules!O175</f>
        <v>39.037999999999997</v>
      </c>
      <c r="P98" s="201">
        <f>Schedules!P175</f>
        <v>39.037999999999997</v>
      </c>
      <c r="Q98" s="201">
        <f>Schedules!Q175</f>
        <v>39.037999999999997</v>
      </c>
      <c r="R98" s="201">
        <f>Schedules!R175</f>
        <v>39.037999999999997</v>
      </c>
    </row>
    <row r="99" spans="2:18">
      <c r="B99" s="79" t="s">
        <v>215</v>
      </c>
      <c r="C99" s="1"/>
      <c r="D99" s="201">
        <f>BalanceSheet!F60</f>
        <v>1025.81</v>
      </c>
      <c r="E99" s="201">
        <f>BalanceSheet!G60</f>
        <v>854.35</v>
      </c>
      <c r="F99" s="201">
        <f>BalanceSheet!H60</f>
        <v>392.97</v>
      </c>
      <c r="G99" s="201">
        <f>BalanceSheet!I60</f>
        <v>559.39</v>
      </c>
      <c r="H99" s="201">
        <f>BalanceSheet!J60</f>
        <v>763.83900000000006</v>
      </c>
      <c r="I99" s="201">
        <f>Schedules!I179</f>
        <v>763.83900000000006</v>
      </c>
      <c r="J99" s="201">
        <f>Schedules!J179</f>
        <v>763.83900000000006</v>
      </c>
      <c r="K99" s="201">
        <f>Schedules!K179</f>
        <v>763.83900000000006</v>
      </c>
      <c r="L99" s="201">
        <f>Schedules!L179</f>
        <v>763.83900000000006</v>
      </c>
      <c r="M99" s="201">
        <f>Schedules!M179</f>
        <v>763.83900000000006</v>
      </c>
      <c r="N99" s="201">
        <f>Schedules!N179</f>
        <v>763.83900000000006</v>
      </c>
      <c r="O99" s="201">
        <f>Schedules!O179</f>
        <v>763.83900000000006</v>
      </c>
      <c r="P99" s="201">
        <f>Schedules!P179</f>
        <v>763.83900000000006</v>
      </c>
      <c r="Q99" s="201">
        <f>Schedules!Q179</f>
        <v>763.83900000000006</v>
      </c>
      <c r="R99" s="201">
        <f>Schedules!R179</f>
        <v>763.83900000000006</v>
      </c>
    </row>
    <row r="100" spans="2:18">
      <c r="B100" s="79" t="s">
        <v>216</v>
      </c>
      <c r="C100" s="1"/>
      <c r="D100" s="201">
        <f>BalanceSheet!F61</f>
        <v>15.2</v>
      </c>
      <c r="E100" s="201">
        <f>BalanceSheet!G61</f>
        <v>3.89</v>
      </c>
      <c r="F100" s="201">
        <f>BalanceSheet!H61</f>
        <v>13.94</v>
      </c>
      <c r="G100" s="201">
        <f>BalanceSheet!I61</f>
        <v>75.569999999999993</v>
      </c>
      <c r="H100" s="201">
        <f>BalanceSheet!J61</f>
        <v>39.002000000000002</v>
      </c>
      <c r="I100" s="201">
        <f>Schedules!H183</f>
        <v>39.002000000000002</v>
      </c>
      <c r="J100" s="201">
        <f>Schedules!I183</f>
        <v>39.002000000000002</v>
      </c>
      <c r="K100" s="201">
        <f>Schedules!J183</f>
        <v>39.002000000000002</v>
      </c>
      <c r="L100" s="201">
        <f>Schedules!K183</f>
        <v>39.002000000000002</v>
      </c>
      <c r="M100" s="201">
        <f>Schedules!L183</f>
        <v>39.002000000000002</v>
      </c>
      <c r="N100" s="201">
        <f>Schedules!M183</f>
        <v>39.002000000000002</v>
      </c>
      <c r="O100" s="201">
        <f>Schedules!N183</f>
        <v>39.002000000000002</v>
      </c>
      <c r="P100" s="201">
        <f>Schedules!O183</f>
        <v>39.002000000000002</v>
      </c>
      <c r="Q100" s="201">
        <f>Schedules!P183</f>
        <v>39.002000000000002</v>
      </c>
      <c r="R100" s="201">
        <f>Schedules!Q183</f>
        <v>39.002000000000002</v>
      </c>
    </row>
    <row r="101" spans="2:18">
      <c r="B101" s="79" t="s">
        <v>217</v>
      </c>
      <c r="C101" s="1"/>
      <c r="D101" s="201">
        <f>BalanceSheet!F62</f>
        <v>29.98</v>
      </c>
      <c r="E101" s="201">
        <f>BalanceSheet!G62</f>
        <v>33.17</v>
      </c>
      <c r="F101" s="201">
        <f>BalanceSheet!H62</f>
        <v>49.74</v>
      </c>
      <c r="G101" s="201">
        <f>BalanceSheet!I62</f>
        <v>29.19</v>
      </c>
      <c r="H101" s="201">
        <f>BalanceSheet!J62</f>
        <v>82.543000000000006</v>
      </c>
      <c r="I101" s="201">
        <f>Schedules!I187</f>
        <v>82.543000000000006</v>
      </c>
      <c r="J101" s="201">
        <f>Schedules!J187</f>
        <v>82.543000000000006</v>
      </c>
      <c r="K101" s="201">
        <f>Schedules!K187</f>
        <v>82.543000000000006</v>
      </c>
      <c r="L101" s="201">
        <f>Schedules!L187</f>
        <v>82.543000000000006</v>
      </c>
      <c r="M101" s="201">
        <f>Schedules!M187</f>
        <v>82.543000000000006</v>
      </c>
      <c r="N101" s="201">
        <f>Schedules!N187</f>
        <v>82.543000000000006</v>
      </c>
      <c r="O101" s="201">
        <f>Schedules!O187</f>
        <v>82.543000000000006</v>
      </c>
      <c r="P101" s="201">
        <f>Schedules!P187</f>
        <v>82.543000000000006</v>
      </c>
      <c r="Q101" s="201">
        <f>Schedules!Q187</f>
        <v>82.543000000000006</v>
      </c>
      <c r="R101" s="201">
        <f>Schedules!R187</f>
        <v>82.543000000000006</v>
      </c>
    </row>
    <row r="102" spans="2:18">
      <c r="B102" s="79" t="s">
        <v>213</v>
      </c>
      <c r="C102" s="1"/>
      <c r="D102" s="201">
        <f>BalanceSheet!F63</f>
        <v>204.49</v>
      </c>
      <c r="E102" s="201">
        <f>BalanceSheet!G63</f>
        <v>318.29000000000002</v>
      </c>
      <c r="F102" s="201">
        <f>BalanceSheet!H63</f>
        <v>309.68</v>
      </c>
      <c r="G102" s="201">
        <f>BalanceSheet!I63</f>
        <v>488.98</v>
      </c>
      <c r="H102" s="201">
        <f>BalanceSheet!J63</f>
        <v>465.09300000000002</v>
      </c>
      <c r="I102" s="201">
        <f>Schedules!I191</f>
        <v>465.09300000000002</v>
      </c>
      <c r="J102" s="201">
        <f>Schedules!J191</f>
        <v>465.09300000000002</v>
      </c>
      <c r="K102" s="201">
        <f>Schedules!K191</f>
        <v>465.09300000000002</v>
      </c>
      <c r="L102" s="201">
        <f>Schedules!L191</f>
        <v>465.09300000000002</v>
      </c>
      <c r="M102" s="201">
        <f>Schedules!M191</f>
        <v>465.09300000000002</v>
      </c>
      <c r="N102" s="201">
        <f>Schedules!N191</f>
        <v>465.09300000000002</v>
      </c>
      <c r="O102" s="201">
        <f>Schedules!O191</f>
        <v>465.09300000000002</v>
      </c>
      <c r="P102" s="201">
        <f>Schedules!P191</f>
        <v>465.09300000000002</v>
      </c>
      <c r="Q102" s="201">
        <f>Schedules!Q191</f>
        <v>465.09300000000002</v>
      </c>
      <c r="R102" s="201">
        <f>Schedules!R191</f>
        <v>465.09300000000002</v>
      </c>
    </row>
    <row r="103" spans="2:18">
      <c r="B103" s="88" t="s">
        <v>15</v>
      </c>
      <c r="C103" s="88"/>
      <c r="D103" s="88">
        <f>SUM(D96:D102)</f>
        <v>2220.29</v>
      </c>
      <c r="E103" s="88">
        <f t="shared" ref="E103:M103" si="88">SUM(E96:E102)</f>
        <v>2434.9499999999998</v>
      </c>
      <c r="F103" s="88">
        <f t="shared" si="88"/>
        <v>3020.2499999999991</v>
      </c>
      <c r="G103" s="88">
        <f t="shared" si="88"/>
        <v>3968.7570000000005</v>
      </c>
      <c r="H103" s="88">
        <f t="shared" si="88"/>
        <v>4153.2120000000004</v>
      </c>
      <c r="I103" s="88">
        <f t="shared" si="88"/>
        <v>4784.8283760273971</v>
      </c>
      <c r="J103" s="88">
        <f t="shared" si="88"/>
        <v>4705.5803608520982</v>
      </c>
      <c r="K103" s="88">
        <f t="shared" si="88"/>
        <v>4639.3593884417378</v>
      </c>
      <c r="L103" s="88">
        <f t="shared" si="88"/>
        <v>4518.3324091587629</v>
      </c>
      <c r="M103" s="88">
        <f t="shared" si="88"/>
        <v>4203.1668599150335</v>
      </c>
      <c r="N103" s="88">
        <f t="shared" ref="N103:R103" si="89">SUM(N96:N102)</f>
        <v>4122.5429448018322</v>
      </c>
      <c r="O103" s="88">
        <f t="shared" si="89"/>
        <v>4450.506298178052</v>
      </c>
      <c r="P103" s="88">
        <f t="shared" si="89"/>
        <v>4817.8252539594187</v>
      </c>
      <c r="Q103" s="88">
        <f t="shared" si="89"/>
        <v>5229.2224844345501</v>
      </c>
      <c r="R103" s="88">
        <f t="shared" si="89"/>
        <v>5689.9873825666955</v>
      </c>
    </row>
    <row r="104" spans="2:18">
      <c r="B104" s="1"/>
      <c r="C104" s="1"/>
      <c r="D104" s="1"/>
      <c r="E104" s="92"/>
      <c r="F104" s="95"/>
      <c r="G104" s="95"/>
      <c r="H104" s="95"/>
      <c r="I104" s="95"/>
      <c r="J104" s="95"/>
      <c r="K104" s="95"/>
      <c r="L104" s="95"/>
      <c r="M104" s="95"/>
      <c r="N104" s="95"/>
      <c r="O104" s="95"/>
      <c r="P104" s="95"/>
      <c r="Q104" s="95"/>
      <c r="R104" s="95"/>
    </row>
    <row r="105" spans="2:18" ht="15" thickBot="1">
      <c r="B105" s="93" t="s">
        <v>495</v>
      </c>
      <c r="C105" s="93"/>
      <c r="D105" s="510">
        <f>D103+D93+D84</f>
        <v>8388.44</v>
      </c>
      <c r="E105" s="510">
        <f t="shared" ref="E105:M105" si="90">E103+E93+E84</f>
        <v>8458.380000000001</v>
      </c>
      <c r="F105" s="510">
        <f t="shared" si="90"/>
        <v>9581.93</v>
      </c>
      <c r="G105" s="510">
        <f t="shared" si="90"/>
        <v>11618.242</v>
      </c>
      <c r="H105" s="510">
        <f t="shared" si="90"/>
        <v>15187.183000000001</v>
      </c>
      <c r="I105" s="510">
        <f t="shared" si="90"/>
        <v>18600.549458444453</v>
      </c>
      <c r="J105" s="510">
        <f t="shared" si="90"/>
        <v>20038.356190268758</v>
      </c>
      <c r="K105" s="510">
        <f t="shared" si="90"/>
        <v>21919.087696421964</v>
      </c>
      <c r="L105" s="510">
        <f t="shared" si="90"/>
        <v>23755.224698945338</v>
      </c>
      <c r="M105" s="510">
        <f t="shared" si="90"/>
        <v>25076.230874398392</v>
      </c>
      <c r="N105" s="510">
        <f t="shared" ref="N105:R105" si="91">N103+N93+N84</f>
        <v>26409.439787359803</v>
      </c>
      <c r="O105" s="510">
        <f t="shared" si="91"/>
        <v>28278.093063759006</v>
      </c>
      <c r="P105" s="510">
        <f t="shared" si="91"/>
        <v>30141.815858356407</v>
      </c>
      <c r="Q105" s="510">
        <f t="shared" si="91"/>
        <v>32426.078962530795</v>
      </c>
      <c r="R105" s="510">
        <f t="shared" si="91"/>
        <v>34685.471673926986</v>
      </c>
    </row>
    <row r="106" spans="2:18">
      <c r="B106" s="1"/>
      <c r="C106" s="1"/>
      <c r="D106" s="1"/>
      <c r="E106" s="92"/>
      <c r="F106" s="95"/>
      <c r="G106" s="95"/>
      <c r="H106" s="95"/>
      <c r="I106" s="95"/>
      <c r="J106" s="95"/>
      <c r="K106" s="95"/>
      <c r="L106" s="95"/>
      <c r="M106" s="95"/>
      <c r="N106" s="95"/>
      <c r="O106" s="95"/>
      <c r="P106" s="95"/>
      <c r="Q106" s="95"/>
      <c r="R106" s="95"/>
    </row>
    <row r="107" spans="2:18">
      <c r="B107" t="s">
        <v>67</v>
      </c>
      <c r="D107" s="218">
        <f>D75-D105</f>
        <v>-0.21000000000276486</v>
      </c>
      <c r="E107" s="218">
        <f t="shared" ref="E107:M107" si="92">E75-E105</f>
        <v>-0.26000000000203727</v>
      </c>
      <c r="F107" s="218">
        <f t="shared" si="92"/>
        <v>-0.35099999999874854</v>
      </c>
      <c r="G107" s="218">
        <f t="shared" si="92"/>
        <v>-0.33899999999994179</v>
      </c>
      <c r="H107" s="218">
        <f t="shared" si="92"/>
        <v>-0.37500000000181899</v>
      </c>
      <c r="I107" s="218">
        <f t="shared" si="92"/>
        <v>-0.375</v>
      </c>
      <c r="J107" s="218">
        <f t="shared" si="92"/>
        <v>-0.375</v>
      </c>
      <c r="K107" s="218">
        <f t="shared" si="92"/>
        <v>-0.37499999999636202</v>
      </c>
      <c r="L107" s="218">
        <f t="shared" si="92"/>
        <v>-0.375</v>
      </c>
      <c r="M107" s="218">
        <f t="shared" si="92"/>
        <v>-0.375</v>
      </c>
      <c r="N107" s="218">
        <f t="shared" ref="N107:R107" si="93">N75-N105</f>
        <v>-0.37500000000363798</v>
      </c>
      <c r="O107" s="218">
        <f t="shared" si="93"/>
        <v>-0.375</v>
      </c>
      <c r="P107" s="218">
        <f t="shared" si="93"/>
        <v>-0.375</v>
      </c>
      <c r="Q107" s="218">
        <f t="shared" si="93"/>
        <v>-0.37499999999636202</v>
      </c>
      <c r="R107" s="218">
        <f t="shared" si="93"/>
        <v>-0.375</v>
      </c>
    </row>
    <row r="108" spans="2:18">
      <c r="H108" s="47"/>
    </row>
    <row r="109" spans="2:18">
      <c r="B109" s="52" t="s">
        <v>68</v>
      </c>
      <c r="C109" s="52"/>
      <c r="D109" s="509">
        <f>D73-D103</f>
        <v>-548.61000000000058</v>
      </c>
      <c r="E109" s="509">
        <f t="shared" ref="E109:M109" si="94">E73-E103</f>
        <v>-635.54</v>
      </c>
      <c r="F109" s="509">
        <f t="shared" si="94"/>
        <v>-474.43999999999778</v>
      </c>
      <c r="G109" s="509">
        <f t="shared" si="94"/>
        <v>-565.06700000000046</v>
      </c>
      <c r="H109" s="509">
        <f t="shared" si="94"/>
        <v>82.042999999998756</v>
      </c>
      <c r="I109" s="509">
        <f t="shared" si="94"/>
        <v>284.17712544532333</v>
      </c>
      <c r="J109" s="509">
        <f t="shared" si="94"/>
        <v>1463.0651000683101</v>
      </c>
      <c r="K109" s="509">
        <f t="shared" si="94"/>
        <v>2299.1771630494895</v>
      </c>
      <c r="L109" s="509">
        <f t="shared" si="94"/>
        <v>3434.797026386138</v>
      </c>
      <c r="M109" s="509">
        <f t="shared" si="94"/>
        <v>4687.2812492071926</v>
      </c>
      <c r="N109" s="509">
        <f t="shared" ref="N109:R109" si="95">N73-N103</f>
        <v>5685.4509310063486</v>
      </c>
      <c r="O109" s="509">
        <f t="shared" si="95"/>
        <v>6774.6649860261987</v>
      </c>
      <c r="P109" s="509">
        <f t="shared" si="95"/>
        <v>7779.4827085040915</v>
      </c>
      <c r="Q109" s="509">
        <f t="shared" si="95"/>
        <v>9115.838987729996</v>
      </c>
      <c r="R109" s="509">
        <f t="shared" si="95"/>
        <v>10327.642911009258</v>
      </c>
    </row>
    <row r="110" spans="2:18">
      <c r="B110" s="52" t="s">
        <v>47</v>
      </c>
      <c r="C110" s="52"/>
      <c r="D110" s="311">
        <f>Schedules!D157</f>
        <v>8.8342370798840886</v>
      </c>
      <c r="E110" s="311">
        <f>Schedules!E157</f>
        <v>11.723885062959873</v>
      </c>
      <c r="F110" s="311">
        <f>Schedules!F157</f>
        <v>9.5777425047289917</v>
      </c>
      <c r="G110" s="311">
        <f>Schedules!G157</f>
        <v>7.212226925395159</v>
      </c>
      <c r="H110" s="356">
        <f>Schedules!H157</f>
        <v>7.4936391158006304</v>
      </c>
      <c r="I110" s="311">
        <f>Schedules!I157</f>
        <v>9</v>
      </c>
      <c r="J110" s="311">
        <f>Schedules!J157</f>
        <v>9</v>
      </c>
      <c r="K110" s="311">
        <f>Schedules!K157</f>
        <v>9</v>
      </c>
      <c r="L110" s="311">
        <f>Schedules!L157</f>
        <v>9</v>
      </c>
      <c r="M110" s="311">
        <f>Schedules!M157</f>
        <v>9</v>
      </c>
      <c r="N110" s="311">
        <f>Schedules!N157</f>
        <v>9</v>
      </c>
      <c r="O110" s="311">
        <f>Schedules!O157</f>
        <v>9</v>
      </c>
      <c r="P110" s="311">
        <f>Schedules!P157</f>
        <v>9</v>
      </c>
      <c r="Q110" s="311">
        <f>Schedules!Q157</f>
        <v>9</v>
      </c>
      <c r="R110" s="311">
        <f>Schedules!R157</f>
        <v>9</v>
      </c>
    </row>
    <row r="111" spans="2:18">
      <c r="B111" s="52" t="s">
        <v>48</v>
      </c>
      <c r="C111" s="52"/>
      <c r="D111" s="311">
        <f>Schedules!D151</f>
        <v>22.564523436163139</v>
      </c>
      <c r="E111" s="311">
        <f>Schedules!E151</f>
        <v>51.220837842279387</v>
      </c>
      <c r="F111" s="311">
        <f>Schedules!F151</f>
        <v>49.163676454087664</v>
      </c>
      <c r="G111" s="311">
        <f>Schedules!G151</f>
        <v>47.685012836726855</v>
      </c>
      <c r="H111" s="356">
        <f>Schedules!H151</f>
        <v>47.146852336291765</v>
      </c>
      <c r="I111" s="311">
        <f>Schedules!I151</f>
        <v>52</v>
      </c>
      <c r="J111" s="311">
        <f>Schedules!J151</f>
        <v>52</v>
      </c>
      <c r="K111" s="311">
        <f>Schedules!K151</f>
        <v>47</v>
      </c>
      <c r="L111" s="311">
        <f>Schedules!L151</f>
        <v>47</v>
      </c>
      <c r="M111" s="311">
        <f>Schedules!M151</f>
        <v>47</v>
      </c>
      <c r="N111" s="311">
        <f>Schedules!N151</f>
        <v>47</v>
      </c>
      <c r="O111" s="311">
        <f>Schedules!O151</f>
        <v>47</v>
      </c>
      <c r="P111" s="311">
        <f>Schedules!P151</f>
        <v>47</v>
      </c>
      <c r="Q111" s="311">
        <f>Schedules!Q151</f>
        <v>47</v>
      </c>
      <c r="R111" s="311">
        <f>Schedules!R151</f>
        <v>47</v>
      </c>
    </row>
    <row r="112" spans="2:18">
      <c r="B112" s="52" t="s">
        <v>49</v>
      </c>
      <c r="C112" s="52"/>
      <c r="D112" s="311">
        <f>Schedules!D167</f>
        <v>54.154275756888651</v>
      </c>
      <c r="E112" s="311">
        <f>Schedules!E167</f>
        <v>67.533068735211316</v>
      </c>
      <c r="F112" s="311">
        <f>Schedules!F167</f>
        <v>64.389254608814625</v>
      </c>
      <c r="G112" s="311">
        <f>Schedules!G167</f>
        <v>48.051060907341302</v>
      </c>
      <c r="H112" s="356">
        <f>Schedules!H167</f>
        <v>37.375382315032994</v>
      </c>
      <c r="I112" s="311">
        <f>Schedules!I167</f>
        <v>40</v>
      </c>
      <c r="J112" s="311">
        <f>Schedules!J167</f>
        <v>40</v>
      </c>
      <c r="K112" s="311">
        <f>Schedules!K167</f>
        <v>40</v>
      </c>
      <c r="L112" s="311">
        <f>Schedules!L167</f>
        <v>40</v>
      </c>
      <c r="M112" s="311">
        <f>Schedules!M167</f>
        <v>40</v>
      </c>
      <c r="N112" s="311">
        <f>Schedules!N167</f>
        <v>40</v>
      </c>
      <c r="O112" s="311">
        <f>Schedules!O167</f>
        <v>40</v>
      </c>
      <c r="P112" s="311">
        <f>Schedules!P167</f>
        <v>40</v>
      </c>
      <c r="Q112" s="311">
        <f>Schedules!Q167</f>
        <v>40</v>
      </c>
      <c r="R112" s="311">
        <f>Schedules!R167</f>
        <v>40</v>
      </c>
    </row>
    <row r="113" spans="2:26">
      <c r="H113" s="47"/>
    </row>
    <row r="114" spans="2:26" ht="18">
      <c r="B114" s="10" t="s">
        <v>69</v>
      </c>
      <c r="C114" s="10"/>
      <c r="D114" s="10"/>
      <c r="E114" s="10"/>
      <c r="F114" s="10"/>
      <c r="G114" s="10"/>
      <c r="H114" s="357"/>
      <c r="I114" s="10"/>
      <c r="J114" s="10"/>
      <c r="K114" s="10"/>
      <c r="L114" s="10"/>
      <c r="M114" s="10"/>
      <c r="N114" s="10"/>
      <c r="O114" s="10"/>
      <c r="P114" s="10"/>
      <c r="Q114" s="10"/>
      <c r="R114" s="10"/>
    </row>
    <row r="115" spans="2:26">
      <c r="B115" s="11"/>
      <c r="C115" s="11"/>
      <c r="D115" s="11"/>
      <c r="H115" s="102"/>
      <c r="I115" s="31"/>
      <c r="J115" s="31"/>
      <c r="K115" s="31"/>
      <c r="L115" s="31"/>
      <c r="M115" s="31"/>
      <c r="N115" s="31"/>
      <c r="O115" s="31"/>
      <c r="P115" s="31"/>
      <c r="Q115" s="31"/>
      <c r="R115" s="31"/>
    </row>
    <row r="116" spans="2:26">
      <c r="B116" s="206" t="s">
        <v>545</v>
      </c>
      <c r="C116" s="40"/>
      <c r="D116" s="312">
        <f t="shared" ref="D116:M116" si="96">D39-D38</f>
        <v>691.72999999999979</v>
      </c>
      <c r="E116" s="312">
        <f t="shared" si="96"/>
        <v>362.23999999999984</v>
      </c>
      <c r="F116" s="312">
        <f t="shared" si="96"/>
        <v>1006.3100000000015</v>
      </c>
      <c r="G116" s="312">
        <f t="shared" si="96"/>
        <v>2023.29</v>
      </c>
      <c r="H116" s="312">
        <f t="shared" si="96"/>
        <v>2739.425999999999</v>
      </c>
      <c r="I116" s="312">
        <f t="shared" si="96"/>
        <v>3079.5435757277323</v>
      </c>
      <c r="J116" s="312">
        <f t="shared" si="96"/>
        <v>3589.5663040866989</v>
      </c>
      <c r="K116" s="312">
        <f t="shared" si="96"/>
        <v>3993.9360617611851</v>
      </c>
      <c r="L116" s="312">
        <f t="shared" si="96"/>
        <v>4237.1326574711538</v>
      </c>
      <c r="M116" s="312">
        <f t="shared" si="96"/>
        <v>4300.8832095629978</v>
      </c>
      <c r="N116" s="312">
        <f t="shared" ref="N116:R116" si="97">N39-N38</f>
        <v>4882.4068927261214</v>
      </c>
      <c r="O116" s="312">
        <f t="shared" si="97"/>
        <v>5516.9585541774668</v>
      </c>
      <c r="P116" s="312">
        <f t="shared" si="97"/>
        <v>6213.8525168555807</v>
      </c>
      <c r="Q116" s="312">
        <f t="shared" si="97"/>
        <v>6976.7532484151679</v>
      </c>
      <c r="R116" s="312">
        <f t="shared" si="97"/>
        <v>7813.4685443478529</v>
      </c>
    </row>
    <row r="117" spans="2:26">
      <c r="B117" s="40" t="s">
        <v>70</v>
      </c>
      <c r="C117" s="40"/>
      <c r="D117" s="312">
        <f t="shared" ref="D117:M117" si="98">D30</f>
        <v>488.63</v>
      </c>
      <c r="E117" s="312">
        <f t="shared" si="98"/>
        <v>528.70000000000005</v>
      </c>
      <c r="F117" s="312">
        <f t="shared" si="98"/>
        <v>531.26</v>
      </c>
      <c r="G117" s="312">
        <f t="shared" si="98"/>
        <v>617.19000000000005</v>
      </c>
      <c r="H117" s="312">
        <f t="shared" si="98"/>
        <v>680.90599999999995</v>
      </c>
      <c r="I117" s="312">
        <f t="shared" si="98"/>
        <v>1020.3840430282692</v>
      </c>
      <c r="J117" s="312">
        <f t="shared" si="98"/>
        <v>1161.8332276233814</v>
      </c>
      <c r="K117" s="312">
        <f t="shared" si="98"/>
        <v>1398.4587774644838</v>
      </c>
      <c r="L117" s="312">
        <f t="shared" si="98"/>
        <v>1629.6003703058902</v>
      </c>
      <c r="M117" s="312">
        <f t="shared" si="98"/>
        <v>1839.2192705679659</v>
      </c>
      <c r="N117" s="312">
        <f t="shared" ref="N117:R117" si="99">N30</f>
        <v>2073.9924388614904</v>
      </c>
      <c r="O117" s="312">
        <f t="shared" si="99"/>
        <v>2336.9383873502384</v>
      </c>
      <c r="P117" s="312">
        <f t="shared" si="99"/>
        <v>2631.437849657636</v>
      </c>
      <c r="Q117" s="312">
        <f t="shared" si="99"/>
        <v>2961.2772474419212</v>
      </c>
      <c r="R117" s="312">
        <f t="shared" si="99"/>
        <v>3330.6973729603205</v>
      </c>
    </row>
    <row r="118" spans="2:26">
      <c r="B118" s="40" t="s">
        <v>81</v>
      </c>
      <c r="C118" s="40"/>
      <c r="D118" s="201">
        <f>CashFlowStatement!F12</f>
        <v>297.19</v>
      </c>
      <c r="E118" s="201">
        <f>CashFlowStatement!G12</f>
        <v>264.10000000000002</v>
      </c>
      <c r="F118" s="201">
        <f>CashFlowStatement!H12</f>
        <v>170.52</v>
      </c>
      <c r="G118" s="201">
        <f>CashFlowStatement!I12</f>
        <v>162.62</v>
      </c>
      <c r="H118" s="201">
        <f>CashFlowStatement!J12</f>
        <v>245.29900000000001</v>
      </c>
      <c r="I118" s="312">
        <f>I35</f>
        <v>451.31157201750005</v>
      </c>
      <c r="J118" s="312">
        <f>J35</f>
        <v>454.0306423652508</v>
      </c>
      <c r="K118" s="312">
        <f>K35</f>
        <v>378.23122133428114</v>
      </c>
      <c r="L118" s="312">
        <f>L35</f>
        <v>325.43898520178948</v>
      </c>
      <c r="M118" s="312">
        <f>M35</f>
        <v>281.63870997083427</v>
      </c>
      <c r="N118" s="312">
        <f t="shared" ref="N118:R118" si="100">N35</f>
        <v>235.9508013264022</v>
      </c>
      <c r="O118" s="312">
        <f t="shared" si="100"/>
        <v>201.53520733599362</v>
      </c>
      <c r="P118" s="312">
        <f t="shared" si="100"/>
        <v>176.79364021412553</v>
      </c>
      <c r="Q118" s="312">
        <f t="shared" si="100"/>
        <v>166.7035916775354</v>
      </c>
      <c r="R118" s="312">
        <f t="shared" si="100"/>
        <v>173.13626073060192</v>
      </c>
      <c r="V118" s="69">
        <v>309.64</v>
      </c>
      <c r="W118" s="69">
        <v>281.10000000000002</v>
      </c>
      <c r="X118" s="69">
        <v>184.7</v>
      </c>
      <c r="Y118" s="69">
        <v>186.12</v>
      </c>
      <c r="Z118" s="69">
        <v>268.09899999999999</v>
      </c>
    </row>
    <row r="119" spans="2:26">
      <c r="B119" s="40" t="s">
        <v>496</v>
      </c>
      <c r="C119" s="40"/>
      <c r="D119" s="201">
        <f>SUM(CashFlowStatement!F13:F18)</f>
        <v>35.089999999999996</v>
      </c>
      <c r="E119" s="201">
        <f>SUM(CashFlowStatement!G13:G18)</f>
        <v>45.05</v>
      </c>
      <c r="F119" s="201">
        <f>SUM(CashFlowStatement!H13:H18)</f>
        <v>-84</v>
      </c>
      <c r="G119" s="201">
        <f>SUM(CashFlowStatement!I13:I18)</f>
        <v>-54.900000000000006</v>
      </c>
      <c r="H119" s="201">
        <f>SUM(CashFlowStatement!J13:J18)</f>
        <v>66.50200000000001</v>
      </c>
      <c r="I119" s="508">
        <v>0</v>
      </c>
      <c r="J119" s="508">
        <v>0</v>
      </c>
      <c r="K119" s="508">
        <v>0</v>
      </c>
      <c r="L119" s="508">
        <v>0</v>
      </c>
      <c r="M119" s="508">
        <v>0</v>
      </c>
      <c r="N119" s="508">
        <v>0</v>
      </c>
      <c r="O119" s="508">
        <v>0</v>
      </c>
      <c r="P119" s="508">
        <v>0</v>
      </c>
      <c r="Q119" s="508">
        <v>0</v>
      </c>
      <c r="R119" s="508">
        <v>0</v>
      </c>
    </row>
    <row r="120" spans="2:26">
      <c r="B120" s="40" t="s">
        <v>71</v>
      </c>
      <c r="C120" s="40"/>
      <c r="D120" s="201">
        <f>SUM(CashFlowStatement!F22:F24)</f>
        <v>-85.110000000000014</v>
      </c>
      <c r="E120" s="201">
        <f>SUM(CashFlowStatement!G22:G24)</f>
        <v>-110.85</v>
      </c>
      <c r="F120" s="201">
        <f>SUM(CashFlowStatement!H22:H24)</f>
        <v>-268.73999999999995</v>
      </c>
      <c r="G120" s="201">
        <f>SUM(CashFlowStatement!I22:I24)</f>
        <v>-585.19000000000005</v>
      </c>
      <c r="H120" s="201">
        <f>SUM(CashFlowStatement!J22:J24)</f>
        <v>-673.48099999999999</v>
      </c>
      <c r="I120" s="312">
        <f>Schedules!I210*-1</f>
        <v>-648.37457953767125</v>
      </c>
      <c r="J120" s="312">
        <f>Schedules!J210*-1</f>
        <v>-760.54264193257688</v>
      </c>
      <c r="K120" s="312">
        <f>Schedules!K210*-1</f>
        <v>-378.97292607317604</v>
      </c>
      <c r="L120" s="312">
        <f>Schedules!L210*-1</f>
        <v>-682.58126428760397</v>
      </c>
      <c r="M120" s="312">
        <f>Schedules!M210*-1</f>
        <v>-602.28593222142229</v>
      </c>
      <c r="N120" s="312">
        <f>Schedules!N210*-1</f>
        <v>-730.83328128629432</v>
      </c>
      <c r="O120" s="312">
        <f>Schedules!O210*-1</f>
        <v>-818.53327504065078</v>
      </c>
      <c r="P120" s="312">
        <f>Schedules!P210*-1</f>
        <v>-916.75726804552869</v>
      </c>
      <c r="Q120" s="312">
        <f>Schedules!Q210*-1</f>
        <v>-1026.7681402109918</v>
      </c>
      <c r="R120" s="312">
        <f>Schedules!R210*-1</f>
        <v>-1149.9803170363093</v>
      </c>
    </row>
    <row r="121" spans="2:26">
      <c r="B121" s="40" t="s">
        <v>4</v>
      </c>
      <c r="C121" s="40"/>
      <c r="D121" s="201">
        <f>CashFlowStatement!F27</f>
        <v>-120.12</v>
      </c>
      <c r="E121" s="201">
        <f>CashFlowStatement!G27</f>
        <v>-77.52</v>
      </c>
      <c r="F121" s="201">
        <f>CashFlowStatement!H27</f>
        <v>-124.23</v>
      </c>
      <c r="G121" s="201">
        <f>CashFlowStatement!I27</f>
        <v>-373.33</v>
      </c>
      <c r="H121" s="201">
        <f>CashFlowStatement!J27</f>
        <v>-667.93899999999996</v>
      </c>
      <c r="I121" s="312">
        <f>I41*-1</f>
        <v>-744.8193611194331</v>
      </c>
      <c r="J121" s="312">
        <f>J41*-1</f>
        <v>-866.87307232245598</v>
      </c>
      <c r="K121" s="312">
        <f>K41*-1</f>
        <v>-962.31958855672247</v>
      </c>
      <c r="L121" s="312">
        <f>L41*-1</f>
        <v>-1017.6036623844691</v>
      </c>
      <c r="M121" s="312">
        <f>M41*-1</f>
        <v>-1028.5397601694315</v>
      </c>
      <c r="N121" s="312">
        <f t="shared" ref="N121:R121" si="101">N41*-1</f>
        <v>-1168.3189558936547</v>
      </c>
      <c r="O121" s="312">
        <f t="shared" si="101"/>
        <v>-1320.6829391819454</v>
      </c>
      <c r="P121" s="312">
        <f t="shared" si="101"/>
        <v>-1487.8796259279839</v>
      </c>
      <c r="Q121" s="312">
        <f t="shared" si="101"/>
        <v>-1670.7347884235712</v>
      </c>
      <c r="R121" s="312">
        <f t="shared" si="101"/>
        <v>-1871.0991895651161</v>
      </c>
    </row>
    <row r="122" spans="2:26">
      <c r="B122" s="20" t="s">
        <v>72</v>
      </c>
      <c r="C122" s="20"/>
      <c r="D122" s="507">
        <f>SUM(D116:D121)</f>
        <v>1307.4099999999999</v>
      </c>
      <c r="E122" s="507">
        <f t="shared" ref="E122:M122" si="102">SUM(E116:E121)</f>
        <v>1011.72</v>
      </c>
      <c r="F122" s="507">
        <f t="shared" si="102"/>
        <v>1231.1200000000015</v>
      </c>
      <c r="G122" s="507">
        <f t="shared" si="102"/>
        <v>1789.6799999999998</v>
      </c>
      <c r="H122" s="507">
        <f t="shared" si="102"/>
        <v>2390.7129999999993</v>
      </c>
      <c r="I122" s="507">
        <f t="shared" si="102"/>
        <v>3158.0452501163973</v>
      </c>
      <c r="J122" s="507">
        <f t="shared" si="102"/>
        <v>3578.0144598202978</v>
      </c>
      <c r="K122" s="507">
        <f t="shared" si="102"/>
        <v>4429.3335459300524</v>
      </c>
      <c r="L122" s="507">
        <f t="shared" si="102"/>
        <v>4491.9870863067599</v>
      </c>
      <c r="M122" s="507">
        <f t="shared" si="102"/>
        <v>4790.9154977109438</v>
      </c>
      <c r="N122" s="507">
        <f t="shared" ref="N122:R122" si="103">SUM(N116:N121)</f>
        <v>5293.1978957340652</v>
      </c>
      <c r="O122" s="507">
        <f t="shared" si="103"/>
        <v>5916.2159346411026</v>
      </c>
      <c r="P122" s="507">
        <f t="shared" si="103"/>
        <v>6617.4471127538291</v>
      </c>
      <c r="Q122" s="507">
        <f t="shared" si="103"/>
        <v>7407.2311589000601</v>
      </c>
      <c r="R122" s="507">
        <f t="shared" si="103"/>
        <v>8296.2226714373501</v>
      </c>
    </row>
    <row r="123" spans="2:26">
      <c r="B123" s="11"/>
      <c r="C123" s="11"/>
      <c r="D123" s="11"/>
      <c r="F123" s="47"/>
      <c r="G123" s="47"/>
      <c r="H123" s="47"/>
      <c r="I123" s="47"/>
      <c r="J123" s="47"/>
      <c r="K123" s="47"/>
      <c r="L123" s="47"/>
      <c r="M123" s="47"/>
      <c r="N123" s="47"/>
      <c r="O123" s="47"/>
      <c r="P123" s="47"/>
      <c r="Q123" s="47"/>
      <c r="R123" s="47"/>
    </row>
    <row r="124" spans="2:26">
      <c r="B124" s="279" t="s">
        <v>497</v>
      </c>
      <c r="C124" s="11"/>
      <c r="D124" s="201">
        <f>SUM(CashFlowStatement!F32:F33)</f>
        <v>-733.08</v>
      </c>
      <c r="E124" s="201">
        <f>SUM(CashFlowStatement!G32:G33)</f>
        <v>-535.61</v>
      </c>
      <c r="F124" s="201">
        <f>SUM(CashFlowStatement!H32:H33)</f>
        <v>-815.44999999999993</v>
      </c>
      <c r="G124" s="201">
        <f>SUM(CashFlowStatement!I32:I33)</f>
        <v>-1749.9</v>
      </c>
      <c r="H124" s="201">
        <f>SUM(CashFlowStatement!J32:J33)</f>
        <v>-3193.9180000000001</v>
      </c>
      <c r="I124" s="201">
        <f>Schedules!I59*-1</f>
        <v>-3600</v>
      </c>
      <c r="J124" s="201">
        <f>Schedules!J59*-1</f>
        <v>-1500</v>
      </c>
      <c r="K124" s="201">
        <f>Schedules!K59*-1</f>
        <v>-2509.2991930468756</v>
      </c>
      <c r="L124" s="201">
        <f>Schedules!L59*-1</f>
        <v>-2451.1444887755856</v>
      </c>
      <c r="M124" s="201">
        <f>Schedules!M59*-1</f>
        <v>-2222.9067724436954</v>
      </c>
      <c r="N124" s="201">
        <f>Schedules!N59*-1</f>
        <v>-2489.6555851369421</v>
      </c>
      <c r="O124" s="201">
        <f>Schedules!O59*-1</f>
        <v>-2788.4142553533738</v>
      </c>
      <c r="P124" s="201">
        <f>Schedules!P59*-1</f>
        <v>-3123.0239659957806</v>
      </c>
      <c r="Q124" s="201">
        <f>Schedules!Q59*-1</f>
        <v>-3497.7868419152742</v>
      </c>
      <c r="R124" s="201">
        <f>Schedules!R59*-1</f>
        <v>-3917.5212629451034</v>
      </c>
    </row>
    <row r="125" spans="2:26">
      <c r="B125" s="279" t="s">
        <v>498</v>
      </c>
      <c r="C125" s="11"/>
      <c r="D125" s="201">
        <f>SUM(CashFlowStatement!F34:F35)</f>
        <v>0.14000000000000057</v>
      </c>
      <c r="E125" s="201">
        <f>SUM(CashFlowStatement!G34:G35)</f>
        <v>0</v>
      </c>
      <c r="F125" s="201">
        <f>SUM(CashFlowStatement!H34:H35)</f>
        <v>7.0000000000000007E-2</v>
      </c>
      <c r="G125" s="201">
        <f>SUM(CashFlowStatement!I34:I35)</f>
        <v>0.37</v>
      </c>
      <c r="H125" s="201">
        <f>SUM(CashFlowStatement!J34:J35)</f>
        <v>-21.206</v>
      </c>
      <c r="I125" s="506">
        <v>0</v>
      </c>
      <c r="J125" s="506">
        <v>0</v>
      </c>
      <c r="K125" s="506">
        <v>0</v>
      </c>
      <c r="L125" s="506">
        <v>0</v>
      </c>
      <c r="M125" s="506">
        <v>0</v>
      </c>
      <c r="N125" s="506">
        <v>0</v>
      </c>
      <c r="O125" s="506">
        <v>0</v>
      </c>
      <c r="P125" s="506">
        <v>0</v>
      </c>
      <c r="Q125" s="506">
        <v>0</v>
      </c>
      <c r="R125" s="506">
        <v>0</v>
      </c>
    </row>
    <row r="126" spans="2:26">
      <c r="B126" s="279" t="s">
        <v>242</v>
      </c>
      <c r="C126" s="11"/>
      <c r="D126" s="201">
        <f>CashFlowStatement!F36</f>
        <v>4.62</v>
      </c>
      <c r="E126" s="201">
        <f>CashFlowStatement!G36</f>
        <v>8.69</v>
      </c>
      <c r="F126" s="201">
        <f>CashFlowStatement!H36</f>
        <v>13.25</v>
      </c>
      <c r="G126" s="201">
        <f>CashFlowStatement!I36</f>
        <v>23.24</v>
      </c>
      <c r="H126" s="201">
        <f>CashFlowStatement!J36</f>
        <v>22.015999999999998</v>
      </c>
      <c r="I126" s="506">
        <v>0</v>
      </c>
      <c r="J126" s="506">
        <v>0</v>
      </c>
      <c r="K126" s="506">
        <v>0</v>
      </c>
      <c r="L126" s="506">
        <v>0</v>
      </c>
      <c r="M126" s="506">
        <v>0</v>
      </c>
      <c r="N126" s="506">
        <v>0</v>
      </c>
      <c r="O126" s="506">
        <v>0</v>
      </c>
      <c r="P126" s="506">
        <v>0</v>
      </c>
      <c r="Q126" s="506">
        <v>0</v>
      </c>
      <c r="R126" s="506">
        <v>0</v>
      </c>
    </row>
    <row r="127" spans="2:26">
      <c r="B127" s="279" t="s">
        <v>243</v>
      </c>
      <c r="C127" s="11"/>
      <c r="D127" s="201">
        <f>CashFlowStatement!F37</f>
        <v>-8.34</v>
      </c>
      <c r="E127" s="201">
        <f>CashFlowStatement!G37</f>
        <v>0</v>
      </c>
      <c r="F127" s="201">
        <f>CashFlowStatement!H37</f>
        <v>0</v>
      </c>
      <c r="G127" s="201">
        <f>CashFlowStatement!I37</f>
        <v>0</v>
      </c>
      <c r="H127" s="201">
        <f>CashFlowStatement!J37</f>
        <v>-10</v>
      </c>
      <c r="I127" s="506">
        <v>0</v>
      </c>
      <c r="J127" s="506">
        <v>0</v>
      </c>
      <c r="K127" s="506">
        <v>0</v>
      </c>
      <c r="L127" s="506">
        <v>0</v>
      </c>
      <c r="M127" s="506">
        <v>0</v>
      </c>
      <c r="N127" s="506">
        <v>0</v>
      </c>
      <c r="O127" s="506">
        <v>0</v>
      </c>
      <c r="P127" s="506">
        <v>0</v>
      </c>
      <c r="Q127" s="506">
        <v>0</v>
      </c>
      <c r="R127" s="506">
        <v>0</v>
      </c>
    </row>
    <row r="128" spans="2:26">
      <c r="B128" s="279" t="s">
        <v>229</v>
      </c>
      <c r="C128" s="11"/>
      <c r="D128" s="201">
        <f>CashFlowStatement!F38</f>
        <v>-1583.27</v>
      </c>
      <c r="E128" s="201">
        <f>CashFlowStatement!G38</f>
        <v>55.25</v>
      </c>
      <c r="F128" s="201">
        <f>CashFlowStatement!H38</f>
        <v>-205.42</v>
      </c>
      <c r="G128" s="201">
        <f>CashFlowStatement!I38</f>
        <v>-42.21</v>
      </c>
      <c r="H128" s="201">
        <f>CashFlowStatement!J38</f>
        <v>-85</v>
      </c>
      <c r="I128" s="506">
        <v>0</v>
      </c>
      <c r="J128" s="506">
        <v>0</v>
      </c>
      <c r="K128" s="506">
        <v>0</v>
      </c>
      <c r="L128" s="506">
        <v>0</v>
      </c>
      <c r="M128" s="506">
        <v>0</v>
      </c>
      <c r="N128" s="506">
        <v>0</v>
      </c>
      <c r="O128" s="506">
        <v>0</v>
      </c>
      <c r="P128" s="506">
        <v>0</v>
      </c>
      <c r="Q128" s="506">
        <v>0</v>
      </c>
      <c r="R128" s="506">
        <v>0</v>
      </c>
    </row>
    <row r="129" spans="2:18">
      <c r="B129" s="20" t="s">
        <v>499</v>
      </c>
      <c r="C129" s="20"/>
      <c r="D129" s="507">
        <f>SUM(D124:D128)</f>
        <v>-2319.9300000000003</v>
      </c>
      <c r="E129" s="507">
        <f t="shared" ref="E129:M129" si="104">SUM(E124:E128)</f>
        <v>-471.66999999999996</v>
      </c>
      <c r="F129" s="507">
        <f t="shared" si="104"/>
        <v>-1007.5499999999998</v>
      </c>
      <c r="G129" s="507">
        <f t="shared" si="104"/>
        <v>-1768.5000000000002</v>
      </c>
      <c r="H129" s="507">
        <f t="shared" si="104"/>
        <v>-3288.1080000000002</v>
      </c>
      <c r="I129" s="507">
        <f t="shared" si="104"/>
        <v>-3600</v>
      </c>
      <c r="J129" s="507">
        <f t="shared" si="104"/>
        <v>-1500</v>
      </c>
      <c r="K129" s="507">
        <f t="shared" si="104"/>
        <v>-2509.2991930468756</v>
      </c>
      <c r="L129" s="507">
        <f t="shared" si="104"/>
        <v>-2451.1444887755856</v>
      </c>
      <c r="M129" s="507">
        <f t="shared" si="104"/>
        <v>-2222.9067724436954</v>
      </c>
      <c r="N129" s="507">
        <f t="shared" ref="N129:R129" si="105">SUM(N124:N128)</f>
        <v>-2489.6555851369421</v>
      </c>
      <c r="O129" s="507">
        <f t="shared" si="105"/>
        <v>-2788.4142553533738</v>
      </c>
      <c r="P129" s="507">
        <f t="shared" si="105"/>
        <v>-3123.0239659957806</v>
      </c>
      <c r="Q129" s="507">
        <f t="shared" si="105"/>
        <v>-3497.7868419152742</v>
      </c>
      <c r="R129" s="507">
        <f t="shared" si="105"/>
        <v>-3917.5212629451034</v>
      </c>
    </row>
    <row r="130" spans="2:18">
      <c r="B130" s="11" t="s">
        <v>23</v>
      </c>
      <c r="C130" s="11"/>
      <c r="D130" s="11"/>
      <c r="F130" s="47"/>
      <c r="G130" s="47"/>
      <c r="H130" s="47"/>
      <c r="I130" s="47"/>
      <c r="J130" s="47"/>
      <c r="K130" s="47"/>
      <c r="L130" s="47"/>
      <c r="M130" s="47"/>
      <c r="N130" s="47"/>
      <c r="O130" s="47"/>
      <c r="P130" s="47"/>
      <c r="Q130" s="47"/>
      <c r="R130" s="47"/>
    </row>
    <row r="131" spans="2:18">
      <c r="B131" t="s">
        <v>500</v>
      </c>
      <c r="C131" s="11"/>
      <c r="D131" s="201">
        <f>SUM(CashFlowStatement!F43,CashFlowStatement!F48)</f>
        <v>559.79999999999995</v>
      </c>
      <c r="E131" s="201">
        <f>SUM(CashFlowStatement!G43,CashFlowStatement!G48)</f>
        <v>-459.75</v>
      </c>
      <c r="F131" s="201">
        <f>SUM(CashFlowStatement!H43,CashFlowStatement!H48)</f>
        <v>213.95999999999992</v>
      </c>
      <c r="G131" s="201">
        <f>SUM(CashFlowStatement!I43,CashFlowStatement!I48)</f>
        <v>340.36000000000013</v>
      </c>
      <c r="H131" s="201">
        <f>SUM(CashFlowStatement!J43,CashFlowStatement!J48)</f>
        <v>1125.1390000000001</v>
      </c>
      <c r="I131" s="312">
        <f t="shared" ref="I131:N131" si="106">I87-H87</f>
        <v>797.23450000000003</v>
      </c>
      <c r="J131" s="312">
        <f t="shared" si="106"/>
        <v>-797.23450000000003</v>
      </c>
      <c r="K131" s="312">
        <f t="shared" si="106"/>
        <v>-478.3407000000002</v>
      </c>
      <c r="L131" s="312">
        <f t="shared" si="106"/>
        <v>-135.52986499999997</v>
      </c>
      <c r="M131" s="312">
        <f t="shared" si="106"/>
        <v>0</v>
      </c>
      <c r="N131" s="312">
        <f t="shared" si="106"/>
        <v>-257.50674350000008</v>
      </c>
      <c r="O131" s="312">
        <f t="shared" ref="O131:R131" si="107">O87-N87</f>
        <v>-347.63410372499993</v>
      </c>
      <c r="P131" s="312">
        <f t="shared" si="107"/>
        <v>-393.98531755499994</v>
      </c>
      <c r="Q131" s="312">
        <f t="shared" si="107"/>
        <v>15.759412702200052</v>
      </c>
      <c r="R131" s="312">
        <f t="shared" si="107"/>
        <v>15.917006829221918</v>
      </c>
    </row>
    <row r="132" spans="2:18">
      <c r="B132" t="s">
        <v>501</v>
      </c>
      <c r="C132" s="11"/>
      <c r="D132" s="201">
        <f>SUM(CashFlowStatement!F45,CashFlowStatement!F49)</f>
        <v>88.86</v>
      </c>
      <c r="E132" s="201">
        <f>SUM(CashFlowStatement!G45,CashFlowStatement!G49)</f>
        <v>246.7</v>
      </c>
      <c r="F132" s="201">
        <f>SUM(CashFlowStatement!H45,CashFlowStatement!H49)</f>
        <v>-85.37</v>
      </c>
      <c r="G132" s="201">
        <f>SUM(CashFlowStatement!I45,CashFlowStatement!I49)</f>
        <v>-0.8</v>
      </c>
      <c r="H132" s="201">
        <f>SUM(CashFlowStatement!J45,CashFlowStatement!J49)</f>
        <v>381.26600000000002</v>
      </c>
      <c r="I132" s="312">
        <f t="shared" ref="I132:N132" si="108">I97-H97</f>
        <v>400.93814999999995</v>
      </c>
      <c r="J132" s="312">
        <f t="shared" si="108"/>
        <v>-331.12889845312475</v>
      </c>
      <c r="K132" s="312">
        <f t="shared" si="108"/>
        <v>-339.36576113531282</v>
      </c>
      <c r="L132" s="312">
        <f t="shared" si="108"/>
        <v>-402.14842694534514</v>
      </c>
      <c r="M132" s="312">
        <f t="shared" si="108"/>
        <v>-586.84738792513565</v>
      </c>
      <c r="N132" s="312">
        <f t="shared" si="108"/>
        <v>-328.63453723807589</v>
      </c>
      <c r="O132" s="312">
        <f t="shared" ref="O132:R132" si="109">O97-N97</f>
        <v>50.191456596360752</v>
      </c>
      <c r="P132" s="312">
        <f t="shared" si="109"/>
        <v>56.214431387924037</v>
      </c>
      <c r="Q132" s="312">
        <f t="shared" si="109"/>
        <v>62.960163154474913</v>
      </c>
      <c r="R132" s="312">
        <f t="shared" si="109"/>
        <v>70.515382733011961</v>
      </c>
    </row>
    <row r="133" spans="2:18">
      <c r="B133" t="s">
        <v>255</v>
      </c>
      <c r="C133" s="11"/>
      <c r="D133" s="201">
        <f>CashFlowStatement!F51</f>
        <v>-69.010000000000005</v>
      </c>
      <c r="E133" s="201">
        <f>CashFlowStatement!G51</f>
        <v>-72.17</v>
      </c>
      <c r="F133" s="201">
        <f>CashFlowStatement!H51</f>
        <v>-108.26</v>
      </c>
      <c r="G133" s="201">
        <f>CashFlowStatement!I51</f>
        <v>-162.38999999999999</v>
      </c>
      <c r="H133" s="201">
        <f>CashFlowStatement!J51</f>
        <v>-227.34800000000001</v>
      </c>
      <c r="I133" s="505">
        <f>Schedules!I141</f>
        <v>-350.20863219124482</v>
      </c>
      <c r="J133" s="505">
        <f>Schedules!J141</f>
        <v>-408.40398476463645</v>
      </c>
      <c r="K133" s="505">
        <f>Schedules!K141</f>
        <v>-606.32329464089253</v>
      </c>
      <c r="L133" s="505">
        <f>Schedules!L141</f>
        <v>-1126.8351482803396</v>
      </c>
      <c r="M133" s="505">
        <f>Schedules!M141</f>
        <v>-1636.1717246967833</v>
      </c>
      <c r="N133" s="505">
        <f>Schedules!N141</f>
        <v>-2042.7483652578569</v>
      </c>
      <c r="O133" s="505">
        <f>Schedules!O141</f>
        <v>-2307.9515882475371</v>
      </c>
      <c r="P133" s="505">
        <f>Schedules!P141</f>
        <v>-2835.5837345565578</v>
      </c>
      <c r="Q133" s="505">
        <f>Schedules!Q141</f>
        <v>-3448.911998994538</v>
      </c>
      <c r="R133" s="505">
        <f>Schedules!R141</f>
        <v>-4159.6585483479157</v>
      </c>
    </row>
    <row r="134" spans="2:18">
      <c r="B134" t="s">
        <v>256</v>
      </c>
      <c r="C134" s="11"/>
      <c r="D134" s="201">
        <f>CashFlowStatement!F52</f>
        <v>-303.49</v>
      </c>
      <c r="E134" s="201">
        <f>CashFlowStatement!G52</f>
        <v>-277.35000000000002</v>
      </c>
      <c r="F134" s="201">
        <f>CashFlowStatement!H52</f>
        <v>-179.15</v>
      </c>
      <c r="G134" s="201">
        <f>CashFlowStatement!I52</f>
        <v>-171.68</v>
      </c>
      <c r="H134" s="201">
        <f>CashFlowStatement!J52</f>
        <v>-269.44200000000001</v>
      </c>
      <c r="I134" s="312">
        <f>I35*-1</f>
        <v>-451.31157201750005</v>
      </c>
      <c r="J134" s="312">
        <f>J35*-1</f>
        <v>-454.0306423652508</v>
      </c>
      <c r="K134" s="312">
        <f>K35*-1</f>
        <v>-378.23122133428114</v>
      </c>
      <c r="L134" s="312">
        <f>L35*-1</f>
        <v>-325.43898520178948</v>
      </c>
      <c r="M134" s="312">
        <f>M35*-1</f>
        <v>-281.63870997083427</v>
      </c>
      <c r="N134" s="312">
        <f t="shared" ref="N134:R134" si="110">N35*-1</f>
        <v>-235.9508013264022</v>
      </c>
      <c r="O134" s="312">
        <f t="shared" si="110"/>
        <v>-201.53520733599362</v>
      </c>
      <c r="P134" s="312">
        <f t="shared" si="110"/>
        <v>-176.79364021412553</v>
      </c>
      <c r="Q134" s="312">
        <f t="shared" si="110"/>
        <v>-166.7035916775354</v>
      </c>
      <c r="R134" s="312">
        <f t="shared" si="110"/>
        <v>-173.13626073060192</v>
      </c>
    </row>
    <row r="135" spans="2:18">
      <c r="B135" t="s">
        <v>502</v>
      </c>
      <c r="C135" s="11"/>
      <c r="D135" s="201">
        <f>SUM(CashFlowStatement!F42,CashFlowStatement!F47)</f>
        <v>0</v>
      </c>
      <c r="E135" s="201">
        <f>SUM(CashFlowStatement!G42,CashFlowStatement!G47)</f>
        <v>0</v>
      </c>
      <c r="F135" s="201">
        <f>SUM(CashFlowStatement!H42,CashFlowStatement!H47)</f>
        <v>0</v>
      </c>
      <c r="G135" s="201">
        <f>SUM(CashFlowStatement!I42,CashFlowStatement!I47)</f>
        <v>0</v>
      </c>
      <c r="H135" s="201">
        <f>SUM(CashFlowStatement!J42,CashFlowStatement!J47)</f>
        <v>0</v>
      </c>
      <c r="I135" s="312">
        <f>H135</f>
        <v>0</v>
      </c>
      <c r="J135" s="312">
        <f t="shared" ref="J135:M135" si="111">I135</f>
        <v>0</v>
      </c>
      <c r="K135" s="312">
        <f t="shared" si="111"/>
        <v>0</v>
      </c>
      <c r="L135" s="312">
        <f t="shared" si="111"/>
        <v>0</v>
      </c>
      <c r="M135" s="312">
        <f t="shared" si="111"/>
        <v>0</v>
      </c>
      <c r="N135" s="312">
        <f>M135</f>
        <v>0</v>
      </c>
      <c r="O135" s="312">
        <f t="shared" ref="O135" si="112">N135</f>
        <v>0</v>
      </c>
      <c r="P135" s="312">
        <f t="shared" ref="P135" si="113">O135</f>
        <v>0</v>
      </c>
      <c r="Q135" s="312">
        <f t="shared" ref="Q135" si="114">P135</f>
        <v>0</v>
      </c>
      <c r="R135" s="312">
        <f t="shared" ref="R135" si="115">Q135</f>
        <v>0</v>
      </c>
    </row>
    <row r="136" spans="2:18">
      <c r="B136" t="s">
        <v>503</v>
      </c>
      <c r="C136" s="11"/>
      <c r="D136" s="201">
        <f>CashFlowStatement!F41</f>
        <v>900.18</v>
      </c>
      <c r="E136" s="201">
        <f>CashFlowStatement!G41</f>
        <v>0</v>
      </c>
      <c r="F136" s="201">
        <f>CashFlowStatement!H41</f>
        <v>0</v>
      </c>
      <c r="G136" s="201">
        <f>CashFlowStatement!I41</f>
        <v>0</v>
      </c>
      <c r="H136" s="201">
        <f>CashFlowStatement!J41</f>
        <v>0</v>
      </c>
      <c r="I136" s="312">
        <f t="shared" ref="I136:N136" si="116">I80-H80</f>
        <v>0</v>
      </c>
      <c r="J136" s="312">
        <f t="shared" si="116"/>
        <v>0</v>
      </c>
      <c r="K136" s="312">
        <f t="shared" si="116"/>
        <v>0</v>
      </c>
      <c r="L136" s="312">
        <f t="shared" si="116"/>
        <v>0</v>
      </c>
      <c r="M136" s="312">
        <f t="shared" si="116"/>
        <v>0</v>
      </c>
      <c r="N136" s="312">
        <f t="shared" si="116"/>
        <v>0</v>
      </c>
      <c r="O136" s="312">
        <f t="shared" ref="O136:R136" si="117">O80-N80</f>
        <v>0</v>
      </c>
      <c r="P136" s="312">
        <f t="shared" si="117"/>
        <v>0</v>
      </c>
      <c r="Q136" s="312">
        <f t="shared" si="117"/>
        <v>0</v>
      </c>
      <c r="R136" s="312">
        <f t="shared" si="117"/>
        <v>0</v>
      </c>
    </row>
    <row r="137" spans="2:18">
      <c r="B137" t="s">
        <v>504</v>
      </c>
      <c r="C137" s="11"/>
      <c r="D137" s="201">
        <f>CashFlowStatement!F50</f>
        <v>0</v>
      </c>
      <c r="E137" s="201">
        <f>CashFlowStatement!G50</f>
        <v>-11.16</v>
      </c>
      <c r="F137" s="201">
        <f>CashFlowStatement!H50</f>
        <v>-18.87</v>
      </c>
      <c r="G137" s="201">
        <f>CashFlowStatement!I50</f>
        <v>-23.44</v>
      </c>
      <c r="H137" s="201">
        <f>CashFlowStatement!J50</f>
        <v>-29.507000000000001</v>
      </c>
      <c r="I137" s="506">
        <v>0</v>
      </c>
      <c r="J137" s="506">
        <v>0</v>
      </c>
      <c r="K137" s="506">
        <v>0</v>
      </c>
      <c r="L137" s="506">
        <v>0</v>
      </c>
      <c r="M137" s="506">
        <v>0</v>
      </c>
      <c r="N137" s="506">
        <v>0</v>
      </c>
      <c r="O137" s="506">
        <v>0</v>
      </c>
      <c r="P137" s="506">
        <v>0</v>
      </c>
      <c r="Q137" s="506">
        <v>0</v>
      </c>
      <c r="R137" s="506">
        <v>0</v>
      </c>
    </row>
    <row r="138" spans="2:18">
      <c r="B138" t="s">
        <v>229</v>
      </c>
      <c r="C138" s="11"/>
      <c r="D138" s="201">
        <f>CashFlowStatement!F53</f>
        <v>-69</v>
      </c>
      <c r="E138" s="201">
        <f>CashFlowStatement!G53</f>
        <v>0</v>
      </c>
      <c r="F138" s="201">
        <f>CashFlowStatement!H53</f>
        <v>0</v>
      </c>
      <c r="G138" s="201">
        <f>CashFlowStatement!I53</f>
        <v>0</v>
      </c>
      <c r="H138" s="201">
        <f>CashFlowStatement!J53</f>
        <v>4.7919999999999998</v>
      </c>
      <c r="I138" s="506">
        <v>0</v>
      </c>
      <c r="J138" s="506">
        <v>0</v>
      </c>
      <c r="K138" s="506">
        <v>0</v>
      </c>
      <c r="L138" s="506">
        <v>0</v>
      </c>
      <c r="M138" s="506">
        <v>0</v>
      </c>
      <c r="N138" s="506">
        <v>0</v>
      </c>
      <c r="O138" s="506">
        <v>0</v>
      </c>
      <c r="P138" s="506">
        <v>0</v>
      </c>
      <c r="Q138" s="506">
        <v>0</v>
      </c>
      <c r="R138" s="506">
        <v>0</v>
      </c>
    </row>
    <row r="139" spans="2:18">
      <c r="B139" s="20" t="s">
        <v>505</v>
      </c>
      <c r="C139" s="20"/>
      <c r="D139" s="507">
        <f>SUM(D131:D138)</f>
        <v>1107.3399999999999</v>
      </c>
      <c r="E139" s="507">
        <f t="shared" ref="E139:M139" si="118">SUM(E131:E138)</f>
        <v>-573.73</v>
      </c>
      <c r="F139" s="507">
        <f t="shared" si="118"/>
        <v>-177.69000000000011</v>
      </c>
      <c r="G139" s="507">
        <f t="shared" si="118"/>
        <v>-17.949999999999878</v>
      </c>
      <c r="H139" s="507">
        <f t="shared" si="118"/>
        <v>984.90000000000032</v>
      </c>
      <c r="I139" s="507">
        <f t="shared" si="118"/>
        <v>396.65244579125516</v>
      </c>
      <c r="J139" s="507">
        <f t="shared" si="118"/>
        <v>-1990.7980255830118</v>
      </c>
      <c r="K139" s="507">
        <f t="shared" si="118"/>
        <v>-1802.2609771104867</v>
      </c>
      <c r="L139" s="507">
        <f t="shared" si="118"/>
        <v>-1989.9524254274743</v>
      </c>
      <c r="M139" s="507">
        <f t="shared" si="118"/>
        <v>-2504.6578225927533</v>
      </c>
      <c r="N139" s="507">
        <f t="shared" ref="N139:R139" si="119">SUM(N131:N138)</f>
        <v>-2864.840447322335</v>
      </c>
      <c r="O139" s="507">
        <f t="shared" si="119"/>
        <v>-2806.9294427121699</v>
      </c>
      <c r="P139" s="507">
        <f t="shared" si="119"/>
        <v>-3350.148260937759</v>
      </c>
      <c r="Q139" s="507">
        <f t="shared" si="119"/>
        <v>-3536.8960148153983</v>
      </c>
      <c r="R139" s="507">
        <f t="shared" si="119"/>
        <v>-4246.3624195162838</v>
      </c>
    </row>
    <row r="140" spans="2:18">
      <c r="C140" s="11"/>
      <c r="D140" s="11"/>
      <c r="F140" s="47"/>
      <c r="G140" s="47"/>
      <c r="H140" s="47"/>
      <c r="I140" s="47"/>
      <c r="J140" s="47"/>
      <c r="K140" s="47"/>
      <c r="L140" s="47"/>
      <c r="M140" s="47"/>
      <c r="N140" s="47"/>
      <c r="O140" s="47"/>
      <c r="P140" s="47"/>
      <c r="Q140" s="47"/>
      <c r="R140" s="47"/>
    </row>
    <row r="141" spans="2:18">
      <c r="B141" t="s">
        <v>73</v>
      </c>
      <c r="D141" s="201">
        <f>SUM(D139,D129,D122)</f>
        <v>94.819999999999482</v>
      </c>
      <c r="E141" s="201">
        <f t="shared" ref="E141:M141" si="120">SUM(E139,E129,E122)</f>
        <v>-33.680000000000064</v>
      </c>
      <c r="F141" s="201">
        <f t="shared" si="120"/>
        <v>45.880000000001473</v>
      </c>
      <c r="G141" s="201">
        <f t="shared" si="120"/>
        <v>3.2299999999997908</v>
      </c>
      <c r="H141" s="201">
        <f t="shared" si="120"/>
        <v>87.504999999999654</v>
      </c>
      <c r="I141" s="201">
        <f t="shared" si="120"/>
        <v>-45.30230409234764</v>
      </c>
      <c r="J141" s="201">
        <f t="shared" si="120"/>
        <v>87.216434237286194</v>
      </c>
      <c r="K141" s="201">
        <f t="shared" si="120"/>
        <v>117.77337577269009</v>
      </c>
      <c r="L141" s="201">
        <f t="shared" si="120"/>
        <v>50.890172103700024</v>
      </c>
      <c r="M141" s="201">
        <f t="shared" si="120"/>
        <v>63.350902674495046</v>
      </c>
      <c r="N141" s="201">
        <f t="shared" ref="N141:R141" si="121">SUM(N139,N129,N122)</f>
        <v>-61.298136725212316</v>
      </c>
      <c r="O141" s="201">
        <f t="shared" si="121"/>
        <v>320.87223657555842</v>
      </c>
      <c r="P141" s="201">
        <f t="shared" si="121"/>
        <v>144.27488582028946</v>
      </c>
      <c r="Q141" s="201">
        <f t="shared" si="121"/>
        <v>372.54830216938717</v>
      </c>
      <c r="R141" s="201">
        <f t="shared" si="121"/>
        <v>132.33898897596282</v>
      </c>
    </row>
    <row r="142" spans="2:18">
      <c r="B142" t="s">
        <v>74</v>
      </c>
      <c r="D142" s="201">
        <f>CashFlowStatement!F5</f>
        <v>42.94</v>
      </c>
      <c r="E142" s="201">
        <f>CashFlowStatement!G5</f>
        <v>137.97</v>
      </c>
      <c r="F142" s="201">
        <f>CashFlowStatement!H5</f>
        <v>104.56</v>
      </c>
      <c r="G142" s="201">
        <f>CashFlowStatement!I5</f>
        <v>150.75</v>
      </c>
      <c r="H142" s="201">
        <f>CashFlowStatement!J5</f>
        <v>154.33199999999999</v>
      </c>
      <c r="I142" s="201">
        <f>H68</f>
        <v>241.83699999999965</v>
      </c>
      <c r="J142" s="201">
        <f>I143</f>
        <v>196.53469590765201</v>
      </c>
      <c r="K142" s="201">
        <f t="shared" ref="K142:M142" si="122">J143</f>
        <v>283.7511301449382</v>
      </c>
      <c r="L142" s="201">
        <f t="shared" si="122"/>
        <v>401.52450591762829</v>
      </c>
      <c r="M142" s="201">
        <f t="shared" si="122"/>
        <v>452.41467802132831</v>
      </c>
      <c r="N142" s="201">
        <f>M143</f>
        <v>515.76558069582336</v>
      </c>
      <c r="O142" s="201">
        <f t="shared" ref="O142" si="123">N143</f>
        <v>454.46744397061104</v>
      </c>
      <c r="P142" s="201">
        <f t="shared" ref="P142" si="124">O143</f>
        <v>775.33968054616946</v>
      </c>
      <c r="Q142" s="201">
        <f t="shared" ref="Q142" si="125">P143</f>
        <v>919.61456636645892</v>
      </c>
      <c r="R142" s="201">
        <f t="shared" ref="R142" si="126">Q143</f>
        <v>1292.162868535846</v>
      </c>
    </row>
    <row r="143" spans="2:18" ht="15" thickBot="1">
      <c r="B143" s="25" t="s">
        <v>75</v>
      </c>
      <c r="C143" s="25"/>
      <c r="D143" s="200">
        <f>SUM(D141:D142)</f>
        <v>137.75999999999948</v>
      </c>
      <c r="E143" s="200">
        <f t="shared" ref="E143:M143" si="127">SUM(E141:E142)</f>
        <v>104.28999999999994</v>
      </c>
      <c r="F143" s="200">
        <f t="shared" si="127"/>
        <v>150.44000000000148</v>
      </c>
      <c r="G143" s="200">
        <f t="shared" si="127"/>
        <v>153.97999999999979</v>
      </c>
      <c r="H143" s="200">
        <f t="shared" si="127"/>
        <v>241.83699999999965</v>
      </c>
      <c r="I143" s="200">
        <f t="shared" si="127"/>
        <v>196.53469590765201</v>
      </c>
      <c r="J143" s="200">
        <f t="shared" si="127"/>
        <v>283.7511301449382</v>
      </c>
      <c r="K143" s="200">
        <f t="shared" si="127"/>
        <v>401.52450591762829</v>
      </c>
      <c r="L143" s="200">
        <f t="shared" si="127"/>
        <v>452.41467802132831</v>
      </c>
      <c r="M143" s="200">
        <f t="shared" si="127"/>
        <v>515.76558069582336</v>
      </c>
      <c r="N143" s="200">
        <f t="shared" ref="N143:R143" si="128">SUM(N141:N142)</f>
        <v>454.46744397061104</v>
      </c>
      <c r="O143" s="200">
        <f t="shared" si="128"/>
        <v>775.33968054616946</v>
      </c>
      <c r="P143" s="200">
        <f t="shared" si="128"/>
        <v>919.61456636645892</v>
      </c>
      <c r="Q143" s="200">
        <f t="shared" si="128"/>
        <v>1292.162868535846</v>
      </c>
      <c r="R143" s="200">
        <f t="shared" si="128"/>
        <v>1424.5018575118088</v>
      </c>
    </row>
    <row r="144" spans="2:18">
      <c r="B144" s="11"/>
      <c r="C144" s="11"/>
      <c r="D144" s="11"/>
      <c r="H144" s="31"/>
      <c r="I144" s="31"/>
      <c r="J144" s="31"/>
      <c r="K144" s="31"/>
      <c r="L144" s="31"/>
      <c r="M144" s="31"/>
      <c r="N144" s="31"/>
      <c r="O144" s="31"/>
      <c r="P144" s="31"/>
      <c r="Q144" s="31"/>
      <c r="R144" s="31"/>
    </row>
    <row r="145" spans="2:18">
      <c r="B145" s="11"/>
      <c r="C145" s="11"/>
      <c r="D145" s="11"/>
      <c r="H145" s="31"/>
      <c r="I145" s="31"/>
      <c r="J145" s="31"/>
      <c r="K145" s="31"/>
      <c r="L145" s="31"/>
      <c r="M145" s="31"/>
      <c r="N145" s="31"/>
      <c r="O145" s="31"/>
      <c r="P145" s="31"/>
      <c r="Q145" s="31"/>
      <c r="R145" s="31"/>
    </row>
    <row r="146" spans="2:18">
      <c r="B146" s="11"/>
      <c r="C146" s="11"/>
      <c r="D146" s="11"/>
      <c r="H146" s="31"/>
      <c r="I146" s="31"/>
      <c r="J146" s="31"/>
      <c r="K146" s="31"/>
      <c r="L146" s="31"/>
      <c r="M146" s="31"/>
      <c r="N146" s="31"/>
      <c r="O146" s="31"/>
      <c r="P146" s="31"/>
      <c r="Q146" s="31"/>
      <c r="R146" s="31"/>
    </row>
    <row r="148" spans="2:18">
      <c r="B148" s="11"/>
      <c r="C148" s="11"/>
      <c r="D148" s="11"/>
      <c r="H148" s="31"/>
      <c r="I148" s="31"/>
      <c r="J148" s="31"/>
      <c r="K148" s="31"/>
      <c r="L148" s="31"/>
      <c r="M148" s="31"/>
      <c r="N148" s="31"/>
      <c r="O148" s="31"/>
      <c r="P148" s="31"/>
      <c r="Q148" s="31"/>
      <c r="R148" s="31"/>
    </row>
    <row r="150" spans="2:18">
      <c r="I150" s="64"/>
      <c r="J150" s="64"/>
      <c r="K150" s="64"/>
      <c r="L150" s="64"/>
      <c r="M150" s="64"/>
      <c r="N150" s="64"/>
      <c r="O150" s="64"/>
      <c r="P150" s="64"/>
      <c r="Q150" s="64"/>
      <c r="R150" s="64"/>
    </row>
    <row r="151" spans="2:18">
      <c r="I151" s="64"/>
      <c r="J151" s="64"/>
      <c r="K151" s="64"/>
      <c r="L151" s="64"/>
      <c r="M151" s="64"/>
      <c r="N151" s="64"/>
      <c r="O151" s="64"/>
      <c r="P151" s="64"/>
      <c r="Q151" s="64"/>
      <c r="R151" s="64"/>
    </row>
    <row r="152" spans="2:18">
      <c r="I152" s="64"/>
      <c r="J152" s="64"/>
      <c r="K152" s="64"/>
      <c r="L152" s="64"/>
      <c r="M152" s="64"/>
      <c r="N152" s="64"/>
      <c r="O152" s="64"/>
      <c r="P152" s="64"/>
      <c r="Q152" s="64"/>
      <c r="R152" s="64"/>
    </row>
    <row r="153" spans="2:18">
      <c r="I153" s="64"/>
      <c r="J153" s="64"/>
      <c r="K153" s="64"/>
      <c r="L153" s="64"/>
      <c r="M153" s="64"/>
      <c r="N153" s="64"/>
      <c r="O153" s="64"/>
      <c r="P153" s="64"/>
      <c r="Q153" s="64"/>
      <c r="R153" s="64"/>
    </row>
    <row r="154" spans="2:18">
      <c r="H154" s="65"/>
      <c r="I154" s="64"/>
      <c r="J154" s="64"/>
      <c r="K154" s="64"/>
      <c r="L154" s="64"/>
      <c r="M154" s="64"/>
      <c r="N154" s="64"/>
      <c r="O154" s="64"/>
      <c r="P154" s="64"/>
      <c r="Q154" s="64"/>
      <c r="R154" s="64"/>
    </row>
    <row r="155" spans="2:18">
      <c r="H155" s="61"/>
      <c r="I155" s="61"/>
      <c r="J155" s="61"/>
      <c r="K155" s="61"/>
      <c r="L155" s="61"/>
      <c r="M155" s="61"/>
      <c r="N155" s="61"/>
      <c r="O155" s="61"/>
      <c r="P155" s="61"/>
      <c r="Q155" s="61"/>
      <c r="R155" s="61"/>
    </row>
    <row r="156" spans="2:18">
      <c r="B156" s="11"/>
      <c r="C156" s="11"/>
      <c r="D156" s="11"/>
      <c r="H156" s="60"/>
      <c r="I156" s="60"/>
      <c r="J156" s="60"/>
      <c r="K156" s="60"/>
      <c r="L156" s="60"/>
      <c r="M156" s="60"/>
      <c r="N156" s="60"/>
      <c r="O156" s="60"/>
      <c r="P156" s="60"/>
      <c r="Q156" s="60"/>
      <c r="R156" s="60"/>
    </row>
    <row r="157" spans="2:18">
      <c r="B157" s="11"/>
      <c r="C157" s="11"/>
      <c r="D157" s="11"/>
      <c r="E157" s="11"/>
      <c r="F157" s="11"/>
      <c r="G157" s="11"/>
      <c r="H157" s="11"/>
      <c r="I157" s="11"/>
      <c r="J157" s="11"/>
      <c r="K157" s="11"/>
      <c r="L157" s="11"/>
      <c r="M157" s="11"/>
      <c r="N157" s="11"/>
      <c r="O157" s="11"/>
      <c r="P157" s="11"/>
      <c r="Q157" s="11"/>
      <c r="R157" s="11"/>
    </row>
    <row r="158" spans="2:18">
      <c r="B158" s="11"/>
      <c r="C158" s="11"/>
      <c r="D158" s="11"/>
      <c r="H158" s="31"/>
      <c r="I158" s="31"/>
      <c r="J158" s="31"/>
      <c r="K158" s="31"/>
      <c r="L158" s="31"/>
      <c r="M158" s="31"/>
      <c r="N158" s="31"/>
      <c r="O158" s="31"/>
      <c r="P158" s="31"/>
      <c r="Q158" s="31"/>
      <c r="R158" s="31"/>
    </row>
    <row r="159" spans="2:18">
      <c r="B159" s="11"/>
      <c r="C159" s="11"/>
      <c r="D159" s="11"/>
      <c r="H159" s="61"/>
      <c r="I159" s="61"/>
      <c r="J159" s="61"/>
      <c r="K159" s="61"/>
      <c r="L159" s="61"/>
      <c r="M159" s="61"/>
      <c r="N159" s="61"/>
      <c r="O159" s="61"/>
      <c r="P159" s="61"/>
      <c r="Q159" s="61"/>
      <c r="R159" s="61"/>
    </row>
    <row r="160" spans="2:18">
      <c r="B160" s="11"/>
      <c r="C160" s="11"/>
      <c r="D160" s="11"/>
      <c r="H160" s="61"/>
      <c r="I160" s="61"/>
      <c r="J160" s="61"/>
      <c r="K160" s="61"/>
      <c r="L160" s="61"/>
      <c r="M160" s="61"/>
      <c r="N160" s="61"/>
      <c r="O160" s="61"/>
      <c r="P160" s="61"/>
      <c r="Q160" s="61"/>
      <c r="R160" s="61"/>
    </row>
    <row r="162" spans="2:18">
      <c r="B162" s="77"/>
      <c r="C162" s="77"/>
      <c r="D162" s="77"/>
      <c r="E162" s="77"/>
      <c r="F162" s="77"/>
      <c r="G162" s="77"/>
      <c r="H162" s="77"/>
      <c r="I162" s="77"/>
      <c r="J162" s="77"/>
      <c r="K162" s="77"/>
      <c r="L162" s="77"/>
      <c r="M162" s="77"/>
      <c r="N162" s="77"/>
      <c r="O162" s="77"/>
      <c r="P162" s="77"/>
      <c r="Q162" s="77"/>
      <c r="R162" s="77"/>
    </row>
    <row r="164" spans="2:18">
      <c r="B164" s="11"/>
      <c r="C164" s="11"/>
      <c r="D164" s="11"/>
    </row>
    <row r="165" spans="2:18">
      <c r="H165" s="33"/>
      <c r="I165" s="34"/>
      <c r="J165" s="34"/>
      <c r="K165" s="34"/>
      <c r="L165" s="34"/>
      <c r="M165" s="34"/>
      <c r="N165" s="34"/>
      <c r="O165" s="34"/>
      <c r="P165" s="34"/>
      <c r="Q165" s="34"/>
      <c r="R165" s="34"/>
    </row>
    <row r="166" spans="2:18">
      <c r="H166" s="33"/>
      <c r="I166" s="34"/>
      <c r="J166" s="34"/>
      <c r="K166" s="34"/>
      <c r="L166" s="34"/>
      <c r="M166" s="34"/>
      <c r="N166" s="34"/>
      <c r="O166" s="34"/>
      <c r="P166" s="34"/>
      <c r="Q166" s="34"/>
      <c r="R166" s="34"/>
    </row>
    <row r="167" spans="2:18">
      <c r="B167" s="11"/>
      <c r="C167" s="11"/>
      <c r="D167" s="11"/>
      <c r="E167" s="11"/>
      <c r="F167" s="11"/>
      <c r="G167" s="11"/>
      <c r="H167" s="63"/>
      <c r="I167" s="63"/>
      <c r="J167" s="63"/>
      <c r="K167" s="63"/>
      <c r="L167" s="63"/>
      <c r="M167" s="63"/>
      <c r="N167" s="63"/>
      <c r="O167" s="63"/>
      <c r="P167" s="63"/>
      <c r="Q167" s="63"/>
      <c r="R167" s="63"/>
    </row>
    <row r="169" spans="2:18">
      <c r="I169" s="64"/>
      <c r="J169" s="64"/>
      <c r="K169" s="64"/>
      <c r="L169" s="64"/>
      <c r="M169" s="64"/>
      <c r="N169" s="64"/>
      <c r="O169" s="64"/>
      <c r="P169" s="64"/>
      <c r="Q169" s="64"/>
      <c r="R169" s="64"/>
    </row>
    <row r="170" spans="2:18">
      <c r="I170" s="64"/>
      <c r="J170" s="64"/>
      <c r="K170" s="64"/>
      <c r="L170" s="64"/>
      <c r="M170" s="64"/>
      <c r="N170" s="64"/>
      <c r="O170" s="64"/>
      <c r="P170" s="64"/>
      <c r="Q170" s="64"/>
      <c r="R170" s="64"/>
    </row>
    <row r="171" spans="2:18">
      <c r="I171" s="64"/>
      <c r="J171" s="64"/>
      <c r="K171" s="64"/>
      <c r="L171" s="64"/>
      <c r="M171" s="64"/>
      <c r="N171" s="64"/>
      <c r="O171" s="64"/>
      <c r="P171" s="64"/>
      <c r="Q171" s="64"/>
      <c r="R171" s="64"/>
    </row>
    <row r="172" spans="2:18">
      <c r="H172" s="61"/>
      <c r="I172" s="61"/>
      <c r="J172" s="61"/>
      <c r="K172" s="61"/>
      <c r="L172" s="61"/>
      <c r="M172" s="61"/>
      <c r="N172" s="61"/>
      <c r="O172" s="61"/>
      <c r="P172" s="61"/>
      <c r="Q172" s="61"/>
      <c r="R172" s="61"/>
    </row>
    <row r="174" spans="2:18">
      <c r="B174" s="11"/>
      <c r="C174" s="11"/>
      <c r="D174" s="11"/>
    </row>
    <row r="175" spans="2:18">
      <c r="B175" s="11"/>
      <c r="C175" s="11"/>
      <c r="D175" s="11"/>
    </row>
    <row r="176" spans="2:18">
      <c r="G176" s="22"/>
      <c r="H176" s="34"/>
      <c r="I176" s="34"/>
      <c r="J176" s="34"/>
      <c r="K176" s="34"/>
      <c r="L176" s="34"/>
      <c r="M176" s="34"/>
      <c r="N176" s="34"/>
      <c r="O176" s="34"/>
      <c r="P176" s="34"/>
      <c r="Q176" s="34"/>
      <c r="R176" s="34"/>
    </row>
    <row r="177" spans="2:18">
      <c r="G177" s="22"/>
      <c r="H177" s="34"/>
      <c r="I177" s="34"/>
      <c r="J177" s="34"/>
      <c r="K177" s="34"/>
      <c r="L177" s="34"/>
      <c r="M177" s="34"/>
      <c r="N177" s="34"/>
      <c r="O177" s="34"/>
      <c r="P177" s="34"/>
      <c r="Q177" s="34"/>
      <c r="R177" s="34"/>
    </row>
    <row r="179" spans="2:18">
      <c r="G179" s="66"/>
      <c r="H179" s="35"/>
      <c r="I179" s="35"/>
      <c r="J179" s="35"/>
      <c r="K179" s="35"/>
      <c r="L179" s="35"/>
      <c r="M179" s="35"/>
      <c r="N179" s="35"/>
      <c r="O179" s="35"/>
      <c r="P179" s="35"/>
      <c r="Q179" s="35"/>
      <c r="R179" s="35"/>
    </row>
    <row r="180" spans="2:18">
      <c r="G180" s="66"/>
      <c r="H180" s="35"/>
      <c r="I180" s="35"/>
      <c r="J180" s="35"/>
      <c r="K180" s="35"/>
      <c r="L180" s="35"/>
      <c r="M180" s="35"/>
      <c r="N180" s="35"/>
      <c r="O180" s="35"/>
      <c r="P180" s="35"/>
      <c r="Q180" s="35"/>
      <c r="R180" s="35"/>
    </row>
    <row r="182" spans="2:18">
      <c r="H182" s="36"/>
      <c r="I182" s="36"/>
      <c r="J182" s="36"/>
      <c r="K182" s="36"/>
      <c r="L182" s="36"/>
      <c r="M182" s="36"/>
      <c r="N182" s="36"/>
      <c r="O182" s="36"/>
      <c r="P182" s="36"/>
      <c r="Q182" s="36"/>
      <c r="R182" s="36"/>
    </row>
    <row r="183" spans="2:18">
      <c r="H183" s="36"/>
      <c r="I183" s="36"/>
      <c r="J183" s="36"/>
      <c r="K183" s="36"/>
      <c r="L183" s="36"/>
      <c r="M183" s="36"/>
      <c r="N183" s="36"/>
      <c r="O183" s="36"/>
      <c r="P183" s="36"/>
      <c r="Q183" s="36"/>
      <c r="R183" s="36"/>
    </row>
    <row r="185" spans="2:18">
      <c r="B185" s="11"/>
      <c r="C185" s="11"/>
      <c r="D185" s="11"/>
      <c r="G185" s="22"/>
      <c r="H185" s="31"/>
      <c r="I185" s="31"/>
      <c r="J185" s="31"/>
      <c r="K185" s="31"/>
      <c r="L185" s="31"/>
      <c r="M185" s="31"/>
      <c r="N185" s="31"/>
      <c r="O185" s="31"/>
      <c r="P185" s="31"/>
      <c r="Q185" s="31"/>
      <c r="R185" s="31"/>
    </row>
    <row r="186" spans="2:18">
      <c r="H186" s="61"/>
      <c r="I186" s="61"/>
      <c r="J186" s="61"/>
      <c r="K186" s="61"/>
      <c r="L186" s="61"/>
      <c r="M186" s="61"/>
      <c r="N186" s="61"/>
      <c r="O186" s="61"/>
      <c r="P186" s="61"/>
      <c r="Q186" s="61"/>
      <c r="R186" s="61"/>
    </row>
    <row r="188" spans="2:18">
      <c r="B188" s="11"/>
      <c r="C188" s="11"/>
      <c r="D188" s="11"/>
      <c r="E188" s="11"/>
      <c r="F188" s="11"/>
      <c r="G188" s="11"/>
      <c r="H188" s="63"/>
      <c r="I188" s="63"/>
      <c r="J188" s="63"/>
      <c r="K188" s="63"/>
      <c r="L188" s="63"/>
      <c r="M188" s="63"/>
      <c r="N188" s="63"/>
      <c r="O188" s="63"/>
      <c r="P188" s="63"/>
      <c r="Q188" s="63"/>
      <c r="R188" s="63"/>
    </row>
    <row r="190" spans="2:18">
      <c r="B190" s="11"/>
      <c r="C190" s="11"/>
      <c r="D190" s="11"/>
    </row>
    <row r="191" spans="2:18">
      <c r="H191" s="33"/>
      <c r="I191" s="34"/>
      <c r="J191" s="34"/>
      <c r="K191" s="34"/>
      <c r="L191" s="34"/>
      <c r="M191" s="34"/>
      <c r="N191" s="34"/>
      <c r="O191" s="34"/>
      <c r="P191" s="34"/>
      <c r="Q191" s="34"/>
      <c r="R191" s="34"/>
    </row>
    <row r="192" spans="2:18">
      <c r="H192" s="33"/>
      <c r="I192" s="34"/>
      <c r="J192" s="34"/>
      <c r="K192" s="34"/>
      <c r="L192" s="34"/>
      <c r="M192" s="34"/>
      <c r="N192" s="34"/>
      <c r="O192" s="34"/>
      <c r="P192" s="34"/>
      <c r="Q192" s="34"/>
      <c r="R192" s="34"/>
    </row>
    <row r="193" spans="2:18">
      <c r="H193" s="61"/>
      <c r="I193" s="64"/>
      <c r="J193" s="64"/>
      <c r="K193" s="64"/>
      <c r="L193" s="64"/>
      <c r="M193" s="64"/>
      <c r="N193" s="64"/>
      <c r="O193" s="64"/>
      <c r="P193" s="64"/>
      <c r="Q193" s="64"/>
      <c r="R193" s="64"/>
    </row>
    <row r="195" spans="2:18">
      <c r="B195" s="11"/>
      <c r="C195" s="11"/>
      <c r="D195" s="11"/>
    </row>
    <row r="196" spans="2:18">
      <c r="H196" s="33"/>
      <c r="I196" s="34"/>
      <c r="J196" s="34"/>
      <c r="K196" s="34"/>
      <c r="L196" s="34"/>
      <c r="M196" s="34"/>
      <c r="N196" s="34"/>
      <c r="O196" s="34"/>
      <c r="P196" s="34"/>
      <c r="Q196" s="34"/>
      <c r="R196" s="34"/>
    </row>
    <row r="197" spans="2:18">
      <c r="H197" s="33"/>
      <c r="I197" s="34"/>
      <c r="J197" s="34"/>
      <c r="K197" s="34"/>
      <c r="L197" s="34"/>
      <c r="M197" s="34"/>
      <c r="N197" s="34"/>
      <c r="O197" s="34"/>
      <c r="P197" s="34"/>
      <c r="Q197" s="34"/>
      <c r="R197" s="34"/>
    </row>
    <row r="198" spans="2:18">
      <c r="H198" s="61"/>
      <c r="I198" s="64"/>
      <c r="J198" s="64"/>
      <c r="K198" s="64"/>
      <c r="L198" s="64"/>
      <c r="M198" s="64"/>
      <c r="N198" s="64"/>
      <c r="O198" s="64"/>
      <c r="P198" s="64"/>
      <c r="Q198" s="64"/>
      <c r="R198" s="64"/>
    </row>
    <row r="200" spans="2:18">
      <c r="B200" s="11"/>
      <c r="C200" s="11"/>
      <c r="D200" s="11"/>
    </row>
    <row r="201" spans="2:18">
      <c r="H201" s="33"/>
      <c r="I201" s="34"/>
      <c r="J201" s="34"/>
      <c r="K201" s="34"/>
      <c r="L201" s="34"/>
      <c r="M201" s="34"/>
      <c r="N201" s="34"/>
      <c r="O201" s="34"/>
      <c r="P201" s="34"/>
      <c r="Q201" s="34"/>
      <c r="R201" s="34"/>
    </row>
    <row r="202" spans="2:18">
      <c r="H202" s="33"/>
      <c r="I202" s="34"/>
      <c r="J202" s="34"/>
      <c r="K202" s="34"/>
      <c r="L202" s="34"/>
      <c r="M202" s="34"/>
      <c r="N202" s="34"/>
      <c r="O202" s="34"/>
      <c r="P202" s="34"/>
      <c r="Q202" s="34"/>
      <c r="R202" s="34"/>
    </row>
    <row r="203" spans="2:18">
      <c r="H203" s="61"/>
      <c r="I203" s="64"/>
      <c r="J203" s="64"/>
      <c r="K203" s="64"/>
      <c r="L203" s="64"/>
      <c r="M203" s="64"/>
      <c r="N203" s="64"/>
      <c r="O203" s="64"/>
      <c r="P203" s="64"/>
      <c r="Q203" s="64"/>
      <c r="R203" s="64"/>
    </row>
    <row r="205" spans="2:18">
      <c r="B205" s="11"/>
      <c r="C205" s="11"/>
      <c r="D205" s="11"/>
    </row>
    <row r="206" spans="2:18">
      <c r="H206" s="33"/>
      <c r="I206" s="34"/>
      <c r="J206" s="34"/>
      <c r="K206" s="34"/>
      <c r="L206" s="34"/>
      <c r="M206" s="34"/>
      <c r="N206" s="34"/>
      <c r="O206" s="34"/>
      <c r="P206" s="34"/>
      <c r="Q206" s="34"/>
      <c r="R206" s="34"/>
    </row>
    <row r="207" spans="2:18">
      <c r="H207" s="33"/>
      <c r="I207" s="34"/>
      <c r="J207" s="34"/>
      <c r="K207" s="34"/>
      <c r="L207" s="34"/>
      <c r="M207" s="34"/>
      <c r="N207" s="34"/>
      <c r="O207" s="34"/>
      <c r="P207" s="34"/>
      <c r="Q207" s="34"/>
      <c r="R207" s="34"/>
    </row>
    <row r="208" spans="2:18">
      <c r="H208" s="61"/>
      <c r="I208" s="64"/>
      <c r="J208" s="64"/>
      <c r="K208" s="64"/>
      <c r="L208" s="64"/>
      <c r="M208" s="64"/>
      <c r="N208" s="64"/>
      <c r="O208" s="64"/>
      <c r="P208" s="64"/>
      <c r="Q208" s="64"/>
      <c r="R208" s="64"/>
    </row>
    <row r="210" spans="2:18">
      <c r="B210" s="11"/>
      <c r="C210" s="11"/>
      <c r="D210" s="11"/>
    </row>
    <row r="211" spans="2:18">
      <c r="H211" s="33"/>
      <c r="I211" s="34"/>
      <c r="J211" s="34"/>
      <c r="K211" s="34"/>
      <c r="L211" s="34"/>
      <c r="M211" s="34"/>
      <c r="N211" s="34"/>
      <c r="O211" s="34"/>
      <c r="P211" s="34"/>
      <c r="Q211" s="34"/>
      <c r="R211" s="34"/>
    </row>
    <row r="212" spans="2:18">
      <c r="H212" s="34"/>
      <c r="I212" s="34"/>
      <c r="J212" s="34"/>
      <c r="K212" s="34"/>
      <c r="L212" s="34"/>
      <c r="M212" s="34"/>
      <c r="N212" s="34"/>
      <c r="O212" s="34"/>
      <c r="P212" s="34"/>
      <c r="Q212" s="34"/>
      <c r="R212" s="34"/>
    </row>
    <row r="213" spans="2:18">
      <c r="B213" s="11"/>
      <c r="C213" s="11"/>
      <c r="D213" s="11"/>
      <c r="E213" s="11"/>
      <c r="F213" s="11"/>
      <c r="G213" s="11"/>
      <c r="H213" s="41"/>
      <c r="I213" s="42"/>
      <c r="J213" s="42"/>
      <c r="K213" s="42"/>
      <c r="L213" s="42"/>
      <c r="M213" s="42"/>
      <c r="N213" s="42"/>
      <c r="O213" s="42"/>
      <c r="P213" s="42"/>
      <c r="Q213" s="42"/>
      <c r="R213" s="42"/>
    </row>
    <row r="214" spans="2:18">
      <c r="H214" s="61"/>
      <c r="I214" s="64"/>
      <c r="J214" s="64"/>
      <c r="K214" s="64"/>
      <c r="L214" s="64"/>
      <c r="M214" s="64"/>
      <c r="N214" s="64"/>
      <c r="O214" s="64"/>
      <c r="P214" s="64"/>
      <c r="Q214" s="64"/>
      <c r="R214" s="64"/>
    </row>
    <row r="215" spans="2:18">
      <c r="H215" s="61"/>
      <c r="I215" s="64"/>
      <c r="J215" s="64"/>
      <c r="K215" s="64"/>
      <c r="L215" s="64"/>
      <c r="M215" s="64"/>
      <c r="N215" s="64"/>
      <c r="O215" s="64"/>
      <c r="P215" s="64"/>
      <c r="Q215" s="64"/>
      <c r="R215" s="64"/>
    </row>
    <row r="216" spans="2:18">
      <c r="H216" s="61"/>
      <c r="I216" s="64"/>
      <c r="J216" s="64"/>
      <c r="K216" s="64"/>
      <c r="L216" s="64"/>
      <c r="M216" s="64"/>
      <c r="N216" s="64"/>
      <c r="O216" s="64"/>
      <c r="P216" s="64"/>
      <c r="Q216" s="64"/>
      <c r="R216" s="64"/>
    </row>
    <row r="217" spans="2:18">
      <c r="H217" s="61"/>
      <c r="I217" s="61"/>
      <c r="J217" s="61"/>
      <c r="K217" s="61"/>
      <c r="L217" s="61"/>
      <c r="M217" s="61"/>
      <c r="N217" s="61"/>
      <c r="O217" s="61"/>
      <c r="P217" s="61"/>
      <c r="Q217" s="61"/>
      <c r="R217" s="61"/>
    </row>
    <row r="219" spans="2:18">
      <c r="B219" s="11"/>
      <c r="C219" s="11"/>
      <c r="D219" s="11"/>
      <c r="E219" s="11"/>
      <c r="F219" s="11"/>
      <c r="G219" s="11"/>
      <c r="H219" s="31"/>
      <c r="I219" s="31"/>
      <c r="J219" s="31"/>
      <c r="K219" s="31"/>
      <c r="L219" s="31"/>
      <c r="M219" s="31"/>
      <c r="N219" s="31"/>
      <c r="O219" s="31"/>
      <c r="P219" s="31"/>
      <c r="Q219" s="31"/>
      <c r="R219" s="31"/>
    </row>
    <row r="220" spans="2:18">
      <c r="H220" s="61"/>
      <c r="I220" s="61"/>
      <c r="J220" s="61"/>
      <c r="K220" s="61"/>
      <c r="L220" s="61"/>
      <c r="M220" s="61"/>
      <c r="N220" s="61"/>
      <c r="O220" s="61"/>
      <c r="P220" s="61"/>
      <c r="Q220" s="61"/>
      <c r="R220" s="61"/>
    </row>
    <row r="222" spans="2:18">
      <c r="B222" s="77"/>
      <c r="C222" s="77"/>
      <c r="D222" s="77"/>
      <c r="E222" s="77"/>
      <c r="F222" s="77"/>
      <c r="G222" s="77"/>
      <c r="H222" s="77"/>
      <c r="I222" s="77"/>
      <c r="J222" s="77"/>
      <c r="K222" s="77"/>
      <c r="L222" s="77"/>
      <c r="M222" s="77"/>
      <c r="N222" s="77"/>
      <c r="O222" s="77"/>
      <c r="P222" s="77"/>
      <c r="Q222" s="77"/>
      <c r="R222" s="77"/>
    </row>
    <row r="224" spans="2:18">
      <c r="B224" s="11"/>
      <c r="C224" s="11"/>
      <c r="D224" s="11"/>
    </row>
    <row r="225" spans="2:18">
      <c r="H225" s="45"/>
      <c r="I225" s="34"/>
      <c r="J225" s="34"/>
      <c r="K225" s="34"/>
      <c r="L225" s="34"/>
      <c r="M225" s="34"/>
      <c r="N225" s="34"/>
      <c r="O225" s="34"/>
      <c r="P225" s="34"/>
      <c r="Q225" s="34"/>
      <c r="R225" s="34"/>
    </row>
    <row r="226" spans="2:18">
      <c r="H226" s="67"/>
      <c r="I226" s="64"/>
      <c r="J226" s="64"/>
      <c r="K226" s="64"/>
      <c r="L226" s="64"/>
      <c r="M226" s="64"/>
      <c r="N226" s="64"/>
      <c r="O226" s="64"/>
      <c r="P226" s="64"/>
      <c r="Q226" s="64"/>
      <c r="R226" s="64"/>
    </row>
    <row r="228" spans="2:18">
      <c r="B228" s="11"/>
      <c r="C228" s="11"/>
      <c r="D228" s="11"/>
    </row>
    <row r="229" spans="2:18">
      <c r="H229" s="45"/>
      <c r="I229" s="34"/>
      <c r="J229" s="34"/>
      <c r="K229" s="34"/>
      <c r="L229" s="34"/>
      <c r="M229" s="34"/>
      <c r="N229" s="34"/>
      <c r="O229" s="34"/>
      <c r="P229" s="34"/>
      <c r="Q229" s="34"/>
      <c r="R229" s="34"/>
    </row>
    <row r="230" spans="2:18">
      <c r="H230" s="67"/>
      <c r="I230" s="64"/>
      <c r="J230" s="64"/>
      <c r="K230" s="64"/>
      <c r="L230" s="64"/>
      <c r="M230" s="64"/>
      <c r="N230" s="64"/>
      <c r="O230" s="64"/>
      <c r="P230" s="64"/>
      <c r="Q230" s="64"/>
      <c r="R230" s="64"/>
    </row>
    <row r="232" spans="2:18">
      <c r="B232" s="77"/>
      <c r="C232" s="77"/>
      <c r="D232" s="77"/>
      <c r="E232" s="77"/>
      <c r="F232" s="77"/>
      <c r="G232" s="77"/>
      <c r="H232" s="77"/>
      <c r="I232" s="77"/>
      <c r="J232" s="77"/>
      <c r="K232" s="77"/>
      <c r="L232" s="77"/>
      <c r="M232" s="77"/>
      <c r="N232" s="77"/>
      <c r="O232" s="77"/>
      <c r="P232" s="77"/>
      <c r="Q232" s="77"/>
      <c r="R232" s="77"/>
    </row>
    <row r="234" spans="2:18">
      <c r="I234" s="35"/>
      <c r="J234" s="35"/>
      <c r="K234" s="35"/>
      <c r="L234" s="35"/>
      <c r="M234" s="35"/>
      <c r="N234" s="35"/>
      <c r="O234" s="35"/>
      <c r="P234" s="35"/>
      <c r="Q234" s="35"/>
      <c r="R234" s="35"/>
    </row>
    <row r="235" spans="2:18">
      <c r="B235" s="40"/>
      <c r="C235" s="40"/>
      <c r="D235" s="40"/>
      <c r="G235" s="68"/>
      <c r="I235" s="35"/>
      <c r="J235" s="35"/>
      <c r="K235" s="35"/>
      <c r="L235" s="35"/>
      <c r="M235" s="35"/>
      <c r="N235" s="35"/>
      <c r="O235" s="35"/>
      <c r="P235" s="35"/>
      <c r="Q235" s="35"/>
      <c r="R235" s="35"/>
    </row>
    <row r="236" spans="2:18">
      <c r="B236" s="40"/>
      <c r="C236" s="40"/>
      <c r="D236" s="40"/>
    </row>
    <row r="237" spans="2:18">
      <c r="B237" s="11"/>
      <c r="C237" s="11"/>
      <c r="D237" s="11"/>
      <c r="E237" s="11"/>
      <c r="F237" s="11"/>
      <c r="G237" s="11"/>
      <c r="H237" s="41"/>
      <c r="I237" s="42"/>
      <c r="J237" s="42"/>
      <c r="K237" s="42"/>
      <c r="L237" s="42"/>
      <c r="M237" s="42"/>
      <c r="N237" s="42"/>
      <c r="O237" s="42"/>
      <c r="P237" s="42"/>
      <c r="Q237" s="42"/>
      <c r="R237" s="42"/>
    </row>
    <row r="238" spans="2:18">
      <c r="B238" s="11"/>
      <c r="C238" s="11"/>
      <c r="D238" s="11"/>
      <c r="E238" s="11"/>
      <c r="F238" s="11"/>
      <c r="G238" s="11"/>
      <c r="H238" s="41"/>
      <c r="I238" s="42"/>
      <c r="J238" s="42"/>
      <c r="K238" s="42"/>
      <c r="L238" s="42"/>
      <c r="M238" s="42"/>
      <c r="N238" s="42"/>
      <c r="O238" s="42"/>
      <c r="P238" s="42"/>
      <c r="Q238" s="42"/>
      <c r="R238" s="42"/>
    </row>
    <row r="240" spans="2:18">
      <c r="I240" s="35"/>
      <c r="J240" s="35"/>
      <c r="K240" s="35"/>
      <c r="L240" s="35"/>
      <c r="M240" s="35"/>
      <c r="N240" s="35"/>
      <c r="O240" s="35"/>
      <c r="P240" s="35"/>
      <c r="Q240" s="35"/>
      <c r="R240" s="35"/>
    </row>
    <row r="241" spans="2:18">
      <c r="B241" s="40"/>
      <c r="C241" s="40"/>
      <c r="D241" s="40"/>
      <c r="G241" s="68"/>
      <c r="I241" s="35"/>
      <c r="J241" s="35"/>
      <c r="K241" s="35"/>
      <c r="L241" s="35"/>
      <c r="M241" s="35"/>
      <c r="N241" s="35"/>
      <c r="O241" s="35"/>
      <c r="P241" s="35"/>
      <c r="Q241" s="35"/>
      <c r="R241" s="35"/>
    </row>
    <row r="242" spans="2:18">
      <c r="B242" s="40"/>
      <c r="C242" s="40"/>
      <c r="D242" s="40"/>
    </row>
    <row r="243" spans="2:18">
      <c r="B243" s="11"/>
      <c r="C243" s="11"/>
      <c r="D243" s="11"/>
      <c r="E243" s="11"/>
      <c r="F243" s="11"/>
      <c r="G243" s="11"/>
      <c r="H243" s="41"/>
      <c r="I243" s="42"/>
      <c r="J243" s="42"/>
      <c r="K243" s="42"/>
      <c r="L243" s="42"/>
      <c r="M243" s="42"/>
      <c r="N243" s="42"/>
      <c r="O243" s="42"/>
      <c r="P243" s="42"/>
      <c r="Q243" s="42"/>
      <c r="R243" s="42"/>
    </row>
    <row r="245" spans="2:18">
      <c r="B245" s="43"/>
      <c r="C245" s="43"/>
      <c r="D245" s="43"/>
    </row>
    <row r="247" spans="2:18">
      <c r="B247" s="44"/>
      <c r="C247" s="44"/>
      <c r="D247" s="44"/>
      <c r="H247" s="45"/>
      <c r="I247" s="34"/>
      <c r="J247" s="34"/>
      <c r="K247" s="34"/>
      <c r="L247" s="34"/>
      <c r="M247" s="34"/>
      <c r="N247" s="34"/>
      <c r="O247" s="34"/>
      <c r="P247" s="34"/>
      <c r="Q247" s="34"/>
      <c r="R247" s="34"/>
    </row>
    <row r="248" spans="2:18">
      <c r="B248" s="44"/>
      <c r="C248" s="44"/>
      <c r="D248" s="44"/>
      <c r="H248" s="45"/>
      <c r="I248" s="34"/>
      <c r="J248" s="34"/>
      <c r="K248" s="34"/>
      <c r="L248" s="34"/>
      <c r="M248" s="34"/>
      <c r="N248" s="34"/>
      <c r="O248" s="34"/>
      <c r="P248" s="34"/>
      <c r="Q248" s="34"/>
      <c r="R248" s="34"/>
    </row>
    <row r="249" spans="2:18">
      <c r="B249" s="44"/>
      <c r="C249" s="44"/>
      <c r="D249" s="44"/>
      <c r="H249" s="45"/>
      <c r="I249" s="45"/>
      <c r="J249" s="34"/>
      <c r="K249" s="34"/>
      <c r="L249" s="34"/>
      <c r="M249" s="34"/>
      <c r="N249" s="34"/>
      <c r="O249" s="34"/>
      <c r="P249" s="34"/>
      <c r="Q249" s="34"/>
      <c r="R249" s="34"/>
    </row>
    <row r="250" spans="2:18">
      <c r="B250" s="44"/>
      <c r="C250" s="44"/>
      <c r="D250" s="44"/>
      <c r="H250" s="45"/>
      <c r="I250" s="45"/>
      <c r="J250" s="45"/>
      <c r="K250" s="34"/>
      <c r="L250" s="34"/>
      <c r="M250" s="34"/>
      <c r="N250" s="34"/>
      <c r="O250" s="34"/>
      <c r="P250" s="34"/>
      <c r="Q250" s="34"/>
      <c r="R250" s="34"/>
    </row>
    <row r="251" spans="2:18">
      <c r="B251" s="44"/>
      <c r="C251" s="44"/>
      <c r="D251" s="44"/>
      <c r="H251" s="45"/>
      <c r="I251" s="45"/>
      <c r="J251" s="45"/>
      <c r="K251" s="45"/>
      <c r="L251" s="34"/>
      <c r="M251" s="34"/>
      <c r="N251" s="34"/>
      <c r="O251" s="34"/>
      <c r="P251" s="34"/>
      <c r="Q251" s="34"/>
      <c r="R251" s="34"/>
    </row>
    <row r="252" spans="2:18">
      <c r="B252" s="44"/>
      <c r="C252" s="44"/>
      <c r="D252" s="44"/>
      <c r="H252" s="45"/>
      <c r="I252" s="45"/>
      <c r="J252" s="45"/>
      <c r="K252" s="45"/>
      <c r="L252" s="45"/>
      <c r="M252" s="34"/>
      <c r="N252" s="34"/>
      <c r="O252" s="34"/>
      <c r="P252" s="34"/>
      <c r="Q252" s="34"/>
      <c r="R252" s="34"/>
    </row>
    <row r="253" spans="2:18">
      <c r="B253" s="11"/>
      <c r="C253" s="11"/>
      <c r="D253" s="11"/>
      <c r="H253" s="31"/>
      <c r="I253" s="31"/>
      <c r="J253" s="31"/>
      <c r="K253" s="31"/>
      <c r="L253" s="31"/>
      <c r="M253" s="31"/>
      <c r="N253" s="31"/>
      <c r="O253" s="31"/>
      <c r="P253" s="31"/>
      <c r="Q253" s="31"/>
      <c r="R253" s="31"/>
    </row>
    <row r="255" spans="2:18">
      <c r="B255" s="43"/>
      <c r="C255" s="43"/>
      <c r="D255" s="43"/>
    </row>
    <row r="257" spans="2:18">
      <c r="B257" s="44"/>
      <c r="C257" s="44"/>
      <c r="D257" s="44"/>
      <c r="H257" s="45"/>
      <c r="I257" s="34"/>
      <c r="J257" s="34"/>
      <c r="K257" s="34"/>
      <c r="L257" s="34"/>
      <c r="M257" s="34"/>
      <c r="N257" s="34"/>
      <c r="O257" s="34"/>
      <c r="P257" s="34"/>
      <c r="Q257" s="34"/>
      <c r="R257" s="34"/>
    </row>
    <row r="258" spans="2:18">
      <c r="B258" s="44"/>
      <c r="C258" s="44"/>
      <c r="D258" s="44"/>
      <c r="H258" s="45"/>
      <c r="I258" s="34"/>
      <c r="J258" s="34"/>
      <c r="K258" s="34"/>
      <c r="L258" s="34"/>
      <c r="M258" s="34"/>
      <c r="N258" s="34"/>
      <c r="O258" s="34"/>
      <c r="P258" s="34"/>
      <c r="Q258" s="34"/>
      <c r="R258" s="34"/>
    </row>
    <row r="259" spans="2:18">
      <c r="B259" s="44"/>
      <c r="C259" s="44"/>
      <c r="D259" s="44"/>
      <c r="H259" s="45"/>
      <c r="I259" s="45"/>
      <c r="J259" s="34"/>
      <c r="K259" s="34"/>
      <c r="L259" s="34"/>
      <c r="M259" s="34"/>
      <c r="N259" s="34"/>
      <c r="O259" s="34"/>
      <c r="P259" s="34"/>
      <c r="Q259" s="34"/>
      <c r="R259" s="34"/>
    </row>
    <row r="260" spans="2:18">
      <c r="B260" s="44"/>
      <c r="C260" s="44"/>
      <c r="D260" s="44"/>
      <c r="H260" s="45"/>
      <c r="I260" s="45"/>
      <c r="J260" s="45"/>
      <c r="K260" s="34"/>
      <c r="L260" s="34"/>
      <c r="M260" s="34"/>
      <c r="N260" s="34"/>
      <c r="O260" s="34"/>
      <c r="P260" s="34"/>
      <c r="Q260" s="34"/>
      <c r="R260" s="34"/>
    </row>
    <row r="261" spans="2:18">
      <c r="B261" s="44"/>
      <c r="C261" s="44"/>
      <c r="D261" s="44"/>
      <c r="H261" s="45"/>
      <c r="I261" s="45"/>
      <c r="J261" s="45"/>
      <c r="K261" s="45"/>
      <c r="L261" s="34"/>
      <c r="M261" s="34"/>
      <c r="N261" s="34"/>
      <c r="O261" s="34"/>
      <c r="P261" s="34"/>
      <c r="Q261" s="34"/>
      <c r="R261" s="34"/>
    </row>
    <row r="262" spans="2:18">
      <c r="B262" s="44"/>
      <c r="C262" s="44"/>
      <c r="D262" s="44"/>
      <c r="H262" s="45"/>
      <c r="I262" s="45"/>
      <c r="J262" s="45"/>
      <c r="K262" s="45"/>
      <c r="L262" s="45"/>
      <c r="M262" s="34"/>
      <c r="N262" s="34"/>
      <c r="O262" s="34"/>
      <c r="P262" s="34"/>
      <c r="Q262" s="34"/>
      <c r="R262" s="34"/>
    </row>
    <row r="263" spans="2:18">
      <c r="B263" s="11"/>
      <c r="C263" s="11"/>
      <c r="D263" s="11"/>
      <c r="H263" s="31"/>
      <c r="I263" s="31"/>
      <c r="J263" s="31"/>
      <c r="K263" s="31"/>
      <c r="L263" s="31"/>
      <c r="M263" s="31"/>
      <c r="N263" s="31"/>
      <c r="O263" s="31"/>
      <c r="P263" s="31"/>
      <c r="Q263" s="31"/>
      <c r="R263" s="31"/>
    </row>
    <row r="265" spans="2:18">
      <c r="B265" s="77"/>
      <c r="C265" s="77"/>
      <c r="D265" s="77"/>
      <c r="E265" s="77"/>
      <c r="F265" s="77"/>
      <c r="G265" s="77"/>
      <c r="H265" s="77"/>
      <c r="I265" s="77"/>
      <c r="J265" s="77"/>
      <c r="K265" s="77"/>
      <c r="L265" s="77"/>
      <c r="M265" s="77"/>
      <c r="N265" s="77"/>
      <c r="O265" s="77"/>
      <c r="P265" s="77"/>
      <c r="Q265" s="77"/>
      <c r="R265" s="77"/>
    </row>
    <row r="267" spans="2:18">
      <c r="H267" s="35"/>
      <c r="I267" s="35"/>
      <c r="J267" s="35"/>
      <c r="K267" s="35"/>
      <c r="L267" s="35"/>
      <c r="M267" s="35"/>
      <c r="N267" s="35"/>
      <c r="O267" s="35"/>
      <c r="P267" s="35"/>
      <c r="Q267" s="35"/>
      <c r="R267" s="35"/>
    </row>
    <row r="268" spans="2:18">
      <c r="H268" s="47"/>
      <c r="I268" s="47"/>
      <c r="J268" s="47"/>
      <c r="K268" s="47"/>
      <c r="L268" s="47"/>
      <c r="M268" s="47"/>
      <c r="N268" s="47"/>
      <c r="O268" s="47"/>
      <c r="P268" s="47"/>
      <c r="Q268" s="47"/>
      <c r="R268" s="47"/>
    </row>
    <row r="269" spans="2:18">
      <c r="H269" s="47"/>
      <c r="I269" s="47"/>
      <c r="J269" s="47"/>
      <c r="K269" s="47"/>
      <c r="L269" s="47"/>
      <c r="M269" s="47"/>
      <c r="N269" s="47"/>
      <c r="O269" s="47"/>
      <c r="P269" s="47"/>
      <c r="Q269" s="47"/>
      <c r="R269" s="47"/>
    </row>
    <row r="270" spans="2:18">
      <c r="H270" s="47"/>
      <c r="I270" s="47"/>
      <c r="J270" s="47"/>
      <c r="K270" s="47"/>
      <c r="L270" s="47"/>
      <c r="M270" s="47"/>
      <c r="N270" s="47"/>
      <c r="O270" s="47"/>
      <c r="P270" s="47"/>
      <c r="Q270" s="47"/>
      <c r="R270" s="47"/>
    </row>
    <row r="271" spans="2:18">
      <c r="H271" s="47"/>
      <c r="I271" s="47"/>
      <c r="J271" s="47"/>
      <c r="K271" s="47"/>
      <c r="L271" s="47"/>
      <c r="M271" s="47"/>
      <c r="N271" s="47"/>
      <c r="O271" s="47"/>
      <c r="P271" s="47"/>
      <c r="Q271" s="47"/>
      <c r="R271" s="47"/>
    </row>
    <row r="272" spans="2:18">
      <c r="B272" s="11"/>
      <c r="C272" s="11"/>
      <c r="D272" s="11"/>
      <c r="H272" s="35"/>
      <c r="I272" s="35"/>
      <c r="J272" s="35"/>
      <c r="K272" s="35"/>
      <c r="L272" s="35"/>
      <c r="M272" s="35"/>
      <c r="N272" s="35"/>
      <c r="O272" s="35"/>
      <c r="P272" s="35"/>
      <c r="Q272" s="35"/>
      <c r="R272" s="35"/>
    </row>
    <row r="273" spans="2:18">
      <c r="H273" s="69"/>
      <c r="I273" s="47"/>
      <c r="J273" s="47"/>
      <c r="K273" s="47"/>
      <c r="L273" s="47"/>
      <c r="M273" s="47"/>
      <c r="N273" s="47"/>
      <c r="O273" s="47"/>
      <c r="P273" s="47"/>
      <c r="Q273" s="47"/>
      <c r="R273" s="47"/>
    </row>
    <row r="274" spans="2:18">
      <c r="B274" s="11"/>
      <c r="C274" s="11"/>
      <c r="D274" s="11"/>
      <c r="H274" s="35"/>
      <c r="I274" s="35"/>
      <c r="J274" s="35"/>
      <c r="K274" s="35"/>
      <c r="L274" s="35"/>
      <c r="M274" s="35"/>
      <c r="N274" s="35"/>
      <c r="O274" s="35"/>
      <c r="P274" s="35"/>
      <c r="Q274" s="35"/>
      <c r="R274" s="35"/>
    </row>
    <row r="276" spans="2:18">
      <c r="B276" s="11"/>
      <c r="C276" s="11"/>
      <c r="D276" s="11"/>
      <c r="H276" s="70"/>
      <c r="I276" s="71"/>
      <c r="J276" s="71"/>
      <c r="K276" s="71"/>
      <c r="L276" s="71"/>
      <c r="M276" s="71"/>
      <c r="N276" s="71"/>
      <c r="O276" s="71"/>
      <c r="P276" s="71"/>
      <c r="Q276" s="71"/>
      <c r="R276" s="71"/>
    </row>
    <row r="278" spans="2:18">
      <c r="B278" s="77"/>
      <c r="C278" s="77"/>
      <c r="D278" s="77"/>
      <c r="E278" s="77"/>
      <c r="F278" s="77"/>
      <c r="G278" s="77"/>
      <c r="H278" s="77"/>
      <c r="I278" s="77"/>
      <c r="J278" s="77"/>
      <c r="K278" s="77"/>
      <c r="L278" s="77"/>
      <c r="M278" s="77"/>
      <c r="N278" s="77"/>
      <c r="O278" s="77"/>
      <c r="P278" s="77"/>
      <c r="Q278" s="77"/>
      <c r="R278" s="77"/>
    </row>
    <row r="280" spans="2:18">
      <c r="H280" s="35"/>
      <c r="I280" s="47"/>
      <c r="J280" s="47"/>
      <c r="K280" s="47"/>
      <c r="L280" s="47"/>
      <c r="M280" s="47"/>
      <c r="N280" s="47"/>
      <c r="O280" s="47"/>
      <c r="P280" s="47"/>
      <c r="Q280" s="47"/>
      <c r="R280" s="47"/>
    </row>
    <row r="281" spans="2:18">
      <c r="B281" s="40"/>
      <c r="C281" s="40"/>
      <c r="D281" s="40"/>
      <c r="H281" s="35"/>
      <c r="I281" s="47"/>
      <c r="J281" s="47"/>
      <c r="K281" s="47"/>
      <c r="L281" s="47"/>
      <c r="M281" s="47"/>
      <c r="N281" s="47"/>
      <c r="O281" s="47"/>
      <c r="P281" s="47"/>
      <c r="Q281" s="47"/>
      <c r="R281" s="47"/>
    </row>
    <row r="282" spans="2:18">
      <c r="B282" s="40"/>
      <c r="C282" s="40"/>
      <c r="D282" s="40"/>
      <c r="H282" s="35"/>
      <c r="I282" s="47"/>
      <c r="J282" s="47"/>
      <c r="K282" s="47"/>
      <c r="L282" s="47"/>
      <c r="M282" s="47"/>
      <c r="N282" s="47"/>
      <c r="O282" s="47"/>
      <c r="P282" s="47"/>
      <c r="Q282" s="47"/>
      <c r="R282" s="47"/>
    </row>
    <row r="283" spans="2:18">
      <c r="B283" s="11"/>
      <c r="C283" s="11"/>
      <c r="D283" s="11"/>
      <c r="E283" s="11"/>
      <c r="F283" s="11"/>
      <c r="G283" s="11"/>
      <c r="H283" s="41"/>
      <c r="I283" s="31"/>
      <c r="J283" s="31"/>
      <c r="K283" s="31"/>
      <c r="L283" s="31"/>
      <c r="M283" s="31"/>
      <c r="N283" s="31"/>
      <c r="O283" s="31"/>
      <c r="P283" s="31"/>
      <c r="Q283" s="31"/>
      <c r="R283" s="31"/>
    </row>
    <row r="285" spans="2:18">
      <c r="I285" s="71"/>
      <c r="J285" s="71"/>
      <c r="K285" s="71"/>
      <c r="L285" s="71"/>
      <c r="M285" s="71"/>
      <c r="N285" s="71"/>
      <c r="O285" s="71"/>
      <c r="P285" s="71"/>
      <c r="Q285" s="71"/>
      <c r="R285" s="71"/>
    </row>
    <row r="287" spans="2:18">
      <c r="B287" s="77"/>
      <c r="C287" s="77"/>
      <c r="D287" s="77"/>
      <c r="E287" s="77"/>
      <c r="F287" s="77"/>
      <c r="G287" s="77"/>
      <c r="H287" s="77"/>
      <c r="I287" s="77"/>
      <c r="J287" s="77"/>
      <c r="K287" s="77"/>
      <c r="L287" s="77"/>
      <c r="M287" s="77"/>
      <c r="N287" s="77"/>
      <c r="O287" s="77"/>
      <c r="P287" s="77"/>
      <c r="Q287" s="77"/>
      <c r="R287" s="77"/>
    </row>
    <row r="288" spans="2:18">
      <c r="M288" s="55"/>
      <c r="N288" s="55"/>
      <c r="O288" s="55"/>
      <c r="P288" s="55"/>
      <c r="Q288" s="55"/>
      <c r="R288" s="55"/>
    </row>
    <row r="289" spans="2:18">
      <c r="B289" s="43"/>
      <c r="C289" s="43"/>
      <c r="D289" s="43"/>
    </row>
    <row r="290" spans="2:18">
      <c r="H290" s="35"/>
      <c r="I290" s="35"/>
      <c r="J290" s="35"/>
      <c r="K290" s="35"/>
      <c r="L290" s="35"/>
      <c r="M290" s="35"/>
      <c r="N290" s="35"/>
      <c r="O290" s="35"/>
      <c r="P290" s="35"/>
      <c r="Q290" s="35"/>
      <c r="R290" s="35"/>
    </row>
    <row r="291" spans="2:18">
      <c r="H291" s="41"/>
      <c r="I291" s="34"/>
      <c r="J291" s="34"/>
      <c r="K291" s="34"/>
      <c r="L291" s="34"/>
      <c r="M291" s="34"/>
      <c r="N291" s="34"/>
      <c r="O291" s="34"/>
      <c r="P291" s="34"/>
      <c r="Q291" s="34"/>
      <c r="R291" s="34"/>
    </row>
    <row r="292" spans="2:18">
      <c r="B292" s="11"/>
      <c r="C292" s="11"/>
      <c r="D292" s="11"/>
      <c r="E292" s="11"/>
      <c r="F292" s="11"/>
      <c r="G292" s="11"/>
      <c r="H292" s="72"/>
      <c r="I292" s="72"/>
      <c r="J292" s="72"/>
      <c r="K292" s="72"/>
      <c r="L292" s="72"/>
      <c r="M292" s="72"/>
      <c r="N292" s="72"/>
      <c r="O292" s="72"/>
      <c r="P292" s="72"/>
      <c r="Q292" s="72"/>
      <c r="R292" s="72"/>
    </row>
    <row r="294" spans="2:18">
      <c r="B294" s="43"/>
      <c r="C294" s="43"/>
      <c r="D294" s="43"/>
    </row>
    <row r="295" spans="2:18">
      <c r="H295" s="35"/>
      <c r="I295" s="35"/>
      <c r="J295" s="35"/>
      <c r="K295" s="35"/>
      <c r="L295" s="35"/>
      <c r="M295" s="35"/>
      <c r="N295" s="35"/>
      <c r="O295" s="35"/>
      <c r="P295" s="35"/>
      <c r="Q295" s="35"/>
      <c r="R295" s="35"/>
    </row>
    <row r="296" spans="2:18">
      <c r="H296" s="41"/>
      <c r="I296" s="34"/>
      <c r="J296" s="34"/>
      <c r="K296" s="34"/>
      <c r="L296" s="34"/>
      <c r="M296" s="34"/>
      <c r="N296" s="34"/>
      <c r="O296" s="34"/>
      <c r="P296" s="34"/>
      <c r="Q296" s="34"/>
      <c r="R296" s="34"/>
    </row>
    <row r="297" spans="2:18">
      <c r="B297" s="11"/>
      <c r="C297" s="11"/>
      <c r="D297" s="11"/>
      <c r="E297" s="11"/>
      <c r="F297" s="11"/>
      <c r="G297" s="11"/>
      <c r="H297" s="72"/>
      <c r="I297" s="72"/>
      <c r="J297" s="72"/>
      <c r="K297" s="72"/>
      <c r="L297" s="72"/>
      <c r="M297" s="72"/>
      <c r="N297" s="72"/>
      <c r="O297" s="72"/>
      <c r="P297" s="72"/>
      <c r="Q297" s="72"/>
      <c r="R297" s="72"/>
    </row>
    <row r="299" spans="2:18">
      <c r="B299" s="43"/>
      <c r="C299" s="43"/>
      <c r="D299" s="43"/>
    </row>
    <row r="300" spans="2:18">
      <c r="H300" s="35"/>
      <c r="I300" s="35"/>
      <c r="J300" s="35"/>
      <c r="K300" s="35"/>
      <c r="L300" s="35"/>
      <c r="M300" s="35"/>
      <c r="N300" s="35"/>
      <c r="O300" s="35"/>
      <c r="P300" s="35"/>
      <c r="Q300" s="35"/>
      <c r="R300" s="35"/>
    </row>
    <row r="301" spans="2:18">
      <c r="H301" s="41"/>
      <c r="I301" s="34"/>
      <c r="J301" s="34"/>
      <c r="K301" s="34"/>
      <c r="L301" s="34"/>
      <c r="M301" s="34"/>
      <c r="N301" s="34"/>
      <c r="O301" s="34"/>
      <c r="P301" s="34"/>
      <c r="Q301" s="34"/>
      <c r="R301" s="34"/>
    </row>
    <row r="302" spans="2:18">
      <c r="B302" s="11"/>
      <c r="C302" s="11"/>
      <c r="D302" s="11"/>
      <c r="E302" s="11"/>
      <c r="F302" s="11"/>
      <c r="G302" s="11"/>
      <c r="H302" s="73"/>
      <c r="I302" s="73"/>
      <c r="J302" s="73"/>
      <c r="K302" s="73"/>
      <c r="L302" s="73"/>
      <c r="M302" s="73"/>
      <c r="N302" s="73"/>
      <c r="O302" s="73"/>
      <c r="P302" s="73"/>
      <c r="Q302" s="73"/>
      <c r="R302" s="73"/>
    </row>
    <row r="304" spans="2:18">
      <c r="B304" s="43"/>
      <c r="C304" s="43"/>
      <c r="D304" s="43"/>
    </row>
    <row r="305" spans="2:18">
      <c r="H305" s="35"/>
      <c r="I305" s="35"/>
      <c r="J305" s="35"/>
      <c r="K305" s="35"/>
      <c r="L305" s="35"/>
      <c r="M305" s="35"/>
      <c r="N305" s="35"/>
      <c r="O305" s="35"/>
      <c r="P305" s="35"/>
      <c r="Q305" s="35"/>
      <c r="R305" s="35"/>
    </row>
    <row r="306" spans="2:18">
      <c r="H306" s="41"/>
      <c r="I306" s="34"/>
      <c r="J306" s="34"/>
      <c r="K306" s="34"/>
      <c r="L306" s="34"/>
      <c r="M306" s="34"/>
      <c r="N306" s="34"/>
      <c r="O306" s="34"/>
      <c r="P306" s="34"/>
      <c r="Q306" s="34"/>
      <c r="R306" s="34"/>
    </row>
    <row r="307" spans="2:18">
      <c r="B307" s="11"/>
      <c r="C307" s="11"/>
      <c r="D307" s="11"/>
      <c r="E307" s="11"/>
      <c r="F307" s="11"/>
      <c r="G307" s="11"/>
      <c r="H307" s="73"/>
      <c r="I307" s="73"/>
      <c r="J307" s="73"/>
      <c r="K307" s="73"/>
      <c r="L307" s="73"/>
      <c r="M307" s="73"/>
      <c r="N307" s="73"/>
      <c r="O307" s="73"/>
      <c r="P307" s="73"/>
      <c r="Q307" s="73"/>
      <c r="R307" s="73"/>
    </row>
    <row r="309" spans="2:18">
      <c r="B309" s="43"/>
      <c r="C309" s="43"/>
      <c r="D309" s="43"/>
    </row>
    <row r="310" spans="2:18">
      <c r="H310" s="35"/>
      <c r="I310" s="35"/>
      <c r="J310" s="35"/>
      <c r="K310" s="35"/>
      <c r="L310" s="35"/>
      <c r="M310" s="35"/>
      <c r="N310" s="35"/>
      <c r="O310" s="35"/>
      <c r="P310" s="35"/>
      <c r="Q310" s="35"/>
      <c r="R310" s="35"/>
    </row>
    <row r="311" spans="2:18">
      <c r="H311" s="41"/>
      <c r="I311" s="34"/>
      <c r="J311" s="34"/>
      <c r="K311" s="34"/>
      <c r="L311" s="34"/>
      <c r="M311" s="34"/>
      <c r="N311" s="34"/>
      <c r="O311" s="34"/>
      <c r="P311" s="34"/>
      <c r="Q311" s="34"/>
      <c r="R311" s="34"/>
    </row>
    <row r="312" spans="2:18">
      <c r="B312" s="11"/>
      <c r="C312" s="11"/>
      <c r="D312" s="11"/>
      <c r="E312" s="11"/>
      <c r="F312" s="11"/>
      <c r="G312" s="11"/>
      <c r="H312" s="72"/>
      <c r="I312" s="72"/>
      <c r="J312" s="72"/>
      <c r="K312" s="72"/>
      <c r="L312" s="72"/>
      <c r="M312" s="72"/>
      <c r="N312" s="72"/>
      <c r="O312" s="72"/>
      <c r="P312" s="72"/>
      <c r="Q312" s="72"/>
      <c r="R312" s="72"/>
    </row>
    <row r="314" spans="2:18">
      <c r="B314" s="43"/>
      <c r="C314" s="43"/>
      <c r="D314" s="43"/>
    </row>
    <row r="315" spans="2:18">
      <c r="H315" s="35"/>
      <c r="I315" s="35"/>
      <c r="J315" s="35"/>
      <c r="K315" s="35"/>
      <c r="L315" s="35"/>
      <c r="M315" s="35"/>
      <c r="N315" s="35"/>
      <c r="O315" s="35"/>
      <c r="P315" s="35"/>
      <c r="Q315" s="35"/>
      <c r="R315" s="35"/>
    </row>
    <row r="316" spans="2:18">
      <c r="H316" s="41"/>
      <c r="I316" s="34"/>
      <c r="J316" s="34"/>
      <c r="K316" s="34"/>
      <c r="L316" s="34"/>
      <c r="M316" s="34"/>
      <c r="N316" s="34"/>
      <c r="O316" s="34"/>
      <c r="P316" s="34"/>
      <c r="Q316" s="34"/>
      <c r="R316" s="34"/>
    </row>
    <row r="317" spans="2:18">
      <c r="B317" s="11"/>
      <c r="C317" s="11"/>
      <c r="D317" s="11"/>
      <c r="E317" s="11"/>
      <c r="F317" s="11"/>
      <c r="G317" s="11"/>
      <c r="H317" s="73"/>
      <c r="I317" s="73"/>
      <c r="J317" s="73"/>
      <c r="K317" s="73"/>
      <c r="L317" s="73"/>
      <c r="M317" s="73"/>
      <c r="N317" s="73"/>
      <c r="O317" s="73"/>
      <c r="P317" s="73"/>
      <c r="Q317" s="73"/>
      <c r="R317" s="73"/>
    </row>
    <row r="319" spans="2:18">
      <c r="B319" s="43"/>
      <c r="C319" s="43"/>
      <c r="D319" s="43"/>
    </row>
    <row r="320" spans="2:18">
      <c r="H320" s="35"/>
      <c r="I320" s="35"/>
      <c r="J320" s="35"/>
      <c r="K320" s="35"/>
      <c r="L320" s="35"/>
      <c r="M320" s="35"/>
      <c r="N320" s="35"/>
      <c r="O320" s="35"/>
      <c r="P320" s="35"/>
      <c r="Q320" s="35"/>
      <c r="R320" s="35"/>
    </row>
    <row r="321" spans="2:19">
      <c r="H321" s="41"/>
      <c r="I321" s="34"/>
      <c r="J321" s="34"/>
      <c r="K321" s="34"/>
      <c r="L321" s="34"/>
      <c r="M321" s="34"/>
      <c r="N321" s="34"/>
      <c r="O321" s="34"/>
      <c r="P321" s="34"/>
      <c r="Q321" s="34"/>
      <c r="R321" s="34"/>
    </row>
    <row r="322" spans="2:19">
      <c r="B322" s="11"/>
      <c r="C322" s="11"/>
      <c r="D322" s="11"/>
      <c r="E322" s="11"/>
      <c r="F322" s="11"/>
      <c r="G322" s="11"/>
      <c r="H322" s="73"/>
      <c r="I322" s="73"/>
      <c r="J322" s="73"/>
      <c r="K322" s="73"/>
      <c r="L322" s="73"/>
      <c r="M322" s="73"/>
      <c r="N322" s="73"/>
      <c r="O322" s="73"/>
      <c r="P322" s="73"/>
      <c r="Q322" s="73"/>
      <c r="R322" s="73"/>
    </row>
    <row r="324" spans="2:19">
      <c r="B324" s="77"/>
      <c r="C324" s="77"/>
      <c r="D324" s="77"/>
      <c r="E324" s="77"/>
      <c r="F324" s="77"/>
      <c r="G324" s="77"/>
      <c r="H324" s="77"/>
      <c r="I324" s="77"/>
      <c r="J324" s="77"/>
      <c r="K324" s="77"/>
      <c r="L324" s="77"/>
      <c r="M324" s="77"/>
      <c r="N324" s="77"/>
      <c r="O324" s="77"/>
      <c r="P324" s="77"/>
      <c r="Q324" s="77"/>
      <c r="R324" s="77"/>
    </row>
    <row r="326" spans="2:19">
      <c r="I326" s="35"/>
      <c r="J326" s="35"/>
      <c r="K326" s="35"/>
      <c r="L326" s="35"/>
      <c r="M326" s="35"/>
      <c r="N326" s="35"/>
      <c r="O326" s="35"/>
      <c r="P326" s="35"/>
      <c r="Q326" s="35"/>
      <c r="R326" s="35"/>
    </row>
    <row r="327" spans="2:19">
      <c r="B327" s="40"/>
      <c r="C327" s="40"/>
      <c r="D327" s="40"/>
      <c r="E327" s="86"/>
      <c r="F327" s="86"/>
      <c r="I327" s="59"/>
      <c r="J327" s="59"/>
    </row>
    <row r="328" spans="2:19">
      <c r="B328" s="40"/>
      <c r="C328" s="40"/>
      <c r="D328" s="40"/>
      <c r="I328" s="35"/>
      <c r="J328" s="35"/>
      <c r="K328" s="35"/>
      <c r="L328" s="35"/>
      <c r="M328" s="35"/>
      <c r="N328" s="35"/>
      <c r="O328" s="35"/>
      <c r="P328" s="35"/>
      <c r="Q328" s="35"/>
      <c r="R328" s="35"/>
    </row>
    <row r="329" spans="2:19">
      <c r="B329" s="11"/>
      <c r="C329" s="11"/>
      <c r="D329" s="11"/>
      <c r="E329" s="11"/>
      <c r="F329" s="11"/>
      <c r="G329" s="11"/>
      <c r="H329" s="41"/>
      <c r="I329" s="35"/>
      <c r="J329" s="35"/>
      <c r="K329" s="35"/>
      <c r="L329" s="35"/>
      <c r="M329" s="35"/>
      <c r="N329" s="35"/>
      <c r="O329" s="35"/>
      <c r="P329" s="35"/>
      <c r="Q329" s="35"/>
      <c r="R329" s="35"/>
    </row>
    <row r="330" spans="2:19">
      <c r="B330" s="32"/>
      <c r="C330" s="32"/>
      <c r="D330" s="32"/>
      <c r="E330" s="32"/>
      <c r="F330" s="32"/>
      <c r="G330" s="32"/>
      <c r="H330" s="32"/>
      <c r="I330" s="67"/>
      <c r="J330" s="67"/>
      <c r="K330" s="67"/>
      <c r="L330" s="67"/>
      <c r="M330" s="67"/>
      <c r="N330" s="67"/>
      <c r="O330" s="67"/>
      <c r="P330" s="67"/>
      <c r="Q330" s="67"/>
      <c r="R330" s="67"/>
    </row>
    <row r="331" spans="2:19">
      <c r="B331" s="32"/>
      <c r="C331" s="32"/>
      <c r="D331" s="32"/>
      <c r="E331" s="32"/>
      <c r="F331" s="32"/>
      <c r="G331" s="32"/>
      <c r="H331" s="32"/>
      <c r="I331" s="34"/>
      <c r="J331" s="34"/>
      <c r="K331" s="34"/>
      <c r="L331" s="34"/>
      <c r="M331" s="34"/>
      <c r="N331" s="34"/>
      <c r="O331" s="34"/>
      <c r="P331" s="34"/>
      <c r="Q331" s="34"/>
      <c r="R331" s="34"/>
    </row>
    <row r="333" spans="2:19">
      <c r="B333" s="43"/>
      <c r="C333" s="43"/>
      <c r="D333" s="43"/>
    </row>
    <row r="334" spans="2:19">
      <c r="B334" s="44"/>
      <c r="C334" s="44"/>
      <c r="D334" s="44"/>
      <c r="H334" s="59"/>
      <c r="I334" s="34"/>
      <c r="J334" s="34"/>
      <c r="K334" s="34"/>
      <c r="L334" s="34"/>
      <c r="M334" s="34"/>
      <c r="N334" s="34"/>
      <c r="O334" s="34"/>
      <c r="P334" s="34"/>
      <c r="Q334" s="34"/>
      <c r="R334" s="34"/>
      <c r="S334" s="59"/>
    </row>
    <row r="335" spans="2:19">
      <c r="B335" s="44"/>
      <c r="C335" s="44"/>
      <c r="D335" s="44"/>
      <c r="H335" s="59"/>
      <c r="I335" s="34"/>
      <c r="J335" s="34"/>
      <c r="K335" s="34"/>
      <c r="L335" s="34"/>
      <c r="M335" s="34"/>
      <c r="N335" s="34"/>
      <c r="O335" s="34"/>
      <c r="P335" s="34"/>
      <c r="Q335" s="34"/>
      <c r="R335" s="34"/>
    </row>
    <row r="336" spans="2:19">
      <c r="B336" s="44"/>
      <c r="C336" s="44"/>
      <c r="D336" s="44"/>
      <c r="H336" s="59"/>
      <c r="I336" s="59"/>
      <c r="J336" s="34"/>
      <c r="K336" s="34"/>
      <c r="L336" s="34"/>
      <c r="M336" s="34"/>
      <c r="N336" s="34"/>
      <c r="O336" s="34"/>
      <c r="P336" s="34"/>
      <c r="Q336" s="34"/>
      <c r="R336" s="34"/>
    </row>
    <row r="337" spans="2:18">
      <c r="B337" s="44"/>
      <c r="C337" s="44"/>
      <c r="D337" s="44"/>
      <c r="H337" s="59"/>
      <c r="I337" s="59"/>
      <c r="J337" s="59"/>
      <c r="K337" s="34"/>
      <c r="L337" s="34"/>
      <c r="M337" s="34"/>
      <c r="N337" s="34"/>
      <c r="O337" s="34"/>
      <c r="P337" s="34"/>
      <c r="Q337" s="34"/>
      <c r="R337" s="34"/>
    </row>
    <row r="338" spans="2:18">
      <c r="B338" s="44"/>
      <c r="C338" s="44"/>
      <c r="D338" s="44"/>
      <c r="H338" s="59"/>
      <c r="I338" s="59"/>
      <c r="J338" s="59"/>
      <c r="K338" s="59"/>
      <c r="L338" s="34"/>
      <c r="M338" s="34"/>
      <c r="N338" s="34"/>
      <c r="O338" s="34"/>
      <c r="P338" s="34"/>
      <c r="Q338" s="34"/>
      <c r="R338" s="34"/>
    </row>
    <row r="339" spans="2:18">
      <c r="B339" s="44"/>
      <c r="C339" s="44"/>
      <c r="D339" s="44"/>
      <c r="H339" s="59"/>
      <c r="I339" s="59"/>
      <c r="J339" s="59"/>
      <c r="K339" s="59"/>
      <c r="L339" s="59"/>
      <c r="M339" s="34"/>
      <c r="N339" s="34"/>
      <c r="O339" s="34"/>
      <c r="P339" s="34"/>
      <c r="Q339" s="34"/>
      <c r="R339" s="34"/>
    </row>
    <row r="340" spans="2:18">
      <c r="B340" s="11"/>
      <c r="C340" s="11"/>
      <c r="D340" s="11"/>
      <c r="E340" s="11"/>
      <c r="F340" s="11"/>
      <c r="G340" s="11"/>
      <c r="H340" s="31"/>
      <c r="I340" s="31"/>
      <c r="J340" s="31"/>
      <c r="K340" s="31"/>
      <c r="L340" s="31"/>
      <c r="M340" s="31"/>
      <c r="N340" s="31"/>
      <c r="O340" s="31"/>
      <c r="P340" s="31"/>
      <c r="Q340" s="31"/>
      <c r="R340" s="31"/>
    </row>
    <row r="342" spans="2:18">
      <c r="B342" s="77"/>
      <c r="C342" s="77"/>
      <c r="D342" s="77"/>
      <c r="E342" s="77"/>
      <c r="F342" s="77"/>
      <c r="G342" s="77"/>
      <c r="H342" s="77"/>
      <c r="I342" s="77"/>
      <c r="J342" s="77"/>
      <c r="K342" s="77"/>
      <c r="L342" s="77"/>
      <c r="M342" s="77"/>
      <c r="N342" s="77"/>
      <c r="O342" s="77"/>
      <c r="P342" s="77"/>
      <c r="Q342" s="77"/>
      <c r="R342" s="77"/>
    </row>
    <row r="344" spans="2:18">
      <c r="H344" s="65"/>
      <c r="I344" s="60"/>
      <c r="J344" s="60"/>
      <c r="K344" s="60"/>
      <c r="L344" s="60"/>
      <c r="M344" s="60"/>
      <c r="N344" s="60"/>
      <c r="O344" s="60"/>
      <c r="P344" s="60"/>
      <c r="Q344" s="60"/>
      <c r="R344" s="60"/>
    </row>
    <row r="345" spans="2:18">
      <c r="H345" s="65"/>
      <c r="I345" s="67"/>
      <c r="J345" s="67"/>
      <c r="K345" s="67"/>
      <c r="L345" s="67"/>
      <c r="M345" s="67"/>
      <c r="N345" s="67"/>
      <c r="O345" s="67"/>
      <c r="P345" s="67"/>
      <c r="Q345" s="67"/>
      <c r="R345" s="67"/>
    </row>
    <row r="346" spans="2:18">
      <c r="H346" s="60"/>
      <c r="I346" s="60"/>
      <c r="J346" s="60"/>
      <c r="K346" s="60"/>
      <c r="L346" s="60"/>
      <c r="M346" s="60"/>
      <c r="N346" s="60"/>
      <c r="O346" s="60"/>
      <c r="P346" s="60"/>
      <c r="Q346" s="60"/>
      <c r="R346" s="60"/>
    </row>
    <row r="348" spans="2:18">
      <c r="B348" s="32"/>
      <c r="C348" s="32"/>
      <c r="D348" s="32"/>
      <c r="E348" s="32"/>
      <c r="F348" s="32"/>
      <c r="G348" s="32"/>
      <c r="H348" s="32"/>
      <c r="I348" s="64"/>
      <c r="J348" s="64"/>
      <c r="K348" s="64"/>
      <c r="L348" s="64"/>
      <c r="M348" s="64"/>
      <c r="N348" s="64"/>
      <c r="O348" s="64"/>
      <c r="P348" s="64"/>
      <c r="Q348" s="64"/>
      <c r="R348" s="64"/>
    </row>
    <row r="349" spans="2:18">
      <c r="B349" s="32"/>
      <c r="C349" s="32"/>
      <c r="D349" s="32"/>
      <c r="E349" s="32"/>
      <c r="F349" s="32"/>
      <c r="G349" s="32"/>
      <c r="H349" s="32"/>
      <c r="I349" s="34"/>
      <c r="J349" s="34"/>
      <c r="K349" s="34"/>
      <c r="L349" s="34"/>
      <c r="M349" s="34"/>
      <c r="N349" s="34"/>
      <c r="O349" s="34"/>
      <c r="P349" s="34"/>
      <c r="Q349" s="34"/>
      <c r="R349" s="34"/>
    </row>
    <row r="351" spans="2:18">
      <c r="B351" s="11"/>
      <c r="C351" s="11"/>
      <c r="D351" s="11"/>
      <c r="H351" s="41"/>
      <c r="I351" s="31"/>
      <c r="J351" s="31"/>
      <c r="K351" s="31"/>
      <c r="L351" s="31"/>
      <c r="M351" s="31"/>
      <c r="N351" s="31"/>
      <c r="O351" s="31"/>
      <c r="P351" s="31"/>
      <c r="Q351" s="31"/>
      <c r="R351" s="31"/>
    </row>
  </sheetData>
  <mergeCells count="3">
    <mergeCell ref="T7:U7"/>
    <mergeCell ref="D8:H8"/>
    <mergeCell ref="I8:R8"/>
  </mergeCells>
  <pageMargins left="0.7" right="0.7" top="0.75" bottom="0.75" header="0.3" footer="0.3"/>
  <pageSetup orientation="portrait" r:id="rId1"/>
  <ignoredErrors>
    <ignoredError sqref="D119:H119 D124:H125" formulaRange="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892BF1-9FAC-4565-AFDC-A5D12245DF48}">
  <dimension ref="B2:W211"/>
  <sheetViews>
    <sheetView showGridLines="0" topLeftCell="B1" zoomScale="77" zoomScaleNormal="85" workbookViewId="0">
      <pane ySplit="9" topLeftCell="A45" activePane="bottomLeft" state="frozen"/>
      <selection activeCell="F1" sqref="F1"/>
      <selection pane="bottomLeft" activeCell="U87" sqref="U87"/>
    </sheetView>
  </sheetViews>
  <sheetFormatPr defaultRowHeight="14.4"/>
  <cols>
    <col min="1" max="1" width="1.88671875" customWidth="1"/>
    <col min="2" max="2" width="42.21875" customWidth="1"/>
    <col min="3" max="3" width="10.33203125" customWidth="1"/>
    <col min="4" max="4" width="14" customWidth="1"/>
    <col min="5" max="5" width="13.6640625" customWidth="1"/>
    <col min="6" max="6" width="11.88671875" customWidth="1"/>
    <col min="7" max="7" width="12.5546875" customWidth="1"/>
    <col min="8" max="8" width="12.21875" bestFit="1" customWidth="1"/>
    <col min="9" max="9" width="11.33203125" bestFit="1" customWidth="1"/>
    <col min="10" max="11" width="11.33203125" customWidth="1"/>
    <col min="12" max="13" width="11.33203125" bestFit="1" customWidth="1"/>
    <col min="14" max="18" width="11.33203125" customWidth="1"/>
    <col min="19" max="19" width="3.77734375" customWidth="1"/>
  </cols>
  <sheetData>
    <row r="2" spans="2:21" ht="21">
      <c r="B2" s="8" t="str">
        <f>'Input Sheet'!C6</f>
        <v>Varun Beverages Ltd.</v>
      </c>
      <c r="C2" s="8"/>
      <c r="D2" s="8"/>
    </row>
    <row r="3" spans="2:21" ht="18">
      <c r="B3" s="9" t="s">
        <v>53</v>
      </c>
      <c r="C3" s="9"/>
      <c r="D3" s="9"/>
    </row>
    <row r="4" spans="2:21">
      <c r="H4" t="s">
        <v>22</v>
      </c>
      <c r="I4">
        <v>0</v>
      </c>
    </row>
    <row r="8" spans="2:21">
      <c r="D8" s="562" t="s">
        <v>18</v>
      </c>
      <c r="E8" s="562"/>
      <c r="F8" s="562"/>
      <c r="G8" s="562"/>
      <c r="H8" s="562"/>
      <c r="I8" s="563" t="s">
        <v>19</v>
      </c>
      <c r="J8" s="563"/>
      <c r="K8" s="563"/>
      <c r="L8" s="563"/>
      <c r="M8" s="563"/>
      <c r="N8" s="563"/>
      <c r="O8" s="563"/>
      <c r="P8" s="563"/>
      <c r="Q8" s="563"/>
      <c r="R8" s="563"/>
    </row>
    <row r="9" spans="2:21" ht="15.6">
      <c r="B9" s="74" t="s">
        <v>17</v>
      </c>
      <c r="C9" s="74"/>
      <c r="D9" s="453">
        <v>2019</v>
      </c>
      <c r="E9" s="453">
        <v>2020</v>
      </c>
      <c r="F9" s="453">
        <v>2021</v>
      </c>
      <c r="G9" s="453">
        <v>2022</v>
      </c>
      <c r="H9" s="453">
        <v>2023</v>
      </c>
      <c r="I9" s="454">
        <f t="shared" ref="I9" si="0">H9+1</f>
        <v>2024</v>
      </c>
      <c r="J9" s="454">
        <f>I9+1</f>
        <v>2025</v>
      </c>
      <c r="K9" s="454">
        <f t="shared" ref="K9:M9" si="1">J9+1</f>
        <v>2026</v>
      </c>
      <c r="L9" s="454">
        <f t="shared" si="1"/>
        <v>2027</v>
      </c>
      <c r="M9" s="454">
        <f t="shared" si="1"/>
        <v>2028</v>
      </c>
      <c r="N9" s="454">
        <f t="shared" ref="N9" si="2">M9+1</f>
        <v>2029</v>
      </c>
      <c r="O9" s="454">
        <f t="shared" ref="O9" si="3">N9+1</f>
        <v>2030</v>
      </c>
      <c r="P9" s="454">
        <f t="shared" ref="P9" si="4">O9+1</f>
        <v>2031</v>
      </c>
      <c r="Q9" s="454">
        <f t="shared" ref="Q9" si="5">P9+1</f>
        <v>2032</v>
      </c>
      <c r="R9" s="454">
        <f t="shared" ref="R9" si="6">Q9+1</f>
        <v>2033</v>
      </c>
    </row>
    <row r="10" spans="2:21">
      <c r="B10" s="74"/>
      <c r="C10" s="74"/>
      <c r="D10" s="74"/>
      <c r="F10" s="75"/>
      <c r="G10" s="62"/>
      <c r="H10" s="62"/>
      <c r="I10" s="62"/>
      <c r="J10" s="62"/>
      <c r="K10" s="62"/>
      <c r="L10" s="62"/>
      <c r="M10" s="62"/>
      <c r="N10" s="62"/>
      <c r="O10" s="62"/>
      <c r="P10" s="62"/>
      <c r="Q10" s="62"/>
      <c r="R10" s="62"/>
    </row>
    <row r="11" spans="2:21" ht="18">
      <c r="B11" s="10" t="s">
        <v>65</v>
      </c>
      <c r="C11" s="10"/>
      <c r="D11" s="10"/>
      <c r="E11" s="10"/>
      <c r="F11" s="10"/>
      <c r="G11" s="10"/>
      <c r="H11" s="10"/>
      <c r="I11" s="10"/>
      <c r="J11" s="10"/>
      <c r="K11" s="10"/>
      <c r="L11" s="10"/>
      <c r="M11" s="10"/>
      <c r="N11" s="10"/>
      <c r="O11" s="10"/>
      <c r="P11" s="10"/>
      <c r="Q11" s="10"/>
      <c r="R11" s="10"/>
    </row>
    <row r="13" spans="2:21">
      <c r="B13" s="76" t="s">
        <v>36</v>
      </c>
      <c r="C13" s="76"/>
      <c r="D13" s="320">
        <f>'3StatementModel'!D13/'3StatementModel'!D$13</f>
        <v>1</v>
      </c>
      <c r="E13" s="320">
        <f>'3StatementModel'!E13/'3StatementModel'!E$13</f>
        <v>1</v>
      </c>
      <c r="F13" s="320">
        <f>'3StatementModel'!F13/'3StatementModel'!F$13</f>
        <v>1</v>
      </c>
      <c r="G13" s="320">
        <f>'3StatementModel'!G13/'3StatementModel'!G$13</f>
        <v>1</v>
      </c>
      <c r="H13" s="320">
        <f>'3StatementModel'!H13/'3StatementModel'!H$13</f>
        <v>1</v>
      </c>
      <c r="I13" s="320">
        <f>'3StatementModel'!I13/'3StatementModel'!I$13</f>
        <v>1</v>
      </c>
      <c r="J13" s="320">
        <f>'3StatementModel'!J13/'3StatementModel'!J$13</f>
        <v>1</v>
      </c>
      <c r="K13" s="320">
        <f>'3StatementModel'!K13/'3StatementModel'!K$13</f>
        <v>1</v>
      </c>
      <c r="L13" s="320">
        <f>'3StatementModel'!L13/'3StatementModel'!L$13</f>
        <v>1</v>
      </c>
      <c r="M13" s="320">
        <f>'3StatementModel'!M13/'3StatementModel'!M$13</f>
        <v>1</v>
      </c>
      <c r="N13" s="320">
        <f>'3StatementModel'!N13/'3StatementModel'!N$13</f>
        <v>1</v>
      </c>
      <c r="O13" s="320">
        <f>'3StatementModel'!O13/'3StatementModel'!O$13</f>
        <v>1</v>
      </c>
      <c r="P13" s="320">
        <f>'3StatementModel'!P13/'3StatementModel'!P$13</f>
        <v>1</v>
      </c>
      <c r="Q13" s="320">
        <f>'3StatementModel'!Q13/'3StatementModel'!Q$13</f>
        <v>1</v>
      </c>
      <c r="R13" s="320">
        <f>'3StatementModel'!R13/'3StatementModel'!R$13</f>
        <v>1</v>
      </c>
      <c r="T13" s="37"/>
      <c r="U13" s="37"/>
    </row>
    <row r="14" spans="2:21">
      <c r="B14" s="81" t="s">
        <v>0</v>
      </c>
      <c r="C14" s="81"/>
      <c r="D14" s="320">
        <f>'3StatementModel'!D14/'3StatementModel'!D$13</f>
        <v>0.45155955890809835</v>
      </c>
      <c r="E14" s="320">
        <f>'3StatementModel'!E14/'3StatementModel'!E$13</f>
        <v>0.42850852849705595</v>
      </c>
      <c r="F14" s="320">
        <f>'3StatementModel'!F14/'3StatementModel'!F$13</f>
        <v>0.45727698359897678</v>
      </c>
      <c r="G14" s="320">
        <f>'3StatementModel'!G14/'3StatementModel'!G$13</f>
        <v>0.47529670222892945</v>
      </c>
      <c r="H14" s="320">
        <f>'3StatementModel'!H14/'3StatementModel'!H$13</f>
        <v>0.46157709909646083</v>
      </c>
      <c r="I14" s="320">
        <f>'3StatementModel'!I14/'3StatementModel'!I$13</f>
        <v>0.44999999999999996</v>
      </c>
      <c r="J14" s="320">
        <f>'3StatementModel'!J14/'3StatementModel'!J$13</f>
        <v>0.46375000000000005</v>
      </c>
      <c r="K14" s="320">
        <f>'3StatementModel'!K14/'3StatementModel'!K$13</f>
        <v>0.47750000000000004</v>
      </c>
      <c r="L14" s="320">
        <f>'3StatementModel'!L14/'3StatementModel'!L$13</f>
        <v>0.49124999999999996</v>
      </c>
      <c r="M14" s="320">
        <f>'3StatementModel'!M14/'3StatementModel'!M$13</f>
        <v>0.505</v>
      </c>
      <c r="N14" s="320">
        <f>'3StatementModel'!N14/'3StatementModel'!N$13</f>
        <v>0.505</v>
      </c>
      <c r="O14" s="320">
        <f>'3StatementModel'!O14/'3StatementModel'!O$13</f>
        <v>0.505</v>
      </c>
      <c r="P14" s="320">
        <f>'3StatementModel'!P14/'3StatementModel'!P$13</f>
        <v>0.505</v>
      </c>
      <c r="Q14" s="320">
        <f>'3StatementModel'!Q14/'3StatementModel'!Q$13</f>
        <v>0.505</v>
      </c>
      <c r="R14" s="320">
        <f>'3StatementModel'!R14/'3StatementModel'!R$13</f>
        <v>0.505</v>
      </c>
      <c r="T14" s="37"/>
      <c r="U14" s="37"/>
    </row>
    <row r="15" spans="2:21">
      <c r="B15" s="88" t="s">
        <v>1</v>
      </c>
      <c r="C15" s="88"/>
      <c r="D15" s="321">
        <f>'3StatementModel'!D15/'3StatementModel'!D$13</f>
        <v>0.5484404410919016</v>
      </c>
      <c r="E15" s="321">
        <f>'3StatementModel'!E15/'3StatementModel'!E$13</f>
        <v>0.5714914715029441</v>
      </c>
      <c r="F15" s="321">
        <f>'3StatementModel'!F15/'3StatementModel'!F$13</f>
        <v>0.54272301640102327</v>
      </c>
      <c r="G15" s="321">
        <f>'3StatementModel'!G15/'3StatementModel'!G$13</f>
        <v>0.5247032977710705</v>
      </c>
      <c r="H15" s="321">
        <f>'3StatementModel'!H15/'3StatementModel'!H$13</f>
        <v>0.53842290090353906</v>
      </c>
      <c r="I15" s="321">
        <f>'3StatementModel'!I15/'3StatementModel'!I$13</f>
        <v>0.55000000000000004</v>
      </c>
      <c r="J15" s="321">
        <f>'3StatementModel'!J15/'3StatementModel'!J$13</f>
        <v>0.53625</v>
      </c>
      <c r="K15" s="321">
        <f>'3StatementModel'!K15/'3StatementModel'!K$13</f>
        <v>0.52249999999999996</v>
      </c>
      <c r="L15" s="321">
        <f>'3StatementModel'!L15/'3StatementModel'!L$13</f>
        <v>0.50875000000000004</v>
      </c>
      <c r="M15" s="321">
        <f>'3StatementModel'!M15/'3StatementModel'!M$13</f>
        <v>0.495</v>
      </c>
      <c r="N15" s="321">
        <f>'3StatementModel'!N15/'3StatementModel'!N$13</f>
        <v>0.495</v>
      </c>
      <c r="O15" s="321">
        <f>'3StatementModel'!O15/'3StatementModel'!O$13</f>
        <v>0.495</v>
      </c>
      <c r="P15" s="321">
        <f>'3StatementModel'!P15/'3StatementModel'!P$13</f>
        <v>0.495</v>
      </c>
      <c r="Q15" s="321">
        <f>'3StatementModel'!Q15/'3StatementModel'!Q$13</f>
        <v>0.49500000000000005</v>
      </c>
      <c r="R15" s="321">
        <f>'3StatementModel'!R15/'3StatementModel'!R$13</f>
        <v>0.49499999999999994</v>
      </c>
      <c r="T15" s="37"/>
      <c r="U15" s="37"/>
    </row>
    <row r="16" spans="2:21">
      <c r="B16" s="1"/>
      <c r="C16" s="1"/>
      <c r="D16" s="95"/>
      <c r="E16" s="95"/>
      <c r="F16" s="95"/>
      <c r="G16" s="95"/>
      <c r="H16" s="95"/>
      <c r="I16" s="95"/>
      <c r="J16" s="95"/>
      <c r="K16" s="95"/>
      <c r="L16" s="95"/>
      <c r="M16" s="95"/>
      <c r="N16" s="95"/>
      <c r="O16" s="95"/>
      <c r="P16" s="95"/>
      <c r="Q16" s="95"/>
      <c r="R16" s="95"/>
      <c r="T16" s="37"/>
      <c r="U16" s="37"/>
    </row>
    <row r="17" spans="2:21">
      <c r="B17" s="203" t="s">
        <v>356</v>
      </c>
      <c r="C17" s="203"/>
      <c r="D17" s="204">
        <f>'3StatementModel'!D17</f>
        <v>0.5484404410919016</v>
      </c>
      <c r="E17" s="204">
        <f>'3StatementModel'!E17</f>
        <v>0.5714914715029441</v>
      </c>
      <c r="F17" s="204">
        <f>'3StatementModel'!F17</f>
        <v>0.54272301640102327</v>
      </c>
      <c r="G17" s="204">
        <f>'3StatementModel'!G17</f>
        <v>0.5247032977710705</v>
      </c>
      <c r="H17" s="204">
        <f>'3StatementModel'!H17</f>
        <v>0.53842290090353906</v>
      </c>
      <c r="I17" s="204">
        <f>'3StatementModel'!I17</f>
        <v>0.55000000000000004</v>
      </c>
      <c r="J17" s="204">
        <f>'3StatementModel'!J17</f>
        <v>0.53625</v>
      </c>
      <c r="K17" s="204">
        <f>'3StatementModel'!K17</f>
        <v>0.52249999999999996</v>
      </c>
      <c r="L17" s="204">
        <f>'3StatementModel'!L17</f>
        <v>0.50875000000000004</v>
      </c>
      <c r="M17" s="204">
        <f>'3StatementModel'!M17</f>
        <v>0.495</v>
      </c>
      <c r="N17" s="204">
        <f>'3StatementModel'!N17</f>
        <v>0.495</v>
      </c>
      <c r="O17" s="204">
        <f>'3StatementModel'!O17</f>
        <v>0.495</v>
      </c>
      <c r="P17" s="204">
        <f>'3StatementModel'!P17</f>
        <v>0.495</v>
      </c>
      <c r="Q17" s="204">
        <f>'3StatementModel'!Q17</f>
        <v>0.49500000000000005</v>
      </c>
      <c r="R17" s="204">
        <f>'3StatementModel'!R17</f>
        <v>0.49499999999999994</v>
      </c>
      <c r="T17" s="37"/>
      <c r="U17" s="37"/>
    </row>
    <row r="18" spans="2:21">
      <c r="B18" s="79"/>
      <c r="C18" s="79"/>
      <c r="D18" s="313"/>
      <c r="E18" s="32"/>
      <c r="F18" s="87"/>
      <c r="G18" s="87"/>
      <c r="H18" s="87"/>
      <c r="I18" s="87"/>
      <c r="J18" s="87"/>
      <c r="K18" s="87"/>
      <c r="L18" s="87"/>
      <c r="M18" s="87"/>
      <c r="N18" s="87"/>
      <c r="O18" s="87"/>
      <c r="P18" s="87"/>
      <c r="Q18" s="87"/>
      <c r="R18" s="87"/>
      <c r="T18" s="37"/>
      <c r="U18" s="37"/>
    </row>
    <row r="19" spans="2:21">
      <c r="B19" s="80" t="s">
        <v>355</v>
      </c>
      <c r="C19" s="80"/>
      <c r="D19" s="314"/>
      <c r="E19" s="32"/>
      <c r="F19" s="87"/>
      <c r="G19" s="87"/>
      <c r="H19" s="87"/>
      <c r="I19" s="87"/>
      <c r="J19" s="87"/>
      <c r="K19" s="87"/>
      <c r="L19" s="87"/>
      <c r="M19" s="87"/>
      <c r="N19" s="87"/>
      <c r="O19" s="87"/>
      <c r="P19" s="87"/>
      <c r="Q19" s="87"/>
      <c r="R19" s="87"/>
      <c r="T19" s="37"/>
      <c r="U19" s="37"/>
    </row>
    <row r="20" spans="2:21">
      <c r="B20" s="81" t="str">
        <f>Schedules!B26</f>
        <v>Employee Cost</v>
      </c>
      <c r="C20" s="81"/>
      <c r="D20" s="320">
        <f>'3StatementModel'!D20/'3StatementModel'!D$13</f>
        <v>0.11375144117886327</v>
      </c>
      <c r="E20" s="320">
        <f>'3StatementModel'!E20/'3StatementModel'!E$13</f>
        <v>0.13798150117671865</v>
      </c>
      <c r="F20" s="320">
        <f>'3StatementModel'!F20/'3StatementModel'!F$13</f>
        <v>0.1142438766755485</v>
      </c>
      <c r="G20" s="320">
        <f>'3StatementModel'!G20/'3StatementModel'!G$13</f>
        <v>9.2384959090998808E-2</v>
      </c>
      <c r="H20" s="320">
        <f>'3StatementModel'!H20/'3StatementModel'!H$13</f>
        <v>9.0197456381862745E-2</v>
      </c>
      <c r="I20" s="320">
        <f>'3StatementModel'!I20/'3StatementModel'!I$13</f>
        <v>0.10225084503222394</v>
      </c>
      <c r="J20" s="320">
        <f>'3StatementModel'!J20/'3StatementModel'!J$13</f>
        <v>0.10225084503222394</v>
      </c>
      <c r="K20" s="320">
        <f>'3StatementModel'!K20/'3StatementModel'!K$13</f>
        <v>0.10225084503222395</v>
      </c>
      <c r="L20" s="320">
        <f>'3StatementModel'!L20/'3StatementModel'!L$13</f>
        <v>0.10225084503222394</v>
      </c>
      <c r="M20" s="320">
        <f>'3StatementModel'!M20/'3StatementModel'!M$13</f>
        <v>0.10225084503222394</v>
      </c>
      <c r="N20" s="320">
        <f>'3StatementModel'!N20/'3StatementModel'!N$13</f>
        <v>0.10225084503222394</v>
      </c>
      <c r="O20" s="320">
        <f>'3StatementModel'!O20/'3StatementModel'!O$13</f>
        <v>0.10225084503222394</v>
      </c>
      <c r="P20" s="320">
        <f>'3StatementModel'!P20/'3StatementModel'!P$13</f>
        <v>0.10225084503222394</v>
      </c>
      <c r="Q20" s="320">
        <f>'3StatementModel'!Q20/'3StatementModel'!Q$13</f>
        <v>0.10225084503222394</v>
      </c>
      <c r="R20" s="320">
        <f>'3StatementModel'!R20/'3StatementModel'!R$13</f>
        <v>0.10225084503222394</v>
      </c>
      <c r="T20" s="37"/>
      <c r="U20" s="37"/>
    </row>
    <row r="21" spans="2:21">
      <c r="B21" s="81" t="str">
        <f>Schedules!B31</f>
        <v>Power &amp; Fuel Cost</v>
      </c>
      <c r="C21" s="81"/>
      <c r="D21" s="320">
        <f>'3StatementModel'!D21/'3StatementModel'!D$13</f>
        <v>3.9132739936994884E-2</v>
      </c>
      <c r="E21" s="320">
        <f>'3StatementModel'!E21/'3StatementModel'!E$13</f>
        <v>4.1394450353015588E-2</v>
      </c>
      <c r="F21" s="320">
        <f>'3StatementModel'!F21/'3StatementModel'!F$13</f>
        <v>3.7401269149733143E-2</v>
      </c>
      <c r="G21" s="320">
        <f>'3StatementModel'!G21/'3StatementModel'!G$13</f>
        <v>3.6361869683310129E-2</v>
      </c>
      <c r="H21" s="320">
        <f>'3StatementModel'!H21/'3StatementModel'!H$13</f>
        <v>3.4283760200431591E-2</v>
      </c>
      <c r="I21" s="320">
        <f>'3StatementModel'!I21/'3StatementModel'!I$13</f>
        <v>3.9545237371324329E-2</v>
      </c>
      <c r="J21" s="320">
        <f>'3StatementModel'!J21/'3StatementModel'!J$13</f>
        <v>3.9545237371324329E-2</v>
      </c>
      <c r="K21" s="320">
        <f>'3StatementModel'!K21/'3StatementModel'!K$13</f>
        <v>3.9545237371324329E-2</v>
      </c>
      <c r="L21" s="320">
        <f>'3StatementModel'!L21/'3StatementModel'!L$13</f>
        <v>3.9545237371324329E-2</v>
      </c>
      <c r="M21" s="320">
        <f>'3StatementModel'!M21/'3StatementModel'!M$13</f>
        <v>3.9545237371324329E-2</v>
      </c>
      <c r="N21" s="320">
        <f>'3StatementModel'!N21/'3StatementModel'!N$13</f>
        <v>3.9545237371324329E-2</v>
      </c>
      <c r="O21" s="320">
        <f>'3StatementModel'!O21/'3StatementModel'!O$13</f>
        <v>3.9545237371324329E-2</v>
      </c>
      <c r="P21" s="320">
        <f>'3StatementModel'!P21/'3StatementModel'!P$13</f>
        <v>3.9545237371324329E-2</v>
      </c>
      <c r="Q21" s="320">
        <f>'3StatementModel'!Q21/'3StatementModel'!Q$13</f>
        <v>3.9545237371324329E-2</v>
      </c>
      <c r="R21" s="320">
        <f>'3StatementModel'!R21/'3StatementModel'!R$13</f>
        <v>3.9545237371324329E-2</v>
      </c>
      <c r="T21" s="37"/>
      <c r="U21" s="37"/>
    </row>
    <row r="22" spans="2:21">
      <c r="B22" s="82" t="str">
        <f>Schedules!B36</f>
        <v>Selling and Distribution Cost</v>
      </c>
      <c r="C22" s="82"/>
      <c r="D22" s="320">
        <f>'3StatementModel'!D22/'3StatementModel'!D$13</f>
        <v>2.3563800392168963E-2</v>
      </c>
      <c r="E22" s="320">
        <f>'3StatementModel'!E22/'3StatementModel'!E$13</f>
        <v>2.4340556949151489E-2</v>
      </c>
      <c r="F22" s="320">
        <f>'3StatementModel'!F22/'3StatementModel'!F$13</f>
        <v>3.5814548640350524E-2</v>
      </c>
      <c r="G22" s="320">
        <f>'3StatementModel'!G22/'3StatementModel'!G$13</f>
        <v>3.1731234921970011E-2</v>
      </c>
      <c r="H22" s="320">
        <f>'3StatementModel'!H22/'3StatementModel'!H$13</f>
        <v>3.1790395822218383E-2</v>
      </c>
      <c r="I22" s="320">
        <f>'3StatementModel'!I22/'3StatementModel'!I$13</f>
        <v>2.7138417138417137E-2</v>
      </c>
      <c r="J22" s="320">
        <f>'3StatementModel'!J22/'3StatementModel'!J$13</f>
        <v>2.7138417138417137E-2</v>
      </c>
      <c r="K22" s="320">
        <f>'3StatementModel'!K22/'3StatementModel'!K$13</f>
        <v>2.7138417138417137E-2</v>
      </c>
      <c r="L22" s="320">
        <f>'3StatementModel'!L22/'3StatementModel'!L$13</f>
        <v>2.7138417138417137E-2</v>
      </c>
      <c r="M22" s="320">
        <f>'3StatementModel'!M22/'3StatementModel'!M$13</f>
        <v>2.7138417138417137E-2</v>
      </c>
      <c r="N22" s="320">
        <f>'3StatementModel'!N22/'3StatementModel'!N$13</f>
        <v>2.713841713841714E-2</v>
      </c>
      <c r="O22" s="320">
        <f>'3StatementModel'!O22/'3StatementModel'!O$13</f>
        <v>2.7138417138417137E-2</v>
      </c>
      <c r="P22" s="320">
        <f>'3StatementModel'!P22/'3StatementModel'!P$13</f>
        <v>2.713841713841714E-2</v>
      </c>
      <c r="Q22" s="320">
        <f>'3StatementModel'!Q22/'3StatementModel'!Q$13</f>
        <v>2.7138417138417137E-2</v>
      </c>
      <c r="R22" s="320">
        <f>'3StatementModel'!R22/'3StatementModel'!R$13</f>
        <v>2.7138417138417137E-2</v>
      </c>
      <c r="T22" s="37"/>
      <c r="U22" s="37"/>
    </row>
    <row r="23" spans="2:21">
      <c r="B23" s="81" t="str">
        <f>Schedules!B41</f>
        <v>Other Operating Expenses</v>
      </c>
      <c r="C23" s="81"/>
      <c r="D23" s="320">
        <f>'3StatementModel'!D23/'3StatementModel'!D$13</f>
        <v>0.11763385781490636</v>
      </c>
      <c r="E23" s="320">
        <f>'3StatementModel'!E23/'3StatementModel'!E$13</f>
        <v>0.13745438083514464</v>
      </c>
      <c r="F23" s="320">
        <f>'3StatementModel'!F23/'3StatementModel'!F$13</f>
        <v>0.12435695317927786</v>
      </c>
      <c r="G23" s="320">
        <f>'3StatementModel'!G23/'3StatementModel'!G$13</f>
        <v>0.11768188905606407</v>
      </c>
      <c r="H23" s="320">
        <f>'3StatementModel'!H23/'3StatementModel'!H$13</f>
        <v>0.11541914608378789</v>
      </c>
      <c r="I23" s="320">
        <f>'3StatementModel'!I23/'3StatementModel'!I$13</f>
        <v>0.11652153005872455</v>
      </c>
      <c r="J23" s="320">
        <f>'3StatementModel'!J23/'3StatementModel'!J$13</f>
        <v>0.11652153005872455</v>
      </c>
      <c r="K23" s="320">
        <f>'3StatementModel'!K23/'3StatementModel'!K$13</f>
        <v>0.11652153005872454</v>
      </c>
      <c r="L23" s="320">
        <f>'3StatementModel'!L23/'3StatementModel'!L$13</f>
        <v>0.11652153005872455</v>
      </c>
      <c r="M23" s="320">
        <f>'3StatementModel'!M23/'3StatementModel'!M$13</f>
        <v>0.11652153005872455</v>
      </c>
      <c r="N23" s="320">
        <f>'3StatementModel'!N23/'3StatementModel'!N$13</f>
        <v>0.11652153005872455</v>
      </c>
      <c r="O23" s="320">
        <f>'3StatementModel'!O23/'3StatementModel'!O$13</f>
        <v>0.11652153005872455</v>
      </c>
      <c r="P23" s="320">
        <f>'3StatementModel'!P23/'3StatementModel'!P$13</f>
        <v>0.11652153005872455</v>
      </c>
      <c r="Q23" s="320">
        <f>'3StatementModel'!Q23/'3StatementModel'!Q$13</f>
        <v>0.11652153005872455</v>
      </c>
      <c r="R23" s="320">
        <f>'3StatementModel'!R23/'3StatementModel'!R$13</f>
        <v>0.11652153005872455</v>
      </c>
      <c r="T23" s="37"/>
      <c r="U23" s="37"/>
    </row>
    <row r="24" spans="2:21">
      <c r="B24" s="81" t="str">
        <f>Schedules!B46</f>
        <v>Other SG&amp;A Expenses</v>
      </c>
      <c r="C24" s="81"/>
      <c r="D24" s="320">
        <f>'3StatementModel'!D24/'3StatementModel'!D$13</f>
        <v>5.1335422282939532E-2</v>
      </c>
      <c r="E24" s="320">
        <f>'3StatementModel'!E24/'3StatementModel'!E$13</f>
        <v>4.4030052060885498E-2</v>
      </c>
      <c r="F24" s="320">
        <f>'3StatementModel'!F24/'3StatementModel'!F$13</f>
        <v>4.3408139649538768E-2</v>
      </c>
      <c r="G24" s="320">
        <f>'3StatementModel'!G24/'3StatementModel'!G$13</f>
        <v>3.4919540823220588E-2</v>
      </c>
      <c r="H24" s="320">
        <f>'3StatementModel'!H24/'3StatementModel'!H$13</f>
        <v>4.176385333507121E-2</v>
      </c>
      <c r="I24" s="320">
        <f>'3StatementModel'!I24/'3StatementModel'!I$13</f>
        <v>4.2586016899259088E-2</v>
      </c>
      <c r="J24" s="320">
        <f>'3StatementModel'!J24/'3StatementModel'!J$13</f>
        <v>4.2586016899259088E-2</v>
      </c>
      <c r="K24" s="320">
        <f>'3StatementModel'!K24/'3StatementModel'!K$13</f>
        <v>4.2586016899259088E-2</v>
      </c>
      <c r="L24" s="320">
        <f>'3StatementModel'!L24/'3StatementModel'!L$13</f>
        <v>4.2586016899259088E-2</v>
      </c>
      <c r="M24" s="320">
        <f>'3StatementModel'!M24/'3StatementModel'!M$13</f>
        <v>4.2586016899259088E-2</v>
      </c>
      <c r="N24" s="320">
        <f>'3StatementModel'!N24/'3StatementModel'!N$13</f>
        <v>4.2586016899259088E-2</v>
      </c>
      <c r="O24" s="320">
        <f>'3StatementModel'!O24/'3StatementModel'!O$13</f>
        <v>4.2586016899259088E-2</v>
      </c>
      <c r="P24" s="320">
        <f>'3StatementModel'!P24/'3StatementModel'!P$13</f>
        <v>4.2586016899259088E-2</v>
      </c>
      <c r="Q24" s="320">
        <f>'3StatementModel'!Q24/'3StatementModel'!Q$13</f>
        <v>4.2586016899259088E-2</v>
      </c>
      <c r="R24" s="320">
        <f>'3StatementModel'!R24/'3StatementModel'!R$13</f>
        <v>4.2586016899259088E-2</v>
      </c>
      <c r="T24" s="37"/>
      <c r="U24" s="37"/>
    </row>
    <row r="25" spans="2:21">
      <c r="B25" s="81"/>
      <c r="C25" s="81"/>
      <c r="D25" s="312"/>
      <c r="E25" s="312"/>
      <c r="F25" s="312"/>
      <c r="G25" s="312"/>
      <c r="H25" s="312"/>
      <c r="I25" s="312"/>
      <c r="J25" s="312"/>
      <c r="K25" s="312"/>
      <c r="L25" s="312"/>
      <c r="M25" s="312"/>
      <c r="N25" s="312"/>
      <c r="O25" s="312"/>
      <c r="P25" s="312"/>
      <c r="Q25" s="312"/>
      <c r="R25" s="312"/>
      <c r="T25" s="37"/>
      <c r="U25" s="37"/>
    </row>
    <row r="26" spans="2:21">
      <c r="B26" s="89" t="s">
        <v>54</v>
      </c>
      <c r="C26" s="89"/>
      <c r="D26" s="326">
        <f>'3StatementModel'!D26/'3StatementModel'!D$13</f>
        <v>0.2030231794860286</v>
      </c>
      <c r="E26" s="326">
        <f>'3StatementModel'!E26/'3StatementModel'!E$13</f>
        <v>0.18629053012802821</v>
      </c>
      <c r="F26" s="326">
        <f>'3StatementModel'!F26/'3StatementModel'!F$13</f>
        <v>0.18749822910657449</v>
      </c>
      <c r="G26" s="326">
        <f>'3StatementModel'!G26/'3StatementModel'!G$13</f>
        <v>0.21162380419550691</v>
      </c>
      <c r="H26" s="326">
        <f>'3StatementModel'!H26/'3StatementModel'!H$13</f>
        <v>0.22496828908016728</v>
      </c>
      <c r="I26" s="327">
        <f>'3StatementModel'!I26/'3StatementModel'!I$13</f>
        <v>0.22195795350005096</v>
      </c>
      <c r="J26" s="327">
        <f>'3StatementModel'!J26/'3StatementModel'!J$13</f>
        <v>0.20820795350005095</v>
      </c>
      <c r="K26" s="327">
        <f>'3StatementModel'!K26/'3StatementModel'!K$13</f>
        <v>0.19445795350005091</v>
      </c>
      <c r="L26" s="327">
        <f>'3StatementModel'!L26/'3StatementModel'!L$13</f>
        <v>0.18070795350005101</v>
      </c>
      <c r="M26" s="327">
        <f>'3StatementModel'!M26/'3StatementModel'!M$13</f>
        <v>0.16695795350005097</v>
      </c>
      <c r="N26" s="327">
        <f>'3StatementModel'!N26/'3StatementModel'!N$13</f>
        <v>0.16695795350005094</v>
      </c>
      <c r="O26" s="327">
        <f>'3StatementModel'!O26/'3StatementModel'!O$13</f>
        <v>0.16695795350005099</v>
      </c>
      <c r="P26" s="327">
        <f>'3StatementModel'!P26/'3StatementModel'!P$13</f>
        <v>0.16695795350005097</v>
      </c>
      <c r="Q26" s="327">
        <f>'3StatementModel'!Q26/'3StatementModel'!Q$13</f>
        <v>0.16695795350005097</v>
      </c>
      <c r="R26" s="327">
        <f>'3StatementModel'!R26/'3StatementModel'!R$13</f>
        <v>0.16695795350005091</v>
      </c>
      <c r="T26" s="37"/>
      <c r="U26" s="37"/>
    </row>
    <row r="27" spans="2:21">
      <c r="B27" s="83"/>
      <c r="C27" s="83"/>
      <c r="D27" s="315"/>
      <c r="E27" s="315"/>
      <c r="F27" s="315"/>
      <c r="G27" s="315"/>
      <c r="H27" s="315"/>
      <c r="I27" s="315"/>
      <c r="J27" s="315"/>
      <c r="K27" s="315"/>
      <c r="L27" s="315"/>
      <c r="M27" s="315"/>
      <c r="N27" s="315"/>
      <c r="O27" s="315"/>
      <c r="P27" s="315"/>
      <c r="Q27" s="315"/>
      <c r="R27" s="315"/>
      <c r="T27" s="37"/>
      <c r="U27" s="37"/>
    </row>
    <row r="28" spans="2:21">
      <c r="B28" s="203" t="s">
        <v>96</v>
      </c>
      <c r="C28" s="203"/>
      <c r="D28" s="204">
        <f>'3StatementModel'!D28</f>
        <v>0.2030231794860286</v>
      </c>
      <c r="E28" s="204">
        <f>'3StatementModel'!E28</f>
        <v>0.18629053012802821</v>
      </c>
      <c r="F28" s="204">
        <f>'3StatementModel'!F28</f>
        <v>0.18749822910657449</v>
      </c>
      <c r="G28" s="204">
        <f>'3StatementModel'!G28</f>
        <v>0.21162380419550691</v>
      </c>
      <c r="H28" s="204">
        <f>'3StatementModel'!H28</f>
        <v>0.22496828908016728</v>
      </c>
      <c r="I28" s="204">
        <f>'3StatementModel'!I28</f>
        <v>0.22195795350005096</v>
      </c>
      <c r="J28" s="204">
        <f>'3StatementModel'!J28</f>
        <v>0.20820795350005095</v>
      </c>
      <c r="K28" s="204">
        <f>'3StatementModel'!K28</f>
        <v>0.19445795350005091</v>
      </c>
      <c r="L28" s="204">
        <f>'3StatementModel'!L28</f>
        <v>0.18070795350005101</v>
      </c>
      <c r="M28" s="204">
        <f>'3StatementModel'!M28</f>
        <v>0.16695795350005097</v>
      </c>
      <c r="N28" s="204">
        <f>'3StatementModel'!N28</f>
        <v>0.16695795350005094</v>
      </c>
      <c r="O28" s="204">
        <f>'3StatementModel'!O28</f>
        <v>0.16695795350005099</v>
      </c>
      <c r="P28" s="204">
        <f>'3StatementModel'!P28</f>
        <v>0.16695795350005097</v>
      </c>
      <c r="Q28" s="204">
        <f>'3StatementModel'!Q28</f>
        <v>0.16695795350005097</v>
      </c>
      <c r="R28" s="204">
        <f>'3StatementModel'!R28</f>
        <v>0.16695795350005091</v>
      </c>
      <c r="T28" s="37"/>
      <c r="U28" s="37"/>
    </row>
    <row r="29" spans="2:21">
      <c r="B29" s="81"/>
      <c r="C29" s="81"/>
      <c r="D29" s="316"/>
      <c r="E29" s="32"/>
      <c r="F29" s="87"/>
      <c r="G29" s="87"/>
      <c r="H29" s="87"/>
      <c r="I29" s="87"/>
      <c r="J29" s="87"/>
      <c r="K29" s="87"/>
      <c r="L29" s="87"/>
      <c r="M29" s="87"/>
      <c r="N29" s="87"/>
      <c r="O29" s="87"/>
      <c r="P29" s="87"/>
      <c r="Q29" s="87"/>
      <c r="R29" s="87"/>
      <c r="T29" s="37"/>
      <c r="U29" s="37"/>
    </row>
    <row r="30" spans="2:21">
      <c r="B30" s="76" t="s">
        <v>41</v>
      </c>
      <c r="C30" s="76"/>
      <c r="D30" s="320">
        <f>'3StatementModel'!D30/'3StatementModel'!D$13</f>
        <v>6.8535593962056676E-2</v>
      </c>
      <c r="E30" s="320">
        <f>'3StatementModel'!E30/'3StatementModel'!E$13</f>
        <v>8.1967213114754106E-2</v>
      </c>
      <c r="F30" s="320">
        <f>'3StatementModel'!F30/'3StatementModel'!F$13</f>
        <v>6.0211509843900696E-2</v>
      </c>
      <c r="G30" s="320">
        <f>'3StatementModel'!G30/'3StatementModel'!G$13</f>
        <v>4.6852155218877208E-2</v>
      </c>
      <c r="H30" s="320">
        <f>'3StatementModel'!H30/'3StatementModel'!H$13</f>
        <v>4.2443669132791038E-2</v>
      </c>
      <c r="I30" s="320">
        <f>'3StatementModel'!I30/'3StatementModel'!I$13</f>
        <v>5.0883784499677162E-2</v>
      </c>
      <c r="J30" s="320">
        <f>'3StatementModel'!J30/'3StatementModel'!J$13</f>
        <v>4.7587245719599429E-2</v>
      </c>
      <c r="K30" s="320">
        <f>'3StatementModel'!K30/'3StatementModel'!K$13</f>
        <v>4.8336822188783941E-2</v>
      </c>
      <c r="L30" s="320">
        <f>'3StatementModel'!L30/'3StatementModel'!L$13</f>
        <v>4.8872955912419455E-2</v>
      </c>
      <c r="M30" s="320">
        <f>'3StatementModel'!M30/'3StatementModel'!M$13</f>
        <v>4.9249630659704363E-2</v>
      </c>
      <c r="N30" s="320">
        <f>'3StatementModel'!N30/'3StatementModel'!N$13</f>
        <v>4.9585947398351593E-2</v>
      </c>
      <c r="O30" s="320">
        <f>'3StatementModel'!O30/'3StatementModel'!O$13</f>
        <v>4.9886230200715205E-2</v>
      </c>
      <c r="P30" s="320">
        <f>'3StatementModel'!P30/'3StatementModel'!P$13</f>
        <v>5.0154339845682711E-2</v>
      </c>
      <c r="Q30" s="320">
        <f>'3StatementModel'!Q30/'3StatementModel'!Q$13</f>
        <v>5.0393723457260835E-2</v>
      </c>
      <c r="R30" s="320">
        <f>'3StatementModel'!R30/'3StatementModel'!R$13</f>
        <v>5.0607458824741311E-2</v>
      </c>
      <c r="T30" s="37"/>
      <c r="U30" s="37"/>
    </row>
    <row r="31" spans="2:21">
      <c r="B31" s="89" t="s">
        <v>55</v>
      </c>
      <c r="C31" s="89"/>
      <c r="D31" s="321">
        <f>'3StatementModel'!D31/'3StatementModel'!D$13</f>
        <v>0.13448758552397194</v>
      </c>
      <c r="E31" s="321">
        <f>'3StatementModel'!E31/'3StatementModel'!E$13</f>
        <v>0.1043233170132741</v>
      </c>
      <c r="F31" s="321">
        <f>'3StatementModel'!F31/'3StatementModel'!F$13</f>
        <v>0.12728671926267379</v>
      </c>
      <c r="G31" s="321">
        <f>'3StatementModel'!G31/'3StatementModel'!G$13</f>
        <v>0.16477164897662971</v>
      </c>
      <c r="H31" s="321">
        <f>'3StatementModel'!H31/'3StatementModel'!H$13</f>
        <v>0.18252461994737626</v>
      </c>
      <c r="I31" s="325">
        <f>'3StatementModel'!I31/'3StatementModel'!I$13</f>
        <v>0.17107416900037381</v>
      </c>
      <c r="J31" s="325">
        <f>'3StatementModel'!J31/'3StatementModel'!J$13</f>
        <v>0.16062070778045151</v>
      </c>
      <c r="K31" s="325">
        <f>'3StatementModel'!K31/'3StatementModel'!K$13</f>
        <v>0.14612113131126697</v>
      </c>
      <c r="L31" s="325">
        <f>'3StatementModel'!L31/'3StatementModel'!L$13</f>
        <v>0.13183499758763154</v>
      </c>
      <c r="M31" s="325">
        <f>'3StatementModel'!M31/'3StatementModel'!M$13</f>
        <v>0.1177083228403466</v>
      </c>
      <c r="N31" s="325">
        <f>'3StatementModel'!N31/'3StatementModel'!N$13</f>
        <v>0.11737200610169934</v>
      </c>
      <c r="O31" s="325">
        <f>'3StatementModel'!O31/'3StatementModel'!O$13</f>
        <v>0.11707172329933578</v>
      </c>
      <c r="P31" s="325">
        <f>'3StatementModel'!P31/'3StatementModel'!P$13</f>
        <v>0.11680361365436825</v>
      </c>
      <c r="Q31" s="325">
        <f>'3StatementModel'!Q31/'3StatementModel'!Q$13</f>
        <v>0.11656423004279012</v>
      </c>
      <c r="R31" s="325">
        <f>'3StatementModel'!R31/'3StatementModel'!R$13</f>
        <v>0.11635049467530958</v>
      </c>
      <c r="T31" s="37"/>
      <c r="U31" s="37"/>
    </row>
    <row r="32" spans="2:21">
      <c r="B32" s="81"/>
      <c r="C32" s="81"/>
      <c r="D32" s="316"/>
      <c r="E32" s="32"/>
      <c r="F32" s="87"/>
      <c r="G32" s="87"/>
      <c r="H32" s="87"/>
      <c r="I32" s="87"/>
      <c r="J32" s="87"/>
      <c r="K32" s="87"/>
      <c r="L32" s="87"/>
      <c r="M32" s="87"/>
      <c r="N32" s="87"/>
      <c r="O32" s="87"/>
      <c r="P32" s="87"/>
      <c r="Q32" s="87"/>
      <c r="R32" s="87"/>
      <c r="T32" s="37"/>
      <c r="U32" s="37"/>
    </row>
    <row r="33" spans="2:21">
      <c r="B33" s="203" t="s">
        <v>97</v>
      </c>
      <c r="C33" s="203"/>
      <c r="D33" s="204">
        <f>'3StatementModel'!D33</f>
        <v>0.13448758552397194</v>
      </c>
      <c r="E33" s="204">
        <f>'3StatementModel'!E33</f>
        <v>0.1043233170132741</v>
      </c>
      <c r="F33" s="204">
        <f>'3StatementModel'!F33</f>
        <v>0.12728671926267379</v>
      </c>
      <c r="G33" s="204">
        <f>'3StatementModel'!G33</f>
        <v>0.16477164897662971</v>
      </c>
      <c r="H33" s="204">
        <f>'3StatementModel'!H33</f>
        <v>0.18252461994737626</v>
      </c>
      <c r="I33" s="204">
        <f>'3StatementModel'!I33</f>
        <v>0.17107416900037381</v>
      </c>
      <c r="J33" s="204">
        <f>'3StatementModel'!J33</f>
        <v>0.16062070778045151</v>
      </c>
      <c r="K33" s="204">
        <f>'3StatementModel'!K33</f>
        <v>0.14612113131126697</v>
      </c>
      <c r="L33" s="204">
        <f>'3StatementModel'!L33</f>
        <v>0.13183499758763154</v>
      </c>
      <c r="M33" s="204">
        <f>'3StatementModel'!M33</f>
        <v>0.1177083228403466</v>
      </c>
      <c r="N33" s="204">
        <f>'3StatementModel'!N33</f>
        <v>0.11737200610169934</v>
      </c>
      <c r="O33" s="204">
        <f>'3StatementModel'!O33</f>
        <v>0.11707172329933578</v>
      </c>
      <c r="P33" s="204">
        <f>'3StatementModel'!P33</f>
        <v>0.11680361365436825</v>
      </c>
      <c r="Q33" s="204">
        <f>'3StatementModel'!Q33</f>
        <v>0.11656423004279012</v>
      </c>
      <c r="R33" s="204">
        <f>'3StatementModel'!R33</f>
        <v>0.11635049467530958</v>
      </c>
      <c r="T33" s="37"/>
      <c r="U33" s="37"/>
    </row>
    <row r="34" spans="2:21">
      <c r="B34" s="81"/>
      <c r="C34" s="81"/>
      <c r="D34" s="316"/>
      <c r="E34" s="32"/>
      <c r="F34" s="87"/>
      <c r="G34" s="87"/>
      <c r="H34" s="87"/>
      <c r="I34" s="87"/>
      <c r="J34" s="87"/>
      <c r="K34" s="87"/>
      <c r="L34" s="87"/>
      <c r="M34" s="87"/>
      <c r="N34" s="87"/>
      <c r="O34" s="87"/>
      <c r="P34" s="87"/>
      <c r="Q34" s="87"/>
      <c r="R34" s="87"/>
      <c r="T34" s="37"/>
      <c r="U34" s="37"/>
    </row>
    <row r="35" spans="2:21">
      <c r="B35" s="76" t="s">
        <v>461</v>
      </c>
      <c r="C35" s="76"/>
      <c r="D35" s="320">
        <f>'3StatementModel'!D35/'3StatementModel'!D$13</f>
        <v>4.3430328294233322E-2</v>
      </c>
      <c r="E35" s="320">
        <f>'3StatementModel'!E35/'3StatementModel'!E$13</f>
        <v>4.3580449416601809E-2</v>
      </c>
      <c r="F35" s="320">
        <f>'3StatementModel'!F35/'3StatementModel'!F$13</f>
        <v>2.0933377005926398E-2</v>
      </c>
      <c r="G35" s="320">
        <f>'3StatementModel'!G35/'3StatementModel'!G$13</f>
        <v>1.4128749865256121E-2</v>
      </c>
      <c r="H35" s="320">
        <f>'3StatementModel'!H35/'3StatementModel'!H$13</f>
        <v>1.6711712410864561E-2</v>
      </c>
      <c r="I35" s="320">
        <f>'3StatementModel'!I35/'3StatementModel'!I$13</f>
        <v>2.2505683942876775E-2</v>
      </c>
      <c r="J35" s="320">
        <f>'3StatementModel'!J35/'3StatementModel'!J$13</f>
        <v>1.8596531093072299E-2</v>
      </c>
      <c r="K35" s="320">
        <f>'3StatementModel'!K35/'3StatementModel'!K$13</f>
        <v>1.3073317273626999E-2</v>
      </c>
      <c r="L35" s="320">
        <f>'3StatementModel'!L35/'3StatementModel'!L$13</f>
        <v>9.7601629612811425E-3</v>
      </c>
      <c r="M35" s="320">
        <f>'3StatementModel'!M35/'3StatementModel'!M$13</f>
        <v>7.5415708542765705E-3</v>
      </c>
      <c r="N35" s="320">
        <f>'3StatementModel'!N35/'3StatementModel'!N$13</f>
        <v>5.6412182628748963E-3</v>
      </c>
      <c r="O35" s="320">
        <f>'3StatementModel'!O35/'3StatementModel'!O$13</f>
        <v>4.302138131297456E-3</v>
      </c>
      <c r="P35" s="320">
        <f>'3StatementModel'!P35/'3StatementModel'!P$13</f>
        <v>3.3696286290813399E-3</v>
      </c>
      <c r="Q35" s="320">
        <f>'3StatementModel'!Q35/'3StatementModel'!Q$13</f>
        <v>2.8368889490461703E-3</v>
      </c>
      <c r="R35" s="320">
        <f>'3StatementModel'!R35/'3StatementModel'!R$13</f>
        <v>2.630676163234238E-3</v>
      </c>
      <c r="T35" s="37"/>
      <c r="U35" s="37"/>
    </row>
    <row r="36" spans="2:21">
      <c r="B36" s="76" t="s">
        <v>163</v>
      </c>
      <c r="C36" s="76"/>
      <c r="D36" s="320">
        <f>'3StatementModel'!D36/'3StatementModel'!D$13</f>
        <v>5.9652882778508691E-3</v>
      </c>
      <c r="E36" s="320">
        <f>'3StatementModel'!E36/'3StatementModel'!E$13</f>
        <v>5.7316585376441433E-3</v>
      </c>
      <c r="F36" s="320">
        <f>'3StatementModel'!F36/'3StatementModel'!F$13</f>
        <v>7.698994585882947E-3</v>
      </c>
      <c r="G36" s="320">
        <f>'3StatementModel'!G36/'3StatementModel'!G$13</f>
        <v>2.9491829586567823E-3</v>
      </c>
      <c r="H36" s="320">
        <f>'3StatementModel'!H36/'3StatementModel'!H$13</f>
        <v>4.946772592265546E-3</v>
      </c>
      <c r="I36" s="320">
        <f>'3StatementModel'!I36/'3StatementModel'!I$13</f>
        <v>5.0000000000000001E-3</v>
      </c>
      <c r="J36" s="320">
        <f>'3StatementModel'!J36/'3StatementModel'!J$13</f>
        <v>5.0000000000000001E-3</v>
      </c>
      <c r="K36" s="320">
        <f>'3StatementModel'!K36/'3StatementModel'!K$13</f>
        <v>5.0000000000000001E-3</v>
      </c>
      <c r="L36" s="320">
        <f>'3StatementModel'!L36/'3StatementModel'!L$13</f>
        <v>5.0000000000000001E-3</v>
      </c>
      <c r="M36" s="320">
        <f>'3StatementModel'!M36/'3StatementModel'!M$13</f>
        <v>5.0000000000000001E-3</v>
      </c>
      <c r="N36" s="320">
        <f>'3StatementModel'!N36/'3StatementModel'!N$13</f>
        <v>5.0000000000000001E-3</v>
      </c>
      <c r="O36" s="320">
        <f>'3StatementModel'!O36/'3StatementModel'!O$13</f>
        <v>5.0000000000000001E-3</v>
      </c>
      <c r="P36" s="320">
        <f>'3StatementModel'!P36/'3StatementModel'!P$13</f>
        <v>5.0000000000000001E-3</v>
      </c>
      <c r="Q36" s="320">
        <f>'3StatementModel'!Q36/'3StatementModel'!Q$13</f>
        <v>5.0000000000000001E-3</v>
      </c>
      <c r="R36" s="320">
        <f>'3StatementModel'!R36/'3StatementModel'!R$13</f>
        <v>5.0000000000000001E-3</v>
      </c>
      <c r="T36" s="37"/>
      <c r="U36" s="37"/>
    </row>
    <row r="37" spans="2:21">
      <c r="B37" s="76" t="s">
        <v>166</v>
      </c>
      <c r="C37" s="76"/>
      <c r="D37" s="320">
        <f>'3StatementModel'!D37/'3StatementModel'!D$13</f>
        <v>0</v>
      </c>
      <c r="E37" s="320">
        <f>'3StatementModel'!E37/'3StatementModel'!E$13</f>
        <v>-1.031450480144617E-2</v>
      </c>
      <c r="F37" s="320">
        <f>'3StatementModel'!F37/'3StatementModel'!F$13</f>
        <v>0</v>
      </c>
      <c r="G37" s="320">
        <f>'3StatementModel'!G37/'3StatementModel'!G$13</f>
        <v>0</v>
      </c>
      <c r="H37" s="320">
        <f>'3StatementModel'!H37/'3StatementModel'!H$13</f>
        <v>0</v>
      </c>
      <c r="I37" s="320">
        <f>'3StatementModel'!I37/'3StatementModel'!I$13</f>
        <v>0</v>
      </c>
      <c r="J37" s="320">
        <f>'3StatementModel'!J37/'3StatementModel'!J$13</f>
        <v>0</v>
      </c>
      <c r="K37" s="320">
        <f>'3StatementModel'!K37/'3StatementModel'!K$13</f>
        <v>0</v>
      </c>
      <c r="L37" s="320">
        <f>'3StatementModel'!L37/'3StatementModel'!L$13</f>
        <v>0</v>
      </c>
      <c r="M37" s="320">
        <f>'3StatementModel'!M37/'3StatementModel'!M$13</f>
        <v>0</v>
      </c>
      <c r="N37" s="320">
        <f>'3StatementModel'!N37/'3StatementModel'!N$13</f>
        <v>0</v>
      </c>
      <c r="O37" s="320">
        <f>'3StatementModel'!O37/'3StatementModel'!O$13</f>
        <v>0</v>
      </c>
      <c r="P37" s="320">
        <f>'3StatementModel'!P37/'3StatementModel'!P$13</f>
        <v>0</v>
      </c>
      <c r="Q37" s="320">
        <f>'3StatementModel'!Q37/'3StatementModel'!Q$13</f>
        <v>0</v>
      </c>
      <c r="R37" s="320">
        <f>'3StatementModel'!R37/'3StatementModel'!R$13</f>
        <v>0</v>
      </c>
      <c r="T37" s="37"/>
      <c r="U37" s="37"/>
    </row>
    <row r="38" spans="2:21">
      <c r="B38" s="76" t="s">
        <v>165</v>
      </c>
      <c r="C38" s="76"/>
      <c r="D38" s="320">
        <f>'3StatementModel'!D38/'3StatementModel'!D$13</f>
        <v>6.1153672446343269E-4</v>
      </c>
      <c r="E38" s="320">
        <f>'3StatementModel'!E38/'3StatementModel'!E$13</f>
        <v>0</v>
      </c>
      <c r="F38" s="320">
        <f>'3StatementModel'!F38/'3StatementModel'!F$13</f>
        <v>0</v>
      </c>
      <c r="G38" s="320">
        <f>'3StatementModel'!G38/'3StatementModel'!G$13</f>
        <v>-7.5912045267870837E-7</v>
      </c>
      <c r="H38" s="320">
        <f>'3StatementModel'!H38/'3StatementModel'!H$13</f>
        <v>-2.9858038429103146E-5</v>
      </c>
      <c r="I38" s="320">
        <f>'3StatementModel'!I38/'3StatementModel'!I$13</f>
        <v>0</v>
      </c>
      <c r="J38" s="320">
        <f>'3StatementModel'!J38/'3StatementModel'!J$13</f>
        <v>0</v>
      </c>
      <c r="K38" s="320">
        <f>'3StatementModel'!K38/'3StatementModel'!K$13</f>
        <v>0</v>
      </c>
      <c r="L38" s="320">
        <f>'3StatementModel'!L38/'3StatementModel'!L$13</f>
        <v>0</v>
      </c>
      <c r="M38" s="320">
        <f>'3StatementModel'!M38/'3StatementModel'!M$13</f>
        <v>0</v>
      </c>
      <c r="N38" s="320">
        <f>'3StatementModel'!N38/'3StatementModel'!N$13</f>
        <v>0</v>
      </c>
      <c r="O38" s="320">
        <f>'3StatementModel'!O38/'3StatementModel'!O$13</f>
        <v>0</v>
      </c>
      <c r="P38" s="320">
        <f>'3StatementModel'!P38/'3StatementModel'!P$13</f>
        <v>0</v>
      </c>
      <c r="Q38" s="320">
        <f>'3StatementModel'!Q38/'3StatementModel'!Q$13</f>
        <v>0</v>
      </c>
      <c r="R38" s="320">
        <f>'3StatementModel'!R38/'3StatementModel'!R$13</f>
        <v>0</v>
      </c>
      <c r="T38" s="37"/>
      <c r="U38" s="37"/>
    </row>
    <row r="39" spans="2:21">
      <c r="B39" s="89" t="s">
        <v>486</v>
      </c>
      <c r="C39" s="274"/>
      <c r="D39" s="321">
        <f>'3StatementModel'!D39/'3StatementModel'!D$13</f>
        <v>9.7634082232052916E-2</v>
      </c>
      <c r="E39" s="321">
        <f>'3StatementModel'!E39/'3StatementModel'!E$13</f>
        <v>5.6160021332870264E-2</v>
      </c>
      <c r="F39" s="321">
        <f>'3StatementModel'!F39/'3StatementModel'!F$13</f>
        <v>0.11405233684263034</v>
      </c>
      <c r="G39" s="321">
        <f>'3StatementModel'!G39/'3StatementModel'!G$13</f>
        <v>0.1535913229495777</v>
      </c>
      <c r="H39" s="321">
        <f>'3StatementModel'!H39/'3StatementModel'!H$13</f>
        <v>0.17072982209034812</v>
      </c>
      <c r="I39" s="321">
        <f>'3StatementModel'!I39/'3StatementModel'!I$13</f>
        <v>0.15356848505749704</v>
      </c>
      <c r="J39" s="325">
        <f>'3StatementModel'!J39/'3StatementModel'!J$13</f>
        <v>0.14702417668737922</v>
      </c>
      <c r="K39" s="325">
        <f>'3StatementModel'!K39/'3StatementModel'!K$13</f>
        <v>0.13804781403763997</v>
      </c>
      <c r="L39" s="325">
        <f>'3StatementModel'!L39/'3StatementModel'!L$13</f>
        <v>0.12707483462635041</v>
      </c>
      <c r="M39" s="325">
        <f>'3StatementModel'!M39/'3StatementModel'!M$13</f>
        <v>0.11516675198607002</v>
      </c>
      <c r="N39" s="325">
        <f>'3StatementModel'!N39/'3StatementModel'!N$13</f>
        <v>0.11673078783882444</v>
      </c>
      <c r="O39" s="325">
        <f>'3StatementModel'!O39/'3StatementModel'!O$13</f>
        <v>0.11776958516803833</v>
      </c>
      <c r="P39" s="325">
        <f>'3StatementModel'!P39/'3StatementModel'!P$13</f>
        <v>0.1184339850252869</v>
      </c>
      <c r="Q39" s="325">
        <f>'3StatementModel'!Q39/'3StatementModel'!Q$13</f>
        <v>0.11872734109374394</v>
      </c>
      <c r="R39" s="325">
        <f>'3StatementModel'!R39/'3StatementModel'!R$13</f>
        <v>0.11871981851207535</v>
      </c>
      <c r="T39" s="37"/>
      <c r="U39" s="37"/>
    </row>
    <row r="40" spans="2:21">
      <c r="B40" s="76"/>
      <c r="C40" s="76"/>
      <c r="D40" s="317"/>
      <c r="E40" s="32"/>
      <c r="F40" s="87"/>
      <c r="G40" s="87"/>
      <c r="H40" s="87"/>
      <c r="I40" s="87"/>
      <c r="J40" s="87"/>
      <c r="K40" s="87"/>
      <c r="L40" s="87"/>
      <c r="M40" s="87"/>
      <c r="N40" s="87"/>
      <c r="O40" s="87"/>
      <c r="P40" s="87"/>
      <c r="Q40" s="87"/>
      <c r="R40" s="87"/>
      <c r="T40" s="37"/>
      <c r="U40" s="37"/>
    </row>
    <row r="41" spans="2:21">
      <c r="B41" s="275" t="s">
        <v>4</v>
      </c>
      <c r="C41" s="81"/>
      <c r="D41" s="320">
        <f>'3StatementModel'!D41/'3StatementModel'!D$13</f>
        <v>3.1428218773055357E-2</v>
      </c>
      <c r="E41" s="320">
        <f>'3StatementModel'!E41/'3StatementModel'!E$13</f>
        <v>8.1083511365644784E-4</v>
      </c>
      <c r="F41" s="320">
        <f>'3StatementModel'!F41/'3StatementModel'!F$13</f>
        <v>2.9531135423195357E-2</v>
      </c>
      <c r="G41" s="320">
        <f>'3StatementModel'!G41/'3StatementModel'!G$13</f>
        <v>3.59458716752422E-2</v>
      </c>
      <c r="H41" s="320">
        <f>'3StatementModel'!H41/'3StatementModel'!H$13</f>
        <v>3.9740924480917379E-2</v>
      </c>
      <c r="I41" s="324">
        <f>'3StatementModel'!I41/'3StatementModel'!I$13</f>
        <v>3.7142121264374259E-2</v>
      </c>
      <c r="J41" s="324">
        <f>'3StatementModel'!J41/'3StatementModel'!J$13</f>
        <v>3.5506044171844803E-2</v>
      </c>
      <c r="K41" s="324">
        <f>'3StatementModel'!K41/'3StatementModel'!K$13</f>
        <v>3.3261953509410004E-2</v>
      </c>
      <c r="L41" s="324">
        <f>'3StatementModel'!L41/'3StatementModel'!L$13</f>
        <v>3.0518708656587599E-2</v>
      </c>
      <c r="M41" s="324">
        <f>'3StatementModel'!M41/'3StatementModel'!M$13</f>
        <v>2.7541687996517492E-2</v>
      </c>
      <c r="N41" s="324">
        <f>'3StatementModel'!N41/'3StatementModel'!N$13</f>
        <v>2.7932696959706113E-2</v>
      </c>
      <c r="O41" s="324">
        <f>'3StatementModel'!O41/'3StatementModel'!O$13</f>
        <v>2.8192396292009571E-2</v>
      </c>
      <c r="P41" s="324">
        <f>'3StatementModel'!P41/'3StatementModel'!P$13</f>
        <v>2.8358496256321728E-2</v>
      </c>
      <c r="Q41" s="324">
        <f>'3StatementModel'!Q41/'3StatementModel'!Q$13</f>
        <v>2.8431835273435985E-2</v>
      </c>
      <c r="R41" s="324">
        <f>'3StatementModel'!R41/'3StatementModel'!R$13</f>
        <v>2.8429954628018839E-2</v>
      </c>
      <c r="T41" s="37"/>
      <c r="U41" s="37"/>
    </row>
    <row r="42" spans="2:21" ht="15" thickBot="1">
      <c r="B42" s="84" t="s">
        <v>5</v>
      </c>
      <c r="C42" s="84"/>
      <c r="D42" s="322">
        <f>'3StatementModel'!D42/'3StatementModel'!D$13</f>
        <v>6.6205863458997552E-2</v>
      </c>
      <c r="E42" s="322">
        <f>'3StatementModel'!E42/'3StatementModel'!E$13</f>
        <v>5.5349186219213815E-2</v>
      </c>
      <c r="F42" s="322">
        <f>'3StatementModel'!F42/'3StatementModel'!F$13</f>
        <v>8.4521201419435005E-2</v>
      </c>
      <c r="G42" s="322">
        <f>'3StatementModel'!G42/'3StatementModel'!G$13</f>
        <v>0.11764545127433551</v>
      </c>
      <c r="H42" s="322">
        <f>'3StatementModel'!H42/'3StatementModel'!H$13</f>
        <v>0.13098889760943075</v>
      </c>
      <c r="I42" s="323">
        <f>'3StatementModel'!I42/'3StatementModel'!I$13</f>
        <v>0.11642636379312277</v>
      </c>
      <c r="J42" s="323">
        <f>'3StatementModel'!J42/'3StatementModel'!J$13</f>
        <v>0.11151813251553441</v>
      </c>
      <c r="K42" s="323">
        <f>'3StatementModel'!K42/'3StatementModel'!K$13</f>
        <v>0.10478586052822997</v>
      </c>
      <c r="L42" s="323">
        <f>'3StatementModel'!L42/'3StatementModel'!L$13</f>
        <v>9.6556125969762804E-2</v>
      </c>
      <c r="M42" s="323">
        <f>'3StatementModel'!M42/'3StatementModel'!M$13</f>
        <v>8.7625063989552526E-2</v>
      </c>
      <c r="N42" s="323">
        <f>'3StatementModel'!N42/'3StatementModel'!N$13</f>
        <v>8.879809087911833E-2</v>
      </c>
      <c r="O42" s="323">
        <f>'3StatementModel'!O42/'3StatementModel'!O$13</f>
        <v>8.9577188876028752E-2</v>
      </c>
      <c r="P42" s="323">
        <f>'3StatementModel'!P42/'3StatementModel'!P$13</f>
        <v>9.0075488768965165E-2</v>
      </c>
      <c r="Q42" s="323">
        <f>'3StatementModel'!Q42/'3StatementModel'!Q$13</f>
        <v>9.0295505820307959E-2</v>
      </c>
      <c r="R42" s="323">
        <f>'3StatementModel'!R42/'3StatementModel'!R$13</f>
        <v>9.0289863884056507E-2</v>
      </c>
      <c r="T42" s="37"/>
      <c r="U42" s="37"/>
    </row>
    <row r="43" spans="2:21">
      <c r="B43" s="11"/>
      <c r="C43" s="11"/>
      <c r="D43" s="119"/>
      <c r="E43" s="32"/>
      <c r="F43" s="32"/>
      <c r="G43" s="32"/>
      <c r="H43" s="32"/>
      <c r="I43" s="32"/>
      <c r="J43" s="32"/>
      <c r="K43" s="32"/>
      <c r="L43" s="32"/>
      <c r="M43" s="32"/>
      <c r="N43" s="32"/>
      <c r="O43" s="32"/>
      <c r="P43" s="32"/>
      <c r="Q43" s="32"/>
      <c r="R43" s="32"/>
    </row>
    <row r="44" spans="2:21" ht="18">
      <c r="B44" s="10" t="s">
        <v>66</v>
      </c>
      <c r="C44" s="10"/>
      <c r="D44" s="318"/>
      <c r="E44" s="318"/>
      <c r="F44" s="318"/>
      <c r="G44" s="318"/>
      <c r="H44" s="318"/>
      <c r="I44" s="318"/>
      <c r="J44" s="318"/>
      <c r="K44" s="318"/>
      <c r="L44" s="318"/>
      <c r="M44" s="318"/>
      <c r="N44" s="318"/>
      <c r="O44" s="318"/>
      <c r="P44" s="318"/>
      <c r="Q44" s="318"/>
      <c r="R44" s="318"/>
    </row>
    <row r="45" spans="2:21">
      <c r="B45" s="11"/>
      <c r="C45" s="11"/>
      <c r="D45" s="119"/>
      <c r="E45" s="32"/>
      <c r="F45" s="32"/>
      <c r="G45" s="32"/>
      <c r="H45" s="42"/>
      <c r="I45" s="42"/>
      <c r="J45" s="42"/>
      <c r="K45" s="42"/>
      <c r="L45" s="42"/>
      <c r="M45" s="42"/>
      <c r="N45" s="42"/>
      <c r="O45" s="42"/>
      <c r="P45" s="42"/>
      <c r="Q45" s="42"/>
      <c r="R45" s="42"/>
    </row>
    <row r="46" spans="2:21">
      <c r="B46" s="92" t="s">
        <v>6</v>
      </c>
      <c r="C46" s="5"/>
      <c r="D46" s="5"/>
      <c r="E46" s="2"/>
      <c r="F46" s="32"/>
      <c r="G46" s="2"/>
      <c r="H46" s="2"/>
      <c r="I46" s="2"/>
      <c r="J46" s="67"/>
      <c r="K46" s="67"/>
      <c r="L46" s="67"/>
      <c r="M46" s="67"/>
      <c r="N46" s="67"/>
      <c r="O46" s="67"/>
      <c r="P46" s="67"/>
      <c r="Q46" s="67"/>
      <c r="R46" s="67"/>
    </row>
    <row r="47" spans="2:21">
      <c r="B47" s="5"/>
      <c r="C47" s="5"/>
      <c r="D47" s="5"/>
      <c r="E47" s="2"/>
      <c r="F47" s="32"/>
      <c r="G47" s="2"/>
      <c r="H47" s="2"/>
      <c r="I47" s="2"/>
      <c r="J47" s="67"/>
      <c r="K47" s="67"/>
      <c r="L47" s="67"/>
      <c r="M47" s="67"/>
      <c r="N47" s="67"/>
      <c r="O47" s="67"/>
      <c r="P47" s="67"/>
      <c r="Q47" s="67"/>
      <c r="R47" s="67"/>
    </row>
    <row r="48" spans="2:21">
      <c r="B48" s="5" t="s">
        <v>423</v>
      </c>
      <c r="C48" s="92"/>
      <c r="D48" s="87"/>
      <c r="E48" s="87"/>
      <c r="F48" s="87"/>
      <c r="G48" s="87"/>
      <c r="H48" s="87"/>
      <c r="I48" s="87"/>
      <c r="J48" s="87"/>
      <c r="K48" s="87"/>
      <c r="L48" s="87"/>
      <c r="M48" s="87"/>
      <c r="N48" s="87"/>
      <c r="O48" s="87"/>
      <c r="P48" s="87"/>
      <c r="Q48" s="87"/>
      <c r="R48" s="87"/>
    </row>
    <row r="49" spans="2:23">
      <c r="B49" s="273" t="s">
        <v>400</v>
      </c>
      <c r="C49" s="273"/>
      <c r="D49" s="320">
        <f>'3StatementModel'!D56/'3StatementModel'!D$75</f>
        <v>0.70247239286476426</v>
      </c>
      <c r="E49" s="320">
        <f>'3StatementModel'!E56/'3StatementModel'!E$75</f>
        <v>0.68894624337323196</v>
      </c>
      <c r="F49" s="320">
        <f>'3StatementModel'!F56/'3StatementModel'!F$75</f>
        <v>0.5380292747155766</v>
      </c>
      <c r="G49" s="320">
        <f>'3StatementModel'!G56/'3StatementModel'!G$75</f>
        <v>0.46837867384501319</v>
      </c>
      <c r="H49" s="320">
        <f>'3StatementModel'!H56/'3StatementModel'!H$75</f>
        <v>0.44796325863868169</v>
      </c>
      <c r="I49" s="320">
        <f>'3StatementModel'!I56/'3StatementModel'!I$75</f>
        <v>0.50927679855572361</v>
      </c>
      <c r="J49" s="320">
        <f>'3StatementModel'!J56/'3StatementModel'!J$75</f>
        <v>0.49409635246898637</v>
      </c>
      <c r="K49" s="320">
        <f>'3StatementModel'!K56/'3StatementModel'!K$75</f>
        <v>0.50648153156144748</v>
      </c>
      <c r="L49" s="320">
        <f>'3StatementModel'!L56/'3StatementModel'!L$75</f>
        <v>0.50570122694335484</v>
      </c>
      <c r="M49" s="320">
        <f>'3StatementModel'!M56/'3StatementModel'!M$75</f>
        <v>0.49794645282829209</v>
      </c>
      <c r="N49" s="320">
        <f>'3StatementModel'!N56/'3StatementModel'!N$75</f>
        <v>0.49195176273666419</v>
      </c>
      <c r="O49" s="320">
        <f>'3StatementModel'!O56/'3StatementModel'!O$75</f>
        <v>0.47858710365737855</v>
      </c>
      <c r="P49" s="320">
        <f>'3StatementModel'!P56/'3StatementModel'!P$75</f>
        <v>0.46828639389354576</v>
      </c>
      <c r="Q49" s="320">
        <f>'3StatementModel'!Q56/'3StatementModel'!Q$75</f>
        <v>0.45461543723539616</v>
      </c>
      <c r="R49" s="320">
        <f>'3StatementModel'!R56/'3StatementModel'!R$75</f>
        <v>0.44451191713035659</v>
      </c>
    </row>
    <row r="50" spans="2:23">
      <c r="B50" s="273" t="s">
        <v>401</v>
      </c>
      <c r="C50" s="273"/>
      <c r="D50" s="320">
        <f>'3StatementModel'!D57/'3StatementModel'!D$75</f>
        <v>0</v>
      </c>
      <c r="E50" s="320">
        <f>'3StatementModel'!E57/'3StatementModel'!E$75</f>
        <v>0</v>
      </c>
      <c r="F50" s="320">
        <f>'3StatementModel'!F57/'3StatementModel'!F$75</f>
        <v>5.9781274046793322E-2</v>
      </c>
      <c r="G50" s="320">
        <f>'3StatementModel'!G57/'3StatementModel'!G$75</f>
        <v>7.8800881708170567E-2</v>
      </c>
      <c r="H50" s="320">
        <f>'3StatementModel'!H57/'3StatementModel'!H$75</f>
        <v>6.8131960317138418E-2</v>
      </c>
      <c r="I50" s="320">
        <f>'3StatementModel'!I57/'3StatementModel'!I$75</f>
        <v>5.0796171740650174E-2</v>
      </c>
      <c r="J50" s="320">
        <f>'3StatementModel'!J57/'3StatementModel'!J$75</f>
        <v>4.2665391502093322E-2</v>
      </c>
      <c r="K50" s="320">
        <f>'3StatementModel'!K57/'3StatementModel'!K$75</f>
        <v>3.4903462588680378E-2</v>
      </c>
      <c r="L50" s="320">
        <f>'3StatementModel'!L57/'3StatementModel'!L$75</f>
        <v>2.8421549003476626E-2</v>
      </c>
      <c r="M50" s="320">
        <f>'3StatementModel'!M57/'3StatementModel'!M$75</f>
        <v>2.3339593428734262E-2</v>
      </c>
      <c r="N50" s="320">
        <f>'3StatementModel'!N57/'3StatementModel'!N$75</f>
        <v>1.87576099786879E-2</v>
      </c>
      <c r="O50" s="320">
        <f>'3StatementModel'!O57/'3StatementModel'!O$75</f>
        <v>1.4339261480227563E-2</v>
      </c>
      <c r="P50" s="320">
        <f>'3StatementModel'!P57/'3StatementModel'!P$75</f>
        <v>1.0470377015506847E-2</v>
      </c>
      <c r="Q50" s="320">
        <f>'3StatementModel'!Q57/'3StatementModel'!Q$75</f>
        <v>6.9606169856975793E-3</v>
      </c>
      <c r="R50" s="320">
        <f>'3StatementModel'!R57/'3StatementModel'!R$75</f>
        <v>3.9156172245610136E-3</v>
      </c>
    </row>
    <row r="51" spans="2:23">
      <c r="B51" s="273" t="s">
        <v>474</v>
      </c>
      <c r="C51" s="273"/>
      <c r="D51" s="320">
        <f>'3StatementModel'!D58/'3StatementModel'!D$75</f>
        <v>7.6082796966702171E-3</v>
      </c>
      <c r="E51" s="320">
        <f>'3StatementModel'!E58/'3StatementModel'!E$75</f>
        <v>7.900100731604659E-3</v>
      </c>
      <c r="F51" s="320">
        <f>'3StatementModel'!F58/'3StatementModel'!F$75</f>
        <v>5.1829661896019424E-2</v>
      </c>
      <c r="G51" s="320">
        <f>'3StatementModel'!G58/'3StatementModel'!G$75</f>
        <v>5.2215102846012745E-2</v>
      </c>
      <c r="H51" s="320">
        <f>'3StatementModel'!H58/'3StatementModel'!H$75</f>
        <v>0.12657182470470424</v>
      </c>
      <c r="I51" s="320">
        <f>'3StatementModel'!I58/'3StatementModel'!I$75</f>
        <v>0.10334429950076698</v>
      </c>
      <c r="J51" s="320">
        <f>'3StatementModel'!J58/'3StatementModel'!J$75</f>
        <v>9.5928925261867581E-2</v>
      </c>
      <c r="K51" s="320">
        <f>'3StatementModel'!K58/'3StatementModel'!K$75</f>
        <v>8.769775974634611E-2</v>
      </c>
      <c r="L51" s="320">
        <f>'3StatementModel'!L58/'3StatementModel'!L$75</f>
        <v>8.0919139643528967E-2</v>
      </c>
      <c r="M51" s="320">
        <f>'3StatementModel'!M58/'3StatementModel'!M$75</f>
        <v>7.6656286813425345E-2</v>
      </c>
      <c r="N51" s="320">
        <f>'3StatementModel'!N58/'3StatementModel'!N$75</f>
        <v>7.2786447209597344E-2</v>
      </c>
      <c r="O51" s="320">
        <f>'3StatementModel'!O58/'3StatementModel'!O$75</f>
        <v>6.7976560048653226E-2</v>
      </c>
      <c r="P51" s="320">
        <f>'3StatementModel'!P58/'3StatementModel'!P$75</f>
        <v>6.3773394544510753E-2</v>
      </c>
      <c r="Q51" s="320">
        <f>'3StatementModel'!Q58/'3StatementModel'!Q$75</f>
        <v>5.9280810132023798E-2</v>
      </c>
      <c r="R51" s="320">
        <f>'3StatementModel'!R58/'3StatementModel'!R$75</f>
        <v>5.5419248735868357E-2</v>
      </c>
    </row>
    <row r="52" spans="2:23">
      <c r="B52" s="273" t="s">
        <v>12</v>
      </c>
      <c r="C52" s="273"/>
      <c r="D52" s="320">
        <f>'3StatementModel'!D59/'3StatementModel'!D$75</f>
        <v>2.8885712480463707E-3</v>
      </c>
      <c r="E52" s="320">
        <f>'3StatementModel'!E59/'3StatementModel'!E$75</f>
        <v>2.8647027944744227E-3</v>
      </c>
      <c r="F52" s="320">
        <f>'3StatementModel'!F59/'3StatementModel'!F$75</f>
        <v>2.5288107523822531E-3</v>
      </c>
      <c r="G52" s="320">
        <f>'3StatementModel'!G59/'3StatementModel'!G$75</f>
        <v>2.0855743071705795E-3</v>
      </c>
      <c r="H52" s="320">
        <f>'3StatementModel'!H59/'3StatementModel'!H$75</f>
        <v>1.5954636418660196E-3</v>
      </c>
      <c r="I52" s="320">
        <f>'3StatementModel'!I59/'3StatementModel'!I$75</f>
        <v>1.3026759536118014E-3</v>
      </c>
      <c r="J52" s="320">
        <f>'3StatementModel'!J59/'3StatementModel'!J$75</f>
        <v>1.2092036503042059E-3</v>
      </c>
      <c r="K52" s="320">
        <f>'3StatementModel'!K59/'3StatementModel'!K$75</f>
        <v>1.1054481317215007E-3</v>
      </c>
      <c r="L52" s="320">
        <f>'3StatementModel'!L59/'3StatementModel'!L$75</f>
        <v>1.0200022440502226E-3</v>
      </c>
      <c r="M52" s="320">
        <f>'3StatementModel'!M59/'3StatementModel'!M$75</f>
        <v>9.6626811548785533E-4</v>
      </c>
      <c r="N52" s="320">
        <f>'3StatementModel'!N59/'3StatementModel'!N$75</f>
        <v>9.174879987267566E-4</v>
      </c>
      <c r="O52" s="320">
        <f>'3StatementModel'!O59/'3StatementModel'!O$75</f>
        <v>8.5685839095529424E-4</v>
      </c>
      <c r="P52" s="320">
        <f>'3StatementModel'!P59/'3StatementModel'!P$75</f>
        <v>8.0387663329911717E-4</v>
      </c>
      <c r="Q52" s="320">
        <f>'3StatementModel'!Q59/'3StatementModel'!Q$75</f>
        <v>7.4724669132854413E-4</v>
      </c>
      <c r="R52" s="320">
        <f>'3StatementModel'!R59/'3StatementModel'!R$75</f>
        <v>6.9857092306200349E-4</v>
      </c>
    </row>
    <row r="53" spans="2:23">
      <c r="B53" s="276" t="s">
        <v>487</v>
      </c>
      <c r="C53" s="273"/>
      <c r="D53" s="320">
        <f>'3StatementModel'!D60/'3StatementModel'!D$75</f>
        <v>0</v>
      </c>
      <c r="E53" s="320">
        <f>'3StatementModel'!E60/'3StatementModel'!E$75</f>
        <v>0</v>
      </c>
      <c r="F53" s="320">
        <f>'3StatementModel'!F60/'3StatementModel'!F$75</f>
        <v>0</v>
      </c>
      <c r="G53" s="320">
        <f>'3StatementModel'!G60/'3StatementModel'!G$75</f>
        <v>3.4429621249204785E-7</v>
      </c>
      <c r="H53" s="320">
        <f>'3StatementModel'!H60/'3StatementModel'!H$75</f>
        <v>1.1807616188997715E-3</v>
      </c>
      <c r="I53" s="320">
        <f>'3StatementModel'!I60/'3StatementModel'!I$75</f>
        <v>9.6407697895859769E-4</v>
      </c>
      <c r="J53" s="320">
        <f>'3StatementModel'!J60/'3StatementModel'!J$75</f>
        <v>8.9490053063371938E-4</v>
      </c>
      <c r="K53" s="320">
        <f>'3StatementModel'!K60/'3StatementModel'!K$75</f>
        <v>8.1811373908501647E-4</v>
      </c>
      <c r="L53" s="320">
        <f>'3StatementModel'!L60/'3StatementModel'!L$75</f>
        <v>7.5487743459796085E-4</v>
      </c>
      <c r="M53" s="320">
        <f>'3StatementModel'!M60/'3StatementModel'!M$75</f>
        <v>7.1511018765696324E-4</v>
      </c>
      <c r="N53" s="320">
        <f>'3StatementModel'!N60/'3StatementModel'!N$75</f>
        <v>6.7900927747289303E-4</v>
      </c>
      <c r="O53" s="320">
        <f>'3StatementModel'!O60/'3StatementModel'!O$75</f>
        <v>6.3413886366530477E-4</v>
      </c>
      <c r="P53" s="320">
        <f>'3StatementModel'!P60/'3StatementModel'!P$75</f>
        <v>5.9492842708707252E-4</v>
      </c>
      <c r="Q53" s="320">
        <f>'3StatementModel'!Q60/'3StatementModel'!Q$75</f>
        <v>5.530180630996059E-4</v>
      </c>
      <c r="R53" s="320">
        <f>'3StatementModel'!R60/'3StatementModel'!R$75</f>
        <v>5.1699437855335718E-4</v>
      </c>
    </row>
    <row r="54" spans="2:23">
      <c r="B54" s="273" t="s">
        <v>475</v>
      </c>
      <c r="C54" s="273"/>
      <c r="D54" s="320">
        <f>'3StatementModel'!D61/'3StatementModel'!D$75</f>
        <v>6.7035596305776088E-2</v>
      </c>
      <c r="E54" s="320">
        <f>'3StatementModel'!E61/'3StatementModel'!E$75</f>
        <v>6.5877523610447714E-2</v>
      </c>
      <c r="F54" s="320">
        <f>'3StatementModel'!F61/'3StatementModel'!F$75</f>
        <v>5.8296236977224719E-2</v>
      </c>
      <c r="G54" s="320">
        <f>'3StatementModel'!G61/'3StatementModel'!G$75</f>
        <v>4.7419056605998516E-2</v>
      </c>
      <c r="H54" s="320">
        <f>'3StatementModel'!H61/'3StatementModel'!H$75</f>
        <v>3.6024686688605007E-2</v>
      </c>
      <c r="I54" s="320">
        <f>'3StatementModel'!I61/'3StatementModel'!I$75</f>
        <v>2.9413702609204152E-2</v>
      </c>
      <c r="J54" s="320">
        <f>'3StatementModel'!J61/'3StatementModel'!J$75</f>
        <v>2.730314969382712E-2</v>
      </c>
      <c r="K54" s="320">
        <f>'3StatementModel'!K61/'3StatementModel'!K$75</f>
        <v>2.4960407464499918E-2</v>
      </c>
      <c r="L54" s="320">
        <f>'3StatementModel'!L61/'3StatementModel'!L$75</f>
        <v>2.3031086575314767E-2</v>
      </c>
      <c r="M54" s="320">
        <f>'3StatementModel'!M61/'3StatementModel'!M$75</f>
        <v>2.1817799669145922E-2</v>
      </c>
      <c r="N54" s="320">
        <f>'3StatementModel'!N61/'3StatementModel'!N$75</f>
        <v>2.0716371609715581E-2</v>
      </c>
      <c r="O54" s="320">
        <f>'3StatementModel'!O61/'3StatementModel'!O$75</f>
        <v>1.9347388596435883E-2</v>
      </c>
      <c r="P54" s="320">
        <f>'3StatementModel'!P61/'3StatementModel'!P$75</f>
        <v>1.815108980924255E-2</v>
      </c>
      <c r="Q54" s="320">
        <f>'3StatementModel'!Q61/'3StatementModel'!Q$75</f>
        <v>1.687241703779804E-2</v>
      </c>
      <c r="R54" s="320">
        <f>'3StatementModel'!R61/'3StatementModel'!R$75</f>
        <v>1.5773345109666617E-2</v>
      </c>
    </row>
    <row r="55" spans="2:23">
      <c r="B55" s="273" t="s">
        <v>476</v>
      </c>
      <c r="C55" s="273"/>
      <c r="D55" s="320">
        <f>'3StatementModel'!D62/'3StatementModel'!D$75</f>
        <v>5.417114218375034E-3</v>
      </c>
      <c r="E55" s="320">
        <f>'3StatementModel'!E62/'3StatementModel'!E$75</f>
        <v>4.9550018207355773E-3</v>
      </c>
      <c r="F55" s="320">
        <f>'3StatementModel'!F62/'3StatementModel'!F$75</f>
        <v>4.3896731425999824E-3</v>
      </c>
      <c r="G55" s="320">
        <f>'3StatementModel'!G62/'3StatementModel'!G$75</f>
        <v>4.1900849060282222E-3</v>
      </c>
      <c r="H55" s="320">
        <f>'3StatementModel'!H62/'3StatementModel'!H$75</f>
        <v>4.3075542931733917E-3</v>
      </c>
      <c r="I55" s="320">
        <f>'3StatementModel'!I62/'3StatementModel'!I$75</f>
        <v>3.5170637859420896E-3</v>
      </c>
      <c r="J55" s="320">
        <f>'3StatementModel'!J62/'3StatementModel'!J$75</f>
        <v>3.2647001401403448E-3</v>
      </c>
      <c r="K55" s="320">
        <f>'3StatementModel'!K62/'3StatementModel'!K$75</f>
        <v>2.9845730862962088E-3</v>
      </c>
      <c r="L55" s="320">
        <f>'3StatementModel'!L62/'3StatementModel'!L$75</f>
        <v>2.7538797689342746E-3</v>
      </c>
      <c r="M55" s="320">
        <f>'3StatementModel'!M62/'3StatementModel'!M$75</f>
        <v>2.6088042748239589E-3</v>
      </c>
      <c r="N55" s="320">
        <f>'3StatementModel'!N62/'3StatementModel'!N$75</f>
        <v>2.4771039992037545E-3</v>
      </c>
      <c r="O55" s="320">
        <f>'3StatementModel'!O62/'3StatementModel'!O$75</f>
        <v>2.3134115649819827E-3</v>
      </c>
      <c r="P55" s="320">
        <f>'3StatementModel'!P62/'3StatementModel'!P$75</f>
        <v>2.1703673791647398E-3</v>
      </c>
      <c r="Q55" s="320">
        <f>'3StatementModel'!Q62/'3StatementModel'!Q$75</f>
        <v>2.0174735473929301E-3</v>
      </c>
      <c r="R55" s="320">
        <f>'3StatementModel'!R62/'3StatementModel'!R$75</f>
        <v>1.886054999788285E-3</v>
      </c>
    </row>
    <row r="56" spans="2:23">
      <c r="B56" s="273" t="s">
        <v>403</v>
      </c>
      <c r="C56" s="273"/>
      <c r="D56" s="320">
        <f>'3StatementModel'!D63/'3StatementModel'!D$75</f>
        <v>1.3757371936630259E-2</v>
      </c>
      <c r="E56" s="320">
        <f>'3StatementModel'!E63/'3StatementModel'!E$75</f>
        <v>1.5410043839529354E-2</v>
      </c>
      <c r="F56" s="320">
        <f>'3StatementModel'!F63/'3StatementModel'!F$75</f>
        <v>1.9195166057703012E-2</v>
      </c>
      <c r="G56" s="320">
        <f>'3StatementModel'!G63/'3StatementModel'!G$75</f>
        <v>5.3940887611129126E-2</v>
      </c>
      <c r="H56" s="320">
        <f>'3StatementModel'!H63/'3StatementModel'!H$75</f>
        <v>3.5347256645372749E-2</v>
      </c>
      <c r="I56" s="320">
        <f>'3StatementModel'!I63/'3StatementModel'!I$75</f>
        <v>2.88605895175509E-2</v>
      </c>
      <c r="J56" s="320">
        <f>'3StatementModel'!J63/'3StatementModel'!J$75</f>
        <v>2.678972471841112E-2</v>
      </c>
      <c r="K56" s="320">
        <f>'3StatementModel'!K63/'3StatementModel'!K$75</f>
        <v>2.449103683391177E-2</v>
      </c>
      <c r="L56" s="320">
        <f>'3StatementModel'!L63/'3StatementModel'!L$75</f>
        <v>2.2597996064097736E-2</v>
      </c>
      <c r="M56" s="320">
        <f>'3StatementModel'!M63/'3StatementModel'!M$75</f>
        <v>2.1407524540291645E-2</v>
      </c>
      <c r="N56" s="320">
        <f>'3StatementModel'!N63/'3StatementModel'!N$75</f>
        <v>2.0326808401671798E-2</v>
      </c>
      <c r="O56" s="320">
        <f>'3StatementModel'!O63/'3StatementModel'!O$75</f>
        <v>1.8983568574721148E-2</v>
      </c>
      <c r="P56" s="320">
        <f>'3StatementModel'!P63/'3StatementModel'!P$75</f>
        <v>1.7809765715004776E-2</v>
      </c>
      <c r="Q56" s="320">
        <f>'3StatementModel'!Q63/'3StatementModel'!Q$75</f>
        <v>1.6555137881364358E-2</v>
      </c>
      <c r="R56" s="320">
        <f>'3StatementModel'!R63/'3StatementModel'!R$75</f>
        <v>1.5476733567922419E-2</v>
      </c>
    </row>
    <row r="57" spans="2:23">
      <c r="B57" s="273" t="s">
        <v>477</v>
      </c>
      <c r="C57" s="273"/>
      <c r="D57" s="320">
        <f>'3StatementModel'!D64/'3StatementModel'!D$75</f>
        <v>1.5319084002226933E-3</v>
      </c>
      <c r="E57" s="320">
        <f>'3StatementModel'!E64/'3StatementModel'!E$75</f>
        <v>1.3028900039252223E-3</v>
      </c>
      <c r="F57" s="320">
        <f>'3StatementModel'!F64/'3StatementModel'!F$75</f>
        <v>2.5152430512757863E-4</v>
      </c>
      <c r="G57" s="320">
        <f>'3StatementModel'!G64/'3StatementModel'!G$75</f>
        <v>0</v>
      </c>
      <c r="H57" s="320">
        <f>'3StatementModel'!H64/'3StatementModel'!H$75</f>
        <v>0</v>
      </c>
      <c r="I57" s="320">
        <f>'3StatementModel'!I64/'3StatementModel'!I$75</f>
        <v>0</v>
      </c>
      <c r="J57" s="320">
        <f>'3StatementModel'!J64/'3StatementModel'!J$75</f>
        <v>0</v>
      </c>
      <c r="K57" s="320">
        <f>'3StatementModel'!K64/'3StatementModel'!K$75</f>
        <v>0</v>
      </c>
      <c r="L57" s="320">
        <f>'3StatementModel'!L64/'3StatementModel'!L$75</f>
        <v>0</v>
      </c>
      <c r="M57" s="320">
        <f>'3StatementModel'!M64/'3StatementModel'!M$75</f>
        <v>0</v>
      </c>
      <c r="N57" s="320">
        <f>'3StatementModel'!N64/'3StatementModel'!N$75</f>
        <v>0</v>
      </c>
      <c r="O57" s="320">
        <f>'3StatementModel'!O64/'3StatementModel'!O$75</f>
        <v>0</v>
      </c>
      <c r="P57" s="320">
        <f>'3StatementModel'!P64/'3StatementModel'!P$75</f>
        <v>0</v>
      </c>
      <c r="Q57" s="320">
        <f>'3StatementModel'!Q64/'3StatementModel'!Q$75</f>
        <v>0</v>
      </c>
      <c r="R57" s="320">
        <f>'3StatementModel'!R64/'3StatementModel'!R$75</f>
        <v>0</v>
      </c>
    </row>
    <row r="58" spans="2:23">
      <c r="B58" s="94" t="s">
        <v>478</v>
      </c>
      <c r="C58" s="94"/>
      <c r="D58" s="325">
        <f>'3StatementModel'!D65/'3StatementModel'!D$75</f>
        <v>0.80071123467048477</v>
      </c>
      <c r="E58" s="325">
        <f>'3StatementModel'!E65/'3StatementModel'!E$75</f>
        <v>0.78725650617394882</v>
      </c>
      <c r="F58" s="325">
        <f>'3StatementModel'!F65/'3StatementModel'!F$75</f>
        <v>0.73430162189342674</v>
      </c>
      <c r="G58" s="325">
        <f>'3StatementModel'!G65/'3StatementModel'!G$75</f>
        <v>0.70703060612573543</v>
      </c>
      <c r="H58" s="325">
        <f>'3StatementModel'!H65/'3StatementModel'!H$75</f>
        <v>0.72112276654844132</v>
      </c>
      <c r="I58" s="325">
        <f>'3StatementModel'!I65/'3StatementModel'!I$75</f>
        <v>0.7274753786424083</v>
      </c>
      <c r="J58" s="325">
        <f>'3StatementModel'!J65/'3StatementModel'!J$75</f>
        <v>0.69215234796626379</v>
      </c>
      <c r="K58" s="325">
        <f>'3StatementModel'!K65/'3StatementModel'!K$75</f>
        <v>0.68344233315198843</v>
      </c>
      <c r="L58" s="325">
        <f>'3StatementModel'!L65/'3StatementModel'!L$75</f>
        <v>0.6651997576773554</v>
      </c>
      <c r="M58" s="325">
        <f>'3StatementModel'!M65/'3StatementModel'!M$75</f>
        <v>0.64545783985785798</v>
      </c>
      <c r="N58" s="325">
        <f>'3StatementModel'!N65/'3StatementModel'!N$75</f>
        <v>0.62861260121174034</v>
      </c>
      <c r="O58" s="325">
        <f>'3StatementModel'!O65/'3StatementModel'!O$75</f>
        <v>0.60303829117701913</v>
      </c>
      <c r="P58" s="325">
        <f>'3StatementModel'!P65/'3StatementModel'!P$75</f>
        <v>0.58206019341736159</v>
      </c>
      <c r="Q58" s="325">
        <f>'3StatementModel'!Q65/'3StatementModel'!Q$75</f>
        <v>0.55760215757410103</v>
      </c>
      <c r="R58" s="325">
        <f>'3StatementModel'!R65/'3StatementModel'!R$75</f>
        <v>0.53819848206977872</v>
      </c>
    </row>
    <row r="59" spans="2:23">
      <c r="B59" s="5"/>
      <c r="C59" s="5"/>
      <c r="D59" s="320"/>
      <c r="E59" s="320"/>
      <c r="F59" s="320"/>
      <c r="G59" s="320"/>
      <c r="H59" s="320"/>
      <c r="I59" s="320"/>
      <c r="J59" s="320"/>
      <c r="K59" s="320"/>
      <c r="L59" s="320"/>
      <c r="M59" s="320"/>
      <c r="N59" s="320"/>
      <c r="O59" s="320"/>
      <c r="P59" s="320"/>
      <c r="Q59" s="320"/>
      <c r="R59" s="320"/>
    </row>
    <row r="60" spans="2:23">
      <c r="B60" s="5" t="s">
        <v>83</v>
      </c>
      <c r="C60" s="5"/>
      <c r="D60" s="320"/>
      <c r="E60" s="320"/>
      <c r="F60" s="320"/>
      <c r="G60" s="320"/>
      <c r="H60" s="320"/>
      <c r="I60" s="320"/>
      <c r="J60" s="320"/>
      <c r="K60" s="320"/>
      <c r="L60" s="320"/>
      <c r="M60" s="320"/>
      <c r="N60" s="320"/>
      <c r="O60" s="320"/>
      <c r="P60" s="320"/>
      <c r="Q60" s="320"/>
      <c r="R60" s="320"/>
    </row>
    <row r="61" spans="2:23">
      <c r="B61" s="76" t="s">
        <v>7</v>
      </c>
      <c r="C61" s="81"/>
      <c r="D61" s="491">
        <f>'3StatementModel'!D68/'3StatementModel'!D$75</f>
        <v>1.6423011767679178E-2</v>
      </c>
      <c r="E61" s="491">
        <f>'3StatementModel'!E68/'3StatementModel'!E$75</f>
        <v>1.2330163204116274E-2</v>
      </c>
      <c r="F61" s="491">
        <f>'3StatementModel'!F68/'3StatementModel'!F$75</f>
        <v>1.5700961188130001E-2</v>
      </c>
      <c r="G61" s="491">
        <f>'3StatementModel'!G68/'3StatementModel'!G$75</f>
        <v>1.3253682699881362E-2</v>
      </c>
      <c r="H61" s="491">
        <f>'3StatementModel'!H68/'3StatementModel'!H$75</f>
        <v>1.5924149432849855E-2</v>
      </c>
      <c r="I61" s="320">
        <f>'3StatementModel'!I68/'3StatementModel'!I$75</f>
        <v>1.0566282394110853E-2</v>
      </c>
      <c r="J61" s="320">
        <f>'3StatementModel'!J68/'3StatementModel'!J$75</f>
        <v>1.4160664562492905E-2</v>
      </c>
      <c r="K61" s="320">
        <f>'3StatementModel'!K68/'3StatementModel'!K$75</f>
        <v>1.8318799624723103E-2</v>
      </c>
      <c r="L61" s="320">
        <f>'3StatementModel'!L68/'3StatementModel'!L$75</f>
        <v>1.9045150095873455E-2</v>
      </c>
      <c r="M61" s="320">
        <f>'3StatementModel'!M68/'3StatementModel'!M$75</f>
        <v>2.0568214432210179E-2</v>
      </c>
      <c r="N61" s="320">
        <f>'3StatementModel'!N68/'3StatementModel'!N$75</f>
        <v>1.7208767051385073E-2</v>
      </c>
      <c r="O61" s="320">
        <f>'3StatementModel'!O68/'3StatementModel'!O$75</f>
        <v>2.7418749942904771E-2</v>
      </c>
      <c r="P61" s="320">
        <f>'3StatementModel'!P68/'3StatementModel'!P$75</f>
        <v>3.0509973650164942E-2</v>
      </c>
      <c r="Q61" s="320">
        <f>'3StatementModel'!Q68/'3StatementModel'!Q$75</f>
        <v>3.9849955764383466E-2</v>
      </c>
      <c r="R61" s="320">
        <f>'3StatementModel'!R68/'3StatementModel'!R$75</f>
        <v>4.1069565724538293E-2</v>
      </c>
      <c r="W61" s="47"/>
    </row>
    <row r="62" spans="2:23">
      <c r="B62" s="76" t="s">
        <v>488</v>
      </c>
      <c r="C62" s="81"/>
      <c r="D62" s="491">
        <f>'3StatementModel'!D69/'3StatementModel'!D$75</f>
        <v>3.9471974421302243E-3</v>
      </c>
      <c r="E62" s="491">
        <f>'3StatementModel'!E69/'3StatementModel'!E$75</f>
        <v>1.0107447044969804E-2</v>
      </c>
      <c r="F62" s="491">
        <f>'3StatementModel'!F69/'3StatementModel'!F$75</f>
        <v>1.9398681574300015E-2</v>
      </c>
      <c r="G62" s="491">
        <f>'3StatementModel'!G69/'3StatementModel'!G$75</f>
        <v>1.1270536515927186E-2</v>
      </c>
      <c r="H62" s="491">
        <f>'3StatementModel'!H69/'3StatementModel'!H$75</f>
        <v>1.4331517195713545E-2</v>
      </c>
      <c r="I62" s="491">
        <f>'3StatementModel'!I69/'3StatementModel'!I$75</f>
        <v>1.1701503149137787E-2</v>
      </c>
      <c r="J62" s="491">
        <f>'3StatementModel'!J69/'3StatementModel'!J$75</f>
        <v>1.0861872657396221E-2</v>
      </c>
      <c r="K62" s="491">
        <f>'3StatementModel'!K69/'3StatementModel'!K$75</f>
        <v>9.9298714762354363E-3</v>
      </c>
      <c r="L62" s="491">
        <f>'3StatementModel'!L69/'3StatementModel'!L$75</f>
        <v>9.162339596266238E-3</v>
      </c>
      <c r="M62" s="491">
        <f>'3StatementModel'!M69/'3StatementModel'!M$75</f>
        <v>8.6796638603356055E-3</v>
      </c>
      <c r="N62" s="491">
        <f>'3StatementModel'!N69/'3StatementModel'!N$75</f>
        <v>8.2414883583523963E-3</v>
      </c>
      <c r="O62" s="491">
        <f>'3StatementModel'!O69/'3StatementModel'!O$75</f>
        <v>7.6968728349739906E-3</v>
      </c>
      <c r="P62" s="491">
        <f>'3StatementModel'!P69/'3StatementModel'!P$75</f>
        <v>7.2209553956893461E-3</v>
      </c>
      <c r="Q62" s="491">
        <f>'3StatementModel'!Q69/'3StatementModel'!Q$75</f>
        <v>6.7122675347774507E-3</v>
      </c>
      <c r="R62" s="491">
        <f>'3StatementModel'!R69/'3StatementModel'!R$75</f>
        <v>6.2750293604806051E-3</v>
      </c>
      <c r="W62" s="47"/>
    </row>
    <row r="63" spans="2:23">
      <c r="B63" s="76" t="s">
        <v>8</v>
      </c>
      <c r="C63" s="81"/>
      <c r="D63" s="320">
        <f>'3StatementModel'!D70/'3StatementModel'!D$75</f>
        <v>0.10508891625527676</v>
      </c>
      <c r="E63" s="320">
        <f>'3StatementModel'!E70/'3StatementModel'!E$75</f>
        <v>0.10981163662847064</v>
      </c>
      <c r="F63" s="320">
        <f>'3StatementModel'!F70/'3StatementModel'!F$75</f>
        <v>0.15113270996356651</v>
      </c>
      <c r="G63" s="320">
        <f>'3StatementModel'!G70/'3StatementModel'!G$75</f>
        <v>0.17162219378144231</v>
      </c>
      <c r="H63" s="320">
        <f>'3StatementModel'!H70/'3StatementModel'!H$75</f>
        <v>0.1416053327335145</v>
      </c>
      <c r="I63" s="320">
        <f>'3StatementModel'!I70/'3StatementModel'!I$75</f>
        <v>0.15359522528587585</v>
      </c>
      <c r="J63" s="320">
        <f>'3StatementModel'!J70/'3StatementModel'!J$75</f>
        <v>0.17358401853431751</v>
      </c>
      <c r="K63" s="320">
        <f>'3StatementModel'!K70/'3StatementModel'!K$75</f>
        <v>0.16996579241281273</v>
      </c>
      <c r="L63" s="320">
        <f>'3StatementModel'!L70/'3StatementModel'!L$75</f>
        <v>0.18074455156643127</v>
      </c>
      <c r="M63" s="320">
        <f>'3StatementModel'!M70/'3StatementModel'!M$75</f>
        <v>0.19176959858176254</v>
      </c>
      <c r="N63" s="320">
        <f>'3StatementModel'!N70/'3StatementModel'!N$75</f>
        <v>0.20393911243387328</v>
      </c>
      <c r="O63" s="320">
        <f>'3StatementModel'!O70/'3StatementModel'!O$75</f>
        <v>0.21331785568039888</v>
      </c>
      <c r="P63" s="320">
        <f>'3StatementModel'!P70/'3StatementModel'!P$75</f>
        <v>0.22414320782977554</v>
      </c>
      <c r="Q63" s="320">
        <f>'3StatementModel'!Q70/'3StatementModel'!Q$75</f>
        <v>0.23335558606405374</v>
      </c>
      <c r="R63" s="320">
        <f>'3StatementModel'!R70/'3StatementModel'!R$75</f>
        <v>0.24433333802100363</v>
      </c>
      <c r="W63" s="47"/>
    </row>
    <row r="64" spans="2:23">
      <c r="B64" s="76" t="s">
        <v>357</v>
      </c>
      <c r="C64" s="81"/>
      <c r="D64" s="320">
        <f>'3StatementModel'!D71/'3StatementModel'!D$75</f>
        <v>2.0571681987737584E-2</v>
      </c>
      <c r="E64" s="320">
        <f>'3StatementModel'!E71/'3StatementModel'!E$75</f>
        <v>2.8587913153277564E-2</v>
      </c>
      <c r="F64" s="320">
        <f>'3StatementModel'!F71/'3StatementModel'!F$75</f>
        <v>2.3091183613890776E-2</v>
      </c>
      <c r="G64" s="320">
        <f>'3StatementModel'!G71/'3StatementModel'!G$75</f>
        <v>2.5765407061842396E-2</v>
      </c>
      <c r="H64" s="320">
        <f>'3StatementModel'!H71/'3StatementModel'!H$75</f>
        <v>2.3664288111102744E-2</v>
      </c>
      <c r="I64" s="320">
        <f>'3StatementModel'!I71/'3StatementModel'!I$75</f>
        <v>2.6583788991786206E-2</v>
      </c>
      <c r="J64" s="320">
        <f>'3StatementModel'!J71/'3StatementModel'!J$75</f>
        <v>3.004338782324726E-2</v>
      </c>
      <c r="K64" s="320">
        <f>'3StatementModel'!K71/'3StatementModel'!K$75</f>
        <v>3.2546641100325839E-2</v>
      </c>
      <c r="L64" s="320">
        <f>'3StatementModel'!L71/'3StatementModel'!L$75</f>
        <v>3.461065881059322E-2</v>
      </c>
      <c r="M64" s="320">
        <f>'3StatementModel'!M71/'3StatementModel'!M$75</f>
        <v>3.6721838026294952E-2</v>
      </c>
      <c r="N64" s="320">
        <f>'3StatementModel'!N71/'3StatementModel'!N$75</f>
        <v>3.905217046606084E-2</v>
      </c>
      <c r="O64" s="320">
        <f>'3StatementModel'!O71/'3StatementModel'!O$75</f>
        <v>4.0848100023906167E-2</v>
      </c>
      <c r="P64" s="320">
        <f>'3StatementModel'!P71/'3StatementModel'!P$75</f>
        <v>4.292103979719105E-2</v>
      </c>
      <c r="Q64" s="320">
        <f>'3StatementModel'!Q71/'3StatementModel'!Q$75</f>
        <v>4.4685112225031562E-2</v>
      </c>
      <c r="R64" s="320">
        <f>'3StatementModel'!R71/'3StatementModel'!R$75</f>
        <v>4.6787234940192178E-2</v>
      </c>
    </row>
    <row r="65" spans="2:19">
      <c r="B65" s="275" t="s">
        <v>10</v>
      </c>
      <c r="C65" s="78"/>
      <c r="D65" s="320">
        <f>'3StatementModel'!D72/'3StatementModel'!D$75</f>
        <v>5.325795787669152E-2</v>
      </c>
      <c r="E65" s="320">
        <f>'3StatementModel'!E72/'3StatementModel'!E$75</f>
        <v>5.1906333795216905E-2</v>
      </c>
      <c r="F65" s="320">
        <f>'3StatementModel'!F72/'3StatementModel'!F$75</f>
        <v>5.6374841766685849E-2</v>
      </c>
      <c r="G65" s="320">
        <f>'3StatementModel'!G72/'3StatementModel'!G$75</f>
        <v>7.105757381517129E-2</v>
      </c>
      <c r="H65" s="320">
        <f>'3StatementModel'!H72/'3StatementModel'!H$75</f>
        <v>8.335194597837807E-2</v>
      </c>
      <c r="I65" s="320">
        <f>'3StatementModel'!I72/'3StatementModel'!I$75</f>
        <v>7.0077821536680865E-2</v>
      </c>
      <c r="J65" s="320">
        <f>'3StatementModel'!J72/'3StatementModel'!J$75</f>
        <v>7.9197708456282365E-2</v>
      </c>
      <c r="K65" s="320">
        <f>'3StatementModel'!K72/'3StatementModel'!K$75</f>
        <v>8.5796562233914506E-2</v>
      </c>
      <c r="L65" s="320">
        <f>'3StatementModel'!L72/'3StatementModel'!L$75</f>
        <v>9.1237542253480478E-2</v>
      </c>
      <c r="M65" s="320">
        <f>'3StatementModel'!M72/'3StatementModel'!M$75</f>
        <v>9.6802845241538663E-2</v>
      </c>
      <c r="N65" s="320">
        <f>'3StatementModel'!N72/'3StatementModel'!N$75</f>
        <v>0.10294586047858817</v>
      </c>
      <c r="O65" s="320">
        <f>'3StatementModel'!O72/'3StatementModel'!O$75</f>
        <v>0.1076801303407971</v>
      </c>
      <c r="P65" s="320">
        <f>'3StatementModel'!P72/'3StatementModel'!P$75</f>
        <v>0.11314462990981754</v>
      </c>
      <c r="Q65" s="320">
        <f>'3StatementModel'!Q72/'3StatementModel'!Q$75</f>
        <v>0.11779492083765267</v>
      </c>
      <c r="R65" s="320">
        <f>'3StatementModel'!R72/'3StatementModel'!R$75</f>
        <v>0.12333634988400662</v>
      </c>
    </row>
    <row r="66" spans="2:19">
      <c r="B66" s="1" t="s">
        <v>11</v>
      </c>
      <c r="C66" s="1"/>
      <c r="D66" s="492">
        <f>'3StatementModel'!D73/'3StatementModel'!D$75</f>
        <v>0.19928876532951526</v>
      </c>
      <c r="E66" s="492">
        <f>'3StatementModel'!E73/'3StatementModel'!E$75</f>
        <v>0.21274349382605118</v>
      </c>
      <c r="F66" s="492">
        <f>'3StatementModel'!F73/'3StatementModel'!F$75</f>
        <v>0.26569837810657315</v>
      </c>
      <c r="G66" s="492">
        <f>'3StatementModel'!G73/'3StatementModel'!G$75</f>
        <v>0.29296939387426457</v>
      </c>
      <c r="H66" s="492">
        <f>'3StatementModel'!H73/'3StatementModel'!H$75</f>
        <v>0.27887723345155874</v>
      </c>
      <c r="I66" s="492">
        <f>'3StatementModel'!I73/'3StatementModel'!I$75</f>
        <v>0.27252462135759159</v>
      </c>
      <c r="J66" s="492">
        <f>'3StatementModel'!J73/'3StatementModel'!J$75</f>
        <v>0.30784765203373621</v>
      </c>
      <c r="K66" s="492">
        <f>'3StatementModel'!K73/'3StatementModel'!K$75</f>
        <v>0.31655766684801162</v>
      </c>
      <c r="L66" s="492">
        <f>'3StatementModel'!L73/'3StatementModel'!L$75</f>
        <v>0.3348002423226446</v>
      </c>
      <c r="M66" s="492">
        <f>'3StatementModel'!M73/'3StatementModel'!M$75</f>
        <v>0.35454216014214196</v>
      </c>
      <c r="N66" s="492">
        <f>'3StatementModel'!N73/'3StatementModel'!N$75</f>
        <v>0.37138739878825971</v>
      </c>
      <c r="O66" s="492">
        <f>'3StatementModel'!O73/'3StatementModel'!O$75</f>
        <v>0.39696170882298093</v>
      </c>
      <c r="P66" s="492">
        <f>'3StatementModel'!P73/'3StatementModel'!P$75</f>
        <v>0.41793980658263835</v>
      </c>
      <c r="Q66" s="492">
        <f>'3StatementModel'!Q73/'3StatementModel'!Q$75</f>
        <v>0.44239784242589891</v>
      </c>
      <c r="R66" s="492">
        <f>'3StatementModel'!R73/'3StatementModel'!R$75</f>
        <v>0.46180151793022128</v>
      </c>
    </row>
    <row r="67" spans="2:19">
      <c r="B67" s="79"/>
      <c r="C67" s="79"/>
      <c r="D67" s="493"/>
      <c r="E67" s="494"/>
      <c r="F67" s="320"/>
      <c r="G67" s="320"/>
      <c r="H67" s="320"/>
      <c r="I67" s="320"/>
      <c r="J67" s="320"/>
      <c r="K67" s="320"/>
      <c r="L67" s="320"/>
      <c r="M67" s="320"/>
      <c r="N67" s="320"/>
      <c r="O67" s="320"/>
      <c r="P67" s="320"/>
      <c r="Q67" s="320"/>
      <c r="R67" s="320"/>
    </row>
    <row r="68" spans="2:19" ht="15" thickBot="1">
      <c r="B68" s="93" t="s">
        <v>13</v>
      </c>
      <c r="C68" s="93"/>
      <c r="D68" s="495">
        <f>'3StatementModel'!D75/'3StatementModel'!D$75</f>
        <v>1</v>
      </c>
      <c r="E68" s="495">
        <f>'3StatementModel'!E75/'3StatementModel'!E$75</f>
        <v>1</v>
      </c>
      <c r="F68" s="495">
        <f>'3StatementModel'!F75/'3StatementModel'!F$75</f>
        <v>1</v>
      </c>
      <c r="G68" s="495">
        <f>'3StatementModel'!G75/'3StatementModel'!G$75</f>
        <v>1</v>
      </c>
      <c r="H68" s="495">
        <f>'3StatementModel'!H75/'3StatementModel'!H$75</f>
        <v>1</v>
      </c>
      <c r="I68" s="496">
        <f>'3StatementModel'!I75/'3StatementModel'!I$75</f>
        <v>1</v>
      </c>
      <c r="J68" s="496">
        <f>'3StatementModel'!J75/'3StatementModel'!J$75</f>
        <v>1</v>
      </c>
      <c r="K68" s="496">
        <f>'3StatementModel'!K75/'3StatementModel'!K$75</f>
        <v>1</v>
      </c>
      <c r="L68" s="496">
        <f>'3StatementModel'!L75/'3StatementModel'!L$75</f>
        <v>1</v>
      </c>
      <c r="M68" s="496">
        <f>'3StatementModel'!M75/'3StatementModel'!M$75</f>
        <v>1</v>
      </c>
      <c r="N68" s="496">
        <f>'3StatementModel'!N75/'3StatementModel'!N$75</f>
        <v>1</v>
      </c>
      <c r="O68" s="496">
        <f>'3StatementModel'!O75/'3StatementModel'!O$75</f>
        <v>1</v>
      </c>
      <c r="P68" s="496">
        <f>'3StatementModel'!P75/'3StatementModel'!P$75</f>
        <v>1</v>
      </c>
      <c r="Q68" s="496">
        <f>'3StatementModel'!Q75/'3StatementModel'!Q$75</f>
        <v>1</v>
      </c>
      <c r="R68" s="496">
        <f>'3StatementModel'!R75/'3StatementModel'!R$75</f>
        <v>1</v>
      </c>
      <c r="S68" s="95"/>
    </row>
    <row r="69" spans="2:19">
      <c r="B69" s="3"/>
      <c r="C69" s="3"/>
      <c r="D69" s="494"/>
      <c r="E69" s="494"/>
      <c r="F69" s="320"/>
      <c r="G69" s="320"/>
      <c r="H69" s="320"/>
      <c r="I69" s="320"/>
      <c r="J69" s="320"/>
      <c r="K69" s="320"/>
      <c r="L69" s="320"/>
      <c r="M69" s="320"/>
      <c r="N69" s="320"/>
      <c r="O69" s="320"/>
      <c r="P69" s="320"/>
      <c r="Q69" s="320"/>
      <c r="R69" s="320"/>
    </row>
    <row r="70" spans="2:19">
      <c r="B70" s="92" t="s">
        <v>489</v>
      </c>
      <c r="C70" s="3"/>
      <c r="D70" s="494"/>
      <c r="E70" s="494"/>
      <c r="F70" s="320"/>
      <c r="G70" s="320"/>
      <c r="H70" s="320"/>
      <c r="I70" s="320"/>
      <c r="J70" s="320"/>
      <c r="K70" s="320"/>
      <c r="L70" s="320"/>
      <c r="M70" s="320"/>
      <c r="N70" s="320"/>
      <c r="O70" s="320"/>
      <c r="P70" s="320"/>
      <c r="Q70" s="320"/>
      <c r="R70" s="320"/>
    </row>
    <row r="71" spans="2:19">
      <c r="B71" s="92"/>
      <c r="C71" s="3"/>
      <c r="D71" s="494"/>
      <c r="E71" s="494"/>
      <c r="F71" s="320"/>
      <c r="G71" s="320"/>
      <c r="H71" s="320"/>
      <c r="I71" s="320"/>
      <c r="J71" s="320"/>
      <c r="K71" s="320"/>
      <c r="L71" s="320"/>
      <c r="M71" s="320"/>
      <c r="N71" s="320"/>
      <c r="O71" s="320"/>
      <c r="P71" s="320"/>
      <c r="Q71" s="320"/>
      <c r="R71" s="320"/>
    </row>
    <row r="72" spans="2:19">
      <c r="B72" s="5" t="s">
        <v>490</v>
      </c>
      <c r="C72" s="5"/>
      <c r="D72" s="497"/>
      <c r="E72" s="494"/>
      <c r="F72" s="320"/>
      <c r="G72" s="320"/>
      <c r="H72" s="320"/>
      <c r="I72" s="320"/>
      <c r="J72" s="320"/>
      <c r="K72" s="320"/>
      <c r="L72" s="320"/>
      <c r="M72" s="320"/>
      <c r="N72" s="320"/>
      <c r="O72" s="320"/>
      <c r="P72" s="320"/>
      <c r="Q72" s="320"/>
      <c r="R72" s="320"/>
    </row>
    <row r="73" spans="2:19">
      <c r="B73" s="277" t="s">
        <v>491</v>
      </c>
      <c r="C73" s="82"/>
      <c r="D73" s="320">
        <f>'3StatementModel'!D80/'3StatementModel'!D$105</f>
        <v>3.4415219039535358E-2</v>
      </c>
      <c r="E73" s="320">
        <f>'3StatementModel'!E80/'3StatementModel'!E$105</f>
        <v>3.413064913139395E-2</v>
      </c>
      <c r="F73" s="320">
        <f>'3StatementModel'!F80/'3StatementModel'!F$105</f>
        <v>4.5192356863387642E-2</v>
      </c>
      <c r="G73" s="320">
        <f>'3StatementModel'!G80/'3StatementModel'!G$105</f>
        <v>5.5907769867420555E-2</v>
      </c>
      <c r="H73" s="320">
        <f>'3StatementModel'!H80/'3StatementModel'!H$105</f>
        <v>4.2773370150343215E-2</v>
      </c>
      <c r="I73" s="320">
        <f>'3StatementModel'!I80/'3StatementModel'!I$105</f>
        <v>3.4924075842559868E-2</v>
      </c>
      <c r="J73" s="320">
        <f>'3StatementModel'!J80/'3StatementModel'!J$105</f>
        <v>3.2418178109613061E-2</v>
      </c>
      <c r="K73" s="320">
        <f>'3StatementModel'!K80/'3StatementModel'!K$105</f>
        <v>2.9636589305039405E-2</v>
      </c>
      <c r="L73" s="320">
        <f>'3StatementModel'!L80/'3StatementModel'!L$105</f>
        <v>2.7345857942098969E-2</v>
      </c>
      <c r="M73" s="320">
        <f>'3StatementModel'!M80/'3StatementModel'!M$105</f>
        <v>2.5905288687671838E-2</v>
      </c>
      <c r="N73" s="320">
        <f>'3StatementModel'!N80/'3StatementModel'!N$105</f>
        <v>2.459753047510374E-2</v>
      </c>
      <c r="O73" s="320">
        <f>'3StatementModel'!O80/'3StatementModel'!O$105</f>
        <v>2.2972093575593027E-2</v>
      </c>
      <c r="P73" s="320">
        <f>'3StatementModel'!P80/'3StatementModel'!P$105</f>
        <v>2.155168763065432E-2</v>
      </c>
      <c r="Q73" s="320">
        <f>'3StatementModel'!Q80/'3StatementModel'!Q$105</f>
        <v>2.0033473697224951E-2</v>
      </c>
      <c r="R73" s="320">
        <f>'3StatementModel'!R80/'3StatementModel'!R$105</f>
        <v>1.8728504144526554E-2</v>
      </c>
    </row>
    <row r="74" spans="2:19">
      <c r="B74" s="277" t="s">
        <v>492</v>
      </c>
      <c r="C74" s="82"/>
      <c r="D74" s="320">
        <f>'3StatementModel'!D81/'3StatementModel'!D$105</f>
        <v>0.36237131099465453</v>
      </c>
      <c r="E74" s="320">
        <f>'3StatementModel'!E81/'3StatementModel'!E$105</f>
        <v>0.38249759410194384</v>
      </c>
      <c r="F74" s="320">
        <f>'3StatementModel'!F81/'3StatementModel'!F$105</f>
        <v>0.3805997330391685</v>
      </c>
      <c r="G74" s="320">
        <f>'3StatementModel'!G81/'3StatementModel'!G$105</f>
        <v>0.38326194272765191</v>
      </c>
      <c r="H74" s="320">
        <f>'3StatementModel'!H81/'3StatementModel'!H$105</f>
        <v>0.41396031113867526</v>
      </c>
      <c r="I74" s="491">
        <f>'3StatementModel'!I81/'3StatementModel'!I$105</f>
        <v>0.44468614225059477</v>
      </c>
      <c r="J74" s="491">
        <f>'3StatementModel'!J81/'3StatementModel'!J$105</f>
        <v>0.52827166704209993</v>
      </c>
      <c r="K74" s="491">
        <f>'3StatementModel'!K81/'3StatementModel'!K$105</f>
        <v>0.59359172189014597</v>
      </c>
      <c r="L74" s="491">
        <f>'3StatementModel'!L81/'3StatementModel'!L$105</f>
        <v>0.63580467228571969</v>
      </c>
      <c r="M74" s="491">
        <f>'3StatementModel'!M81/'3StatementModel'!M$105</f>
        <v>0.66755864002567999</v>
      </c>
      <c r="N74" s="491">
        <f>'3StatementModel'!N81/'3StatementModel'!N$105</f>
        <v>0.69714444150648036</v>
      </c>
      <c r="O74" s="491">
        <f>'3StatementModel'!O81/'3StatementModel'!O$105</f>
        <v>0.71785314985831439</v>
      </c>
      <c r="P74" s="491">
        <f>'3StatementModel'!P81/'3StatementModel'!P$105</f>
        <v>0.73618349466577149</v>
      </c>
      <c r="Q74" s="491">
        <f>'3StatementModel'!Q81/'3StatementModel'!Q$105</f>
        <v>0.74159486945557052</v>
      </c>
      <c r="R74" s="491">
        <f>'3StatementModel'!R81/'3StatementModel'!R$105</f>
        <v>0.74468425410011163</v>
      </c>
    </row>
    <row r="75" spans="2:19">
      <c r="B75" s="88" t="s">
        <v>493</v>
      </c>
      <c r="C75" s="88"/>
      <c r="D75" s="492">
        <f>'3StatementModel'!D82/'3StatementModel'!D$105</f>
        <v>0.3967865300341899</v>
      </c>
      <c r="E75" s="492">
        <f>'3StatementModel'!E82/'3StatementModel'!E$105</f>
        <v>0.4166282432333378</v>
      </c>
      <c r="F75" s="492">
        <f>'3StatementModel'!F82/'3StatementModel'!F$105</f>
        <v>0.42579208990255613</v>
      </c>
      <c r="G75" s="492">
        <f>'3StatementModel'!G82/'3StatementModel'!G$105</f>
        <v>0.43916971259507248</v>
      </c>
      <c r="H75" s="492">
        <f>'3StatementModel'!H82/'3StatementModel'!H$105</f>
        <v>0.45673368128901848</v>
      </c>
      <c r="I75" s="492">
        <f>'3StatementModel'!I82/'3StatementModel'!I$105</f>
        <v>0.47961021809315463</v>
      </c>
      <c r="J75" s="492">
        <f>'3StatementModel'!J82/'3StatementModel'!J$105</f>
        <v>0.56068984515171305</v>
      </c>
      <c r="K75" s="492">
        <f>'3StatementModel'!K82/'3StatementModel'!K$105</f>
        <v>0.6232283111951854</v>
      </c>
      <c r="L75" s="492">
        <f>'3StatementModel'!L82/'3StatementModel'!L$105</f>
        <v>0.66315053022781856</v>
      </c>
      <c r="M75" s="492">
        <f>'3StatementModel'!M82/'3StatementModel'!M$105</f>
        <v>0.69346392871335183</v>
      </c>
      <c r="N75" s="492">
        <f>'3StatementModel'!N82/'3StatementModel'!N$105</f>
        <v>0.72174197198158407</v>
      </c>
      <c r="O75" s="492">
        <f>'3StatementModel'!O82/'3StatementModel'!O$105</f>
        <v>0.74082524343390743</v>
      </c>
      <c r="P75" s="492">
        <f>'3StatementModel'!P82/'3StatementModel'!P$105</f>
        <v>0.75773518229642578</v>
      </c>
      <c r="Q75" s="492">
        <f>'3StatementModel'!Q82/'3StatementModel'!Q$105</f>
        <v>0.76162834315279548</v>
      </c>
      <c r="R75" s="492">
        <f>'3StatementModel'!R82/'3StatementModel'!R$105</f>
        <v>0.76341275824463817</v>
      </c>
    </row>
    <row r="76" spans="2:19">
      <c r="B76" s="79" t="s">
        <v>202</v>
      </c>
      <c r="C76" s="1"/>
      <c r="D76" s="320">
        <f>'3StatementModel'!D83/'3StatementModel'!D$105</f>
        <v>3.6574142510407176E-3</v>
      </c>
      <c r="E76" s="320">
        <f>'3StatementModel'!E83/'3StatementModel'!E$105</f>
        <v>7.6598592165402829E-3</v>
      </c>
      <c r="F76" s="320">
        <f>'3StatementModel'!F83/'3StatementModel'!F$105</f>
        <v>1.2188567438918881E-2</v>
      </c>
      <c r="G76" s="320">
        <f>'3StatementModel'!G83/'3StatementModel'!G$105</f>
        <v>9.7355520740573312E-3</v>
      </c>
      <c r="H76" s="320">
        <f>'3StatementModel'!H83/'3StatementModel'!H$105</f>
        <v>9.7552653444684233E-3</v>
      </c>
      <c r="I76" s="320">
        <f>'3StatementModel'!I83/'3StatementModel'!I$105</f>
        <v>7.9650872857811843E-3</v>
      </c>
      <c r="J76" s="320">
        <f>'3StatementModel'!J83/'3StatementModel'!J$105</f>
        <v>7.3935705400799603E-3</v>
      </c>
      <c r="K76" s="320">
        <f>'3StatementModel'!K83/'3StatementModel'!K$105</f>
        <v>6.7591773002570986E-3</v>
      </c>
      <c r="L76" s="320">
        <f>'3StatementModel'!L83/'3StatementModel'!L$105</f>
        <v>6.2367332608972391E-3</v>
      </c>
      <c r="M76" s="320">
        <f>'3StatementModel'!M83/'3StatementModel'!M$105</f>
        <v>5.9081845570044984E-3</v>
      </c>
      <c r="N76" s="320">
        <f>'3StatementModel'!N83/'3StatementModel'!N$105</f>
        <v>5.6099258898672502E-3</v>
      </c>
      <c r="O76" s="320">
        <f>'3StatementModel'!O83/'3StatementModel'!O$105</f>
        <v>5.2392146693185032E-3</v>
      </c>
      <c r="P76" s="320">
        <f>'3StatementModel'!P83/'3StatementModel'!P$105</f>
        <v>4.9152645844635157E-3</v>
      </c>
      <c r="Q76" s="320">
        <f>'3StatementModel'!Q83/'3StatementModel'!Q$105</f>
        <v>4.5690075624375392E-3</v>
      </c>
      <c r="R76" s="320">
        <f>'3StatementModel'!R83/'3StatementModel'!R$105</f>
        <v>4.2713849012284838E-3</v>
      </c>
    </row>
    <row r="77" spans="2:19">
      <c r="B77" s="88" t="s">
        <v>90</v>
      </c>
      <c r="C77" s="88"/>
      <c r="D77" s="498">
        <f>'3StatementModel'!D84/'3StatementModel'!D$105</f>
        <v>0.40044394428523061</v>
      </c>
      <c r="E77" s="498">
        <f>'3StatementModel'!E84/'3StatementModel'!E$105</f>
        <v>0.42428810244987808</v>
      </c>
      <c r="F77" s="498">
        <f>'3StatementModel'!F84/'3StatementModel'!F$105</f>
        <v>0.43798065734147501</v>
      </c>
      <c r="G77" s="498">
        <f>'3StatementModel'!G84/'3StatementModel'!G$105</f>
        <v>0.44890526466912978</v>
      </c>
      <c r="H77" s="498">
        <f>'3StatementModel'!H84/'3StatementModel'!H$105</f>
        <v>0.46648894663348689</v>
      </c>
      <c r="I77" s="492">
        <f>'3StatementModel'!I84/'3StatementModel'!I$105</f>
        <v>0.4875753053789359</v>
      </c>
      <c r="J77" s="492">
        <f>'3StatementModel'!J84/'3StatementModel'!J$105</f>
        <v>0.56808341569179299</v>
      </c>
      <c r="K77" s="492">
        <f>'3StatementModel'!K84/'3StatementModel'!K$105</f>
        <v>0.6299874884954425</v>
      </c>
      <c r="L77" s="492">
        <f>'3StatementModel'!L84/'3StatementModel'!L$105</f>
        <v>0.66938726348871591</v>
      </c>
      <c r="M77" s="492">
        <f>'3StatementModel'!M84/'3StatementModel'!M$105</f>
        <v>0.69937211327035631</v>
      </c>
      <c r="N77" s="492">
        <f>'3StatementModel'!N84/'3StatementModel'!N$105</f>
        <v>0.72735189787145127</v>
      </c>
      <c r="O77" s="492">
        <f>'3StatementModel'!O84/'3StatementModel'!O$105</f>
        <v>0.74606445810322597</v>
      </c>
      <c r="P77" s="492">
        <f>'3StatementModel'!P84/'3StatementModel'!P$105</f>
        <v>0.76265044688088934</v>
      </c>
      <c r="Q77" s="492">
        <f>'3StatementModel'!Q84/'3StatementModel'!Q$105</f>
        <v>0.76619735071523298</v>
      </c>
      <c r="R77" s="492">
        <f>'3StatementModel'!R84/'3StatementModel'!R$105</f>
        <v>0.76768414314586664</v>
      </c>
    </row>
    <row r="78" spans="2:19">
      <c r="B78" s="1"/>
      <c r="C78" s="1"/>
      <c r="D78" s="499"/>
      <c r="E78" s="500"/>
      <c r="F78" s="501"/>
      <c r="G78" s="501"/>
      <c r="H78" s="501"/>
      <c r="I78" s="501"/>
      <c r="J78" s="501"/>
      <c r="K78" s="501"/>
      <c r="L78" s="501"/>
      <c r="M78" s="501"/>
      <c r="N78" s="501"/>
      <c r="O78" s="501"/>
      <c r="P78" s="501"/>
      <c r="Q78" s="501"/>
      <c r="R78" s="501"/>
    </row>
    <row r="79" spans="2:19">
      <c r="B79" s="278" t="s">
        <v>494</v>
      </c>
      <c r="C79" s="1"/>
      <c r="D79" s="499"/>
      <c r="E79" s="500"/>
      <c r="F79" s="501"/>
      <c r="G79" s="501"/>
      <c r="H79" s="501"/>
      <c r="I79" s="501"/>
      <c r="J79" s="501"/>
      <c r="K79" s="501"/>
      <c r="L79" s="501"/>
      <c r="M79" s="501"/>
      <c r="N79" s="501"/>
      <c r="O79" s="501"/>
      <c r="P79" s="501"/>
      <c r="Q79" s="501"/>
      <c r="R79" s="501"/>
    </row>
    <row r="80" spans="2:19">
      <c r="B80" s="79" t="s">
        <v>204</v>
      </c>
      <c r="C80" s="1"/>
      <c r="D80" s="320">
        <f>'3StatementModel'!D87/'3StatementModel'!D$105</f>
        <v>0.28078879982452043</v>
      </c>
      <c r="E80" s="320">
        <f>'3StatementModel'!E87/'3StatementModel'!E$105</f>
        <v>0.23404245257366063</v>
      </c>
      <c r="F80" s="320">
        <f>'3StatementModel'!F87/'3StatementModel'!F$105</f>
        <v>0.1892447554928913</v>
      </c>
      <c r="G80" s="320">
        <f>'3StatementModel'!G87/'3StatementModel'!G$105</f>
        <v>0.1486472738302404</v>
      </c>
      <c r="H80" s="320">
        <f>'3StatementModel'!H87/'3StatementModel'!H$105</f>
        <v>0.20997560903822651</v>
      </c>
      <c r="I80" s="320">
        <f>'3StatementModel'!I87/'3StatementModel'!I$105</f>
        <v>0.21430401875522662</v>
      </c>
      <c r="J80" s="320">
        <f>'3StatementModel'!J87/'3StatementModel'!J$105</f>
        <v>0.1591416965403902</v>
      </c>
      <c r="K80" s="320">
        <f>'3StatementModel'!K87/'3StatementModel'!K$105</f>
        <v>0.12366378279705835</v>
      </c>
      <c r="L80" s="320">
        <f>'3StatementModel'!L87/'3StatementModel'!L$105</f>
        <v>0.10840004536409732</v>
      </c>
      <c r="M80" s="320">
        <f>'3StatementModel'!M87/'3StatementModel'!M$105</f>
        <v>0.10268957276306696</v>
      </c>
      <c r="N80" s="320">
        <f>'3StatementModel'!N87/'3StatementModel'!N$105</f>
        <v>8.7755011471664784E-2</v>
      </c>
      <c r="O80" s="320">
        <f>'3StatementModel'!O87/'3StatementModel'!O$105</f>
        <v>6.9662638966969212E-2</v>
      </c>
      <c r="P80" s="320">
        <f>'3StatementModel'!P87/'3StatementModel'!P$105</f>
        <v>5.228421796569007E-2</v>
      </c>
      <c r="Q80" s="320">
        <f>'3StatementModel'!Q87/'3StatementModel'!Q$105</f>
        <v>4.9087053811268794E-2</v>
      </c>
      <c r="R80" s="320">
        <f>'3StatementModel'!R87/'3StatementModel'!R$105</f>
        <v>4.6348445391326931E-2</v>
      </c>
    </row>
    <row r="81" spans="2:18">
      <c r="B81" s="79" t="s">
        <v>205</v>
      </c>
      <c r="C81" s="1"/>
      <c r="D81" s="320">
        <f>'3StatementModel'!D88/'3StatementModel'!D$105</f>
        <v>0</v>
      </c>
      <c r="E81" s="320">
        <f>'3StatementModel'!E88/'3StatementModel'!E$105</f>
        <v>0</v>
      </c>
      <c r="F81" s="320">
        <f>'3StatementModel'!F88/'3StatementModel'!F$105</f>
        <v>3.2665652953006337E-3</v>
      </c>
      <c r="G81" s="320">
        <f>'3StatementModel'!G88/'3StatementModel'!G$105</f>
        <v>1.4238384774564001E-2</v>
      </c>
      <c r="H81" s="320">
        <f>'3StatementModel'!H88/'3StatementModel'!H$105</f>
        <v>1.3029736982822948E-2</v>
      </c>
      <c r="I81" s="320">
        <f>'3StatementModel'!I88/'3StatementModel'!I$105</f>
        <v>1.0638664220220778E-2</v>
      </c>
      <c r="J81" s="320">
        <f>'3StatementModel'!J88/'3StatementModel'!J$105</f>
        <v>9.8753110345497809E-3</v>
      </c>
      <c r="K81" s="320">
        <f>'3StatementModel'!K88/'3StatementModel'!K$105</f>
        <v>9.0279761065193611E-3</v>
      </c>
      <c r="L81" s="320">
        <f>'3StatementModel'!L88/'3StatementModel'!L$105</f>
        <v>8.3301674687499584E-3</v>
      </c>
      <c r="M81" s="320">
        <f>'3StatementModel'!M88/'3StatementModel'!M$105</f>
        <v>7.8913374578167134E-3</v>
      </c>
      <c r="N81" s="320">
        <f>'3StatementModel'!N88/'3StatementModel'!N$105</f>
        <v>7.4929646972183234E-3</v>
      </c>
      <c r="O81" s="320">
        <f>'3StatementModel'!O88/'3StatementModel'!O$105</f>
        <v>6.9978198159906307E-3</v>
      </c>
      <c r="P81" s="320">
        <f>'3StatementModel'!P88/'3StatementModel'!P$105</f>
        <v>6.5651320056465366E-3</v>
      </c>
      <c r="Q81" s="320">
        <f>'3StatementModel'!Q88/'3StatementModel'!Q$105</f>
        <v>6.1026496675303053E-3</v>
      </c>
      <c r="R81" s="320">
        <f>'3StatementModel'!R88/'3StatementModel'!R$105</f>
        <v>5.7051263958664816E-3</v>
      </c>
    </row>
    <row r="82" spans="2:18">
      <c r="B82" s="79" t="s">
        <v>206</v>
      </c>
      <c r="C82" s="1"/>
      <c r="D82" s="320">
        <f>'3StatementModel'!D89/'3StatementModel'!D$105</f>
        <v>0</v>
      </c>
      <c r="E82" s="320">
        <f>'3StatementModel'!E89/'3StatementModel'!E$105</f>
        <v>2.8894421863288242E-3</v>
      </c>
      <c r="F82" s="320">
        <f>'3StatementModel'!F89/'3StatementModel'!F$105</f>
        <v>0</v>
      </c>
      <c r="G82" s="320">
        <f>'3StatementModel'!G89/'3StatementModel'!G$105</f>
        <v>0</v>
      </c>
      <c r="H82" s="320">
        <f>'3StatementModel'!H89/'3StatementModel'!H$105</f>
        <v>0</v>
      </c>
      <c r="I82" s="320">
        <f>'3StatementModel'!I89/'3StatementModel'!I$105</f>
        <v>0</v>
      </c>
      <c r="J82" s="320">
        <f>'3StatementModel'!J89/'3StatementModel'!J$105</f>
        <v>0</v>
      </c>
      <c r="K82" s="320">
        <f>'3StatementModel'!K89/'3StatementModel'!K$105</f>
        <v>0</v>
      </c>
      <c r="L82" s="320">
        <f>'3StatementModel'!L89/'3StatementModel'!L$105</f>
        <v>0</v>
      </c>
      <c r="M82" s="320">
        <f>'3StatementModel'!M89/'3StatementModel'!M$105</f>
        <v>0</v>
      </c>
      <c r="N82" s="320">
        <f>'3StatementModel'!N89/'3StatementModel'!N$105</f>
        <v>0</v>
      </c>
      <c r="O82" s="320">
        <f>'3StatementModel'!O89/'3StatementModel'!O$105</f>
        <v>0</v>
      </c>
      <c r="P82" s="320">
        <f>'3StatementModel'!P89/'3StatementModel'!P$105</f>
        <v>0</v>
      </c>
      <c r="Q82" s="320">
        <f>'3StatementModel'!Q89/'3StatementModel'!Q$105</f>
        <v>0</v>
      </c>
      <c r="R82" s="320">
        <f>'3StatementModel'!R89/'3StatementModel'!R$105</f>
        <v>0</v>
      </c>
    </row>
    <row r="83" spans="2:18">
      <c r="B83" s="79" t="s">
        <v>207</v>
      </c>
      <c r="C83" s="1"/>
      <c r="D83" s="320">
        <f>'3StatementModel'!D90/'3StatementModel'!D$105</f>
        <v>2.0306517063959448E-2</v>
      </c>
      <c r="E83" s="320">
        <f>'3StatementModel'!E90/'3StatementModel'!E$105</f>
        <v>2.4107453200258203E-2</v>
      </c>
      <c r="F83" s="320">
        <f>'3StatementModel'!F90/'3StatementModel'!F$105</f>
        <v>2.1763882641597256E-2</v>
      </c>
      <c r="G83" s="320">
        <f>'3StatementModel'!G90/'3StatementModel'!G$105</f>
        <v>1.7568062362619062E-2</v>
      </c>
      <c r="H83" s="320">
        <f>'3StatementModel'!H90/'3StatementModel'!H$105</f>
        <v>1.4001543275010251E-2</v>
      </c>
      <c r="I83" s="320">
        <f>'3StatementModel'!I90/'3StatementModel'!I$105</f>
        <v>1.1432135404121725E-2</v>
      </c>
      <c r="J83" s="320">
        <f>'3StatementModel'!J90/'3StatementModel'!J$105</f>
        <v>1.0611848495999211E-2</v>
      </c>
      <c r="K83" s="320">
        <f>'3StatementModel'!K90/'3StatementModel'!K$105</f>
        <v>9.7013161745190552E-3</v>
      </c>
      <c r="L83" s="320">
        <f>'3StatementModel'!L90/'3StatementModel'!L$105</f>
        <v>8.9514623706944251E-3</v>
      </c>
      <c r="M83" s="320">
        <f>'3StatementModel'!M90/'3StatementModel'!M$105</f>
        <v>8.4799027838389843E-3</v>
      </c>
      <c r="N83" s="320">
        <f>'3StatementModel'!N90/'3StatementModel'!N$105</f>
        <v>8.0518178996654283E-3</v>
      </c>
      <c r="O83" s="320">
        <f>'3StatementModel'!O90/'3StatementModel'!O$105</f>
        <v>7.519743269836076E-3</v>
      </c>
      <c r="P83" s="320">
        <f>'3StatementModel'!P90/'3StatementModel'!P$105</f>
        <v>7.0547839917563344E-3</v>
      </c>
      <c r="Q83" s="320">
        <f>'3StatementModel'!Q90/'3StatementModel'!Q$105</f>
        <v>6.5578079991020759E-3</v>
      </c>
      <c r="R83" s="320">
        <f>'3StatementModel'!R90/'3StatementModel'!R$105</f>
        <v>6.1306359619103627E-3</v>
      </c>
    </row>
    <row r="84" spans="2:18">
      <c r="B84" s="79" t="s">
        <v>208</v>
      </c>
      <c r="C84" s="1"/>
      <c r="D84" s="320">
        <f>'3StatementModel'!D91/'3StatementModel'!D$105</f>
        <v>3.3678490875538238E-2</v>
      </c>
      <c r="E84" s="320">
        <f>'3StatementModel'!E91/'3StatementModel'!E$105</f>
        <v>2.6711970850210084E-2</v>
      </c>
      <c r="F84" s="320">
        <f>'3StatementModel'!F91/'3StatementModel'!F$105</f>
        <v>3.2471537571240862E-2</v>
      </c>
      <c r="G84" s="320">
        <f>'3StatementModel'!G91/'3StatementModel'!G$105</f>
        <v>2.899319879892328E-2</v>
      </c>
      <c r="H84" s="320">
        <f>'3StatementModel'!H91/'3StatementModel'!H$105</f>
        <v>2.2585557835182471E-2</v>
      </c>
      <c r="I84" s="320">
        <f>'3StatementModel'!I91/'3StatementModel'!I$105</f>
        <v>1.8440906854193851E-2</v>
      </c>
      <c r="J84" s="320">
        <f>'3StatementModel'!J91/'3StatementModel'!J$105</f>
        <v>1.7117721470914702E-2</v>
      </c>
      <c r="K84" s="320">
        <f>'3StatementModel'!K91/'3StatementModel'!K$105</f>
        <v>1.5648963348779913E-2</v>
      </c>
      <c r="L84" s="320">
        <f>'3StatementModel'!L91/'3StatementModel'!L$105</f>
        <v>1.4439391937859831E-2</v>
      </c>
      <c r="M84" s="320">
        <f>'3StatementModel'!M91/'3StatementModel'!M$105</f>
        <v>1.3678730337029937E-2</v>
      </c>
      <c r="N84" s="320">
        <f>'3StatementModel'!N91/'3StatementModel'!N$105</f>
        <v>1.2988196749412814E-2</v>
      </c>
      <c r="O84" s="320">
        <f>'3StatementModel'!O91/'3StatementModel'!O$105</f>
        <v>1.2129919766039682E-2</v>
      </c>
      <c r="P84" s="320">
        <f>'3StatementModel'!P91/'3StatementModel'!P$105</f>
        <v>1.1379904966969829E-2</v>
      </c>
      <c r="Q84" s="320">
        <f>'3StatementModel'!Q91/'3StatementModel'!Q$105</f>
        <v>1.0578244763924693E-2</v>
      </c>
      <c r="R84" s="320">
        <f>'3StatementModel'!R91/'3StatementModel'!R$105</f>
        <v>9.8891836681535127E-3</v>
      </c>
    </row>
    <row r="85" spans="2:18">
      <c r="B85" s="79" t="s">
        <v>209</v>
      </c>
      <c r="C85" s="1"/>
      <c r="D85" s="320">
        <f>'3StatementModel'!D92/'3StatementModel'!D$105</f>
        <v>9.7753575158193883E-5</v>
      </c>
      <c r="E85" s="320">
        <f>'3StatementModel'!E92/'3StatementModel'!E$105</f>
        <v>8.6304942554011517E-5</v>
      </c>
      <c r="F85" s="320">
        <f>'3StatementModel'!F92/'3StatementModel'!F$105</f>
        <v>6.9923282678959248E-5</v>
      </c>
      <c r="G85" s="320">
        <f>'3StatementModel'!G92/'3StatementModel'!G$105</f>
        <v>5.0782209563202413E-5</v>
      </c>
      <c r="H85" s="320">
        <f>'3StatementModel'!H92/'3StatementModel'!H$105</f>
        <v>4.5037977088970346E-4</v>
      </c>
      <c r="I85" s="320">
        <f>'3StatementModel'!I92/'3StatementModel'!I$105</f>
        <v>3.6773107242241772E-4</v>
      </c>
      <c r="J85" s="320">
        <f>'3StatementModel'!J92/'3StatementModel'!J$105</f>
        <v>3.4134536461237844E-4</v>
      </c>
      <c r="K85" s="320">
        <f>'3StatementModel'!K92/'3StatementModel'!K$105</f>
        <v>3.1205678332664141E-4</v>
      </c>
      <c r="L85" s="320">
        <f>'3StatementModel'!L92/'3StatementModel'!L$105</f>
        <v>2.8793665758521222E-4</v>
      </c>
      <c r="M85" s="320">
        <f>'3StatementModel'!M92/'3StatementModel'!M$105</f>
        <v>2.7276826546461996E-4</v>
      </c>
      <c r="N85" s="320">
        <f>'3StatementModel'!N92/'3StatementModel'!N$105</f>
        <v>2.5899829966381148E-4</v>
      </c>
      <c r="O85" s="320">
        <f>'3StatementModel'!O92/'3StatementModel'!O$105</f>
        <v>2.4188335417730459E-4</v>
      </c>
      <c r="P85" s="320">
        <f>'3StatementModel'!P92/'3StatementModel'!P$105</f>
        <v>2.2692727047842086E-4</v>
      </c>
      <c r="Q85" s="320">
        <f>'3StatementModel'!Q92/'3StatementModel'!Q$105</f>
        <v>2.109413231215468E-4</v>
      </c>
      <c r="R85" s="320">
        <f>'3StatementModel'!R92/'3StatementModel'!R$105</f>
        <v>1.9720072035640262E-4</v>
      </c>
    </row>
    <row r="86" spans="2:18">
      <c r="B86" s="88" t="s">
        <v>210</v>
      </c>
      <c r="C86" s="88"/>
      <c r="D86" s="492">
        <f>'3StatementModel'!D93/'3StatementModel'!D$105</f>
        <v>0.33487156133917634</v>
      </c>
      <c r="E86" s="492">
        <f>'3StatementModel'!E93/'3StatementModel'!E$105</f>
        <v>0.28783762375301175</v>
      </c>
      <c r="F86" s="492">
        <f>'3StatementModel'!F93/'3StatementModel'!F$105</f>
        <v>0.24681666428370902</v>
      </c>
      <c r="G86" s="492">
        <f>'3StatementModel'!G93/'3StatementModel'!G$105</f>
        <v>0.20949770197590994</v>
      </c>
      <c r="H86" s="492">
        <f>'3StatementModel'!H93/'3StatementModel'!H$105</f>
        <v>0.26004282690213193</v>
      </c>
      <c r="I86" s="492">
        <f>'3StatementModel'!I93/'3StatementModel'!I$105</f>
        <v>0.25518345630618539</v>
      </c>
      <c r="J86" s="492">
        <f>'3StatementModel'!J93/'3StatementModel'!J$105</f>
        <v>0.19708792290646629</v>
      </c>
      <c r="K86" s="492">
        <f>'3StatementModel'!K93/'3StatementModel'!K$105</f>
        <v>0.15835409521020333</v>
      </c>
      <c r="L86" s="492">
        <f>'3StatementModel'!L93/'3StatementModel'!L$105</f>
        <v>0.14040900379898677</v>
      </c>
      <c r="M86" s="492">
        <f>'3StatementModel'!M93/'3StatementModel'!M$105</f>
        <v>0.13301231160721724</v>
      </c>
      <c r="N86" s="492">
        <f>'3StatementModel'!N93/'3StatementModel'!N$105</f>
        <v>0.11654698911762518</v>
      </c>
      <c r="O86" s="492">
        <f>'3StatementModel'!O93/'3StatementModel'!O$105</f>
        <v>9.6552005173012906E-2</v>
      </c>
      <c r="P86" s="492">
        <f>'3StatementModel'!P93/'3StatementModel'!P$105</f>
        <v>7.7510966200541209E-2</v>
      </c>
      <c r="Q86" s="492">
        <f>'3StatementModel'!Q93/'3StatementModel'!Q$105</f>
        <v>7.2536697564947419E-2</v>
      </c>
      <c r="R86" s="492">
        <f>'3StatementModel'!R93/'3StatementModel'!R$105</f>
        <v>6.8270592137613689E-2</v>
      </c>
    </row>
    <row r="87" spans="2:18">
      <c r="B87" s="1"/>
      <c r="C87" s="1"/>
      <c r="D87" s="499"/>
      <c r="E87" s="500"/>
      <c r="F87" s="501"/>
      <c r="G87" s="501"/>
      <c r="H87" s="501"/>
      <c r="I87" s="501"/>
      <c r="J87" s="501"/>
      <c r="K87" s="501"/>
      <c r="L87" s="501"/>
      <c r="M87" s="501"/>
      <c r="N87" s="501"/>
      <c r="O87" s="501"/>
      <c r="P87" s="501"/>
      <c r="Q87" s="501"/>
      <c r="R87" s="501"/>
    </row>
    <row r="88" spans="2:18">
      <c r="B88" s="278" t="s">
        <v>84</v>
      </c>
      <c r="C88" s="1"/>
      <c r="D88" s="499"/>
      <c r="E88" s="500"/>
      <c r="F88" s="501"/>
      <c r="G88" s="501"/>
      <c r="H88" s="501"/>
      <c r="I88" s="501"/>
      <c r="J88" s="501"/>
      <c r="K88" s="501"/>
      <c r="L88" s="501"/>
      <c r="M88" s="501"/>
      <c r="N88" s="501"/>
      <c r="O88" s="501"/>
      <c r="P88" s="501"/>
      <c r="Q88" s="501"/>
      <c r="R88" s="501"/>
    </row>
    <row r="89" spans="2:18">
      <c r="B89" s="79" t="s">
        <v>212</v>
      </c>
      <c r="C89" s="1"/>
      <c r="D89" s="320">
        <f>'3StatementModel'!D96/'3StatementModel'!D$105</f>
        <v>5.6942649646418167E-2</v>
      </c>
      <c r="E89" s="320">
        <f>'3StatementModel'!E96/'3StatementModel'!E$105</f>
        <v>6.0459567907802665E-2</v>
      </c>
      <c r="F89" s="320">
        <f>'3StatementModel'!F96/'3StatementModel'!F$105</f>
        <v>7.4280442457834689E-2</v>
      </c>
      <c r="G89" s="320">
        <f>'3StatementModel'!G96/'3StatementModel'!G$105</f>
        <v>7.0945328906042757E-2</v>
      </c>
      <c r="H89" s="320">
        <f>'3StatementModel'!H96/'3StatementModel'!H$105</f>
        <v>4.9926836332978931E-2</v>
      </c>
      <c r="I89" s="320">
        <f>'3StatementModel'!I96/'3StatementModel'!I$105</f>
        <v>5.3166506088261553E-2</v>
      </c>
      <c r="J89" s="320">
        <f>'3StatementModel'!J96/'3StatementModel'!J$105</f>
        <v>6.192160162857055E-2</v>
      </c>
      <c r="K89" s="320">
        <f>'3StatementModel'!K96/'3StatementModel'!K$105</f>
        <v>6.9070023305637412E-2</v>
      </c>
      <c r="L89" s="320">
        <f>'3StatementModel'!L96/'3StatementModel'!L$105</f>
        <v>7.5565412175294708E-2</v>
      </c>
      <c r="M89" s="320">
        <f>'3StatementModel'!M96/'3StatementModel'!M$105</f>
        <v>8.2418892804341171E-2</v>
      </c>
      <c r="N89" s="320">
        <f>'3StatementModel'!N96/'3StatementModel'!N$105</f>
        <v>8.7649182456597557E-2</v>
      </c>
      <c r="O89" s="320">
        <f>'3StatementModel'!O96/'3StatementModel'!O$105</f>
        <v>9.1680075365522529E-2</v>
      </c>
      <c r="P89" s="320">
        <f>'3StatementModel'!P96/'3StatementModel'!P$105</f>
        <v>9.6332690814549357E-2</v>
      </c>
      <c r="Q89" s="320">
        <f>'3StatementModel'!Q96/'3StatementModel'!Q$105</f>
        <v>0.10029209201490717</v>
      </c>
      <c r="R89" s="320">
        <f>'3StatementModel'!R96/'3StatementModel'!R$105</f>
        <v>0.10501021420821131</v>
      </c>
    </row>
    <row r="90" spans="2:18">
      <c r="B90" s="79" t="s">
        <v>214</v>
      </c>
      <c r="C90" s="1"/>
      <c r="D90" s="320">
        <f>'3StatementModel'!D97/'3StatementModel'!D$105</f>
        <v>5.5689734920914967E-2</v>
      </c>
      <c r="E90" s="320">
        <f>'3StatementModel'!E97/'3StatementModel'!E$105</f>
        <v>8.439677574192693E-2</v>
      </c>
      <c r="F90" s="320">
        <f>'3StatementModel'!F97/'3StatementModel'!F$105</f>
        <v>0.15952631672324885</v>
      </c>
      <c r="G90" s="320">
        <f>'3StatementModel'!G97/'3StatementModel'!G$105</f>
        <v>0.16937071890910863</v>
      </c>
      <c r="H90" s="320">
        <f>'3StatementModel'!H97/'3StatementModel'!H$105</f>
        <v>0.13204878087002705</v>
      </c>
      <c r="I90" s="320">
        <f>'3StatementModel'!I97/'3StatementModel'!I$105</f>
        <v>0.12937183148143647</v>
      </c>
      <c r="J90" s="320">
        <f>'3StatementModel'!J97/'3StatementModel'!J$105</f>
        <v>0.10356429598525076</v>
      </c>
      <c r="K90" s="320">
        <f>'3StatementModel'!K97/'3StatementModel'!K$105</f>
        <v>7.9195471748348664E-2</v>
      </c>
      <c r="L90" s="320">
        <f>'3StatementModel'!L97/'3StatementModel'!L$105</f>
        <v>5.6145293524646457E-2</v>
      </c>
      <c r="M90" s="320">
        <f>'3StatementModel'!M97/'3StatementModel'!M$105</f>
        <v>2.9785045419390626E-2</v>
      </c>
      <c r="N90" s="320">
        <f>'3StatementModel'!N97/'3StatementModel'!N$105</f>
        <v>1.5837599800325796E-2</v>
      </c>
      <c r="O90" s="320">
        <f>'3StatementModel'!O97/'3StatementModel'!O$105</f>
        <v>1.6565954212086995E-2</v>
      </c>
      <c r="P90" s="320">
        <f>'3StatementModel'!P97/'3StatementModel'!P$105</f>
        <v>1.7406649577876493E-2</v>
      </c>
      <c r="Q90" s="320">
        <f>'3StatementModel'!Q97/'3StatementModel'!Q$105</f>
        <v>1.8122085933386694E-2</v>
      </c>
      <c r="R90" s="320">
        <f>'3StatementModel'!R97/'3StatementModel'!R$105</f>
        <v>1.8974617913859966E-2</v>
      </c>
    </row>
    <row r="91" spans="2:18">
      <c r="B91" s="79" t="s">
        <v>205</v>
      </c>
      <c r="C91" s="1"/>
      <c r="D91" s="540">
        <f>'3StatementModel'!D98/'3StatementModel'!D$105</f>
        <v>0</v>
      </c>
      <c r="E91" s="540">
        <f>'3StatementModel'!E98/'3StatementModel'!E$105</f>
        <v>0</v>
      </c>
      <c r="F91" s="540">
        <f>'3StatementModel'!F98/'3StatementModel'!F$105</f>
        <v>1.4193382752743966E-3</v>
      </c>
      <c r="G91" s="540">
        <f>'3StatementModel'!G98/'3StatementModel'!G$105</f>
        <v>2.0293087370705483E-3</v>
      </c>
      <c r="H91" s="540">
        <f>'3StatementModel'!H98/'3StatementModel'!H$105</f>
        <v>2.5704569438585153E-3</v>
      </c>
      <c r="I91" s="540">
        <f>'3StatementModel'!I98/'3StatementModel'!I$105</f>
        <v>2.0987552054424477E-3</v>
      </c>
      <c r="J91" s="540">
        <f>'3StatementModel'!J98/'3StatementModel'!J$105</f>
        <v>1.9481637929441562E-3</v>
      </c>
      <c r="K91" s="540">
        <f>'3StatementModel'!K98/'3StatementModel'!K$105</f>
        <v>1.7810047817990388E-3</v>
      </c>
      <c r="L91" s="540">
        <f>'3StatementModel'!L98/'3StatementModel'!L$105</f>
        <v>1.6433437483642564E-3</v>
      </c>
      <c r="M91" s="540">
        <f>'3StatementModel'!M98/'3StatementModel'!M$105</f>
        <v>1.5567730332175195E-3</v>
      </c>
      <c r="N91" s="540">
        <f>'3StatementModel'!N98/'3StatementModel'!N$105</f>
        <v>1.4781835705081684E-3</v>
      </c>
      <c r="O91" s="540">
        <f>'3StatementModel'!O98/'3StatementModel'!O$105</f>
        <v>1.3805032719844468E-3</v>
      </c>
      <c r="P91" s="540">
        <f>'3StatementModel'!P98/'3StatementModel'!P$105</f>
        <v>1.2951442668035955E-3</v>
      </c>
      <c r="Q91" s="540">
        <f>'3StatementModel'!Q98/'3StatementModel'!Q$105</f>
        <v>1.2039075105290853E-3</v>
      </c>
      <c r="R91" s="540">
        <f>'3StatementModel'!R98/'3StatementModel'!R$105</f>
        <v>1.1254856317650943E-3</v>
      </c>
    </row>
    <row r="92" spans="2:18">
      <c r="B92" s="79" t="s">
        <v>215</v>
      </c>
      <c r="C92" s="1"/>
      <c r="D92" s="320">
        <f>'3StatementModel'!D99/'3StatementModel'!D$105</f>
        <v>0.12228853040613033</v>
      </c>
      <c r="E92" s="320">
        <f>'3StatementModel'!E99/'3StatementModel'!E$105</f>
        <v>0.10100633927536951</v>
      </c>
      <c r="F92" s="320">
        <f>'3StatementModel'!F99/'3StatementModel'!F$105</f>
        <v>4.101157073783674E-2</v>
      </c>
      <c r="G92" s="320">
        <f>'3StatementModel'!G99/'3StatementModel'!G$105</f>
        <v>4.8147559673830172E-2</v>
      </c>
      <c r="H92" s="320">
        <f>'3StatementModel'!H99/'3StatementModel'!H$105</f>
        <v>5.0294975704184244E-2</v>
      </c>
      <c r="I92" s="320">
        <f>'3StatementModel'!I99/'3StatementModel'!I$105</f>
        <v>4.1065399799425022E-2</v>
      </c>
      <c r="J92" s="320">
        <f>'3StatementModel'!J99/'3StatementModel'!J$105</f>
        <v>3.8118845315812069E-2</v>
      </c>
      <c r="K92" s="320">
        <f>'3StatementModel'!K99/'3StatementModel'!K$105</f>
        <v>3.4848120075941291E-2</v>
      </c>
      <c r="L92" s="320">
        <f>'3StatementModel'!L99/'3StatementModel'!L$105</f>
        <v>3.2154568507782304E-2</v>
      </c>
      <c r="M92" s="320">
        <f>'3StatementModel'!M99/'3StatementModel'!M$105</f>
        <v>3.0460678234536531E-2</v>
      </c>
      <c r="N92" s="320">
        <f>'3StatementModel'!N99/'3StatementModel'!N$105</f>
        <v>2.892295354048335E-2</v>
      </c>
      <c r="O92" s="320">
        <f>'3StatementModel'!O99/'3StatementModel'!O$105</f>
        <v>2.701168704260792E-2</v>
      </c>
      <c r="P92" s="320">
        <f>'3StatementModel'!P99/'3StatementModel'!P$105</f>
        <v>2.5341505753650077E-2</v>
      </c>
      <c r="Q92" s="320">
        <f>'3StatementModel'!Q99/'3StatementModel'!Q$105</f>
        <v>2.3556317150853684E-2</v>
      </c>
      <c r="R92" s="320">
        <f>'3StatementModel'!R99/'3StatementModel'!R$105</f>
        <v>2.2021871496537167E-2</v>
      </c>
    </row>
    <row r="93" spans="2:18">
      <c r="B93" s="79" t="s">
        <v>216</v>
      </c>
      <c r="C93" s="1"/>
      <c r="D93" s="320">
        <f>'3StatementModel'!D100/'3StatementModel'!D$105</f>
        <v>1.8120174907372525E-3</v>
      </c>
      <c r="E93" s="320">
        <f>'3StatementModel'!E100/'3StatementModel'!E$105</f>
        <v>4.5989894045904769E-4</v>
      </c>
      <c r="F93" s="320">
        <f>'3StatementModel'!F100/'3StatementModel'!F$105</f>
        <v>1.4548217321562564E-3</v>
      </c>
      <c r="G93" s="320">
        <f>'3StatementModel'!G100/'3StatementModel'!G$105</f>
        <v>6.5044264011715359E-3</v>
      </c>
      <c r="H93" s="320">
        <f>'3StatementModel'!H100/'3StatementModel'!H$105</f>
        <v>2.5680865240117275E-3</v>
      </c>
      <c r="I93" s="320">
        <f>'3StatementModel'!I100/'3StatementModel'!I$105</f>
        <v>2.096819778745488E-3</v>
      </c>
      <c r="J93" s="320">
        <f>'3StatementModel'!J100/'3StatementModel'!J$105</f>
        <v>1.9463672383935652E-3</v>
      </c>
      <c r="K93" s="320">
        <f>'3StatementModel'!K100/'3StatementModel'!K$105</f>
        <v>1.7793623776762673E-3</v>
      </c>
      <c r="L93" s="320">
        <f>'3StatementModel'!L100/'3StatementModel'!L$105</f>
        <v>1.6418282922717028E-3</v>
      </c>
      <c r="M93" s="320">
        <f>'3StatementModel'!M100/'3StatementModel'!M$105</f>
        <v>1.555337410767706E-3</v>
      </c>
      <c r="N93" s="320">
        <f>'3StatementModel'!N100/'3StatementModel'!N$105</f>
        <v>1.4768204215625696E-3</v>
      </c>
      <c r="O93" s="320">
        <f>'3StatementModel'!O100/'3StatementModel'!O$105</f>
        <v>1.3792302016993033E-3</v>
      </c>
      <c r="P93" s="320">
        <f>'3StatementModel'!P100/'3StatementModel'!P$105</f>
        <v>1.293949912748446E-3</v>
      </c>
      <c r="Q93" s="320">
        <f>'3StatementModel'!Q100/'3StatementModel'!Q$105</f>
        <v>1.2027972930389722E-3</v>
      </c>
      <c r="R93" s="320">
        <f>'3StatementModel'!R100/'3StatementModel'!R$105</f>
        <v>1.1244477332369028E-3</v>
      </c>
    </row>
    <row r="94" spans="2:18">
      <c r="B94" s="79" t="s">
        <v>217</v>
      </c>
      <c r="C94" s="1"/>
      <c r="D94" s="320">
        <f>'3StatementModel'!D101/'3StatementModel'!D$105</f>
        <v>3.5739660771251865E-3</v>
      </c>
      <c r="E94" s="320">
        <f>'3StatementModel'!E101/'3StatementModel'!E$105</f>
        <v>3.9215547185158387E-3</v>
      </c>
      <c r="F94" s="320">
        <f>'3StatementModel'!F101/'3StatementModel'!F$105</f>
        <v>5.1910210155991536E-3</v>
      </c>
      <c r="G94" s="320">
        <f>'3StatementModel'!G101/'3StatementModel'!G$105</f>
        <v>2.5124283002540314E-3</v>
      </c>
      <c r="H94" s="320">
        <f>'3StatementModel'!H101/'3StatementModel'!H$105</f>
        <v>5.4350434837059647E-3</v>
      </c>
      <c r="I94" s="320">
        <f>'3StatementModel'!I101/'3StatementModel'!I$105</f>
        <v>4.4376646068660279E-3</v>
      </c>
      <c r="J94" s="320">
        <f>'3StatementModel'!J101/'3StatementModel'!J$105</f>
        <v>4.1192500630408708E-3</v>
      </c>
      <c r="K94" s="320">
        <f>'3StatementModel'!K101/'3StatementModel'!K$105</f>
        <v>3.7658045418320122E-3</v>
      </c>
      <c r="L94" s="320">
        <f>'3StatementModel'!L101/'3StatementModel'!L$105</f>
        <v>3.4747303402128909E-3</v>
      </c>
      <c r="M94" s="320">
        <f>'3StatementModel'!M101/'3StatementModel'!M$105</f>
        <v>3.2916828854161004E-3</v>
      </c>
      <c r="N94" s="320">
        <f>'3StatementModel'!N101/'3StatementModel'!N$105</f>
        <v>3.125511206016081E-3</v>
      </c>
      <c r="O94" s="320">
        <f>'3StatementModel'!O101/'3StatementModel'!O$105</f>
        <v>2.9189733485171423E-3</v>
      </c>
      <c r="P94" s="320">
        <f>'3StatementModel'!P101/'3StatementModel'!P$105</f>
        <v>2.7384879659503357E-3</v>
      </c>
      <c r="Q94" s="320">
        <f>'3StatementModel'!Q101/'3StatementModel'!Q$105</f>
        <v>2.5455745079564092E-3</v>
      </c>
      <c r="R94" s="320">
        <f>'3StatementModel'!R101/'3StatementModel'!R$105</f>
        <v>2.3797571725699624E-3</v>
      </c>
    </row>
    <row r="95" spans="2:18">
      <c r="B95" s="79" t="s">
        <v>213</v>
      </c>
      <c r="C95" s="1"/>
      <c r="D95" s="320">
        <f>'3StatementModel'!D102/'3StatementModel'!D$105</f>
        <v>2.4377595834267157E-2</v>
      </c>
      <c r="E95" s="320">
        <f>'3StatementModel'!E102/'3StatementModel'!E$105</f>
        <v>3.7630137213036062E-2</v>
      </c>
      <c r="F95" s="320">
        <f>'3StatementModel'!F102/'3StatementModel'!F$105</f>
        <v>3.2319167432865822E-2</v>
      </c>
      <c r="G95" s="320">
        <f>'3StatementModel'!G102/'3StatementModel'!G$105</f>
        <v>4.2087262427482577E-2</v>
      </c>
      <c r="H95" s="320">
        <f>'3StatementModel'!H102/'3StatementModel'!H$105</f>
        <v>3.0624046605614748E-2</v>
      </c>
      <c r="I95" s="320">
        <f>'3StatementModel'!I102/'3StatementModel'!I$105</f>
        <v>2.5004261354701685E-2</v>
      </c>
      <c r="J95" s="320">
        <f>'3StatementModel'!J102/'3StatementModel'!J$105</f>
        <v>2.3210137377728791E-2</v>
      </c>
      <c r="K95" s="320">
        <f>'3StatementModel'!K102/'3StatementModel'!K$105</f>
        <v>2.1218629463119535E-2</v>
      </c>
      <c r="L95" s="320">
        <f>'3StatementModel'!L102/'3StatementModel'!L$105</f>
        <v>1.9578556123725017E-2</v>
      </c>
      <c r="M95" s="320">
        <f>'3StatementModel'!M102/'3StatementModel'!M$105</f>
        <v>1.85471653347568E-2</v>
      </c>
      <c r="N95" s="320">
        <f>'3StatementModel'!N102/'3StatementModel'!N$105</f>
        <v>1.7610862015429982E-2</v>
      </c>
      <c r="O95" s="320">
        <f>'3StatementModel'!O102/'3StatementModel'!O$105</f>
        <v>1.6447113281342855E-2</v>
      </c>
      <c r="P95" s="320">
        <f>'3StatementModel'!P102/'3StatementModel'!P$105</f>
        <v>1.5430158626991257E-2</v>
      </c>
      <c r="Q95" s="320">
        <f>'3StatementModel'!Q102/'3StatementModel'!Q$105</f>
        <v>1.4343177309147599E-2</v>
      </c>
      <c r="R95" s="320">
        <f>'3StatementModel'!R102/'3StatementModel'!R$105</f>
        <v>1.3408870560339235E-2</v>
      </c>
    </row>
    <row r="96" spans="2:18">
      <c r="B96" s="88" t="s">
        <v>15</v>
      </c>
      <c r="C96" s="88"/>
      <c r="D96" s="492">
        <f>'3StatementModel'!D103/'3StatementModel'!D$105</f>
        <v>0.26468449437559305</v>
      </c>
      <c r="E96" s="492">
        <f>'3StatementModel'!E103/'3StatementModel'!E$105</f>
        <v>0.28787427379711</v>
      </c>
      <c r="F96" s="492">
        <f>'3StatementModel'!F103/'3StatementModel'!F$105</f>
        <v>0.3152026783748158</v>
      </c>
      <c r="G96" s="492">
        <f>'3StatementModel'!G103/'3StatementModel'!G$105</f>
        <v>0.34159703335496028</v>
      </c>
      <c r="H96" s="492">
        <f>'3StatementModel'!H103/'3StatementModel'!H$105</f>
        <v>0.27346822646438118</v>
      </c>
      <c r="I96" s="492">
        <f>'3StatementModel'!I103/'3StatementModel'!I$105</f>
        <v>0.25724123831487866</v>
      </c>
      <c r="J96" s="492">
        <f>'3StatementModel'!J103/'3StatementModel'!J$105</f>
        <v>0.23482866140174077</v>
      </c>
      <c r="K96" s="492">
        <f>'3StatementModel'!K103/'3StatementModel'!K$105</f>
        <v>0.21165841629435422</v>
      </c>
      <c r="L96" s="492">
        <f>'3StatementModel'!L103/'3StatementModel'!L$105</f>
        <v>0.19020373271229732</v>
      </c>
      <c r="M96" s="492">
        <f>'3StatementModel'!M103/'3StatementModel'!M$105</f>
        <v>0.16761557512242645</v>
      </c>
      <c r="N96" s="492">
        <f>'3StatementModel'!N103/'3StatementModel'!N$105</f>
        <v>0.1561011130109235</v>
      </c>
      <c r="O96" s="492">
        <f>'3StatementModel'!O103/'3StatementModel'!O$105</f>
        <v>0.15738353672376118</v>
      </c>
      <c r="P96" s="492">
        <f>'3StatementModel'!P103/'3StatementModel'!P$105</f>
        <v>0.15983858691856956</v>
      </c>
      <c r="Q96" s="492">
        <f>'3StatementModel'!Q103/'3StatementModel'!Q$105</f>
        <v>0.16126595171981964</v>
      </c>
      <c r="R96" s="492">
        <f>'3StatementModel'!R103/'3StatementModel'!R$105</f>
        <v>0.16404526471651962</v>
      </c>
    </row>
    <row r="97" spans="2:18">
      <c r="B97" s="1"/>
      <c r="C97" s="1"/>
      <c r="D97" s="499"/>
      <c r="E97" s="500"/>
      <c r="F97" s="501"/>
      <c r="G97" s="501"/>
      <c r="H97" s="501"/>
      <c r="I97" s="501"/>
      <c r="J97" s="501"/>
      <c r="K97" s="501"/>
      <c r="L97" s="501"/>
      <c r="M97" s="501"/>
      <c r="N97" s="501"/>
      <c r="O97" s="501"/>
      <c r="P97" s="501"/>
      <c r="Q97" s="501"/>
      <c r="R97" s="501"/>
    </row>
    <row r="98" spans="2:18" ht="15" thickBot="1">
      <c r="B98" s="93" t="s">
        <v>495</v>
      </c>
      <c r="C98" s="93"/>
      <c r="D98" s="495">
        <f>'3StatementModel'!D105/'3StatementModel'!D$105</f>
        <v>1</v>
      </c>
      <c r="E98" s="495">
        <f>'3StatementModel'!E105/'3StatementModel'!E$105</f>
        <v>1</v>
      </c>
      <c r="F98" s="495">
        <f>'3StatementModel'!F105/'3StatementModel'!F$105</f>
        <v>1</v>
      </c>
      <c r="G98" s="495">
        <f>'3StatementModel'!G105/'3StatementModel'!G$105</f>
        <v>1</v>
      </c>
      <c r="H98" s="495">
        <f>'3StatementModel'!H105/'3StatementModel'!H$105</f>
        <v>1</v>
      </c>
      <c r="I98" s="495">
        <f>'3StatementModel'!I105/'3StatementModel'!I$105</f>
        <v>1</v>
      </c>
      <c r="J98" s="495">
        <f>'3StatementModel'!J105/'3StatementModel'!J$105</f>
        <v>1</v>
      </c>
      <c r="K98" s="495">
        <f>'3StatementModel'!K105/'3StatementModel'!K$105</f>
        <v>1</v>
      </c>
      <c r="L98" s="495">
        <f>'3StatementModel'!L105/'3StatementModel'!L$105</f>
        <v>1</v>
      </c>
      <c r="M98" s="495">
        <f>'3StatementModel'!M105/'3StatementModel'!M$105</f>
        <v>1</v>
      </c>
      <c r="N98" s="495">
        <f>'3StatementModel'!N105/'3StatementModel'!N$105</f>
        <v>1</v>
      </c>
      <c r="O98" s="495">
        <f>'3StatementModel'!O105/'3StatementModel'!O$105</f>
        <v>1</v>
      </c>
      <c r="P98" s="495">
        <f>'3StatementModel'!P105/'3StatementModel'!P$105</f>
        <v>1</v>
      </c>
      <c r="Q98" s="495">
        <f>'3StatementModel'!Q105/'3StatementModel'!Q$105</f>
        <v>1</v>
      </c>
      <c r="R98" s="495">
        <f>'3StatementModel'!R105/'3StatementModel'!R$105</f>
        <v>1</v>
      </c>
    </row>
    <row r="99" spans="2:18">
      <c r="B99" s="1"/>
      <c r="C99" s="1"/>
      <c r="D99" s="319"/>
      <c r="E99" s="92"/>
      <c r="F99" s="95"/>
      <c r="G99" s="95"/>
      <c r="H99" s="95"/>
      <c r="I99" s="95"/>
      <c r="J99" s="95"/>
      <c r="K99" s="95"/>
      <c r="L99" s="95"/>
      <c r="M99" s="95"/>
      <c r="N99" s="95"/>
      <c r="O99" s="95"/>
      <c r="P99" s="95"/>
      <c r="Q99" s="95"/>
      <c r="R99" s="95"/>
    </row>
    <row r="100" spans="2:18">
      <c r="D100" s="87"/>
      <c r="E100" s="87"/>
      <c r="F100" s="87"/>
      <c r="G100" s="87"/>
      <c r="H100" s="87"/>
      <c r="I100" s="87"/>
      <c r="J100" s="87"/>
      <c r="K100" s="87"/>
      <c r="L100" s="87"/>
      <c r="M100" s="87"/>
      <c r="N100" s="87"/>
      <c r="O100" s="87"/>
      <c r="P100" s="87"/>
      <c r="Q100" s="87"/>
      <c r="R100" s="87"/>
    </row>
    <row r="101" spans="2:18">
      <c r="D101" s="32"/>
      <c r="E101" s="32"/>
      <c r="F101" s="32"/>
      <c r="G101" s="32"/>
      <c r="H101" s="32"/>
      <c r="I101" s="32"/>
      <c r="J101" s="32"/>
      <c r="K101" s="32"/>
      <c r="L101" s="32"/>
      <c r="M101" s="32"/>
      <c r="N101" s="32"/>
      <c r="O101" s="32"/>
      <c r="P101" s="32"/>
      <c r="Q101" s="32"/>
      <c r="R101" s="32"/>
    </row>
    <row r="141" spans="2:7">
      <c r="B141" s="40"/>
      <c r="C141" s="40"/>
      <c r="D141" s="40"/>
    </row>
    <row r="142" spans="2:7">
      <c r="B142" s="40"/>
      <c r="C142" s="40"/>
      <c r="D142" s="40"/>
    </row>
    <row r="143" spans="2:7">
      <c r="B143" s="11"/>
      <c r="C143" s="11"/>
      <c r="D143" s="11"/>
      <c r="E143" s="11"/>
      <c r="F143" s="11"/>
      <c r="G143" s="11"/>
    </row>
    <row r="147" spans="2:7">
      <c r="B147" s="77"/>
      <c r="C147" s="77"/>
      <c r="D147" s="77"/>
      <c r="E147" s="77"/>
      <c r="F147" s="77"/>
      <c r="G147" s="77"/>
    </row>
    <row r="149" spans="2:7">
      <c r="B149" s="43"/>
      <c r="C149" s="43"/>
      <c r="D149" s="43"/>
    </row>
    <row r="152" spans="2:7">
      <c r="B152" s="11"/>
      <c r="C152" s="11"/>
      <c r="D152" s="11"/>
      <c r="E152" s="11"/>
      <c r="F152" s="11"/>
      <c r="G152" s="11"/>
    </row>
    <row r="154" spans="2:7">
      <c r="B154" s="43"/>
      <c r="C154" s="43"/>
      <c r="D154" s="43"/>
    </row>
    <row r="157" spans="2:7">
      <c r="B157" s="11"/>
      <c r="C157" s="11"/>
      <c r="D157" s="11"/>
      <c r="E157" s="11"/>
      <c r="F157" s="11"/>
      <c r="G157" s="11"/>
    </row>
    <row r="159" spans="2:7">
      <c r="B159" s="43"/>
      <c r="C159" s="43"/>
      <c r="D159" s="43"/>
    </row>
    <row r="162" spans="2:7">
      <c r="B162" s="11"/>
      <c r="C162" s="11"/>
      <c r="D162" s="11"/>
      <c r="E162" s="11"/>
      <c r="F162" s="11"/>
      <c r="G162" s="11"/>
    </row>
    <row r="164" spans="2:7">
      <c r="B164" s="43"/>
      <c r="C164" s="43"/>
      <c r="D164" s="43"/>
    </row>
    <row r="167" spans="2:7">
      <c r="B167" s="11"/>
      <c r="C167" s="11"/>
      <c r="D167" s="11"/>
      <c r="E167" s="11"/>
      <c r="F167" s="11"/>
      <c r="G167" s="11"/>
    </row>
    <row r="169" spans="2:7">
      <c r="B169" s="43"/>
      <c r="C169" s="43"/>
      <c r="D169" s="43"/>
    </row>
    <row r="172" spans="2:7">
      <c r="B172" s="11"/>
      <c r="C172" s="11"/>
      <c r="D172" s="11"/>
      <c r="E172" s="11"/>
      <c r="F172" s="11"/>
      <c r="G172" s="11"/>
    </row>
    <row r="174" spans="2:7">
      <c r="B174" s="43"/>
      <c r="C174" s="43"/>
      <c r="D174" s="43"/>
    </row>
    <row r="177" spans="2:7">
      <c r="B177" s="11"/>
      <c r="C177" s="11"/>
      <c r="D177" s="11"/>
      <c r="E177" s="11"/>
      <c r="F177" s="11"/>
      <c r="G177" s="11"/>
    </row>
    <row r="179" spans="2:7">
      <c r="B179" s="43"/>
      <c r="C179" s="43"/>
      <c r="D179" s="43"/>
    </row>
    <row r="182" spans="2:7">
      <c r="B182" s="11"/>
      <c r="C182" s="11"/>
      <c r="D182" s="11"/>
      <c r="E182" s="11"/>
      <c r="F182" s="11"/>
      <c r="G182" s="11"/>
    </row>
    <row r="184" spans="2:7">
      <c r="B184" s="77"/>
      <c r="C184" s="77"/>
      <c r="D184" s="77"/>
      <c r="E184" s="77"/>
      <c r="F184" s="77"/>
      <c r="G184" s="77"/>
    </row>
    <row r="187" spans="2:7">
      <c r="B187" s="40"/>
      <c r="C187" s="40"/>
      <c r="D187" s="40"/>
      <c r="E187" s="86"/>
      <c r="F187" s="86"/>
    </row>
    <row r="188" spans="2:7">
      <c r="B188" s="40"/>
      <c r="C188" s="40"/>
      <c r="D188" s="40"/>
    </row>
    <row r="189" spans="2:7">
      <c r="B189" s="11"/>
      <c r="C189" s="11"/>
      <c r="D189" s="11"/>
      <c r="E189" s="11"/>
      <c r="F189" s="11"/>
      <c r="G189" s="11"/>
    </row>
    <row r="190" spans="2:7">
      <c r="B190" s="32"/>
      <c r="C190" s="32"/>
      <c r="D190" s="32"/>
      <c r="E190" s="32"/>
      <c r="F190" s="32"/>
      <c r="G190" s="32"/>
    </row>
    <row r="191" spans="2:7">
      <c r="B191" s="32"/>
      <c r="C191" s="32"/>
      <c r="D191" s="32"/>
      <c r="E191" s="32"/>
      <c r="F191" s="32"/>
      <c r="G191" s="32"/>
    </row>
    <row r="193" spans="2:19">
      <c r="B193" s="43"/>
      <c r="C193" s="43"/>
      <c r="D193" s="43"/>
    </row>
    <row r="194" spans="2:19">
      <c r="B194" s="44"/>
      <c r="C194" s="44"/>
      <c r="D194" s="44"/>
      <c r="S194" s="59"/>
    </row>
    <row r="195" spans="2:19">
      <c r="B195" s="44"/>
      <c r="C195" s="44"/>
      <c r="D195" s="44"/>
    </row>
    <row r="196" spans="2:19">
      <c r="B196" s="44"/>
      <c r="C196" s="44"/>
      <c r="D196" s="44"/>
    </row>
    <row r="197" spans="2:19">
      <c r="B197" s="44"/>
      <c r="C197" s="44"/>
      <c r="D197" s="44"/>
    </row>
    <row r="198" spans="2:19">
      <c r="B198" s="44"/>
      <c r="C198" s="44"/>
      <c r="D198" s="44"/>
    </row>
    <row r="199" spans="2:19">
      <c r="B199" s="44"/>
      <c r="C199" s="44"/>
      <c r="D199" s="44"/>
    </row>
    <row r="200" spans="2:19">
      <c r="B200" s="11"/>
      <c r="C200" s="11"/>
      <c r="D200" s="11"/>
      <c r="E200" s="11"/>
      <c r="F200" s="11"/>
      <c r="G200" s="11"/>
    </row>
    <row r="202" spans="2:19">
      <c r="B202" s="77"/>
      <c r="C202" s="77"/>
      <c r="D202" s="77"/>
      <c r="E202" s="77"/>
      <c r="F202" s="77"/>
      <c r="G202" s="77"/>
    </row>
    <row r="208" spans="2:19">
      <c r="B208" s="32"/>
      <c r="C208" s="32"/>
      <c r="D208" s="32"/>
      <c r="E208" s="32"/>
      <c r="F208" s="32"/>
      <c r="G208" s="32"/>
    </row>
    <row r="209" spans="2:7">
      <c r="B209" s="32"/>
      <c r="C209" s="32"/>
      <c r="D209" s="32"/>
      <c r="E209" s="32"/>
      <c r="F209" s="32"/>
      <c r="G209" s="32"/>
    </row>
    <row r="211" spans="2:7">
      <c r="B211" s="11"/>
      <c r="C211" s="11"/>
      <c r="D211" s="11"/>
    </row>
  </sheetData>
  <mergeCells count="2">
    <mergeCell ref="D8:H8"/>
    <mergeCell ref="I8:R8"/>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1BABA-92F4-48F2-97E3-8EAEEF5B1A3E}">
  <dimension ref="A1:P89"/>
  <sheetViews>
    <sheetView showGridLines="0" zoomScale="86" zoomScaleNormal="85" workbookViewId="0">
      <pane ySplit="9" topLeftCell="A10" activePane="bottomLeft" state="frozen"/>
      <selection pane="bottomLeft" activeCell="B9" sqref="B9"/>
    </sheetView>
  </sheetViews>
  <sheetFormatPr defaultRowHeight="14.4"/>
  <cols>
    <col min="1" max="1" width="1.88671875" style="18" customWidth="1"/>
    <col min="2" max="2" width="42.21875" customWidth="1"/>
    <col min="3" max="3" width="20.5546875" bestFit="1" customWidth="1"/>
    <col min="4" max="4" width="20.5546875" customWidth="1"/>
    <col min="5" max="5" width="12.5546875" customWidth="1"/>
    <col min="6" max="6" width="11.88671875" customWidth="1"/>
    <col min="7" max="7" width="12.44140625" customWidth="1"/>
    <col min="8" max="8" width="11.44140625" bestFit="1" customWidth="1"/>
    <col min="9" max="9" width="11.33203125" bestFit="1" customWidth="1"/>
    <col min="10" max="11" width="11.33203125" customWidth="1"/>
    <col min="12" max="13" width="11.33203125" bestFit="1" customWidth="1"/>
    <col min="14" max="14" width="3.77734375" customWidth="1"/>
  </cols>
  <sheetData>
    <row r="1" spans="1:16">
      <c r="A1"/>
    </row>
    <row r="2" spans="1:16" ht="21">
      <c r="A2"/>
      <c r="B2" s="8" t="str">
        <f>'Input Sheet'!C6</f>
        <v>Varun Beverages Ltd.</v>
      </c>
    </row>
    <row r="3" spans="1:16" ht="18">
      <c r="A3"/>
      <c r="B3" s="9" t="s">
        <v>145</v>
      </c>
    </row>
    <row r="4" spans="1:16">
      <c r="A4"/>
      <c r="H4" t="s">
        <v>22</v>
      </c>
      <c r="I4">
        <v>0</v>
      </c>
    </row>
    <row r="5" spans="1:16">
      <c r="A5"/>
    </row>
    <row r="6" spans="1:16">
      <c r="A6"/>
    </row>
    <row r="7" spans="1:16">
      <c r="A7"/>
      <c r="O7" s="561"/>
      <c r="P7" s="561"/>
    </row>
    <row r="8" spans="1:16">
      <c r="A8"/>
      <c r="D8" s="562" t="s">
        <v>18</v>
      </c>
      <c r="E8" s="562"/>
      <c r="F8" s="562"/>
      <c r="G8" s="562"/>
      <c r="H8" s="562"/>
      <c r="I8" s="563" t="s">
        <v>19</v>
      </c>
      <c r="J8" s="563"/>
      <c r="K8" s="563"/>
      <c r="L8" s="563"/>
      <c r="M8" s="563"/>
      <c r="O8" s="77"/>
      <c r="P8" s="77"/>
    </row>
    <row r="9" spans="1:16" ht="15.6">
      <c r="A9"/>
      <c r="B9" s="74" t="s">
        <v>17</v>
      </c>
      <c r="D9" s="453">
        <v>2019</v>
      </c>
      <c r="E9" s="453">
        <v>2020</v>
      </c>
      <c r="F9" s="453">
        <v>2021</v>
      </c>
      <c r="G9" s="453">
        <v>2022</v>
      </c>
      <c r="H9" s="453">
        <v>2023</v>
      </c>
      <c r="I9" s="455">
        <f t="shared" ref="I9:M9" si="0">H9+1</f>
        <v>2024</v>
      </c>
      <c r="J9" s="455">
        <f t="shared" si="0"/>
        <v>2025</v>
      </c>
      <c r="K9" s="455">
        <f t="shared" si="0"/>
        <v>2026</v>
      </c>
      <c r="L9" s="455">
        <f t="shared" si="0"/>
        <v>2027</v>
      </c>
      <c r="M9" s="455">
        <f t="shared" si="0"/>
        <v>2028</v>
      </c>
    </row>
    <row r="10" spans="1:16">
      <c r="A10"/>
      <c r="B10" s="74"/>
      <c r="F10" s="75"/>
      <c r="G10" s="62"/>
      <c r="H10" s="62"/>
      <c r="I10" s="62"/>
      <c r="J10" s="62"/>
      <c r="K10" s="62"/>
      <c r="L10" s="62"/>
      <c r="M10" s="62"/>
    </row>
    <row r="11" spans="1:16" ht="18">
      <c r="A11"/>
      <c r="B11" s="10" t="s">
        <v>82</v>
      </c>
      <c r="C11" s="10"/>
      <c r="D11" s="10"/>
      <c r="E11" s="10"/>
      <c r="F11" s="10"/>
      <c r="G11" s="10"/>
      <c r="H11" s="10"/>
      <c r="I11" s="10"/>
      <c r="J11" s="10"/>
      <c r="K11" s="10"/>
      <c r="L11" s="10"/>
      <c r="M11" s="10"/>
    </row>
    <row r="13" spans="1:16">
      <c r="B13" t="s">
        <v>83</v>
      </c>
      <c r="D13" s="201">
        <f>'3StatementModel'!D73</f>
        <v>1671.6799999999994</v>
      </c>
      <c r="E13" s="201">
        <f>'3StatementModel'!E73</f>
        <v>1799.4099999999999</v>
      </c>
      <c r="F13" s="201">
        <f>'3StatementModel'!F73</f>
        <v>2545.8100000000013</v>
      </c>
      <c r="G13" s="201">
        <f>'3StatementModel'!G73</f>
        <v>3403.69</v>
      </c>
      <c r="H13" s="201">
        <f>'3StatementModel'!H73</f>
        <v>4235.2549999999992</v>
      </c>
      <c r="I13" s="201">
        <f>'3StatementModel'!I73</f>
        <v>5069.0055014727204</v>
      </c>
      <c r="J13" s="201">
        <f>'3StatementModel'!J73</f>
        <v>6168.6454609204084</v>
      </c>
      <c r="K13" s="201">
        <f>'3StatementModel'!K73</f>
        <v>6938.5365514912273</v>
      </c>
      <c r="L13" s="201">
        <f>'3StatementModel'!L73</f>
        <v>7953.1294355449008</v>
      </c>
      <c r="M13" s="201">
        <f>'3StatementModel'!M73</f>
        <v>8890.448109122226</v>
      </c>
    </row>
    <row r="14" spans="1:16">
      <c r="B14" t="s">
        <v>84</v>
      </c>
      <c r="D14" s="201">
        <f>'3StatementModel'!D103</f>
        <v>2220.29</v>
      </c>
      <c r="E14" s="201">
        <f>'3StatementModel'!E103</f>
        <v>2434.9499999999998</v>
      </c>
      <c r="F14" s="201">
        <f>'3StatementModel'!F103</f>
        <v>3020.2499999999991</v>
      </c>
      <c r="G14" s="201">
        <f>'3StatementModel'!G103</f>
        <v>3968.7570000000005</v>
      </c>
      <c r="H14" s="201">
        <f>'3StatementModel'!H103</f>
        <v>4153.2120000000004</v>
      </c>
      <c r="I14" s="201">
        <f>'3StatementModel'!I103</f>
        <v>4784.8283760273971</v>
      </c>
      <c r="J14" s="201">
        <f>'3StatementModel'!J103</f>
        <v>4705.5803608520982</v>
      </c>
      <c r="K14" s="201">
        <f>'3StatementModel'!K103</f>
        <v>4639.3593884417378</v>
      </c>
      <c r="L14" s="201">
        <f>'3StatementModel'!L103</f>
        <v>4518.3324091587629</v>
      </c>
      <c r="M14" s="201">
        <f>'3StatementModel'!M103</f>
        <v>4203.1668599150335</v>
      </c>
      <c r="N14" s="69"/>
    </row>
    <row r="15" spans="1:16">
      <c r="B15" s="20" t="s">
        <v>85</v>
      </c>
      <c r="C15" s="20"/>
      <c r="D15" s="106">
        <f>D13/D14</f>
        <v>0.75291065581523109</v>
      </c>
      <c r="E15" s="106">
        <f>E13/E14</f>
        <v>0.73899258711677862</v>
      </c>
      <c r="F15" s="106">
        <f>F13/F14</f>
        <v>0.84291366608724516</v>
      </c>
      <c r="G15" s="106">
        <f t="shared" ref="G15:M15" si="1">G13/G14</f>
        <v>0.85762116451070192</v>
      </c>
      <c r="H15" s="106">
        <f t="shared" si="1"/>
        <v>1.0197541083864727</v>
      </c>
      <c r="I15" s="106">
        <f t="shared" si="1"/>
        <v>1.0593912891147961</v>
      </c>
      <c r="J15" s="106">
        <f t="shared" si="1"/>
        <v>1.3109212866154036</v>
      </c>
      <c r="K15" s="106">
        <f t="shared" si="1"/>
        <v>1.4955807409052082</v>
      </c>
      <c r="L15" s="106">
        <f t="shared" si="1"/>
        <v>1.760191308506591</v>
      </c>
      <c r="M15" s="106">
        <f t="shared" si="1"/>
        <v>2.1151784845634096</v>
      </c>
    </row>
    <row r="17" spans="2:13">
      <c r="B17" t="s">
        <v>83</v>
      </c>
      <c r="D17" s="201">
        <f>'3StatementModel'!D73</f>
        <v>1671.6799999999994</v>
      </c>
      <c r="E17" s="201">
        <f>'3StatementModel'!E73</f>
        <v>1799.4099999999999</v>
      </c>
      <c r="F17" s="201">
        <f>'3StatementModel'!F73</f>
        <v>2545.8100000000013</v>
      </c>
      <c r="G17" s="201">
        <f>'3StatementModel'!G73</f>
        <v>3403.69</v>
      </c>
      <c r="H17" s="201">
        <f>'3StatementModel'!H73</f>
        <v>4235.2549999999992</v>
      </c>
      <c r="I17" s="201">
        <f>'3StatementModel'!I73</f>
        <v>5069.0055014727204</v>
      </c>
      <c r="J17" s="201">
        <f>'3StatementModel'!J73</f>
        <v>6168.6454609204084</v>
      </c>
      <c r="K17" s="201">
        <f>'3StatementModel'!K73</f>
        <v>6938.5365514912273</v>
      </c>
      <c r="L17" s="201">
        <f>'3StatementModel'!L73</f>
        <v>7953.1294355449008</v>
      </c>
      <c r="M17" s="201">
        <f>'3StatementModel'!M73</f>
        <v>8890.448109122226</v>
      </c>
    </row>
    <row r="18" spans="2:13">
      <c r="B18" t="s">
        <v>8</v>
      </c>
      <c r="D18" s="201">
        <f>'3StatementModel'!D70</f>
        <v>881.51</v>
      </c>
      <c r="E18" s="201">
        <f>'3StatementModel'!E70</f>
        <v>928.8</v>
      </c>
      <c r="F18" s="201">
        <f>'3StatementModel'!F70</f>
        <v>1448.09</v>
      </c>
      <c r="G18" s="201">
        <f>'3StatementModel'!G70</f>
        <v>1993.89</v>
      </c>
      <c r="H18" s="201">
        <f>'3StatementModel'!H70</f>
        <v>2150.5329999999999</v>
      </c>
      <c r="I18" s="201">
        <f>'3StatementModel'!I70</f>
        <v>2856.8979863013697</v>
      </c>
      <c r="J18" s="201">
        <f>'3StatementModel'!J70</f>
        <v>3478.2732983219175</v>
      </c>
      <c r="K18" s="201">
        <f>'3StatementModel'!K70</f>
        <v>3725.4313721161388</v>
      </c>
      <c r="L18" s="201">
        <f>'3StatementModel'!L70</f>
        <v>4293.5596563638501</v>
      </c>
      <c r="M18" s="201">
        <f>'3StatementModel'!M70</f>
        <v>4808.7868151275115</v>
      </c>
    </row>
    <row r="19" spans="2:13">
      <c r="B19" t="s">
        <v>84</v>
      </c>
      <c r="D19" s="201">
        <f>'3StatementModel'!D103</f>
        <v>2220.29</v>
      </c>
      <c r="E19" s="201">
        <f>'3StatementModel'!E103</f>
        <v>2434.9499999999998</v>
      </c>
      <c r="F19" s="201">
        <f>'3StatementModel'!F103</f>
        <v>3020.2499999999991</v>
      </c>
      <c r="G19" s="201">
        <f>'3StatementModel'!G103</f>
        <v>3968.7570000000005</v>
      </c>
      <c r="H19" s="201">
        <f>'3StatementModel'!H103</f>
        <v>4153.2120000000004</v>
      </c>
      <c r="I19" s="201">
        <f>'3StatementModel'!I103</f>
        <v>4784.8283760273971</v>
      </c>
      <c r="J19" s="201">
        <f>'3StatementModel'!J103</f>
        <v>4705.5803608520982</v>
      </c>
      <c r="K19" s="201">
        <f>'3StatementModel'!K103</f>
        <v>4639.3593884417378</v>
      </c>
      <c r="L19" s="201">
        <f>'3StatementModel'!L103</f>
        <v>4518.3324091587629</v>
      </c>
      <c r="M19" s="201">
        <f>'3StatementModel'!M103</f>
        <v>4203.1668599150335</v>
      </c>
    </row>
    <row r="20" spans="2:13">
      <c r="B20" s="20" t="s">
        <v>86</v>
      </c>
      <c r="C20" s="20"/>
      <c r="D20" s="106">
        <f>(D17-D18)/D19</f>
        <v>0.35588594282728808</v>
      </c>
      <c r="E20" s="106">
        <f t="shared" ref="E20:M20" si="2">(E17-E18)/E19</f>
        <v>0.3575473829031397</v>
      </c>
      <c r="F20" s="106">
        <f t="shared" si="2"/>
        <v>0.36345335651022326</v>
      </c>
      <c r="G20" s="106">
        <f t="shared" si="2"/>
        <v>0.35522457031256882</v>
      </c>
      <c r="H20" s="106">
        <f t="shared" si="2"/>
        <v>0.50195415018544665</v>
      </c>
      <c r="I20" s="106">
        <f t="shared" si="2"/>
        <v>0.46231700310387153</v>
      </c>
      <c r="J20" s="106">
        <f t="shared" si="2"/>
        <v>0.57174077505528176</v>
      </c>
      <c r="K20" s="106">
        <f t="shared" si="2"/>
        <v>0.69257518341434254</v>
      </c>
      <c r="L20" s="106">
        <f t="shared" si="2"/>
        <v>0.80993814703916411</v>
      </c>
      <c r="M20" s="106">
        <f t="shared" si="2"/>
        <v>0.97109190047173732</v>
      </c>
    </row>
    <row r="22" spans="2:13">
      <c r="B22" t="s">
        <v>48</v>
      </c>
      <c r="D22" s="104">
        <f>'3StatementModel'!D111</f>
        <v>22.564523436163139</v>
      </c>
      <c r="E22" s="104">
        <f>'3StatementModel'!E111</f>
        <v>51.220837842279387</v>
      </c>
      <c r="F22" s="104">
        <f>'3StatementModel'!F111</f>
        <v>49.163676454087664</v>
      </c>
      <c r="G22" s="104">
        <f>'3StatementModel'!G111</f>
        <v>47.685012836726855</v>
      </c>
      <c r="H22" s="104">
        <f>'3StatementModel'!H111</f>
        <v>47.146852336291765</v>
      </c>
      <c r="I22" s="104">
        <f>'3StatementModel'!I111</f>
        <v>52</v>
      </c>
      <c r="J22" s="104">
        <f>'3StatementModel'!J111</f>
        <v>52</v>
      </c>
      <c r="K22" s="104">
        <f>'3StatementModel'!K111</f>
        <v>47</v>
      </c>
      <c r="L22" s="104">
        <f>'3StatementModel'!L111</f>
        <v>47</v>
      </c>
      <c r="M22" s="104">
        <f>'3StatementModel'!M111</f>
        <v>47</v>
      </c>
    </row>
    <row r="23" spans="2:13">
      <c r="B23" t="s">
        <v>47</v>
      </c>
      <c r="D23" s="104">
        <f>'3StatementModel'!D110</f>
        <v>8.8342370798840886</v>
      </c>
      <c r="E23" s="104">
        <f>'3StatementModel'!E110</f>
        <v>11.723885062959873</v>
      </c>
      <c r="F23" s="104">
        <f>'3StatementModel'!F110</f>
        <v>9.5777425047289917</v>
      </c>
      <c r="G23" s="104">
        <f>'3StatementModel'!G110</f>
        <v>7.212226925395159</v>
      </c>
      <c r="H23" s="104">
        <f>'3StatementModel'!H110</f>
        <v>7.4936391158006304</v>
      </c>
      <c r="I23" s="104">
        <f>'3StatementModel'!I110</f>
        <v>9</v>
      </c>
      <c r="J23" s="104">
        <f>'3StatementModel'!J110</f>
        <v>9</v>
      </c>
      <c r="K23" s="104">
        <f>'3StatementModel'!K110</f>
        <v>9</v>
      </c>
      <c r="L23" s="104">
        <f>'3StatementModel'!L110</f>
        <v>9</v>
      </c>
      <c r="M23" s="104">
        <f>'3StatementModel'!M110</f>
        <v>9</v>
      </c>
    </row>
    <row r="24" spans="2:13">
      <c r="B24" t="s">
        <v>49</v>
      </c>
      <c r="D24" s="104">
        <f>'3StatementModel'!D112</f>
        <v>54.154275756888651</v>
      </c>
      <c r="E24" s="104">
        <f>'3StatementModel'!E112</f>
        <v>67.533068735211316</v>
      </c>
      <c r="F24" s="104">
        <f>'3StatementModel'!F112</f>
        <v>64.389254608814625</v>
      </c>
      <c r="G24" s="104">
        <f>'3StatementModel'!G112</f>
        <v>48.051060907341302</v>
      </c>
      <c r="H24" s="104">
        <f>'3StatementModel'!H112</f>
        <v>37.375382315032994</v>
      </c>
      <c r="I24" s="104">
        <f>'3StatementModel'!I112</f>
        <v>40</v>
      </c>
      <c r="J24" s="104">
        <f>'3StatementModel'!J112</f>
        <v>40</v>
      </c>
      <c r="K24" s="104">
        <f>'3StatementModel'!K112</f>
        <v>40</v>
      </c>
      <c r="L24" s="104">
        <f>'3StatementModel'!L112</f>
        <v>40</v>
      </c>
      <c r="M24" s="104">
        <f>'3StatementModel'!M112</f>
        <v>40</v>
      </c>
    </row>
    <row r="25" spans="2:13">
      <c r="B25" s="20" t="s">
        <v>87</v>
      </c>
      <c r="C25" s="20"/>
      <c r="D25" s="107">
        <f>D22+D23-D24</f>
        <v>-22.755515240841426</v>
      </c>
      <c r="E25" s="107">
        <f>E22+E23-E24</f>
        <v>-4.5883458299720559</v>
      </c>
      <c r="F25" s="107">
        <f>F22+F23-F24</f>
        <v>-5.6478356499979725</v>
      </c>
      <c r="G25" s="107">
        <f t="shared" ref="G25:M25" si="3">G22+G23-G24</f>
        <v>6.8461788547807103</v>
      </c>
      <c r="H25" s="107">
        <f t="shared" si="3"/>
        <v>17.265109137059405</v>
      </c>
      <c r="I25" s="107">
        <f t="shared" si="3"/>
        <v>21</v>
      </c>
      <c r="J25" s="107">
        <f t="shared" si="3"/>
        <v>21</v>
      </c>
      <c r="K25" s="107">
        <f t="shared" si="3"/>
        <v>16</v>
      </c>
      <c r="L25" s="107">
        <f t="shared" si="3"/>
        <v>16</v>
      </c>
      <c r="M25" s="107">
        <f t="shared" si="3"/>
        <v>16</v>
      </c>
    </row>
    <row r="27" spans="2:13" ht="18">
      <c r="B27" s="10" t="s">
        <v>88</v>
      </c>
      <c r="C27" s="10"/>
      <c r="D27" s="10"/>
      <c r="E27" s="10"/>
      <c r="F27" s="10"/>
      <c r="G27" s="10"/>
      <c r="H27" s="10"/>
      <c r="I27" s="10"/>
      <c r="J27" s="10"/>
      <c r="K27" s="10"/>
      <c r="L27" s="10"/>
      <c r="M27" s="10"/>
    </row>
    <row r="29" spans="2:13">
      <c r="B29" t="s">
        <v>89</v>
      </c>
      <c r="D29" s="201">
        <f>SUM('3StatementModel'!D97,'3StatementModel'!D87)</f>
        <v>2822.53</v>
      </c>
      <c r="E29" s="201">
        <f>SUM('3StatementModel'!E97,'3StatementModel'!E87)</f>
        <v>2693.48</v>
      </c>
      <c r="F29" s="201">
        <f>SUM('3StatementModel'!F97,'3StatementModel'!F87)</f>
        <v>3341.8999999999996</v>
      </c>
      <c r="G29" s="201">
        <f>SUM('3StatementModel'!G97,'3StatementModel'!G87)</f>
        <v>3694.81</v>
      </c>
      <c r="H29" s="201">
        <f>SUM('3StatementModel'!H97,'3StatementModel'!H87)</f>
        <v>5194.3870000000006</v>
      </c>
      <c r="I29" s="201">
        <f>SUM('3StatementModel'!I97,'3StatementModel'!I87)</f>
        <v>6392.5596500000001</v>
      </c>
      <c r="J29" s="201">
        <f>SUM('3StatementModel'!J97,'3StatementModel'!J87)</f>
        <v>5264.1962515468749</v>
      </c>
      <c r="K29" s="201">
        <f>SUM('3StatementModel'!K97,'3StatementModel'!K87)</f>
        <v>4446.4897904115624</v>
      </c>
      <c r="L29" s="201">
        <f>SUM('3StatementModel'!L97,'3StatementModel'!L87)</f>
        <v>3908.811498466217</v>
      </c>
      <c r="M29" s="201">
        <f>SUM('3StatementModel'!M97,'3StatementModel'!M87)</f>
        <v>3321.9641105410815</v>
      </c>
    </row>
    <row r="30" spans="2:13">
      <c r="B30" t="s">
        <v>90</v>
      </c>
      <c r="D30" s="201">
        <f>'3StatementModel'!D84</f>
        <v>3359.1</v>
      </c>
      <c r="E30" s="201">
        <f>'3StatementModel'!E84</f>
        <v>3588.79</v>
      </c>
      <c r="F30" s="201">
        <f>'3StatementModel'!F84</f>
        <v>4196.7</v>
      </c>
      <c r="G30" s="201">
        <f>'3StatementModel'!G84</f>
        <v>5215.49</v>
      </c>
      <c r="H30" s="201">
        <f>'3StatementModel'!H84</f>
        <v>7084.6529999999993</v>
      </c>
      <c r="I30" s="201">
        <f>'3StatementModel'!I84</f>
        <v>9069.1685824170545</v>
      </c>
      <c r="J30" s="201">
        <f>'3StatementModel'!J84</f>
        <v>11383.45782941666</v>
      </c>
      <c r="K30" s="201">
        <f>'3StatementModel'!K84</f>
        <v>13808.751007980229</v>
      </c>
      <c r="L30" s="201">
        <f>'3StatementModel'!L84</f>
        <v>15901.444854786574</v>
      </c>
      <c r="M30" s="201">
        <f>'3StatementModel'!M84</f>
        <v>17537.616579483358</v>
      </c>
    </row>
    <row r="31" spans="2:13">
      <c r="B31" s="20" t="s">
        <v>91</v>
      </c>
      <c r="C31" s="20"/>
      <c r="D31" s="108">
        <f>D29/D30</f>
        <v>0.84026376112649226</v>
      </c>
      <c r="E31" s="108">
        <f>E29/E30</f>
        <v>0.75052594328450539</v>
      </c>
      <c r="F31" s="108">
        <f>F29/F30</f>
        <v>0.79631615316796522</v>
      </c>
      <c r="G31" s="108">
        <f t="shared" ref="G31:K31" si="4">G29/G30</f>
        <v>0.70843008039513067</v>
      </c>
      <c r="H31" s="108">
        <f t="shared" si="4"/>
        <v>0.7331886261754812</v>
      </c>
      <c r="I31" s="108">
        <f t="shared" si="4"/>
        <v>0.7048672203969879</v>
      </c>
      <c r="J31" s="108">
        <f t="shared" si="4"/>
        <v>0.4624426365373232</v>
      </c>
      <c r="K31" s="108">
        <f t="shared" si="4"/>
        <v>0.32200521161123746</v>
      </c>
      <c r="L31" s="108">
        <f>L29/L30</f>
        <v>0.2458148636279178</v>
      </c>
      <c r="M31" s="108">
        <f t="shared" ref="M31" si="5">M29/M30</f>
        <v>0.18941936012145064</v>
      </c>
    </row>
    <row r="33" spans="2:13">
      <c r="B33" t="s">
        <v>89</v>
      </c>
      <c r="D33" s="312">
        <f>D29</f>
        <v>2822.53</v>
      </c>
      <c r="E33" s="312">
        <f t="shared" ref="E33:M33" si="6">E29</f>
        <v>2693.48</v>
      </c>
      <c r="F33" s="312">
        <f t="shared" si="6"/>
        <v>3341.8999999999996</v>
      </c>
      <c r="G33" s="312">
        <f t="shared" si="6"/>
        <v>3694.81</v>
      </c>
      <c r="H33" s="312">
        <f t="shared" si="6"/>
        <v>5194.3870000000006</v>
      </c>
      <c r="I33" s="312">
        <f t="shared" si="6"/>
        <v>6392.5596500000001</v>
      </c>
      <c r="J33" s="312">
        <f t="shared" si="6"/>
        <v>5264.1962515468749</v>
      </c>
      <c r="K33" s="312">
        <f t="shared" si="6"/>
        <v>4446.4897904115624</v>
      </c>
      <c r="L33" s="312">
        <f t="shared" si="6"/>
        <v>3908.811498466217</v>
      </c>
      <c r="M33" s="312">
        <f t="shared" si="6"/>
        <v>3321.9641105410815</v>
      </c>
    </row>
    <row r="34" spans="2:13">
      <c r="B34" t="s">
        <v>13</v>
      </c>
      <c r="D34" s="201">
        <f>'3StatementModel'!D75</f>
        <v>8388.2299999999977</v>
      </c>
      <c r="E34" s="201">
        <f>'3StatementModel'!E75</f>
        <v>8458.119999999999</v>
      </c>
      <c r="F34" s="201">
        <f>'3StatementModel'!F75</f>
        <v>9581.5790000000015</v>
      </c>
      <c r="G34" s="201">
        <f>'3StatementModel'!G75</f>
        <v>11617.903</v>
      </c>
      <c r="H34" s="201">
        <f>'3StatementModel'!H75</f>
        <v>15186.807999999999</v>
      </c>
      <c r="I34" s="201">
        <f>'3StatementModel'!I75</f>
        <v>18600.174458444453</v>
      </c>
      <c r="J34" s="201">
        <f>'3StatementModel'!J75</f>
        <v>20037.981190268758</v>
      </c>
      <c r="K34" s="201">
        <f>'3StatementModel'!K75</f>
        <v>21918.712696421968</v>
      </c>
      <c r="L34" s="201">
        <f>'3StatementModel'!L75</f>
        <v>23754.849698945338</v>
      </c>
      <c r="M34" s="201">
        <f>'3StatementModel'!M75</f>
        <v>25075.855874398392</v>
      </c>
    </row>
    <row r="35" spans="2:13">
      <c r="B35" s="20" t="s">
        <v>92</v>
      </c>
      <c r="C35" s="20"/>
      <c r="D35" s="108">
        <f>D33/D34</f>
        <v>0.33648695851210575</v>
      </c>
      <c r="E35" s="108">
        <f>E33/E34</f>
        <v>0.31844901703924755</v>
      </c>
      <c r="F35" s="108">
        <f>F33/F34</f>
        <v>0.34878384867462858</v>
      </c>
      <c r="G35" s="108">
        <f t="shared" ref="G35:K35" si="7">G33/G34</f>
        <v>0.31802727221943577</v>
      </c>
      <c r="H35" s="108">
        <f t="shared" si="7"/>
        <v>0.34203283533972384</v>
      </c>
      <c r="I35" s="108">
        <f t="shared" si="7"/>
        <v>0.34368277912026718</v>
      </c>
      <c r="J35" s="108">
        <f t="shared" si="7"/>
        <v>0.26271090892646304</v>
      </c>
      <c r="K35" s="108">
        <f t="shared" si="7"/>
        <v>0.2028627251972426</v>
      </c>
      <c r="L35" s="108">
        <f>L33/L34</f>
        <v>0.16454793644262711</v>
      </c>
      <c r="M35" s="108">
        <f t="shared" ref="M35" si="8">M33/M34</f>
        <v>0.13247659929058275</v>
      </c>
    </row>
    <row r="37" spans="2:13">
      <c r="B37" t="s">
        <v>90</v>
      </c>
      <c r="D37" s="312">
        <f>D30</f>
        <v>3359.1</v>
      </c>
      <c r="E37" s="312">
        <f>E30</f>
        <v>3588.79</v>
      </c>
      <c r="F37" s="312">
        <f>F30</f>
        <v>4196.7</v>
      </c>
      <c r="G37" s="312">
        <f t="shared" ref="G37:M37" si="9">G30</f>
        <v>5215.49</v>
      </c>
      <c r="H37" s="312">
        <f t="shared" si="9"/>
        <v>7084.6529999999993</v>
      </c>
      <c r="I37" s="312">
        <f t="shared" si="9"/>
        <v>9069.1685824170545</v>
      </c>
      <c r="J37" s="312">
        <f t="shared" si="9"/>
        <v>11383.45782941666</v>
      </c>
      <c r="K37" s="312">
        <f t="shared" si="9"/>
        <v>13808.751007980229</v>
      </c>
      <c r="L37" s="312">
        <f t="shared" si="9"/>
        <v>15901.444854786574</v>
      </c>
      <c r="M37" s="312">
        <f t="shared" si="9"/>
        <v>17537.616579483358</v>
      </c>
    </row>
    <row r="38" spans="2:13">
      <c r="B38" t="s">
        <v>13</v>
      </c>
      <c r="D38" s="312">
        <f>D34</f>
        <v>8388.2299999999977</v>
      </c>
      <c r="E38" s="312">
        <f>E34</f>
        <v>8458.119999999999</v>
      </c>
      <c r="F38" s="312">
        <f>F34</f>
        <v>9581.5790000000015</v>
      </c>
      <c r="G38" s="312">
        <f t="shared" ref="G38:M38" si="10">G34</f>
        <v>11617.903</v>
      </c>
      <c r="H38" s="312">
        <f t="shared" si="10"/>
        <v>15186.807999999999</v>
      </c>
      <c r="I38" s="312">
        <f t="shared" si="10"/>
        <v>18600.174458444453</v>
      </c>
      <c r="J38" s="312">
        <f t="shared" si="10"/>
        <v>20037.981190268758</v>
      </c>
      <c r="K38" s="312">
        <f t="shared" si="10"/>
        <v>21918.712696421968</v>
      </c>
      <c r="L38" s="312">
        <f t="shared" si="10"/>
        <v>23754.849698945338</v>
      </c>
      <c r="M38" s="312">
        <f t="shared" si="10"/>
        <v>25075.855874398392</v>
      </c>
    </row>
    <row r="39" spans="2:13">
      <c r="B39" s="20" t="s">
        <v>93</v>
      </c>
      <c r="C39" s="20"/>
      <c r="D39" s="108">
        <f>D37/D38</f>
        <v>0.40045396943097661</v>
      </c>
      <c r="E39" s="108">
        <f>E37/E38</f>
        <v>0.42430114493528115</v>
      </c>
      <c r="F39" s="108">
        <f>F37/F38</f>
        <v>0.43799670179622785</v>
      </c>
      <c r="G39" s="108">
        <f t="shared" ref="G39:K39" si="11">G37/G38</f>
        <v>0.44891836332253759</v>
      </c>
      <c r="H39" s="108">
        <f t="shared" si="11"/>
        <v>0.46650046540392159</v>
      </c>
      <c r="I39" s="108">
        <f t="shared" si="11"/>
        <v>0.48758513543402088</v>
      </c>
      <c r="J39" s="108">
        <f t="shared" si="11"/>
        <v>0.56809404706622446</v>
      </c>
      <c r="K39" s="108">
        <f t="shared" si="11"/>
        <v>0.62999826674284498</v>
      </c>
      <c r="L39" s="108">
        <f>L37/L38</f>
        <v>0.6693978306035151</v>
      </c>
      <c r="M39" s="108">
        <f t="shared" ref="M39" si="12">M37/M38</f>
        <v>0.69938257211745569</v>
      </c>
    </row>
    <row r="41" spans="2:13" ht="18">
      <c r="B41" s="10" t="s">
        <v>94</v>
      </c>
      <c r="C41" s="10"/>
      <c r="D41" s="10"/>
      <c r="E41" s="10"/>
      <c r="F41" s="10"/>
      <c r="G41" s="10"/>
      <c r="H41" s="10"/>
      <c r="I41" s="10"/>
      <c r="J41" s="10"/>
      <c r="K41" s="10"/>
      <c r="L41" s="10"/>
      <c r="M41" s="10"/>
    </row>
    <row r="43" spans="2:13">
      <c r="B43" t="s">
        <v>1</v>
      </c>
      <c r="D43" s="201">
        <f>'3StatementModel'!D15</f>
        <v>3910.15</v>
      </c>
      <c r="E43" s="201">
        <f>'3StatementModel'!E15</f>
        <v>3686.2</v>
      </c>
      <c r="F43" s="201">
        <f>'3StatementModel'!F15</f>
        <v>4788.5700000000015</v>
      </c>
      <c r="G43" s="201">
        <f>'3StatementModel'!G15</f>
        <v>6911.99</v>
      </c>
      <c r="H43" s="201">
        <f>'3StatementModel'!H15</f>
        <v>8637.6929999999993</v>
      </c>
      <c r="I43" s="201">
        <f>'3StatementModel'!I15</f>
        <v>11029.2744375</v>
      </c>
      <c r="J43" s="201">
        <f>'3StatementModel'!J15</f>
        <v>13092.438086964843</v>
      </c>
      <c r="K43" s="201">
        <f>'3StatementModel'!K15</f>
        <v>15116.730437334023</v>
      </c>
      <c r="L43" s="201">
        <f>'3StatementModel'!L15</f>
        <v>16963.557307210951</v>
      </c>
      <c r="M43" s="201">
        <f>'3StatementModel'!M15</f>
        <v>18485.692719641771</v>
      </c>
    </row>
    <row r="44" spans="2:13">
      <c r="B44" t="s">
        <v>24</v>
      </c>
      <c r="D44" s="201">
        <f>'3StatementModel'!D13</f>
        <v>7129.58</v>
      </c>
      <c r="E44" s="201">
        <f>'3StatementModel'!E13</f>
        <v>6450.14</v>
      </c>
      <c r="F44" s="201">
        <f>'3StatementModel'!F13</f>
        <v>8823.2300000000014</v>
      </c>
      <c r="G44" s="201">
        <f>'3StatementModel'!G13</f>
        <v>13173.14</v>
      </c>
      <c r="H44" s="201">
        <f>'3StatementModel'!H13</f>
        <v>16042.581</v>
      </c>
      <c r="I44" s="201">
        <f>'3StatementModel'!I13</f>
        <v>20053.22625</v>
      </c>
      <c r="J44" s="201">
        <f>'3StatementModel'!J13</f>
        <v>24414.802959375</v>
      </c>
      <c r="K44" s="201">
        <f>'3StatementModel'!K13</f>
        <v>28931.541506859376</v>
      </c>
      <c r="L44" s="201">
        <f>'3StatementModel'!L13</f>
        <v>33343.60158665543</v>
      </c>
      <c r="M44" s="201">
        <f>'3StatementModel'!M13</f>
        <v>37344.833777054082</v>
      </c>
    </row>
    <row r="45" spans="2:13">
      <c r="B45" s="20" t="s">
        <v>95</v>
      </c>
      <c r="C45" s="20"/>
      <c r="D45" s="108">
        <f>D43/D44</f>
        <v>0.5484404410919016</v>
      </c>
      <c r="E45" s="108">
        <f>E43/E44</f>
        <v>0.5714914715029441</v>
      </c>
      <c r="F45" s="108">
        <f>F43/F44</f>
        <v>0.54272301640102327</v>
      </c>
      <c r="G45" s="108">
        <f t="shared" ref="G45:M45" si="13">G43/G44</f>
        <v>0.5247032977710705</v>
      </c>
      <c r="H45" s="108">
        <f t="shared" si="13"/>
        <v>0.53842290090353906</v>
      </c>
      <c r="I45" s="108">
        <f t="shared" si="13"/>
        <v>0.55000000000000004</v>
      </c>
      <c r="J45" s="108">
        <f t="shared" si="13"/>
        <v>0.53625</v>
      </c>
      <c r="K45" s="108">
        <f t="shared" si="13"/>
        <v>0.52249999999999996</v>
      </c>
      <c r="L45" s="108">
        <f t="shared" si="13"/>
        <v>0.50875000000000004</v>
      </c>
      <c r="M45" s="108">
        <f t="shared" si="13"/>
        <v>0.495</v>
      </c>
    </row>
    <row r="47" spans="2:13">
      <c r="B47" t="s">
        <v>54</v>
      </c>
      <c r="D47" s="201">
        <f>'3StatementModel'!D26</f>
        <v>1447.4699999999998</v>
      </c>
      <c r="E47" s="201">
        <f>'3StatementModel'!E26</f>
        <v>1201.5999999999999</v>
      </c>
      <c r="F47" s="201">
        <f>'3StatementModel'!F26</f>
        <v>1654.3400000000015</v>
      </c>
      <c r="G47" s="201">
        <f>'3StatementModel'!G26</f>
        <v>2787.75</v>
      </c>
      <c r="H47" s="201">
        <f>'3StatementModel'!H26</f>
        <v>3609.0719999999992</v>
      </c>
      <c r="I47" s="201">
        <f>'3StatementModel'!I26</f>
        <v>4450.9730595235014</v>
      </c>
      <c r="J47" s="201">
        <f>'3StatementModel'!J26</f>
        <v>5083.3561592784563</v>
      </c>
      <c r="K47" s="201">
        <f>'3StatementModel'!K26</f>
        <v>5625.9683530256534</v>
      </c>
      <c r="L47" s="201">
        <f>'3StatementModel'!L26</f>
        <v>6025.4540050455562</v>
      </c>
      <c r="M47" s="201">
        <f>'3StatementModel'!M26</f>
        <v>6235.0170212165285</v>
      </c>
    </row>
    <row r="48" spans="2:13">
      <c r="B48" t="s">
        <v>24</v>
      </c>
      <c r="D48" s="312">
        <f>D44</f>
        <v>7129.58</v>
      </c>
      <c r="E48" s="312">
        <f>E44</f>
        <v>6450.14</v>
      </c>
      <c r="F48" s="312">
        <f>F44</f>
        <v>8823.2300000000014</v>
      </c>
      <c r="G48" s="312">
        <f t="shared" ref="G48:M48" si="14">G44</f>
        <v>13173.14</v>
      </c>
      <c r="H48" s="312">
        <f t="shared" si="14"/>
        <v>16042.581</v>
      </c>
      <c r="I48" s="312">
        <f t="shared" si="14"/>
        <v>20053.22625</v>
      </c>
      <c r="J48" s="312">
        <f t="shared" si="14"/>
        <v>24414.802959375</v>
      </c>
      <c r="K48" s="312">
        <f t="shared" si="14"/>
        <v>28931.541506859376</v>
      </c>
      <c r="L48" s="312">
        <f t="shared" si="14"/>
        <v>33343.60158665543</v>
      </c>
      <c r="M48" s="312">
        <f t="shared" si="14"/>
        <v>37344.833777054082</v>
      </c>
    </row>
    <row r="49" spans="2:13">
      <c r="B49" s="20" t="s">
        <v>96</v>
      </c>
      <c r="C49" s="20"/>
      <c r="D49" s="108">
        <f>D47/D48</f>
        <v>0.2030231794860286</v>
      </c>
      <c r="E49" s="108">
        <f>E47/E48</f>
        <v>0.18629053012802821</v>
      </c>
      <c r="F49" s="108">
        <f>F47/F48</f>
        <v>0.18749822910657449</v>
      </c>
      <c r="G49" s="108">
        <f t="shared" ref="G49:M49" si="15">G47/G48</f>
        <v>0.21162380419550691</v>
      </c>
      <c r="H49" s="108">
        <f t="shared" si="15"/>
        <v>0.22496828908016728</v>
      </c>
      <c r="I49" s="108">
        <f t="shared" si="15"/>
        <v>0.22195795350005096</v>
      </c>
      <c r="J49" s="108">
        <f t="shared" si="15"/>
        <v>0.20820795350005095</v>
      </c>
      <c r="K49" s="108">
        <f t="shared" si="15"/>
        <v>0.19445795350005091</v>
      </c>
      <c r="L49" s="108">
        <f t="shared" si="15"/>
        <v>0.18070795350005101</v>
      </c>
      <c r="M49" s="108">
        <f t="shared" si="15"/>
        <v>0.16695795350005097</v>
      </c>
    </row>
    <row r="51" spans="2:13">
      <c r="B51" t="s">
        <v>55</v>
      </c>
      <c r="D51" s="201">
        <f>'3StatementModel'!D31</f>
        <v>958.8399999999998</v>
      </c>
      <c r="E51" s="201">
        <f>'3StatementModel'!E31</f>
        <v>672.89999999999986</v>
      </c>
      <c r="F51" s="201">
        <f>'3StatementModel'!F31</f>
        <v>1123.0800000000015</v>
      </c>
      <c r="G51" s="201">
        <f>'3StatementModel'!G31</f>
        <v>2170.56</v>
      </c>
      <c r="H51" s="201">
        <f>'3StatementModel'!H31</f>
        <v>2928.1659999999993</v>
      </c>
      <c r="I51" s="201">
        <f>'3StatementModel'!I31</f>
        <v>3430.5890164952325</v>
      </c>
      <c r="J51" s="201">
        <f>'3StatementModel'!J31</f>
        <v>3921.5229316550749</v>
      </c>
      <c r="K51" s="201">
        <f>'3StatementModel'!K31</f>
        <v>4227.5095755611692</v>
      </c>
      <c r="L51" s="201">
        <f>'3StatementModel'!L31</f>
        <v>4395.8536347396657</v>
      </c>
      <c r="M51" s="201">
        <f>'3StatementModel'!M31</f>
        <v>4395.7977506485622</v>
      </c>
    </row>
    <row r="52" spans="2:13">
      <c r="B52" t="s">
        <v>24</v>
      </c>
      <c r="D52" s="312">
        <f>D44</f>
        <v>7129.58</v>
      </c>
      <c r="E52" s="312">
        <f>E44</f>
        <v>6450.14</v>
      </c>
      <c r="F52" s="312">
        <f>F44</f>
        <v>8823.2300000000014</v>
      </c>
      <c r="G52" s="312">
        <f t="shared" ref="G52:M52" si="16">G44</f>
        <v>13173.14</v>
      </c>
      <c r="H52" s="312">
        <f t="shared" si="16"/>
        <v>16042.581</v>
      </c>
      <c r="I52" s="312">
        <f t="shared" si="16"/>
        <v>20053.22625</v>
      </c>
      <c r="J52" s="312">
        <f t="shared" si="16"/>
        <v>24414.802959375</v>
      </c>
      <c r="K52" s="312">
        <f t="shared" si="16"/>
        <v>28931.541506859376</v>
      </c>
      <c r="L52" s="312">
        <f t="shared" si="16"/>
        <v>33343.60158665543</v>
      </c>
      <c r="M52" s="312">
        <f t="shared" si="16"/>
        <v>37344.833777054082</v>
      </c>
    </row>
    <row r="53" spans="2:13">
      <c r="B53" s="20" t="s">
        <v>97</v>
      </c>
      <c r="C53" s="20"/>
      <c r="D53" s="108">
        <f>D51/D52</f>
        <v>0.13448758552397194</v>
      </c>
      <c r="E53" s="108">
        <f>E51/E52</f>
        <v>0.1043233170132741</v>
      </c>
      <c r="F53" s="108">
        <f>F51/F52</f>
        <v>0.12728671926267379</v>
      </c>
      <c r="G53" s="108">
        <f t="shared" ref="G53:M53" si="17">G51/G52</f>
        <v>0.16477164897662971</v>
      </c>
      <c r="H53" s="108">
        <f t="shared" si="17"/>
        <v>0.18252461994737626</v>
      </c>
      <c r="I53" s="108">
        <f t="shared" si="17"/>
        <v>0.17107416900037381</v>
      </c>
      <c r="J53" s="108">
        <f t="shared" si="17"/>
        <v>0.16062070778045151</v>
      </c>
      <c r="K53" s="108">
        <f t="shared" si="17"/>
        <v>0.14612113131126697</v>
      </c>
      <c r="L53" s="108">
        <f t="shared" si="17"/>
        <v>0.13183499758763154</v>
      </c>
      <c r="M53" s="108">
        <f t="shared" si="17"/>
        <v>0.1177083228403466</v>
      </c>
    </row>
    <row r="55" spans="2:13">
      <c r="B55" t="s">
        <v>98</v>
      </c>
      <c r="D55" s="201">
        <f>'3StatementModel'!D42</f>
        <v>472.01999999999981</v>
      </c>
      <c r="E55" s="201">
        <f>'3StatementModel'!E42</f>
        <v>357.00999999999982</v>
      </c>
      <c r="F55" s="201">
        <f>'3StatementModel'!F42</f>
        <v>745.75000000000159</v>
      </c>
      <c r="G55" s="201">
        <f>'3StatementModel'!G42</f>
        <v>1549.76</v>
      </c>
      <c r="H55" s="201">
        <f>'3StatementModel'!H42</f>
        <v>2101.3999999999992</v>
      </c>
      <c r="I55" s="201">
        <f>'3StatementModel'!I42</f>
        <v>2334.724214608299</v>
      </c>
      <c r="J55" s="201">
        <f>'3StatementModel'!J42</f>
        <v>2722.6932317642431</v>
      </c>
      <c r="K55" s="201">
        <f>'3StatementModel'!K42</f>
        <v>3031.6164732044626</v>
      </c>
      <c r="L55" s="201">
        <f>'3StatementModel'!L42</f>
        <v>3219.5289950866845</v>
      </c>
      <c r="M55" s="201">
        <f>'3StatementModel'!M42</f>
        <v>3272.3434493935665</v>
      </c>
    </row>
    <row r="56" spans="2:13">
      <c r="B56" t="s">
        <v>24</v>
      </c>
      <c r="D56" s="312">
        <f>D44</f>
        <v>7129.58</v>
      </c>
      <c r="E56" s="312">
        <f>E44</f>
        <v>6450.14</v>
      </c>
      <c r="F56" s="312">
        <f>F44</f>
        <v>8823.2300000000014</v>
      </c>
      <c r="G56" s="312">
        <f t="shared" ref="G56:M56" si="18">G44</f>
        <v>13173.14</v>
      </c>
      <c r="H56" s="312">
        <f t="shared" si="18"/>
        <v>16042.581</v>
      </c>
      <c r="I56" s="312">
        <f t="shared" si="18"/>
        <v>20053.22625</v>
      </c>
      <c r="J56" s="312">
        <f t="shared" si="18"/>
        <v>24414.802959375</v>
      </c>
      <c r="K56" s="312">
        <f t="shared" si="18"/>
        <v>28931.541506859376</v>
      </c>
      <c r="L56" s="312">
        <f t="shared" si="18"/>
        <v>33343.60158665543</v>
      </c>
      <c r="M56" s="312">
        <f t="shared" si="18"/>
        <v>37344.833777054082</v>
      </c>
    </row>
    <row r="57" spans="2:13">
      <c r="B57" s="20" t="s">
        <v>99</v>
      </c>
      <c r="C57" s="20"/>
      <c r="D57" s="108">
        <f>D55/D56</f>
        <v>6.6205863458997552E-2</v>
      </c>
      <c r="E57" s="108">
        <f>E55/E56</f>
        <v>5.5349186219213815E-2</v>
      </c>
      <c r="F57" s="108">
        <f>F55/F56</f>
        <v>8.4521201419435005E-2</v>
      </c>
      <c r="G57" s="108">
        <f t="shared" ref="G57" si="19">G55/G56</f>
        <v>0.11764545127433551</v>
      </c>
      <c r="H57" s="108">
        <f t="shared" ref="H57" si="20">H55/H56</f>
        <v>0.13098889760943075</v>
      </c>
      <c r="I57" s="108">
        <f t="shared" ref="I57" si="21">I55/I56</f>
        <v>0.11642636379312277</v>
      </c>
      <c r="J57" s="108">
        <f t="shared" ref="J57" si="22">J55/J56</f>
        <v>0.11151813251553441</v>
      </c>
      <c r="K57" s="108">
        <f t="shared" ref="K57" si="23">K55/K56</f>
        <v>0.10478586052822997</v>
      </c>
      <c r="L57" s="108">
        <f t="shared" ref="L57" si="24">L55/L56</f>
        <v>9.6556125969762804E-2</v>
      </c>
      <c r="M57" s="108">
        <f t="shared" ref="M57" si="25">M55/M56</f>
        <v>8.7625063989552526E-2</v>
      </c>
    </row>
    <row r="59" spans="2:13">
      <c r="B59" t="s">
        <v>98</v>
      </c>
      <c r="D59" s="312">
        <f>D55</f>
        <v>472.01999999999981</v>
      </c>
      <c r="E59" s="312">
        <f>E55</f>
        <v>357.00999999999982</v>
      </c>
      <c r="F59" s="312">
        <f>F55</f>
        <v>745.75000000000159</v>
      </c>
      <c r="G59" s="312">
        <f t="shared" ref="G59:M59" si="26">G55</f>
        <v>1549.76</v>
      </c>
      <c r="H59" s="312">
        <f t="shared" si="26"/>
        <v>2101.3999999999992</v>
      </c>
      <c r="I59" s="312">
        <f t="shared" si="26"/>
        <v>2334.724214608299</v>
      </c>
      <c r="J59" s="312">
        <f t="shared" si="26"/>
        <v>2722.6932317642431</v>
      </c>
      <c r="K59" s="312">
        <f t="shared" si="26"/>
        <v>3031.6164732044626</v>
      </c>
      <c r="L59" s="312">
        <f t="shared" si="26"/>
        <v>3219.5289950866845</v>
      </c>
      <c r="M59" s="312">
        <f t="shared" si="26"/>
        <v>3272.3434493935665</v>
      </c>
    </row>
    <row r="60" spans="2:13">
      <c r="B60" t="s">
        <v>13</v>
      </c>
      <c r="D60" s="312">
        <f>D34</f>
        <v>8388.2299999999977</v>
      </c>
      <c r="E60" s="312">
        <f>E34</f>
        <v>8458.119999999999</v>
      </c>
      <c r="F60" s="312">
        <f>F34</f>
        <v>9581.5790000000015</v>
      </c>
      <c r="G60" s="312">
        <f t="shared" ref="G60:M60" si="27">G34</f>
        <v>11617.903</v>
      </c>
      <c r="H60" s="312">
        <f t="shared" si="27"/>
        <v>15186.807999999999</v>
      </c>
      <c r="I60" s="312">
        <f t="shared" si="27"/>
        <v>18600.174458444453</v>
      </c>
      <c r="J60" s="312">
        <f t="shared" si="27"/>
        <v>20037.981190268758</v>
      </c>
      <c r="K60" s="312">
        <f t="shared" si="27"/>
        <v>21918.712696421968</v>
      </c>
      <c r="L60" s="312">
        <f t="shared" si="27"/>
        <v>23754.849698945338</v>
      </c>
      <c r="M60" s="312">
        <f t="shared" si="27"/>
        <v>25075.855874398392</v>
      </c>
    </row>
    <row r="61" spans="2:13">
      <c r="B61" s="20" t="s">
        <v>100</v>
      </c>
      <c r="C61" s="20"/>
      <c r="D61" s="108">
        <f>D59/D60</f>
        <v>5.6271704519308595E-2</v>
      </c>
      <c r="E61" s="108">
        <f>E59/E60</f>
        <v>4.2209143403025715E-2</v>
      </c>
      <c r="F61" s="108">
        <f>F59/F60</f>
        <v>7.7831639231905461E-2</v>
      </c>
      <c r="G61" s="108">
        <f t="shared" ref="G61" si="28">G59/G60</f>
        <v>0.13339412456791902</v>
      </c>
      <c r="H61" s="108">
        <f t="shared" ref="H61" si="29">H59/H60</f>
        <v>0.13837009067343178</v>
      </c>
      <c r="I61" s="108">
        <f t="shared" ref="I61" si="30">I59/I60</f>
        <v>0.12552162990860213</v>
      </c>
      <c r="J61" s="108">
        <f t="shared" ref="J61" si="31">J59/J60</f>
        <v>0.13587662379314397</v>
      </c>
      <c r="K61" s="108">
        <f t="shared" ref="K61" si="32">K59/K60</f>
        <v>0.13831179390837797</v>
      </c>
      <c r="L61" s="108">
        <f t="shared" ref="L61" si="33">L59/L60</f>
        <v>0.13553144035382486</v>
      </c>
      <c r="M61" s="108">
        <f t="shared" ref="M61" si="34">M59/M60</f>
        <v>0.13049777705631652</v>
      </c>
    </row>
    <row r="63" spans="2:13">
      <c r="B63" t="s">
        <v>98</v>
      </c>
      <c r="D63" s="312">
        <f>D55</f>
        <v>472.01999999999981</v>
      </c>
      <c r="E63" s="312">
        <f>E55</f>
        <v>357.00999999999982</v>
      </c>
      <c r="F63" s="312">
        <f>F55</f>
        <v>745.75000000000159</v>
      </c>
      <c r="G63" s="312">
        <f t="shared" ref="G63:M63" si="35">G55</f>
        <v>1549.76</v>
      </c>
      <c r="H63" s="312">
        <f t="shared" si="35"/>
        <v>2101.3999999999992</v>
      </c>
      <c r="I63" s="312">
        <f t="shared" si="35"/>
        <v>2334.724214608299</v>
      </c>
      <c r="J63" s="312">
        <f t="shared" si="35"/>
        <v>2722.6932317642431</v>
      </c>
      <c r="K63" s="312">
        <f t="shared" si="35"/>
        <v>3031.6164732044626</v>
      </c>
      <c r="L63" s="312">
        <f t="shared" si="35"/>
        <v>3219.5289950866845</v>
      </c>
      <c r="M63" s="312">
        <f t="shared" si="35"/>
        <v>3272.3434493935665</v>
      </c>
    </row>
    <row r="64" spans="2:13">
      <c r="B64" t="s">
        <v>90</v>
      </c>
      <c r="D64" s="312">
        <f>D30</f>
        <v>3359.1</v>
      </c>
      <c r="E64" s="312">
        <f>E30</f>
        <v>3588.79</v>
      </c>
      <c r="F64" s="312">
        <f>F30</f>
        <v>4196.7</v>
      </c>
      <c r="G64" s="312">
        <f t="shared" ref="G64:M64" si="36">G30</f>
        <v>5215.49</v>
      </c>
      <c r="H64" s="312">
        <f t="shared" si="36"/>
        <v>7084.6529999999993</v>
      </c>
      <c r="I64" s="312">
        <f t="shared" si="36"/>
        <v>9069.1685824170545</v>
      </c>
      <c r="J64" s="312">
        <f t="shared" si="36"/>
        <v>11383.45782941666</v>
      </c>
      <c r="K64" s="312">
        <f t="shared" si="36"/>
        <v>13808.751007980229</v>
      </c>
      <c r="L64" s="312">
        <f t="shared" si="36"/>
        <v>15901.444854786574</v>
      </c>
      <c r="M64" s="312">
        <f t="shared" si="36"/>
        <v>17537.616579483358</v>
      </c>
    </row>
    <row r="65" spans="2:13">
      <c r="B65" s="20" t="s">
        <v>101</v>
      </c>
      <c r="C65" s="20"/>
      <c r="D65" s="108">
        <f>D63/D64</f>
        <v>0.14051978208448687</v>
      </c>
      <c r="E65" s="108">
        <f>E63/E64</f>
        <v>9.9479211656296362E-2</v>
      </c>
      <c r="F65" s="108">
        <f>F63/F64</f>
        <v>0.17769914456596889</v>
      </c>
      <c r="G65" s="108">
        <f t="shared" ref="G65" si="37">G63/G64</f>
        <v>0.2971456181490138</v>
      </c>
      <c r="H65" s="108">
        <f t="shared" ref="H65" si="38">H63/H64</f>
        <v>0.29661297455217628</v>
      </c>
      <c r="I65" s="108">
        <f t="shared" ref="I65" si="39">I63/I64</f>
        <v>0.25743530880380477</v>
      </c>
      <c r="J65" s="108">
        <f t="shared" ref="J65" si="40">J63/J64</f>
        <v>0.23917980569387029</v>
      </c>
      <c r="K65" s="108">
        <f t="shared" ref="K65" si="41">K63/K64</f>
        <v>0.21954313402077119</v>
      </c>
      <c r="L65" s="108">
        <f t="shared" ref="L65" si="42">L63/L64</f>
        <v>0.20246770180242821</v>
      </c>
      <c r="M65" s="108">
        <f t="shared" ref="M65" si="43">M63/M64</f>
        <v>0.18658997558549467</v>
      </c>
    </row>
    <row r="67" spans="2:13" ht="18">
      <c r="B67" s="10" t="s">
        <v>102</v>
      </c>
      <c r="C67" s="10"/>
      <c r="D67" s="10"/>
      <c r="E67" s="10"/>
      <c r="F67" s="10"/>
      <c r="G67" s="10"/>
      <c r="H67" s="10"/>
      <c r="I67" s="10"/>
      <c r="J67" s="10"/>
      <c r="K67" s="10"/>
      <c r="L67" s="10"/>
      <c r="M67" s="10"/>
    </row>
    <row r="69" spans="2:13">
      <c r="B69" t="s">
        <v>36</v>
      </c>
      <c r="D69" s="312">
        <f>D44</f>
        <v>7129.58</v>
      </c>
      <c r="E69" s="312">
        <f>E44</f>
        <v>6450.14</v>
      </c>
      <c r="F69" s="312">
        <f>F44</f>
        <v>8823.2300000000014</v>
      </c>
      <c r="G69" s="312">
        <f t="shared" ref="G69:M69" si="44">G44</f>
        <v>13173.14</v>
      </c>
      <c r="H69" s="312">
        <f t="shared" si="44"/>
        <v>16042.581</v>
      </c>
      <c r="I69" s="312">
        <f t="shared" si="44"/>
        <v>20053.22625</v>
      </c>
      <c r="J69" s="312">
        <f t="shared" si="44"/>
        <v>24414.802959375</v>
      </c>
      <c r="K69" s="312">
        <f t="shared" si="44"/>
        <v>28931.541506859376</v>
      </c>
      <c r="L69" s="312">
        <f t="shared" si="44"/>
        <v>33343.60158665543</v>
      </c>
      <c r="M69" s="312">
        <f t="shared" si="44"/>
        <v>37344.833777054082</v>
      </c>
    </row>
    <row r="70" spans="2:13">
      <c r="B70" t="s">
        <v>103</v>
      </c>
      <c r="D70" s="312">
        <f>D34</f>
        <v>8388.2299999999977</v>
      </c>
      <c r="E70" s="312">
        <f>E34</f>
        <v>8458.119999999999</v>
      </c>
      <c r="F70" s="312">
        <f>F34</f>
        <v>9581.5790000000015</v>
      </c>
      <c r="G70" s="312">
        <f t="shared" ref="G70:M70" si="45">G34</f>
        <v>11617.903</v>
      </c>
      <c r="H70" s="312">
        <f t="shared" si="45"/>
        <v>15186.807999999999</v>
      </c>
      <c r="I70" s="312">
        <f t="shared" si="45"/>
        <v>18600.174458444453</v>
      </c>
      <c r="J70" s="312">
        <f t="shared" si="45"/>
        <v>20037.981190268758</v>
      </c>
      <c r="K70" s="312">
        <f t="shared" si="45"/>
        <v>21918.712696421968</v>
      </c>
      <c r="L70" s="312">
        <f t="shared" si="45"/>
        <v>23754.849698945338</v>
      </c>
      <c r="M70" s="312">
        <f t="shared" si="45"/>
        <v>25075.855874398392</v>
      </c>
    </row>
    <row r="71" spans="2:13">
      <c r="B71" s="20" t="s">
        <v>104</v>
      </c>
      <c r="C71" s="20"/>
      <c r="D71" s="109">
        <f>D69/D70</f>
        <v>0.84995046630814863</v>
      </c>
      <c r="E71" s="109">
        <f>E69/E70</f>
        <v>0.76259736206154571</v>
      </c>
      <c r="F71" s="109">
        <f>F69/F70</f>
        <v>0.92085344179701489</v>
      </c>
      <c r="G71" s="109">
        <f t="shared" ref="G71" si="46">G69/G70</f>
        <v>1.1338655521568737</v>
      </c>
      <c r="H71" s="109">
        <f t="shared" ref="H71" si="47">H69/H70</f>
        <v>1.0563497609240864</v>
      </c>
      <c r="I71" s="109">
        <f t="shared" ref="I71" si="48">I69/I70</f>
        <v>1.0781203313335517</v>
      </c>
      <c r="J71" s="109">
        <f t="shared" ref="J71" si="49">J69/J70</f>
        <v>1.2184262839428057</v>
      </c>
      <c r="K71" s="109">
        <f t="shared" ref="K71" si="50">K69/K70</f>
        <v>1.3199471112909924</v>
      </c>
      <c r="L71" s="109">
        <f t="shared" ref="L71" si="51">L69/L70</f>
        <v>1.4036544962073918</v>
      </c>
      <c r="M71" s="109">
        <f t="shared" ref="M71" si="52">M69/M70</f>
        <v>1.4892745421775178</v>
      </c>
    </row>
    <row r="72" spans="2:13">
      <c r="B72" s="11"/>
      <c r="C72" s="11"/>
      <c r="D72" s="105"/>
      <c r="E72" s="105"/>
      <c r="F72" s="105"/>
      <c r="G72" s="105"/>
      <c r="H72" s="105"/>
      <c r="I72" s="105"/>
      <c r="J72" s="105"/>
      <c r="K72" s="105"/>
      <c r="L72" s="105"/>
      <c r="M72" s="105"/>
    </row>
    <row r="73" spans="2:13">
      <c r="B73" t="s">
        <v>107</v>
      </c>
      <c r="D73" s="69"/>
      <c r="E73" s="312">
        <f t="shared" ref="E73:G74" si="53">E69-D69</f>
        <v>-679.4399999999996</v>
      </c>
      <c r="F73" s="312">
        <f t="shared" si="53"/>
        <v>2373.0900000000011</v>
      </c>
      <c r="G73" s="312">
        <f t="shared" si="53"/>
        <v>4349.909999999998</v>
      </c>
      <c r="H73" s="312">
        <f t="shared" ref="H73:M74" si="54">H69-G69</f>
        <v>2869.4410000000007</v>
      </c>
      <c r="I73" s="312">
        <f t="shared" si="54"/>
        <v>4010.6452499999996</v>
      </c>
      <c r="J73" s="312">
        <f t="shared" si="54"/>
        <v>4361.5767093750001</v>
      </c>
      <c r="K73" s="312">
        <f t="shared" si="54"/>
        <v>4516.7385474843759</v>
      </c>
      <c r="L73" s="312">
        <f t="shared" si="54"/>
        <v>4412.0600797960542</v>
      </c>
      <c r="M73" s="312">
        <f t="shared" si="54"/>
        <v>4001.2321903986522</v>
      </c>
    </row>
    <row r="74" spans="2:13">
      <c r="B74" t="s">
        <v>108</v>
      </c>
      <c r="D74" s="69"/>
      <c r="E74" s="312">
        <f t="shared" si="53"/>
        <v>69.890000000001237</v>
      </c>
      <c r="F74" s="312">
        <f t="shared" si="53"/>
        <v>1123.4590000000026</v>
      </c>
      <c r="G74" s="312">
        <f t="shared" si="53"/>
        <v>2036.3239999999987</v>
      </c>
      <c r="H74" s="312">
        <f t="shared" si="54"/>
        <v>3568.9049999999988</v>
      </c>
      <c r="I74" s="312">
        <f t="shared" si="54"/>
        <v>3413.3664584444541</v>
      </c>
      <c r="J74" s="312">
        <f t="shared" si="54"/>
        <v>1437.8067318243047</v>
      </c>
      <c r="K74" s="312">
        <f t="shared" si="54"/>
        <v>1880.7315061532099</v>
      </c>
      <c r="L74" s="312">
        <f t="shared" si="54"/>
        <v>1836.13700252337</v>
      </c>
      <c r="M74" s="312">
        <f t="shared" si="54"/>
        <v>1321.0061754530543</v>
      </c>
    </row>
    <row r="75" spans="2:13">
      <c r="B75" s="20" t="s">
        <v>109</v>
      </c>
      <c r="C75" s="20"/>
      <c r="D75" s="108"/>
      <c r="E75" s="109">
        <f t="shared" ref="E75:G75" si="55">E73/E74</f>
        <v>-9.7215624552867013</v>
      </c>
      <c r="F75" s="109">
        <f t="shared" ref="F75" si="56">F73/F74</f>
        <v>2.1123067241439122</v>
      </c>
      <c r="G75" s="109">
        <f t="shared" si="55"/>
        <v>2.1361580966486673</v>
      </c>
      <c r="H75" s="109">
        <f t="shared" ref="H75" si="57">H73/H74</f>
        <v>0.80401159459273974</v>
      </c>
      <c r="I75" s="109">
        <f t="shared" ref="I75" si="58">I73/I74</f>
        <v>1.1749823228261693</v>
      </c>
      <c r="J75" s="109">
        <f t="shared" ref="J75" si="59">J73/J74</f>
        <v>3.0334930368847171</v>
      </c>
      <c r="K75" s="109">
        <f t="shared" ref="K75" si="60">K73/K74</f>
        <v>2.4015860492084662</v>
      </c>
      <c r="L75" s="109">
        <f t="shared" ref="L75" si="61">L73/L74</f>
        <v>2.4029035272055621</v>
      </c>
      <c r="M75" s="109">
        <f t="shared" ref="M75" si="62">M73/M74</f>
        <v>3.0289276952292696</v>
      </c>
    </row>
    <row r="77" spans="2:13">
      <c r="B77" t="s">
        <v>46</v>
      </c>
      <c r="D77" s="201">
        <f>'3StatementModel'!D14</f>
        <v>3219.43</v>
      </c>
      <c r="E77" s="201">
        <f>'3StatementModel'!E14</f>
        <v>2763.9400000000005</v>
      </c>
      <c r="F77" s="201">
        <f>'3StatementModel'!F14</f>
        <v>4034.6600000000003</v>
      </c>
      <c r="G77" s="201">
        <f>'3StatementModel'!G14</f>
        <v>6261.15</v>
      </c>
      <c r="H77" s="201">
        <f>'3StatementModel'!H14</f>
        <v>7404.8879999999999</v>
      </c>
      <c r="I77" s="201">
        <f>'3StatementModel'!I14</f>
        <v>9023.9518124999995</v>
      </c>
      <c r="J77" s="201">
        <f>'3StatementModel'!J14</f>
        <v>11322.364872410157</v>
      </c>
      <c r="K77" s="201">
        <f>'3StatementModel'!K14</f>
        <v>13814.811069525353</v>
      </c>
      <c r="L77" s="201">
        <f>'3StatementModel'!L14</f>
        <v>16380.044279444479</v>
      </c>
      <c r="M77" s="201">
        <f>'3StatementModel'!M14</f>
        <v>18859.141057412311</v>
      </c>
    </row>
    <row r="78" spans="2:13">
      <c r="B78" t="s">
        <v>106</v>
      </c>
      <c r="D78" s="312">
        <f t="shared" ref="D78:M78" si="63">D18</f>
        <v>881.51</v>
      </c>
      <c r="E78" s="312">
        <f t="shared" si="63"/>
        <v>928.8</v>
      </c>
      <c r="F78" s="312">
        <f t="shared" si="63"/>
        <v>1448.09</v>
      </c>
      <c r="G78" s="312">
        <f t="shared" si="63"/>
        <v>1993.89</v>
      </c>
      <c r="H78" s="312">
        <f t="shared" si="63"/>
        <v>2150.5329999999999</v>
      </c>
      <c r="I78" s="312">
        <f t="shared" si="63"/>
        <v>2856.8979863013697</v>
      </c>
      <c r="J78" s="312">
        <f t="shared" si="63"/>
        <v>3478.2732983219175</v>
      </c>
      <c r="K78" s="312">
        <f t="shared" si="63"/>
        <v>3725.4313721161388</v>
      </c>
      <c r="L78" s="312">
        <f t="shared" si="63"/>
        <v>4293.5596563638501</v>
      </c>
      <c r="M78" s="312">
        <f t="shared" si="63"/>
        <v>4808.7868151275115</v>
      </c>
    </row>
    <row r="79" spans="2:13">
      <c r="B79" s="20" t="s">
        <v>105</v>
      </c>
      <c r="C79" s="20"/>
      <c r="D79" s="109">
        <f>D77/D78</f>
        <v>3.6521763791675648</v>
      </c>
      <c r="E79" s="109">
        <f>E77/E78</f>
        <v>2.9758182601205863</v>
      </c>
      <c r="F79" s="109">
        <f>F77/F78</f>
        <v>2.7861942282592937</v>
      </c>
      <c r="G79" s="109">
        <f t="shared" ref="G79" si="64">G77/G78</f>
        <v>3.1401682138934439</v>
      </c>
      <c r="H79" s="109">
        <f t="shared" ref="H79" si="65">H77/H78</f>
        <v>3.4432803402691334</v>
      </c>
      <c r="I79" s="109">
        <f t="shared" ref="I79" si="66">I77/I78</f>
        <v>3.1586538461538463</v>
      </c>
      <c r="J79" s="109">
        <f t="shared" ref="J79" si="67">J77/J78</f>
        <v>3.2551682692307695</v>
      </c>
      <c r="K79" s="109">
        <f t="shared" ref="K79" si="68">K77/K78</f>
        <v>3.7082446808510641</v>
      </c>
      <c r="L79" s="109">
        <f t="shared" ref="L79" si="69">L77/L78</f>
        <v>3.8150265957446803</v>
      </c>
      <c r="M79" s="109">
        <f t="shared" ref="M79" si="70">M77/M78</f>
        <v>3.9218085106382983</v>
      </c>
    </row>
    <row r="81" spans="2:13" ht="18">
      <c r="B81" s="10" t="s">
        <v>110</v>
      </c>
      <c r="C81" s="10"/>
      <c r="D81" s="10"/>
      <c r="E81" s="10"/>
      <c r="F81" s="10"/>
      <c r="G81" s="10"/>
      <c r="H81" s="10"/>
      <c r="I81" s="10"/>
      <c r="J81" s="10"/>
      <c r="K81" s="10"/>
      <c r="L81" s="10"/>
      <c r="M81" s="10"/>
    </row>
    <row r="83" spans="2:13">
      <c r="B83" t="s">
        <v>89</v>
      </c>
      <c r="C83" t="s">
        <v>111</v>
      </c>
      <c r="D83" s="312">
        <f>D29</f>
        <v>2822.53</v>
      </c>
      <c r="E83" s="312">
        <f>E29</f>
        <v>2693.48</v>
      </c>
      <c r="F83" s="312">
        <f>F29</f>
        <v>3341.8999999999996</v>
      </c>
      <c r="G83" s="312">
        <f t="shared" ref="G83:M83" si="71">G29</f>
        <v>3694.81</v>
      </c>
      <c r="H83" s="312">
        <f t="shared" si="71"/>
        <v>5194.3870000000006</v>
      </c>
      <c r="I83" s="312">
        <f t="shared" si="71"/>
        <v>6392.5596500000001</v>
      </c>
      <c r="J83" s="312">
        <f t="shared" si="71"/>
        <v>5264.1962515468749</v>
      </c>
      <c r="K83" s="312">
        <f t="shared" si="71"/>
        <v>4446.4897904115624</v>
      </c>
      <c r="L83" s="312">
        <f t="shared" si="71"/>
        <v>3908.811498466217</v>
      </c>
      <c r="M83" s="312">
        <f t="shared" si="71"/>
        <v>3321.9641105410815</v>
      </c>
    </row>
    <row r="84" spans="2:13">
      <c r="B84" t="s">
        <v>54</v>
      </c>
      <c r="D84" s="312">
        <f>D47</f>
        <v>1447.4699999999998</v>
      </c>
      <c r="E84" s="312">
        <f>E47</f>
        <v>1201.5999999999999</v>
      </c>
      <c r="F84" s="312">
        <f>F47</f>
        <v>1654.3400000000015</v>
      </c>
      <c r="G84" s="312">
        <f t="shared" ref="G84:M84" si="72">G47</f>
        <v>2787.75</v>
      </c>
      <c r="H84" s="312">
        <f t="shared" si="72"/>
        <v>3609.0719999999992</v>
      </c>
      <c r="I84" s="312">
        <f t="shared" si="72"/>
        <v>4450.9730595235014</v>
      </c>
      <c r="J84" s="312">
        <f t="shared" si="72"/>
        <v>5083.3561592784563</v>
      </c>
      <c r="K84" s="312">
        <f t="shared" si="72"/>
        <v>5625.9683530256534</v>
      </c>
      <c r="L84" s="312">
        <f t="shared" si="72"/>
        <v>6025.4540050455562</v>
      </c>
      <c r="M84" s="312">
        <f t="shared" si="72"/>
        <v>6235.0170212165285</v>
      </c>
    </row>
    <row r="85" spans="2:13">
      <c r="B85" s="20" t="s">
        <v>112</v>
      </c>
      <c r="C85" s="20"/>
      <c r="D85" s="109">
        <f>D83/D84</f>
        <v>1.949974783587916</v>
      </c>
      <c r="E85" s="109">
        <f>E83/E84</f>
        <v>2.241577896138482</v>
      </c>
      <c r="F85" s="109">
        <f>F83/F84</f>
        <v>2.0200805154925812</v>
      </c>
      <c r="G85" s="109">
        <f t="shared" ref="G85:M85" si="73">G83/G84</f>
        <v>1.3253735091023227</v>
      </c>
      <c r="H85" s="109">
        <f t="shared" si="73"/>
        <v>1.4392583467439835</v>
      </c>
      <c r="I85" s="109">
        <f t="shared" si="73"/>
        <v>1.4362162081215462</v>
      </c>
      <c r="J85" s="109">
        <f t="shared" si="73"/>
        <v>1.035574940374449</v>
      </c>
      <c r="K85" s="109">
        <f t="shared" si="73"/>
        <v>0.79035101362065685</v>
      </c>
      <c r="L85" s="109">
        <f t="shared" si="73"/>
        <v>0.64871651085429938</v>
      </c>
      <c r="M85" s="109">
        <f t="shared" si="73"/>
        <v>0.53279150630015848</v>
      </c>
    </row>
    <row r="87" spans="2:13">
      <c r="B87" t="s">
        <v>55</v>
      </c>
      <c r="D87" s="312">
        <f t="shared" ref="D87:M87" si="74">D51</f>
        <v>958.8399999999998</v>
      </c>
      <c r="E87" s="312">
        <f t="shared" si="74"/>
        <v>672.89999999999986</v>
      </c>
      <c r="F87" s="312">
        <f t="shared" si="74"/>
        <v>1123.0800000000015</v>
      </c>
      <c r="G87" s="312">
        <f t="shared" si="74"/>
        <v>2170.56</v>
      </c>
      <c r="H87" s="312">
        <f t="shared" si="74"/>
        <v>2928.1659999999993</v>
      </c>
      <c r="I87" s="312">
        <f t="shared" si="74"/>
        <v>3430.5890164952325</v>
      </c>
      <c r="J87" s="312">
        <f t="shared" si="74"/>
        <v>3921.5229316550749</v>
      </c>
      <c r="K87" s="312">
        <f t="shared" si="74"/>
        <v>4227.5095755611692</v>
      </c>
      <c r="L87" s="312">
        <f t="shared" si="74"/>
        <v>4395.8536347396657</v>
      </c>
      <c r="M87" s="312">
        <f t="shared" si="74"/>
        <v>4395.7977506485622</v>
      </c>
    </row>
    <row r="88" spans="2:13">
      <c r="B88" t="s">
        <v>113</v>
      </c>
      <c r="D88" s="201">
        <f>'3StatementModel'!D35</f>
        <v>309.64</v>
      </c>
      <c r="E88" s="201">
        <f>'3StatementModel'!E35</f>
        <v>281.10000000000002</v>
      </c>
      <c r="F88" s="201">
        <f>'3StatementModel'!F35</f>
        <v>184.7</v>
      </c>
      <c r="G88" s="201">
        <f>'3StatementModel'!G35</f>
        <v>186.12</v>
      </c>
      <c r="H88" s="201">
        <f>'3StatementModel'!H35</f>
        <v>268.09899999999999</v>
      </c>
      <c r="I88" s="201">
        <f>'3StatementModel'!I35</f>
        <v>451.31157201750005</v>
      </c>
      <c r="J88" s="201">
        <f>'3StatementModel'!J35</f>
        <v>454.0306423652508</v>
      </c>
      <c r="K88" s="201">
        <f>'3StatementModel'!K35</f>
        <v>378.23122133428114</v>
      </c>
      <c r="L88" s="201">
        <f>'3StatementModel'!L35</f>
        <v>325.43898520178948</v>
      </c>
      <c r="M88" s="201">
        <f>'3StatementModel'!M35</f>
        <v>281.63870997083427</v>
      </c>
    </row>
    <row r="89" spans="2:13">
      <c r="B89" s="20" t="s">
        <v>114</v>
      </c>
      <c r="C89" s="20"/>
      <c r="D89" s="109">
        <f>D87/D88</f>
        <v>3.0966283425913961</v>
      </c>
      <c r="E89" s="109">
        <f>E87/E88</f>
        <v>2.393810032017075</v>
      </c>
      <c r="F89" s="109">
        <f>F87/F88</f>
        <v>6.0805630752571824</v>
      </c>
      <c r="G89" s="109">
        <f t="shared" ref="G89:M89" si="75">G87/G88</f>
        <v>11.662153449387491</v>
      </c>
      <c r="H89" s="109">
        <f t="shared" si="75"/>
        <v>10.921957933449955</v>
      </c>
      <c r="I89" s="109">
        <f t="shared" si="75"/>
        <v>7.6013761427819269</v>
      </c>
      <c r="J89" s="109">
        <f t="shared" si="75"/>
        <v>8.6371327521554271</v>
      </c>
      <c r="K89" s="109">
        <f t="shared" si="75"/>
        <v>11.177050801485507</v>
      </c>
      <c r="L89" s="109">
        <f t="shared" si="75"/>
        <v>13.507458647014902</v>
      </c>
      <c r="M89" s="109">
        <f t="shared" si="75"/>
        <v>15.607931704785109</v>
      </c>
    </row>
  </sheetData>
  <mergeCells count="3">
    <mergeCell ref="O7:P7"/>
    <mergeCell ref="I8:M8"/>
    <mergeCell ref="D8:H8"/>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C9D0D-0BAC-4099-AB03-6D46F4CF75B9}">
  <sheetPr>
    <tabColor theme="9" tint="-0.249977111117893"/>
  </sheetPr>
  <dimension ref="A1"/>
  <sheetViews>
    <sheetView topLeftCell="C1" workbookViewId="0"/>
  </sheetViews>
  <sheetFormatPr defaultRowHeight="14.4"/>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1C217-5842-421F-A53C-5CA2248AB080}">
  <dimension ref="B2:H32"/>
  <sheetViews>
    <sheetView showGridLines="0" tabSelected="1" topLeftCell="A3" zoomScale="79" workbookViewId="0">
      <selection activeCell="D8" sqref="D8"/>
    </sheetView>
  </sheetViews>
  <sheetFormatPr defaultRowHeight="14.4"/>
  <cols>
    <col min="1" max="1" width="2.33203125" customWidth="1"/>
    <col min="2" max="2" width="40.88671875" bestFit="1" customWidth="1"/>
    <col min="3" max="3" width="3" customWidth="1"/>
    <col min="4" max="4" width="9.33203125" customWidth="1"/>
    <col min="5" max="6" width="10" bestFit="1" customWidth="1"/>
    <col min="8" max="8" width="68.88671875" customWidth="1"/>
  </cols>
  <sheetData>
    <row r="2" spans="2:8" ht="21">
      <c r="B2" s="8" t="str">
        <f>'Input Sheet'!C6</f>
        <v>Varun Beverages Ltd.</v>
      </c>
    </row>
    <row r="3" spans="2:8" ht="18">
      <c r="B3" s="9" t="s">
        <v>16</v>
      </c>
    </row>
    <row r="5" spans="2:8">
      <c r="B5" s="328" t="s">
        <v>147</v>
      </c>
      <c r="C5" s="328"/>
      <c r="D5" s="346" t="s">
        <v>796</v>
      </c>
      <c r="E5" s="346" t="s">
        <v>797</v>
      </c>
      <c r="F5" s="346" t="s">
        <v>798</v>
      </c>
      <c r="H5" s="394" t="s">
        <v>127</v>
      </c>
    </row>
    <row r="6" spans="2:8" ht="3.6" customHeight="1">
      <c r="D6" s="347"/>
      <c r="E6" s="347"/>
      <c r="F6" s="347"/>
    </row>
    <row r="7" spans="2:8">
      <c r="B7" t="s">
        <v>127</v>
      </c>
      <c r="D7" s="348">
        <f>'Input Sheet'!C10-'Input Sheet'!C12</f>
        <v>4.641E-2</v>
      </c>
      <c r="E7" s="348">
        <f>D7</f>
        <v>4.641E-2</v>
      </c>
      <c r="F7" s="348">
        <f>E7</f>
        <v>4.641E-2</v>
      </c>
      <c r="H7" s="564" t="str">
        <f>"We have considered "&amp;TEXT(E7,"0.00%")&amp;" as the risk free rate in estimation of cost of equity of "&amp;TEXT(E10,"0.00%")&amp;". The risk free rate of India is calculated by considering local currency 10 years government bond yield adjusted for default spread of India."</f>
        <v>We have considered 4.64% as the risk free rate in estimation of cost of equity of 8.28%. The risk free rate of India is calculated by considering local currency 10 years government bond yield adjusted for default spread of India.</v>
      </c>
    </row>
    <row r="8" spans="2:8">
      <c r="B8" s="13" t="s">
        <v>799</v>
      </c>
      <c r="C8" s="13"/>
      <c r="D8" s="349">
        <f>'Input Sheet'!C13+'Input Sheet'!C12</f>
        <v>6.5000000000000002E-2</v>
      </c>
      <c r="E8" s="349">
        <f>D8</f>
        <v>6.5000000000000002E-2</v>
      </c>
      <c r="F8" s="349">
        <f>E8</f>
        <v>6.5000000000000002E-2</v>
      </c>
      <c r="H8" s="565"/>
    </row>
    <row r="9" spans="2:8">
      <c r="B9" t="s">
        <v>800</v>
      </c>
      <c r="D9" s="347">
        <v>0.56000000000000005</v>
      </c>
      <c r="E9" s="347">
        <v>0.56000000000000005</v>
      </c>
      <c r="F9" s="347">
        <v>0.56000000000000005</v>
      </c>
      <c r="H9" s="565"/>
    </row>
    <row r="10" spans="2:8">
      <c r="B10" s="345" t="s">
        <v>801</v>
      </c>
      <c r="C10" s="345"/>
      <c r="D10" s="350">
        <f>D7+(D8*D9)</f>
        <v>8.2809999999999995E-2</v>
      </c>
      <c r="E10" s="350">
        <f>E7+(E8*E9)</f>
        <v>8.2809999999999995E-2</v>
      </c>
      <c r="F10" s="350">
        <f>F7+(F8*F9)</f>
        <v>8.2809999999999995E-2</v>
      </c>
    </row>
    <row r="11" spans="2:8">
      <c r="D11" s="347"/>
      <c r="E11" s="347"/>
      <c r="F11" s="347"/>
      <c r="H11" s="394" t="s">
        <v>800</v>
      </c>
    </row>
    <row r="12" spans="2:8" ht="14.4" customHeight="1">
      <c r="B12" s="13" t="s">
        <v>576</v>
      </c>
      <c r="C12" s="13"/>
      <c r="D12" s="351">
        <v>2.7E-2</v>
      </c>
      <c r="E12" s="351">
        <f>D12</f>
        <v>2.7E-2</v>
      </c>
      <c r="F12" s="351">
        <f>E12</f>
        <v>2.7E-2</v>
      </c>
      <c r="H12" s="564" t="str">
        <f>"We have obtainted Equity Beta of "&amp;TEXT(E9,"0.00")&amp;" from Yahoo Finance which is based on 5 Year monthly regression."</f>
        <v>We have obtainted Equity Beta of 0.56 from Yahoo Finance which is based on 5 Year monthly regression.</v>
      </c>
    </row>
    <row r="13" spans="2:8">
      <c r="B13" t="s">
        <v>802</v>
      </c>
      <c r="D13" s="352">
        <f>'Input Sheet'!C22</f>
        <v>0</v>
      </c>
      <c r="E13" s="352">
        <f>D13</f>
        <v>0</v>
      </c>
      <c r="F13" s="352">
        <f>E13</f>
        <v>0</v>
      </c>
      <c r="H13" s="564"/>
    </row>
    <row r="14" spans="2:8">
      <c r="B14" s="345" t="s">
        <v>803</v>
      </c>
      <c r="C14" s="345"/>
      <c r="D14" s="350">
        <f>D10+D12+D13</f>
        <v>0.10980999999999999</v>
      </c>
      <c r="E14" s="350">
        <f t="shared" ref="E14:F14" si="0">E10+E12+E13</f>
        <v>0.10980999999999999</v>
      </c>
      <c r="F14" s="350">
        <f t="shared" si="0"/>
        <v>0.10980999999999999</v>
      </c>
      <c r="H14" s="395"/>
    </row>
    <row r="15" spans="2:8">
      <c r="D15" s="347"/>
      <c r="E15" s="347"/>
      <c r="F15" s="347"/>
      <c r="H15" s="394" t="s">
        <v>855</v>
      </c>
    </row>
    <row r="16" spans="2:8" ht="43.2">
      <c r="B16" s="13" t="s">
        <v>805</v>
      </c>
      <c r="C16" s="13"/>
      <c r="D16" s="349">
        <f>'Input Sheet'!C10+IF('Input Sheet'!C16="No",'Input Sheet'!C20,VLOOKUP('Input Sheet'!C18,'Damodaran data'!I6:J20,2,FALSE))</f>
        <v>7.5810000000000002E-2</v>
      </c>
      <c r="E16" s="349">
        <f>D16</f>
        <v>7.5810000000000002E-2</v>
      </c>
      <c r="F16" s="349">
        <f>E16</f>
        <v>7.5810000000000002E-2</v>
      </c>
      <c r="H16" s="527" t="str">
        <f>"An ERP of "&amp;TEXT(E8,"0.00%")&amp;" has been adopted based on US implied equity risk premium, relative equity volatiliy of ICE BoFA Public Sector Issues Emerging Mkts Index, S&amp;P Emerging BMI Index and country risk premium of India."</f>
        <v>An ERP of 6.50% has been adopted based on US implied equity risk premium, relative equity volatiliy of ICE BoFA Public Sector Issues Emerging Mkts Index, S&amp;P Emerging BMI Index and country risk premium of India.</v>
      </c>
    </row>
    <row r="17" spans="2:8" ht="14.4" customHeight="1">
      <c r="B17" t="s">
        <v>28</v>
      </c>
      <c r="D17" s="349">
        <f>'Input Sheet'!C15</f>
        <v>0.25</v>
      </c>
      <c r="E17" s="349">
        <f>D17</f>
        <v>0.25</v>
      </c>
      <c r="F17" s="349">
        <f>E17</f>
        <v>0.25</v>
      </c>
      <c r="H17" s="527"/>
    </row>
    <row r="18" spans="2:8">
      <c r="B18" s="345" t="s">
        <v>804</v>
      </c>
      <c r="C18" s="345"/>
      <c r="D18" s="350">
        <f>D16*(1-D17)</f>
        <v>5.6857500000000005E-2</v>
      </c>
      <c r="E18" s="350">
        <f t="shared" ref="E18:F18" si="1">E16*(1-E17)</f>
        <v>5.6857500000000005E-2</v>
      </c>
      <c r="F18" s="350">
        <f t="shared" si="1"/>
        <v>5.6857500000000005E-2</v>
      </c>
      <c r="H18" s="394" t="s">
        <v>854</v>
      </c>
    </row>
    <row r="19" spans="2:8" ht="43.2">
      <c r="D19" s="347"/>
      <c r="E19" s="347"/>
      <c r="F19" s="347"/>
      <c r="H19" s="527" t="s">
        <v>856</v>
      </c>
    </row>
    <row r="20" spans="2:8">
      <c r="B20" s="13" t="s">
        <v>806</v>
      </c>
      <c r="C20" s="13"/>
      <c r="D20" s="353">
        <f>'Input Sheet'!C14</f>
        <v>0.42302875469092049</v>
      </c>
      <c r="E20" s="353">
        <f>D20</f>
        <v>0.42302875469092049</v>
      </c>
      <c r="F20" s="353">
        <f>E20</f>
        <v>0.42302875469092049</v>
      </c>
    </row>
    <row r="21" spans="2:8">
      <c r="B21" t="s">
        <v>126</v>
      </c>
      <c r="D21" s="348">
        <f>(D18*D20)+(D14*(1-D20))</f>
        <v>8.7409569867229031E-2</v>
      </c>
      <c r="E21" s="348">
        <f>D21</f>
        <v>8.7409569867229031E-2</v>
      </c>
      <c r="F21" s="348">
        <f>E21</f>
        <v>8.7409569867229031E-2</v>
      </c>
      <c r="H21" s="394" t="s">
        <v>857</v>
      </c>
    </row>
    <row r="22" spans="2:8" ht="14.4" customHeight="1">
      <c r="B22" s="345" t="s">
        <v>807</v>
      </c>
      <c r="C22" s="345"/>
      <c r="D22" s="350">
        <f>ROUNDUP(D21,2)</f>
        <v>0.09</v>
      </c>
      <c r="E22" s="350">
        <f t="shared" ref="E22:F22" si="2">ROUNDUP(E21,2)</f>
        <v>0.09</v>
      </c>
      <c r="F22" s="350">
        <f t="shared" si="2"/>
        <v>0.09</v>
      </c>
      <c r="H22" s="564" t="s">
        <v>977</v>
      </c>
    </row>
    <row r="23" spans="2:8">
      <c r="H23" s="564"/>
    </row>
    <row r="24" spans="2:8">
      <c r="B24" s="74" t="s">
        <v>853</v>
      </c>
      <c r="H24" s="564"/>
    </row>
    <row r="25" spans="2:8">
      <c r="H25" s="564"/>
    </row>
    <row r="27" spans="2:8" ht="14.4" customHeight="1">
      <c r="H27" s="527"/>
    </row>
    <row r="28" spans="2:8">
      <c r="H28" s="527"/>
    </row>
    <row r="29" spans="2:8">
      <c r="H29" s="527"/>
    </row>
    <row r="32" spans="2:8">
      <c r="H32" s="394"/>
    </row>
  </sheetData>
  <mergeCells count="3">
    <mergeCell ref="H12:H13"/>
    <mergeCell ref="H7:H9"/>
    <mergeCell ref="H22:H25"/>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C6243-187F-4021-AB70-1CED7D3DCBB5}">
  <dimension ref="A1:V83"/>
  <sheetViews>
    <sheetView showGridLines="0" zoomScale="71" zoomScaleNormal="85" workbookViewId="0">
      <pane ySplit="9" topLeftCell="A32" activePane="bottomLeft" state="frozen"/>
      <selection pane="bottomLeft" activeCell="K78" sqref="K78"/>
    </sheetView>
  </sheetViews>
  <sheetFormatPr defaultColWidth="8.88671875" defaultRowHeight="14.4" outlineLevelCol="1"/>
  <cols>
    <col min="1" max="1" width="1.88671875" style="18" customWidth="1"/>
    <col min="2" max="2" width="40.6640625" style="32" customWidth="1"/>
    <col min="3" max="3" width="11.44140625" style="32" customWidth="1"/>
    <col min="4" max="4" width="4.44140625" style="32" customWidth="1"/>
    <col min="5" max="5" width="9.44140625" style="32" customWidth="1" outlineLevel="1"/>
    <col min="6" max="6" width="10.33203125" style="32" customWidth="1" outlineLevel="1"/>
    <col min="7" max="7" width="9.88671875" style="32" customWidth="1"/>
    <col min="8" max="19" width="9.33203125" style="32" customWidth="1"/>
    <col min="20" max="16384" width="8.88671875" style="32"/>
  </cols>
  <sheetData>
    <row r="1" spans="1:19" customFormat="1"/>
    <row r="2" spans="1:19" customFormat="1" ht="21">
      <c r="B2" s="8" t="str">
        <f>'Input Sheet'!C6</f>
        <v>Varun Beverages Ltd.</v>
      </c>
    </row>
    <row r="3" spans="1:19" customFormat="1" ht="18">
      <c r="B3" s="9" t="s">
        <v>146</v>
      </c>
      <c r="R3" s="125" t="s">
        <v>144</v>
      </c>
    </row>
    <row r="4" spans="1:19" customFormat="1">
      <c r="I4" t="s">
        <v>22</v>
      </c>
      <c r="J4">
        <v>0</v>
      </c>
      <c r="R4" s="125" t="s">
        <v>121</v>
      </c>
    </row>
    <row r="5" spans="1:19" customFormat="1">
      <c r="R5" s="125" t="s">
        <v>122</v>
      </c>
    </row>
    <row r="6" spans="1:19" customFormat="1"/>
    <row r="7" spans="1:19" customFormat="1">
      <c r="P7" s="561"/>
      <c r="Q7" s="561"/>
    </row>
    <row r="8" spans="1:19" customFormat="1">
      <c r="B8" t="s">
        <v>23</v>
      </c>
      <c r="E8" s="562" t="s">
        <v>18</v>
      </c>
      <c r="F8" s="562"/>
      <c r="G8" s="562"/>
      <c r="H8" s="562"/>
      <c r="I8" s="562"/>
      <c r="J8" s="563" t="s">
        <v>19</v>
      </c>
      <c r="K8" s="563"/>
      <c r="L8" s="563"/>
      <c r="M8" s="563"/>
      <c r="N8" s="563"/>
      <c r="O8" s="563"/>
      <c r="P8" s="563"/>
      <c r="Q8" s="563"/>
      <c r="R8" s="563"/>
      <c r="S8" s="563"/>
    </row>
    <row r="9" spans="1:19" customFormat="1">
      <c r="B9" s="6" t="s">
        <v>17</v>
      </c>
      <c r="C9" s="7"/>
      <c r="D9" s="502"/>
      <c r="E9" s="503">
        <f>'3StatementModel'!D9</f>
        <v>2019</v>
      </c>
      <c r="F9" s="503">
        <f>'3StatementModel'!E9</f>
        <v>2020</v>
      </c>
      <c r="G9" s="503">
        <f>'3StatementModel'!F9</f>
        <v>2021</v>
      </c>
      <c r="H9" s="503">
        <f>'3StatementModel'!G9</f>
        <v>2022</v>
      </c>
      <c r="I9" s="503">
        <f>'3StatementModel'!H9</f>
        <v>2023</v>
      </c>
      <c r="J9" s="503">
        <f>'3StatementModel'!I9</f>
        <v>2024</v>
      </c>
      <c r="K9" s="503">
        <f>'3StatementModel'!J9</f>
        <v>2025</v>
      </c>
      <c r="L9" s="503">
        <f>'3StatementModel'!K9</f>
        <v>2026</v>
      </c>
      <c r="M9" s="503">
        <f>'3StatementModel'!L9</f>
        <v>2027</v>
      </c>
      <c r="N9" s="503">
        <f>'3StatementModel'!M9</f>
        <v>2028</v>
      </c>
      <c r="O9" s="503">
        <f>'3StatementModel'!N9</f>
        <v>2029</v>
      </c>
      <c r="P9" s="503">
        <f>'3StatementModel'!O9</f>
        <v>2030</v>
      </c>
      <c r="Q9" s="503">
        <f>'3StatementModel'!P9</f>
        <v>2031</v>
      </c>
      <c r="R9" s="503">
        <f>'3StatementModel'!Q9</f>
        <v>2032</v>
      </c>
      <c r="S9" s="503">
        <f>'3StatementModel'!R9</f>
        <v>2033</v>
      </c>
    </row>
    <row r="10" spans="1:19" customFormat="1">
      <c r="B10" s="74"/>
      <c r="D10" s="75"/>
      <c r="E10" s="75"/>
      <c r="F10" s="75"/>
      <c r="G10" s="75"/>
      <c r="H10" s="75"/>
      <c r="I10" s="62"/>
      <c r="J10" s="62"/>
      <c r="K10" s="62"/>
      <c r="L10" s="62"/>
      <c r="M10" s="62"/>
      <c r="N10" s="62"/>
      <c r="O10" s="62"/>
      <c r="P10" s="62"/>
      <c r="Q10" s="62"/>
      <c r="R10" s="62"/>
      <c r="S10" s="62"/>
    </row>
    <row r="11" spans="1:19" customFormat="1" ht="18">
      <c r="B11" s="10" t="s">
        <v>115</v>
      </c>
      <c r="C11" s="10"/>
      <c r="D11" s="10"/>
      <c r="E11" s="10"/>
      <c r="F11" s="10"/>
      <c r="G11" s="10"/>
      <c r="H11" s="10"/>
      <c r="I11" s="10"/>
      <c r="J11" s="10"/>
      <c r="K11" s="10"/>
      <c r="L11" s="10"/>
      <c r="M11" s="10"/>
      <c r="N11" s="10"/>
      <c r="O11" s="10"/>
      <c r="P11" s="10"/>
      <c r="Q11" s="10"/>
      <c r="R11" s="10"/>
      <c r="S11" s="10"/>
    </row>
    <row r="12" spans="1:19" customFormat="1">
      <c r="A12" s="18"/>
    </row>
    <row r="13" spans="1:19" customFormat="1">
      <c r="A13" s="18"/>
      <c r="B13" t="s">
        <v>54</v>
      </c>
      <c r="D13" s="69"/>
      <c r="E13" s="201">
        <f>'3StatementModel'!D26</f>
        <v>1447.4699999999998</v>
      </c>
      <c r="F13" s="201">
        <f>'3StatementModel'!E26</f>
        <v>1201.5999999999999</v>
      </c>
      <c r="G13" s="201">
        <f>'3StatementModel'!F26</f>
        <v>1654.3400000000015</v>
      </c>
      <c r="H13" s="201">
        <f>'3StatementModel'!G26</f>
        <v>2787.75</v>
      </c>
      <c r="I13" s="201">
        <f>'3StatementModel'!H26</f>
        <v>3609.0719999999992</v>
      </c>
      <c r="J13" s="201">
        <f>'3StatementModel'!I26</f>
        <v>4450.9730595235014</v>
      </c>
      <c r="K13" s="201">
        <f>'3StatementModel'!J26</f>
        <v>5083.3561592784563</v>
      </c>
      <c r="L13" s="201">
        <f>'3StatementModel'!K26</f>
        <v>5625.9683530256534</v>
      </c>
      <c r="M13" s="201">
        <f>'3StatementModel'!L26</f>
        <v>6025.4540050455562</v>
      </c>
      <c r="N13" s="201">
        <f>'3StatementModel'!M26</f>
        <v>6235.0170212165285</v>
      </c>
      <c r="O13" s="201">
        <f>'3StatementModel'!N26</f>
        <v>6983.2190637625117</v>
      </c>
      <c r="P13" s="201">
        <f>'3StatementModel'!O26</f>
        <v>7821.2053514140152</v>
      </c>
      <c r="Q13" s="201">
        <f>'3StatementModel'!P26</f>
        <v>8759.7499935836968</v>
      </c>
      <c r="R13" s="201">
        <f>'3StatementModel'!Q26</f>
        <v>9810.9199928137423</v>
      </c>
      <c r="S13" s="201">
        <f>'3StatementModel'!R26</f>
        <v>10988.230391951387</v>
      </c>
    </row>
    <row r="14" spans="1:19" customFormat="1">
      <c r="A14" s="18"/>
      <c r="B14" s="40" t="s">
        <v>41</v>
      </c>
      <c r="D14" s="69"/>
      <c r="E14" s="201">
        <f>'3StatementModel'!D30*-1</f>
        <v>-488.63</v>
      </c>
      <c r="F14" s="201">
        <f>'3StatementModel'!E30*-1</f>
        <v>-528.70000000000005</v>
      </c>
      <c r="G14" s="201">
        <f>'3StatementModel'!F30*-1</f>
        <v>-531.26</v>
      </c>
      <c r="H14" s="201">
        <f>'3StatementModel'!G30*-1</f>
        <v>-617.19000000000005</v>
      </c>
      <c r="I14" s="201">
        <f>'3StatementModel'!H30*-1</f>
        <v>-680.90599999999995</v>
      </c>
      <c r="J14" s="201">
        <f>'3StatementModel'!I30*-1</f>
        <v>-1020.3840430282692</v>
      </c>
      <c r="K14" s="201">
        <f>'3StatementModel'!J30*-1</f>
        <v>-1161.8332276233814</v>
      </c>
      <c r="L14" s="201">
        <f>'3StatementModel'!K30*-1</f>
        <v>-1398.4587774644838</v>
      </c>
      <c r="M14" s="201">
        <f>'3StatementModel'!L30*-1</f>
        <v>-1629.6003703058902</v>
      </c>
      <c r="N14" s="201">
        <f>'3StatementModel'!M30*-1</f>
        <v>-1839.2192705679659</v>
      </c>
      <c r="O14" s="201">
        <f>'3StatementModel'!N30*-1</f>
        <v>-2073.9924388614904</v>
      </c>
      <c r="P14" s="201">
        <f>'3StatementModel'!O30*-1</f>
        <v>-2336.9383873502384</v>
      </c>
      <c r="Q14" s="201">
        <f>'3StatementModel'!P30*-1</f>
        <v>-2631.437849657636</v>
      </c>
      <c r="R14" s="201">
        <f>'3StatementModel'!Q30*-1</f>
        <v>-2961.2772474419212</v>
      </c>
      <c r="S14" s="201">
        <f>'3StatementModel'!R30*-1</f>
        <v>-3330.6973729603205</v>
      </c>
    </row>
    <row r="15" spans="1:19" customFormat="1">
      <c r="A15" s="18"/>
      <c r="B15" s="20" t="s">
        <v>55</v>
      </c>
      <c r="C15" s="20"/>
      <c r="D15" s="20"/>
      <c r="E15" s="507">
        <f>SUM('DCF-Valn'!E13:E14)</f>
        <v>958.8399999999998</v>
      </c>
      <c r="F15" s="507">
        <f>SUM('DCF-Valn'!F13:F14)</f>
        <v>672.89999999999986</v>
      </c>
      <c r="G15" s="507">
        <f>SUM('DCF-Valn'!G13:G14)</f>
        <v>1123.0800000000015</v>
      </c>
      <c r="H15" s="507">
        <f>SUM('DCF-Valn'!H13:H14)</f>
        <v>2170.56</v>
      </c>
      <c r="I15" s="507">
        <f>SUM('DCF-Valn'!I13:I14)</f>
        <v>2928.1659999999993</v>
      </c>
      <c r="J15" s="507">
        <f>SUM('DCF-Valn'!J13:J14)</f>
        <v>3430.5890164952325</v>
      </c>
      <c r="K15" s="507">
        <f>SUM('DCF-Valn'!K13:K14)</f>
        <v>3921.5229316550749</v>
      </c>
      <c r="L15" s="507">
        <f>SUM('DCF-Valn'!L13:L14)</f>
        <v>4227.5095755611692</v>
      </c>
      <c r="M15" s="507">
        <f>SUM('DCF-Valn'!M13:M14)</f>
        <v>4395.8536347396657</v>
      </c>
      <c r="N15" s="507">
        <f>SUM('DCF-Valn'!N13:N14)</f>
        <v>4395.7977506485622</v>
      </c>
      <c r="O15" s="507">
        <f>SUM('DCF-Valn'!O13:O14)</f>
        <v>4909.2266249010208</v>
      </c>
      <c r="P15" s="507">
        <f>SUM('DCF-Valn'!P13:P14)</f>
        <v>5484.2669640637769</v>
      </c>
      <c r="Q15" s="507">
        <f>SUM('DCF-Valn'!Q13:Q14)</f>
        <v>6128.3121439260613</v>
      </c>
      <c r="R15" s="507">
        <f>SUM('DCF-Valn'!R13:R14)</f>
        <v>6849.6427453718206</v>
      </c>
      <c r="S15" s="507">
        <f>SUM('DCF-Valn'!S13:S14)</f>
        <v>7657.5330189910665</v>
      </c>
    </row>
    <row r="16" spans="1:19" customFormat="1">
      <c r="A16" s="18"/>
      <c r="B16" s="40" t="s">
        <v>116</v>
      </c>
      <c r="D16" s="69"/>
      <c r="E16" s="201">
        <f>'3StatementModel'!D41*-1</f>
        <v>-224.07</v>
      </c>
      <c r="F16" s="201">
        <f>'3StatementModel'!E41*-1</f>
        <v>-5.23</v>
      </c>
      <c r="G16" s="201">
        <f>'3StatementModel'!F41*-1</f>
        <v>-260.56</v>
      </c>
      <c r="H16" s="201">
        <f>'3StatementModel'!G41*-1</f>
        <v>-473.52</v>
      </c>
      <c r="I16" s="201">
        <f>'3StatementModel'!H41*-1</f>
        <v>-637.54700000000003</v>
      </c>
      <c r="J16" s="201">
        <f>'3StatementModel'!I41*-1</f>
        <v>-744.8193611194331</v>
      </c>
      <c r="K16" s="201">
        <f>'3StatementModel'!J41*-1</f>
        <v>-866.87307232245598</v>
      </c>
      <c r="L16" s="201">
        <f>'3StatementModel'!K41*-1</f>
        <v>-962.31958855672247</v>
      </c>
      <c r="M16" s="201">
        <f>'3StatementModel'!L41*-1</f>
        <v>-1017.6036623844691</v>
      </c>
      <c r="N16" s="201">
        <f>'3StatementModel'!M41*-1</f>
        <v>-1028.5397601694315</v>
      </c>
      <c r="O16" s="201">
        <f>'3StatementModel'!N41*-1</f>
        <v>-1168.3189558936547</v>
      </c>
      <c r="P16" s="201">
        <f>'3StatementModel'!O41*-1</f>
        <v>-1320.6829391819454</v>
      </c>
      <c r="Q16" s="201">
        <f>'3StatementModel'!P41*-1</f>
        <v>-1487.8796259279839</v>
      </c>
      <c r="R16" s="201">
        <f>'3StatementModel'!Q41*-1</f>
        <v>-1670.7347884235712</v>
      </c>
      <c r="S16" s="201">
        <f>'3StatementModel'!R41*-1</f>
        <v>-1871.0991895651161</v>
      </c>
    </row>
    <row r="17" spans="1:19" customFormat="1">
      <c r="A17" s="18"/>
      <c r="B17" s="20" t="s">
        <v>117</v>
      </c>
      <c r="C17" s="20"/>
      <c r="D17" s="20"/>
      <c r="E17" s="507">
        <f t="shared" ref="E17:I17" si="0">SUM(E15:E16)</f>
        <v>734.76999999999975</v>
      </c>
      <c r="F17" s="507">
        <f t="shared" si="0"/>
        <v>667.66999999999985</v>
      </c>
      <c r="G17" s="507">
        <f t="shared" si="0"/>
        <v>862.52000000000157</v>
      </c>
      <c r="H17" s="507">
        <f t="shared" si="0"/>
        <v>1697.04</v>
      </c>
      <c r="I17" s="507">
        <f t="shared" si="0"/>
        <v>2290.6189999999992</v>
      </c>
      <c r="J17" s="507">
        <f>SUM(J15:J16)</f>
        <v>2685.7696553757996</v>
      </c>
      <c r="K17" s="507">
        <f t="shared" ref="K17:N17" si="1">SUM(K15:K16)</f>
        <v>3054.6498593326187</v>
      </c>
      <c r="L17" s="507">
        <f t="shared" si="1"/>
        <v>3265.1899870044467</v>
      </c>
      <c r="M17" s="507">
        <f t="shared" si="1"/>
        <v>3378.2499723551964</v>
      </c>
      <c r="N17" s="507">
        <f t="shared" si="1"/>
        <v>3367.257990479131</v>
      </c>
      <c r="O17" s="507">
        <f>SUM(O15:O16)</f>
        <v>3740.9076690073662</v>
      </c>
      <c r="P17" s="507">
        <f t="shared" ref="P17:S17" si="2">SUM(P15:P16)</f>
        <v>4163.5840248818313</v>
      </c>
      <c r="Q17" s="507">
        <f t="shared" si="2"/>
        <v>4640.4325179980769</v>
      </c>
      <c r="R17" s="507">
        <f t="shared" si="2"/>
        <v>5178.9079569482492</v>
      </c>
      <c r="S17" s="507">
        <f t="shared" si="2"/>
        <v>5786.4338294259505</v>
      </c>
    </row>
    <row r="18" spans="1:19" customFormat="1">
      <c r="A18" s="18"/>
      <c r="B18" s="40" t="s">
        <v>809</v>
      </c>
      <c r="C18" s="11"/>
      <c r="D18" s="11"/>
      <c r="E18" s="201">
        <f>'3StatementModel'!D30</f>
        <v>488.63</v>
      </c>
      <c r="F18" s="201">
        <f>'3StatementModel'!E30</f>
        <v>528.70000000000005</v>
      </c>
      <c r="G18" s="201">
        <f>'3StatementModel'!F30</f>
        <v>531.26</v>
      </c>
      <c r="H18" s="201">
        <f>'3StatementModel'!G30</f>
        <v>617.19000000000005</v>
      </c>
      <c r="I18" s="201">
        <f>'3StatementModel'!H30</f>
        <v>680.90599999999995</v>
      </c>
      <c r="J18" s="201">
        <f>'3StatementModel'!I30</f>
        <v>1020.3840430282692</v>
      </c>
      <c r="K18" s="201">
        <f>'3StatementModel'!J30</f>
        <v>1161.8332276233814</v>
      </c>
      <c r="L18" s="201">
        <f>'3StatementModel'!K30</f>
        <v>1398.4587774644838</v>
      </c>
      <c r="M18" s="201">
        <f>'3StatementModel'!L30</f>
        <v>1629.6003703058902</v>
      </c>
      <c r="N18" s="201">
        <f>'3StatementModel'!M30</f>
        <v>1839.2192705679659</v>
      </c>
      <c r="O18" s="201">
        <f>'3StatementModel'!N30</f>
        <v>2073.9924388614904</v>
      </c>
      <c r="P18" s="201">
        <f>'3StatementModel'!O30</f>
        <v>2336.9383873502384</v>
      </c>
      <c r="Q18" s="201">
        <f>'3StatementModel'!P30</f>
        <v>2631.437849657636</v>
      </c>
      <c r="R18" s="201">
        <f>'3StatementModel'!Q30</f>
        <v>2961.2772474419212</v>
      </c>
      <c r="S18" s="201">
        <f>'3StatementModel'!R30</f>
        <v>3330.6973729603205</v>
      </c>
    </row>
    <row r="19" spans="1:19" customFormat="1">
      <c r="A19" s="18"/>
      <c r="B19" s="358" t="s">
        <v>810</v>
      </c>
      <c r="C19" s="20"/>
      <c r="D19" s="20"/>
      <c r="E19" s="507">
        <f>SUM(E17:E18)</f>
        <v>1223.3999999999996</v>
      </c>
      <c r="F19" s="507">
        <f t="shared" ref="F19:N19" si="3">SUM(F17:F18)</f>
        <v>1196.3699999999999</v>
      </c>
      <c r="G19" s="507">
        <f t="shared" si="3"/>
        <v>1393.7800000000016</v>
      </c>
      <c r="H19" s="507">
        <f t="shared" si="3"/>
        <v>2314.23</v>
      </c>
      <c r="I19" s="507">
        <f t="shared" si="3"/>
        <v>2971.5249999999992</v>
      </c>
      <c r="J19" s="507">
        <f t="shared" si="3"/>
        <v>3706.1536984040686</v>
      </c>
      <c r="K19" s="507">
        <f t="shared" si="3"/>
        <v>4216.4830869560001</v>
      </c>
      <c r="L19" s="507">
        <f t="shared" si="3"/>
        <v>4663.6487644689305</v>
      </c>
      <c r="M19" s="507">
        <f t="shared" si="3"/>
        <v>5007.8503426610869</v>
      </c>
      <c r="N19" s="507">
        <f t="shared" si="3"/>
        <v>5206.4772610470973</v>
      </c>
      <c r="O19" s="507">
        <f t="shared" ref="O19:S19" si="4">SUM(O17:O18)</f>
        <v>5814.9001078688561</v>
      </c>
      <c r="P19" s="507">
        <f t="shared" si="4"/>
        <v>6500.5224122320697</v>
      </c>
      <c r="Q19" s="507">
        <f t="shared" si="4"/>
        <v>7271.8703676557125</v>
      </c>
      <c r="R19" s="507">
        <f t="shared" si="4"/>
        <v>8140.1852043901708</v>
      </c>
      <c r="S19" s="507">
        <f t="shared" si="4"/>
        <v>9117.1312023862702</v>
      </c>
    </row>
    <row r="20" spans="1:19" customFormat="1">
      <c r="A20" s="18"/>
      <c r="B20" s="11" t="s">
        <v>118</v>
      </c>
      <c r="E20" s="218"/>
      <c r="F20" s="218"/>
      <c r="G20" s="218"/>
      <c r="H20" s="218"/>
      <c r="I20" s="218"/>
      <c r="J20" s="218"/>
      <c r="K20" s="218"/>
      <c r="L20" s="218"/>
      <c r="M20" s="218"/>
      <c r="N20" s="218"/>
      <c r="O20" s="218"/>
      <c r="P20" s="218"/>
      <c r="Q20" s="218"/>
      <c r="R20" s="218"/>
      <c r="S20" s="218"/>
    </row>
    <row r="21" spans="1:19" customFormat="1">
      <c r="A21" s="18"/>
      <c r="B21" s="40" t="s">
        <v>120</v>
      </c>
      <c r="D21" s="104"/>
      <c r="E21" s="201">
        <f>'3StatementModel'!D120</f>
        <v>-85.110000000000014</v>
      </c>
      <c r="F21" s="201">
        <f>'3StatementModel'!E120</f>
        <v>-110.85</v>
      </c>
      <c r="G21" s="201">
        <f>'3StatementModel'!F120</f>
        <v>-268.73999999999995</v>
      </c>
      <c r="H21" s="201">
        <f>'3StatementModel'!G120</f>
        <v>-585.19000000000005</v>
      </c>
      <c r="I21" s="201">
        <f>'3StatementModel'!H120</f>
        <v>-673.48099999999999</v>
      </c>
      <c r="J21" s="201">
        <f>'3StatementModel'!I120</f>
        <v>-648.37457953767125</v>
      </c>
      <c r="K21" s="201">
        <f>'3StatementModel'!J120</f>
        <v>-760.54264193257688</v>
      </c>
      <c r="L21" s="201">
        <f>'3StatementModel'!K120</f>
        <v>-378.97292607317604</v>
      </c>
      <c r="M21" s="201">
        <f>'3StatementModel'!L120</f>
        <v>-682.58126428760397</v>
      </c>
      <c r="N21" s="201">
        <f>'3StatementModel'!M120</f>
        <v>-602.28593222142229</v>
      </c>
      <c r="O21" s="201">
        <f>'3StatementModel'!N120</f>
        <v>-730.83328128629432</v>
      </c>
      <c r="P21" s="201">
        <f>'3StatementModel'!O120</f>
        <v>-818.53327504065078</v>
      </c>
      <c r="Q21" s="201">
        <f>'3StatementModel'!P120</f>
        <v>-916.75726804552869</v>
      </c>
      <c r="R21" s="201">
        <f>'3StatementModel'!Q120</f>
        <v>-1026.7681402109918</v>
      </c>
      <c r="S21" s="201">
        <f>'3StatementModel'!R120</f>
        <v>-1149.9803170363093</v>
      </c>
    </row>
    <row r="22" spans="1:19" customFormat="1">
      <c r="A22" s="18"/>
      <c r="B22" s="40" t="s">
        <v>811</v>
      </c>
      <c r="D22" s="104"/>
      <c r="E22" s="201">
        <f>'3StatementModel'!D124</f>
        <v>-733.08</v>
      </c>
      <c r="F22" s="201">
        <f>'3StatementModel'!E124</f>
        <v>-535.61</v>
      </c>
      <c r="G22" s="201">
        <f>'3StatementModel'!F124</f>
        <v>-815.44999999999993</v>
      </c>
      <c r="H22" s="201">
        <f>'3StatementModel'!G124</f>
        <v>-1749.9</v>
      </c>
      <c r="I22" s="201">
        <f>'3StatementModel'!H124</f>
        <v>-3193.9180000000001</v>
      </c>
      <c r="J22" s="201">
        <f>'3StatementModel'!I124</f>
        <v>-3600</v>
      </c>
      <c r="K22" s="201">
        <f>'3StatementModel'!J124</f>
        <v>-1500</v>
      </c>
      <c r="L22" s="201">
        <f>'3StatementModel'!K124</f>
        <v>-2509.2991930468756</v>
      </c>
      <c r="M22" s="201">
        <f>'3StatementModel'!L124</f>
        <v>-2451.1444887755856</v>
      </c>
      <c r="N22" s="201">
        <f>'3StatementModel'!M124</f>
        <v>-2222.9067724436954</v>
      </c>
      <c r="O22" s="201">
        <f>'3StatementModel'!N124</f>
        <v>-2489.6555851369421</v>
      </c>
      <c r="P22" s="201">
        <f>'3StatementModel'!O124</f>
        <v>-2788.4142553533738</v>
      </c>
      <c r="Q22" s="201">
        <f>'3StatementModel'!P124</f>
        <v>-3123.0239659957806</v>
      </c>
      <c r="R22" s="201">
        <f>'3StatementModel'!Q124</f>
        <v>-3497.7868419152742</v>
      </c>
      <c r="S22" s="201">
        <f>'3StatementModel'!R124</f>
        <v>-3917.5212629451034</v>
      </c>
    </row>
    <row r="23" spans="1:19" customFormat="1">
      <c r="A23" s="18"/>
      <c r="B23" s="20" t="s">
        <v>115</v>
      </c>
      <c r="C23" s="20"/>
      <c r="D23" s="107"/>
      <c r="E23" s="507">
        <f>E19+SUM(E21:E22)</f>
        <v>405.20999999999958</v>
      </c>
      <c r="F23" s="507">
        <f t="shared" ref="F23:N23" si="5">F19+SUM(F21:F22)</f>
        <v>549.90999999999985</v>
      </c>
      <c r="G23" s="507">
        <f t="shared" si="5"/>
        <v>309.59000000000174</v>
      </c>
      <c r="H23" s="507">
        <f t="shared" si="5"/>
        <v>-20.860000000000127</v>
      </c>
      <c r="I23" s="507">
        <f t="shared" si="5"/>
        <v>-895.87400000000116</v>
      </c>
      <c r="J23" s="507">
        <f t="shared" si="5"/>
        <v>-542.22088113360223</v>
      </c>
      <c r="K23" s="507">
        <f t="shared" si="5"/>
        <v>1955.9404450234233</v>
      </c>
      <c r="L23" s="507">
        <f t="shared" si="5"/>
        <v>1775.3766453488788</v>
      </c>
      <c r="M23" s="507">
        <f t="shared" si="5"/>
        <v>1874.1245895978973</v>
      </c>
      <c r="N23" s="507">
        <f t="shared" si="5"/>
        <v>2381.2845563819797</v>
      </c>
      <c r="O23" s="507">
        <f t="shared" ref="O23:S23" si="6">O19+SUM(O21:O22)</f>
        <v>2594.4112414456195</v>
      </c>
      <c r="P23" s="507">
        <f t="shared" si="6"/>
        <v>2893.5748818380453</v>
      </c>
      <c r="Q23" s="507">
        <f t="shared" si="6"/>
        <v>3232.0891336144032</v>
      </c>
      <c r="R23" s="507">
        <f t="shared" si="6"/>
        <v>3615.6302222639051</v>
      </c>
      <c r="S23" s="507">
        <f t="shared" si="6"/>
        <v>4049.6296224048574</v>
      </c>
    </row>
    <row r="25" spans="1:19">
      <c r="B25" s="111" t="s">
        <v>119</v>
      </c>
      <c r="C25" s="113" t="s">
        <v>143</v>
      </c>
      <c r="D25" s="504" t="s">
        <v>121</v>
      </c>
      <c r="E25"/>
      <c r="F25"/>
      <c r="G25"/>
      <c r="H25"/>
      <c r="I25"/>
      <c r="J25" s="32">
        <f>IF(D25="Yes",(J9-I9)/2,J9-I9)</f>
        <v>0.5</v>
      </c>
      <c r="K25" s="32">
        <f>J25+1</f>
        <v>1.5</v>
      </c>
      <c r="L25" s="32">
        <f t="shared" ref="L25:N25" si="7">K25+1</f>
        <v>2.5</v>
      </c>
      <c r="M25" s="32">
        <f t="shared" si="7"/>
        <v>3.5</v>
      </c>
      <c r="N25" s="32">
        <f t="shared" si="7"/>
        <v>4.5</v>
      </c>
      <c r="O25" s="32">
        <f>IF(I25="Yes",(O9-N9)/2,O9-N9)</f>
        <v>1</v>
      </c>
      <c r="P25" s="32">
        <f>O25+1</f>
        <v>2</v>
      </c>
      <c r="Q25" s="32">
        <f t="shared" ref="Q25" si="8">P25+1</f>
        <v>3</v>
      </c>
      <c r="R25" s="32">
        <f t="shared" ref="R25" si="9">Q25+1</f>
        <v>4</v>
      </c>
      <c r="S25" s="32">
        <f t="shared" ref="S25" si="10">R25+1</f>
        <v>5</v>
      </c>
    </row>
    <row r="26" spans="1:19">
      <c r="B26" s="111" t="s">
        <v>123</v>
      </c>
      <c r="C26" s="123">
        <f>WACC!E22</f>
        <v>0.09</v>
      </c>
      <c r="E26"/>
      <c r="F26"/>
      <c r="G26"/>
      <c r="H26"/>
      <c r="I26"/>
    </row>
    <row r="27" spans="1:19">
      <c r="B27" s="111" t="s">
        <v>124</v>
      </c>
      <c r="D27" s="87"/>
      <c r="E27"/>
      <c r="F27"/>
      <c r="G27"/>
      <c r="H27"/>
      <c r="I27"/>
      <c r="J27" s="114">
        <f>1/((1+$C$26)^J25)</f>
        <v>0.95782628522115132</v>
      </c>
      <c r="K27" s="114">
        <f t="shared" ref="K27:N27" si="11">1/((1+$C$26)^K25)</f>
        <v>0.8787397112120654</v>
      </c>
      <c r="L27" s="114">
        <f t="shared" si="11"/>
        <v>0.80618322129547271</v>
      </c>
      <c r="M27" s="114">
        <f t="shared" si="11"/>
        <v>0.73961763421603011</v>
      </c>
      <c r="N27" s="114">
        <f t="shared" si="11"/>
        <v>0.67854828827158709</v>
      </c>
      <c r="O27" s="114">
        <f>1/((1+$C$26)^O25)</f>
        <v>0.9174311926605504</v>
      </c>
      <c r="P27" s="114">
        <f t="shared" ref="P27:S27" si="12">1/((1+$C$26)^P25)</f>
        <v>0.84167999326655996</v>
      </c>
      <c r="Q27" s="114">
        <f t="shared" si="12"/>
        <v>0.77218348006106419</v>
      </c>
      <c r="R27" s="114">
        <f t="shared" si="12"/>
        <v>0.7084252110651964</v>
      </c>
      <c r="S27" s="114">
        <f t="shared" si="12"/>
        <v>0.64993138629834524</v>
      </c>
    </row>
    <row r="28" spans="1:19">
      <c r="D28" s="87"/>
      <c r="E28" s="87"/>
      <c r="F28" s="87"/>
      <c r="G28" s="87"/>
      <c r="H28" s="87"/>
      <c r="I28" s="87"/>
      <c r="J28" s="87"/>
      <c r="K28" s="87"/>
      <c r="L28" s="87"/>
      <c r="M28" s="87"/>
      <c r="N28" s="87"/>
      <c r="O28" s="87"/>
      <c r="P28" s="87"/>
      <c r="Q28" s="87"/>
      <c r="R28" s="87"/>
      <c r="S28" s="87"/>
    </row>
    <row r="29" spans="1:19" ht="15" thickBot="1">
      <c r="B29" s="118" t="s">
        <v>125</v>
      </c>
      <c r="C29" s="115"/>
      <c r="D29" s="116"/>
      <c r="E29" s="117"/>
      <c r="F29" s="117"/>
      <c r="G29" s="117"/>
      <c r="H29" s="117"/>
      <c r="I29" s="117"/>
      <c r="J29" s="200">
        <f>J23*J27</f>
        <v>-519.35341234553766</v>
      </c>
      <c r="K29" s="200">
        <f t="shared" ref="K29:N29" si="13">K23*K27</f>
        <v>1718.7625418078817</v>
      </c>
      <c r="L29" s="200">
        <f t="shared" si="13"/>
        <v>1431.2788629601091</v>
      </c>
      <c r="M29" s="200">
        <f t="shared" si="13"/>
        <v>1386.1355951844851</v>
      </c>
      <c r="N29" s="200">
        <f t="shared" si="13"/>
        <v>1615.8165596205579</v>
      </c>
      <c r="O29" s="200">
        <f>O23*O27</f>
        <v>2380.1937994913937</v>
      </c>
      <c r="P29" s="200">
        <f t="shared" ref="P29:S29" si="14">P23*P27</f>
        <v>2435.4640870617332</v>
      </c>
      <c r="Q29" s="200">
        <f t="shared" si="14"/>
        <v>2495.7658350619199</v>
      </c>
      <c r="R29" s="200">
        <f t="shared" si="14"/>
        <v>2561.4036033410098</v>
      </c>
      <c r="S29" s="200">
        <f t="shared" si="14"/>
        <v>2631.9813944844332</v>
      </c>
    </row>
    <row r="31" spans="1:19" ht="18">
      <c r="B31" s="568" t="s">
        <v>128</v>
      </c>
      <c r="C31" s="568"/>
      <c r="D31" s="10"/>
      <c r="E31" s="10"/>
      <c r="F31" s="10"/>
      <c r="G31" s="10"/>
      <c r="H31" s="10"/>
      <c r="I31" s="10"/>
      <c r="J31" s="10"/>
      <c r="K31" s="10"/>
      <c r="L31" s="10"/>
      <c r="M31" s="10"/>
      <c r="N31" s="10"/>
    </row>
    <row r="32" spans="1:19">
      <c r="D32" s="87"/>
      <c r="E32" s="87"/>
      <c r="F32" s="87"/>
      <c r="G32" s="87"/>
      <c r="H32" s="87"/>
      <c r="I32" s="87"/>
      <c r="J32" s="87"/>
      <c r="K32" s="87"/>
      <c r="L32" s="87"/>
      <c r="M32" s="87"/>
      <c r="N32" s="87"/>
    </row>
    <row r="33" spans="2:14">
      <c r="B33" s="32" t="s">
        <v>129</v>
      </c>
      <c r="C33" s="122">
        <f>WACC!E7</f>
        <v>4.641E-2</v>
      </c>
      <c r="D33" s="87"/>
      <c r="E33" s="87"/>
      <c r="F33" s="87"/>
      <c r="G33" s="87"/>
      <c r="H33" s="87"/>
      <c r="I33" s="87"/>
      <c r="J33" s="87"/>
      <c r="K33" s="87"/>
      <c r="L33" s="87"/>
      <c r="M33" s="87"/>
      <c r="N33" s="87"/>
    </row>
    <row r="34" spans="2:14">
      <c r="B34" s="32" t="s">
        <v>130</v>
      </c>
      <c r="C34" s="312">
        <f>S23*(1+C33)</f>
        <v>4237.572933180667</v>
      </c>
      <c r="D34" s="67"/>
      <c r="E34" s="67"/>
      <c r="F34" s="67"/>
      <c r="G34" s="67"/>
      <c r="H34" s="67"/>
      <c r="I34" s="67"/>
      <c r="J34" s="67"/>
      <c r="K34" s="67"/>
      <c r="L34" s="67"/>
      <c r="M34" s="67"/>
      <c r="N34" s="67"/>
    </row>
    <row r="35" spans="2:14">
      <c r="B35" s="120" t="s">
        <v>131</v>
      </c>
      <c r="C35" s="513">
        <f>C34/(C26-C33)</f>
        <v>97214.33661804696</v>
      </c>
    </row>
    <row r="36" spans="2:14">
      <c r="B36" s="32" t="s">
        <v>132</v>
      </c>
      <c r="C36" s="312">
        <f>C35*N27</f>
        <v>65964.621707633632</v>
      </c>
      <c r="D36" s="87"/>
      <c r="E36" s="87"/>
      <c r="F36" s="87"/>
      <c r="G36" s="87"/>
      <c r="H36" s="87"/>
      <c r="I36" s="87"/>
      <c r="J36" s="87"/>
      <c r="K36" s="87"/>
      <c r="L36" s="87"/>
      <c r="M36" s="87"/>
      <c r="N36" s="87"/>
    </row>
    <row r="37" spans="2:14">
      <c r="B37" s="32" t="s">
        <v>133</v>
      </c>
      <c r="C37" s="312">
        <f>SUM(J29:S29)</f>
        <v>18137.448866667986</v>
      </c>
      <c r="D37" s="87"/>
      <c r="E37" s="87"/>
      <c r="F37" s="87"/>
      <c r="G37" s="87"/>
      <c r="H37" s="87"/>
      <c r="I37" s="87"/>
      <c r="J37" s="87"/>
      <c r="K37" s="87"/>
      <c r="L37" s="87"/>
      <c r="M37" s="87"/>
      <c r="N37" s="87"/>
    </row>
    <row r="38" spans="2:14">
      <c r="B38" s="120" t="s">
        <v>134</v>
      </c>
      <c r="C38" s="513">
        <f>C36+C37</f>
        <v>84102.070574301615</v>
      </c>
      <c r="D38" s="67"/>
      <c r="E38" s="67"/>
      <c r="F38" s="67"/>
      <c r="G38" s="67"/>
      <c r="H38" s="67"/>
      <c r="I38" s="67"/>
      <c r="J38" s="67"/>
      <c r="K38" s="67"/>
      <c r="L38" s="67"/>
      <c r="M38" s="67"/>
      <c r="N38" s="67"/>
    </row>
    <row r="39" spans="2:14">
      <c r="B39" s="32" t="s">
        <v>135</v>
      </c>
      <c r="C39" s="121">
        <f>C38/S13</f>
        <v>7.6538321071156599</v>
      </c>
    </row>
    <row r="40" spans="2:14">
      <c r="B40" s="32" t="s">
        <v>136</v>
      </c>
      <c r="C40" s="121">
        <f>C38/'3StatementModel'!H26</f>
        <v>23.302962804372324</v>
      </c>
      <c r="D40" s="87"/>
      <c r="E40" s="87"/>
      <c r="F40" s="87"/>
      <c r="G40" s="87"/>
      <c r="H40" s="87"/>
      <c r="I40" s="87"/>
      <c r="J40" s="87"/>
      <c r="K40" s="87"/>
      <c r="L40" s="87"/>
      <c r="M40" s="87"/>
      <c r="N40" s="87"/>
    </row>
    <row r="41" spans="2:14">
      <c r="B41" s="32" t="s">
        <v>137</v>
      </c>
      <c r="C41" s="201">
        <f>SUM('3StatementModel'!H97,'3StatementModel'!H87)*-1</f>
        <v>-5194.3870000000006</v>
      </c>
      <c r="D41" s="87"/>
      <c r="E41" s="87"/>
      <c r="F41" s="87"/>
      <c r="G41" s="87"/>
      <c r="H41" s="87"/>
      <c r="I41" s="87"/>
      <c r="J41" s="87"/>
      <c r="K41" s="87"/>
      <c r="L41" s="87"/>
      <c r="M41" s="87"/>
      <c r="N41" s="87"/>
    </row>
    <row r="42" spans="2:14">
      <c r="B42" s="32" t="s">
        <v>138</v>
      </c>
      <c r="C42" s="201">
        <f>SUM('3StatementModel'!H68:H69)</f>
        <v>459.48699999999963</v>
      </c>
      <c r="D42" s="67"/>
      <c r="E42" s="67"/>
      <c r="F42" s="67"/>
      <c r="G42" s="67"/>
      <c r="H42" s="67"/>
      <c r="I42" s="67"/>
      <c r="J42" s="67"/>
      <c r="K42" s="67"/>
      <c r="L42" s="67"/>
      <c r="M42" s="67"/>
      <c r="N42" s="67"/>
    </row>
    <row r="43" spans="2:14">
      <c r="B43" s="32" t="s">
        <v>812</v>
      </c>
      <c r="C43" s="201">
        <f>'3StatementModel'!H83*-1</f>
        <v>-148.155</v>
      </c>
      <c r="D43" s="67"/>
      <c r="E43" s="67"/>
      <c r="F43" s="67"/>
      <c r="G43" s="67"/>
      <c r="H43" s="67"/>
      <c r="I43" s="67"/>
      <c r="J43" s="67"/>
      <c r="K43" s="67"/>
      <c r="L43" s="67"/>
      <c r="M43" s="67"/>
      <c r="N43" s="67"/>
    </row>
    <row r="44" spans="2:14">
      <c r="B44" s="32" t="s">
        <v>813</v>
      </c>
      <c r="C44" s="505">
        <f>'3StatementModel'!H62</f>
        <v>65.418000000000006</v>
      </c>
      <c r="D44" s="67"/>
      <c r="E44" s="67"/>
      <c r="F44" s="67"/>
      <c r="G44" s="67"/>
      <c r="H44" s="67"/>
      <c r="I44" s="67"/>
      <c r="J44" s="67"/>
      <c r="K44" s="67"/>
      <c r="L44" s="67"/>
      <c r="M44" s="67"/>
      <c r="N44" s="67"/>
    </row>
    <row r="45" spans="2:14">
      <c r="B45" s="120" t="s">
        <v>139</v>
      </c>
      <c r="C45" s="513">
        <f>SUM(C38,C41:C44)</f>
        <v>79284.433574301613</v>
      </c>
    </row>
    <row r="46" spans="2:14">
      <c r="B46" s="32" t="s">
        <v>814</v>
      </c>
      <c r="C46" s="201">
        <f ca="1">'Option value'!E28*-1</f>
        <v>-107.4976042492536</v>
      </c>
    </row>
    <row r="47" spans="2:14">
      <c r="B47" s="119" t="s">
        <v>815</v>
      </c>
      <c r="C47" s="516">
        <f ca="1">SUM(C45:C46)</f>
        <v>79176.935970052364</v>
      </c>
    </row>
    <row r="48" spans="2:14">
      <c r="D48" s="87"/>
      <c r="E48" s="87"/>
      <c r="F48" s="87"/>
      <c r="G48" s="87"/>
      <c r="H48" s="87"/>
      <c r="I48" s="87"/>
      <c r="J48" s="87"/>
      <c r="K48" s="87"/>
      <c r="L48" s="87"/>
      <c r="M48" s="87"/>
      <c r="N48" s="87"/>
    </row>
    <row r="49" spans="2:14" ht="18">
      <c r="B49" s="10" t="s">
        <v>140</v>
      </c>
      <c r="C49" s="10"/>
      <c r="D49" s="10"/>
      <c r="E49" s="10"/>
      <c r="F49" s="10"/>
      <c r="G49" s="10"/>
      <c r="H49" s="10"/>
      <c r="I49" s="10"/>
      <c r="J49" s="10"/>
      <c r="K49" s="10"/>
      <c r="L49" s="10"/>
      <c r="M49" s="10"/>
      <c r="N49" s="10"/>
    </row>
    <row r="50" spans="2:14">
      <c r="D50" s="67"/>
      <c r="E50" s="67"/>
      <c r="F50" s="67"/>
      <c r="G50" s="67"/>
      <c r="H50" s="67"/>
      <c r="I50" s="67"/>
      <c r="J50" s="67"/>
      <c r="K50" s="67"/>
      <c r="L50" s="67"/>
      <c r="M50" s="67"/>
      <c r="N50" s="67"/>
    </row>
    <row r="51" spans="2:14">
      <c r="B51" s="32" t="s">
        <v>141</v>
      </c>
      <c r="C51" s="124">
        <v>16</v>
      </c>
    </row>
    <row r="52" spans="2:14">
      <c r="B52" s="32" t="s">
        <v>142</v>
      </c>
      <c r="C52" s="201">
        <f>'3StatementModel'!M26</f>
        <v>6235.0170212165285</v>
      </c>
      <c r="D52" s="87"/>
      <c r="E52" s="87"/>
      <c r="F52" s="87"/>
      <c r="G52" s="87"/>
      <c r="H52" s="87"/>
      <c r="I52" s="87"/>
      <c r="J52" s="87"/>
      <c r="K52" s="87"/>
      <c r="L52" s="87"/>
      <c r="M52" s="87"/>
      <c r="N52" s="87"/>
    </row>
    <row r="53" spans="2:14">
      <c r="B53" s="120" t="s">
        <v>131</v>
      </c>
      <c r="C53" s="513">
        <f>C52*C51</f>
        <v>99760.272339464456</v>
      </c>
      <c r="D53" s="87"/>
      <c r="E53" s="87"/>
      <c r="F53" s="87"/>
      <c r="G53" s="87"/>
      <c r="H53" s="87"/>
      <c r="I53" s="87"/>
      <c r="J53" s="87"/>
      <c r="K53" s="87"/>
      <c r="L53" s="87"/>
      <c r="M53" s="87"/>
      <c r="N53" s="87"/>
    </row>
    <row r="54" spans="2:14">
      <c r="B54" s="32" t="s">
        <v>132</v>
      </c>
      <c r="C54" s="312">
        <f>C53*S27</f>
        <v>64837.332099088599</v>
      </c>
      <c r="D54" s="67"/>
      <c r="E54" s="67"/>
      <c r="F54" s="67"/>
      <c r="G54" s="67"/>
      <c r="H54" s="67"/>
      <c r="I54" s="67"/>
      <c r="J54" s="67"/>
      <c r="K54" s="67"/>
      <c r="L54" s="67"/>
      <c r="M54" s="67"/>
      <c r="N54" s="67"/>
    </row>
    <row r="55" spans="2:14">
      <c r="B55" s="32" t="s">
        <v>133</v>
      </c>
      <c r="C55" s="312">
        <f>C37</f>
        <v>18137.448866667986</v>
      </c>
    </row>
    <row r="56" spans="2:14">
      <c r="B56" s="120" t="s">
        <v>134</v>
      </c>
      <c r="C56" s="513">
        <f>C54+C55</f>
        <v>82974.780965756581</v>
      </c>
    </row>
    <row r="57" spans="2:14">
      <c r="B57" s="359" t="s">
        <v>135</v>
      </c>
      <c r="C57" s="360">
        <f>C56/N13</f>
        <v>13.307867594171729</v>
      </c>
    </row>
    <row r="58" spans="2:14">
      <c r="B58" s="359" t="s">
        <v>136</v>
      </c>
      <c r="C58" s="360">
        <f>C56/'3StatementModel'!H26</f>
        <v>22.990613921184337</v>
      </c>
      <c r="D58" s="87"/>
      <c r="E58" s="87"/>
      <c r="F58" s="87"/>
      <c r="G58" s="87"/>
      <c r="H58" s="87"/>
      <c r="I58" s="87"/>
      <c r="J58" s="87"/>
      <c r="K58" s="87"/>
      <c r="L58" s="87"/>
      <c r="M58" s="87"/>
      <c r="N58" s="87"/>
    </row>
    <row r="59" spans="2:14">
      <c r="B59" s="32" t="s">
        <v>812</v>
      </c>
      <c r="C59" s="312">
        <f>C43</f>
        <v>-148.155</v>
      </c>
      <c r="D59" s="87"/>
      <c r="E59" s="87"/>
      <c r="F59" s="87"/>
      <c r="G59" s="87"/>
      <c r="H59" s="87"/>
      <c r="I59" s="87"/>
      <c r="J59" s="87"/>
      <c r="K59" s="87"/>
      <c r="L59" s="87"/>
      <c r="M59" s="87"/>
      <c r="N59" s="87"/>
    </row>
    <row r="60" spans="2:14">
      <c r="B60" s="32" t="s">
        <v>813</v>
      </c>
      <c r="C60" s="312">
        <f>C44</f>
        <v>65.418000000000006</v>
      </c>
      <c r="D60" s="87"/>
      <c r="E60" s="87"/>
      <c r="F60" s="87"/>
      <c r="G60" s="87"/>
      <c r="H60" s="87"/>
      <c r="I60" s="87"/>
      <c r="J60" s="87"/>
      <c r="K60" s="87"/>
      <c r="L60" s="87"/>
      <c r="M60" s="87"/>
      <c r="N60" s="87"/>
    </row>
    <row r="61" spans="2:14">
      <c r="B61" s="32" t="s">
        <v>137</v>
      </c>
      <c r="C61" s="312">
        <f>C41</f>
        <v>-5194.3870000000006</v>
      </c>
      <c r="D61" s="87"/>
      <c r="E61" s="87"/>
      <c r="F61" s="87"/>
      <c r="G61" s="87"/>
      <c r="H61" s="87"/>
      <c r="I61" s="87"/>
      <c r="J61" s="87"/>
      <c r="K61" s="87"/>
      <c r="L61" s="87"/>
      <c r="M61" s="87"/>
      <c r="N61" s="87"/>
    </row>
    <row r="62" spans="2:14">
      <c r="B62" s="32" t="s">
        <v>138</v>
      </c>
      <c r="C62" s="312">
        <f>C42</f>
        <v>459.48699999999963</v>
      </c>
      <c r="D62" s="112"/>
      <c r="E62" s="112"/>
      <c r="F62" s="112"/>
      <c r="G62" s="112"/>
      <c r="H62" s="112"/>
      <c r="I62" s="112"/>
      <c r="J62" s="112"/>
      <c r="K62" s="112"/>
      <c r="L62" s="112"/>
      <c r="M62" s="112"/>
      <c r="N62" s="112"/>
    </row>
    <row r="63" spans="2:14">
      <c r="B63" s="120" t="s">
        <v>139</v>
      </c>
      <c r="C63" s="513">
        <f>SUM(C56,C59:C62)</f>
        <v>78157.143965756579</v>
      </c>
      <c r="D63" s="67"/>
      <c r="E63" s="67"/>
      <c r="F63" s="67"/>
      <c r="G63" s="67"/>
      <c r="H63" s="67"/>
      <c r="I63" s="67"/>
      <c r="J63" s="67"/>
      <c r="K63" s="67"/>
      <c r="L63" s="67"/>
      <c r="M63" s="67"/>
      <c r="N63" s="67"/>
    </row>
    <row r="64" spans="2:14">
      <c r="B64" s="32" t="s">
        <v>814</v>
      </c>
      <c r="C64" s="312">
        <f ca="1">C46</f>
        <v>-107.4976042492536</v>
      </c>
      <c r="D64" s="87"/>
      <c r="E64" s="87"/>
      <c r="F64" s="87"/>
      <c r="G64" s="87"/>
      <c r="H64" s="87"/>
      <c r="I64" s="87"/>
      <c r="J64" s="87"/>
      <c r="K64" s="87"/>
      <c r="L64" s="87"/>
      <c r="M64" s="87"/>
      <c r="N64" s="87"/>
    </row>
    <row r="65" spans="2:22">
      <c r="B65" s="119" t="s">
        <v>815</v>
      </c>
      <c r="C65" s="516">
        <f ca="1">SUM(C63:C64)</f>
        <v>78049.64636150733</v>
      </c>
    </row>
    <row r="67" spans="2:22" ht="18">
      <c r="B67" s="10" t="s">
        <v>971</v>
      </c>
      <c r="C67" s="10"/>
      <c r="D67" s="10"/>
      <c r="E67" s="10"/>
      <c r="F67" s="10"/>
      <c r="G67" s="10"/>
      <c r="H67" s="10"/>
      <c r="I67" s="10"/>
      <c r="J67" s="10"/>
      <c r="K67" s="10"/>
      <c r="L67" s="10"/>
      <c r="M67" s="10"/>
      <c r="N67" s="10"/>
    </row>
    <row r="69" spans="2:22">
      <c r="E69" s="567" t="s">
        <v>973</v>
      </c>
      <c r="F69" s="567"/>
      <c r="G69" s="567"/>
      <c r="H69" s="567"/>
    </row>
    <row r="70" spans="2:22" ht="15" thickBot="1">
      <c r="D70" s="526">
        <f ca="1">C47</f>
        <v>79176.935970052364</v>
      </c>
      <c r="E70" s="517">
        <v>0.04</v>
      </c>
      <c r="F70" s="517">
        <v>4.641E-2</v>
      </c>
      <c r="G70" s="517">
        <v>0.06</v>
      </c>
      <c r="H70" s="517">
        <v>7.0000000000000007E-2</v>
      </c>
      <c r="I70" s="517"/>
      <c r="J70" s="517"/>
    </row>
    <row r="71" spans="2:22">
      <c r="C71" s="566" t="s">
        <v>972</v>
      </c>
      <c r="D71" s="517">
        <v>0.08</v>
      </c>
      <c r="E71" s="519">
        <f t="dataTable" ref="E71:H75" dt2D="1" dtr="1" r1="C33" r2="C26" ca="1"/>
        <v>88208.781606855991</v>
      </c>
      <c r="F71" s="520">
        <v>102966.5331615949</v>
      </c>
      <c r="G71" s="520">
        <v>165543.08343582321</v>
      </c>
      <c r="H71" s="520">
        <v>320211.68709375773</v>
      </c>
      <c r="I71" s="312"/>
      <c r="J71" s="312"/>
    </row>
    <row r="72" spans="2:22">
      <c r="C72" s="566"/>
      <c r="D72" s="517">
        <v>0.09</v>
      </c>
      <c r="E72" s="521">
        <v>70367.994629486711</v>
      </c>
      <c r="F72" s="525">
        <v>79176.935970052364</v>
      </c>
      <c r="G72" s="522">
        <v>110303.6943731432</v>
      </c>
      <c r="H72" s="522">
        <v>160223.31905271384</v>
      </c>
      <c r="I72" s="312"/>
      <c r="J72" s="312"/>
    </row>
    <row r="73" spans="2:22">
      <c r="C73" s="566"/>
      <c r="D73" s="517">
        <v>0.1</v>
      </c>
      <c r="E73" s="521">
        <v>58419.807320150961</v>
      </c>
      <c r="F73" s="522">
        <v>64202.950285618754</v>
      </c>
      <c r="G73" s="522">
        <v>82594.42756347543</v>
      </c>
      <c r="H73" s="522">
        <v>106769.04780679992</v>
      </c>
      <c r="I73" s="312"/>
      <c r="J73" s="312"/>
    </row>
    <row r="74" spans="2:22">
      <c r="C74" s="566"/>
      <c r="D74" s="517">
        <v>0.11</v>
      </c>
      <c r="E74" s="521">
        <v>49842.142306547983</v>
      </c>
      <c r="F74" s="522">
        <v>53889.355138758525</v>
      </c>
      <c r="G74" s="522">
        <v>65902.189982071766</v>
      </c>
      <c r="H74" s="522">
        <v>79954.731698155068</v>
      </c>
      <c r="I74" s="312"/>
      <c r="J74" s="312"/>
    </row>
    <row r="75" spans="2:22">
      <c r="C75" s="566"/>
      <c r="D75" s="517">
        <v>0.12</v>
      </c>
      <c r="E75" s="523">
        <v>43373.739752075599</v>
      </c>
      <c r="F75" s="524">
        <v>46339.263900565551</v>
      </c>
      <c r="G75" s="524">
        <v>54722.305643254775</v>
      </c>
      <c r="H75" s="524">
        <v>63801.158356198117</v>
      </c>
      <c r="I75" s="34"/>
      <c r="J75" s="34"/>
    </row>
    <row r="77" spans="2:22">
      <c r="E77" s="567" t="s">
        <v>141</v>
      </c>
      <c r="F77" s="567"/>
      <c r="G77" s="567"/>
      <c r="H77" s="567"/>
    </row>
    <row r="78" spans="2:22" ht="15" thickBot="1">
      <c r="D78" s="526">
        <f ca="1">C65</f>
        <v>78049.64636150733</v>
      </c>
      <c r="E78" s="518">
        <v>15</v>
      </c>
      <c r="F78" s="518">
        <v>16</v>
      </c>
      <c r="G78" s="518">
        <v>17</v>
      </c>
      <c r="H78" s="518">
        <v>18</v>
      </c>
      <c r="I78"/>
      <c r="J78"/>
      <c r="V78" s="32" t="s">
        <v>111</v>
      </c>
    </row>
    <row r="79" spans="2:22">
      <c r="C79" s="566" t="s">
        <v>972</v>
      </c>
      <c r="D79" s="517">
        <v>0.08</v>
      </c>
      <c r="E79" s="519">
        <f t="dataTable" ref="E79:H83" dt2D="1" dtr="1" r1="C51" r2="C26" ca="1"/>
        <v>77390.430446852843</v>
      </c>
      <c r="F79" s="520">
        <v>81633.878264712257</v>
      </c>
      <c r="G79" s="520">
        <v>85877.326082571672</v>
      </c>
      <c r="H79" s="520">
        <v>90120.773900431072</v>
      </c>
      <c r="I79" s="312"/>
      <c r="J79" s="312"/>
    </row>
    <row r="80" spans="2:22">
      <c r="C80" s="566"/>
      <c r="D80" s="517">
        <v>0.09</v>
      </c>
      <c r="E80" s="521">
        <v>73997.313105314301</v>
      </c>
      <c r="F80" s="525">
        <v>78049.64636150733</v>
      </c>
      <c r="G80" s="522">
        <v>82101.979617700359</v>
      </c>
      <c r="H80" s="522">
        <v>86154.312873893403</v>
      </c>
      <c r="I80" s="312"/>
      <c r="J80" s="312"/>
    </row>
    <row r="81" spans="3:10">
      <c r="C81" s="566"/>
      <c r="D81" s="517">
        <v>0.1</v>
      </c>
      <c r="E81" s="521">
        <v>70779.623404425569</v>
      </c>
      <c r="F81" s="522">
        <v>74651.078422535677</v>
      </c>
      <c r="G81" s="522">
        <v>78522.533440645799</v>
      </c>
      <c r="H81" s="522">
        <v>82393.988458755906</v>
      </c>
      <c r="I81" s="312"/>
      <c r="J81" s="312"/>
    </row>
    <row r="82" spans="3:10">
      <c r="C82" s="566"/>
      <c r="D82" s="517">
        <v>0.11</v>
      </c>
      <c r="E82" s="521">
        <v>67726.699591761964</v>
      </c>
      <c r="F82" s="521">
        <v>71426.878723470625</v>
      </c>
      <c r="G82" s="522">
        <v>75127.057855179301</v>
      </c>
      <c r="H82" s="522">
        <v>78827.236986887961</v>
      </c>
      <c r="I82" s="312"/>
      <c r="J82" s="312"/>
    </row>
    <row r="83" spans="3:10">
      <c r="C83" s="566"/>
      <c r="D83" s="517">
        <v>0.12</v>
      </c>
      <c r="E83" s="523">
        <v>64828.619182160517</v>
      </c>
      <c r="F83" s="524">
        <v>68366.535285861362</v>
      </c>
      <c r="G83" s="524">
        <v>71904.451389562208</v>
      </c>
      <c r="H83" s="524">
        <v>75442.367493263038</v>
      </c>
      <c r="I83" s="312"/>
      <c r="J83" s="312"/>
    </row>
  </sheetData>
  <mergeCells count="8">
    <mergeCell ref="C79:C83"/>
    <mergeCell ref="C71:C75"/>
    <mergeCell ref="P7:Q7"/>
    <mergeCell ref="E8:I8"/>
    <mergeCell ref="J8:S8"/>
    <mergeCell ref="E69:H69"/>
    <mergeCell ref="E77:H77"/>
    <mergeCell ref="B31:C31"/>
  </mergeCells>
  <dataValidations disablePrompts="1" count="1">
    <dataValidation type="list" allowBlank="1" showInputMessage="1" showErrorMessage="1" sqref="D25" xr:uid="{7EF54E70-92B5-403B-8F22-13573F443069}">
      <formula1>$R$4:$R$5</formula1>
    </dataValidation>
  </dataValidations>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F5ACA-91F0-4A08-8135-3239F8D75BF5}">
  <sheetPr>
    <tabColor theme="9" tint="-0.249977111117893"/>
  </sheetPr>
  <dimension ref="A1"/>
  <sheetViews>
    <sheetView workbookViewId="0"/>
  </sheetViews>
  <sheetFormatPr defaultRowHeight="14.4"/>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A338CF-ECFA-4482-9533-5E885AC0FD06}">
  <dimension ref="B2:C9"/>
  <sheetViews>
    <sheetView showGridLines="0" zoomScale="75" zoomScaleNormal="85" workbookViewId="0">
      <selection activeCell="B8" sqref="B8"/>
    </sheetView>
  </sheetViews>
  <sheetFormatPr defaultRowHeight="14.4"/>
  <cols>
    <col min="1" max="1" width="8.88671875" style="397"/>
    <col min="2" max="2" width="28.5546875" style="397" customWidth="1"/>
    <col min="3" max="3" width="83.44140625" style="397" customWidth="1"/>
    <col min="4" max="16384" width="8.88671875" style="397"/>
  </cols>
  <sheetData>
    <row r="2" spans="2:3" ht="15.6">
      <c r="B2" s="396" t="s">
        <v>859</v>
      </c>
      <c r="C2" s="396" t="s">
        <v>860</v>
      </c>
    </row>
    <row r="3" spans="2:3" ht="76.2" customHeight="1">
      <c r="B3" s="398" t="s">
        <v>556</v>
      </c>
      <c r="C3" s="399" t="s">
        <v>861</v>
      </c>
    </row>
    <row r="4" spans="2:3" ht="86.4">
      <c r="B4" s="400" t="s">
        <v>862</v>
      </c>
      <c r="C4" s="401" t="s">
        <v>863</v>
      </c>
    </row>
    <row r="5" spans="2:3" ht="60" customHeight="1">
      <c r="B5" s="400" t="s">
        <v>864</v>
      </c>
      <c r="C5" s="401" t="s">
        <v>865</v>
      </c>
    </row>
    <row r="6" spans="2:3" ht="57.6">
      <c r="B6" s="400" t="s">
        <v>866</v>
      </c>
      <c r="C6" s="401" t="s">
        <v>867</v>
      </c>
    </row>
    <row r="8" spans="2:3">
      <c r="B8" s="529" t="s">
        <v>978</v>
      </c>
    </row>
    <row r="9" spans="2:3">
      <c r="B9" s="528"/>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E301D-3BC4-45DB-89F2-5CE286D06EFD}">
  <dimension ref="B2:I69"/>
  <sheetViews>
    <sheetView showGridLines="0" topLeftCell="A9" workbookViewId="0">
      <selection activeCell="H27" sqref="H27"/>
    </sheetView>
  </sheetViews>
  <sheetFormatPr defaultRowHeight="14.4"/>
  <cols>
    <col min="1" max="1" width="8.88671875" style="397"/>
    <col min="2" max="2" width="25.6640625" style="397" bestFit="1" customWidth="1"/>
    <col min="3" max="16384" width="8.88671875" style="397"/>
  </cols>
  <sheetData>
    <row r="2" spans="2:9">
      <c r="B2" s="402" t="s">
        <v>868</v>
      </c>
      <c r="C2" s="403"/>
      <c r="D2" s="403"/>
      <c r="E2" s="403"/>
      <c r="F2" s="403"/>
      <c r="G2" s="403"/>
      <c r="H2" s="403"/>
      <c r="I2" s="403"/>
    </row>
    <row r="3" spans="2:9" ht="27.6">
      <c r="B3" s="404"/>
      <c r="C3" s="405">
        <v>2019</v>
      </c>
      <c r="D3" s="405">
        <v>2020</v>
      </c>
      <c r="E3" s="405">
        <v>2021</v>
      </c>
      <c r="F3" s="405">
        <v>2022</v>
      </c>
      <c r="G3" s="405">
        <v>2023</v>
      </c>
      <c r="H3" s="405">
        <v>2024</v>
      </c>
      <c r="I3" s="406" t="s">
        <v>869</v>
      </c>
    </row>
    <row r="4" spans="2:9">
      <c r="B4" s="397" t="s">
        <v>870</v>
      </c>
      <c r="C4" s="407" t="s">
        <v>871</v>
      </c>
      <c r="D4" s="408">
        <f>D28</f>
        <v>0.18361622658978555</v>
      </c>
      <c r="E4" s="408">
        <f t="shared" ref="E4:H4" si="0">E28</f>
        <v>8.3274372831126403E-2</v>
      </c>
      <c r="F4" s="408">
        <f t="shared" si="0"/>
        <v>0.19267636807638044</v>
      </c>
      <c r="G4" s="408">
        <f t="shared" si="0"/>
        <v>0.25205080772650618</v>
      </c>
      <c r="H4" s="408">
        <f t="shared" si="0"/>
        <v>0.1397630610881328</v>
      </c>
      <c r="I4" s="408">
        <f>AVERAGE(D4:H4)</f>
        <v>0.17027616726238631</v>
      </c>
    </row>
    <row r="5" spans="2:9">
      <c r="B5" s="397" t="s">
        <v>872</v>
      </c>
      <c r="C5" s="408">
        <f>C38</f>
        <v>0.17366842140479433</v>
      </c>
      <c r="D5" s="408">
        <f t="shared" ref="D5:H5" si="1">D38</f>
        <v>0.17198234973848409</v>
      </c>
      <c r="E5" s="408">
        <f t="shared" si="1"/>
        <v>0.18252009411062953</v>
      </c>
      <c r="F5" s="408">
        <f t="shared" si="1"/>
        <v>0.16953610263307783</v>
      </c>
      <c r="G5" s="408">
        <f t="shared" si="1"/>
        <v>0.17946199634878424</v>
      </c>
      <c r="H5" s="408">
        <f t="shared" si="1"/>
        <v>0.20649833634719827</v>
      </c>
      <c r="I5" s="408">
        <f>AVERAGE(C5:H5)</f>
        <v>0.18061121676382805</v>
      </c>
    </row>
    <row r="6" spans="2:9">
      <c r="B6" s="397" t="s">
        <v>873</v>
      </c>
      <c r="C6" s="408">
        <f>C48</f>
        <v>0.13760763276722493</v>
      </c>
      <c r="D6" s="408">
        <f t="shared" ref="D6:H6" si="2">D48</f>
        <v>0.13546406812344947</v>
      </c>
      <c r="E6" s="408">
        <f t="shared" si="2"/>
        <v>0.1450117693388363</v>
      </c>
      <c r="F6" s="408">
        <f t="shared" si="2"/>
        <v>0.13851941573940663</v>
      </c>
      <c r="G6" s="408">
        <f t="shared" si="2"/>
        <v>0.15292256241420385</v>
      </c>
      <c r="H6" s="408">
        <f t="shared" si="2"/>
        <v>0.17970592496942933</v>
      </c>
      <c r="I6" s="408">
        <f t="shared" ref="I6:I8" si="3">AVERAGE(C6:H6)</f>
        <v>0.14820522889209176</v>
      </c>
    </row>
    <row r="7" spans="2:9">
      <c r="B7" s="397" t="s">
        <v>874</v>
      </c>
      <c r="C7" s="408">
        <f>C58</f>
        <v>0.13610027213628101</v>
      </c>
      <c r="D7" s="408">
        <f t="shared" ref="D7:H7" si="4">D58</f>
        <v>0.13259010554878575</v>
      </c>
      <c r="E7" s="408">
        <f t="shared" si="4"/>
        <v>0.13752906498362935</v>
      </c>
      <c r="F7" s="408">
        <f t="shared" si="4"/>
        <v>0.1307787148754069</v>
      </c>
      <c r="G7" s="408">
        <f t="shared" si="4"/>
        <v>0.15534962882741968</v>
      </c>
      <c r="H7" s="408">
        <f t="shared" si="4"/>
        <v>0.17767202694116987</v>
      </c>
      <c r="I7" s="408">
        <f t="shared" si="3"/>
        <v>0.1450033022187821</v>
      </c>
    </row>
    <row r="8" spans="2:9">
      <c r="B8" s="397" t="s">
        <v>875</v>
      </c>
      <c r="C8" s="408">
        <f>C68</f>
        <v>9.0540110835381354E-2</v>
      </c>
      <c r="D8" s="408">
        <f t="shared" ref="D8:H8" si="5">D68</f>
        <v>9.9160452252623085E-2</v>
      </c>
      <c r="E8" s="408">
        <f t="shared" si="5"/>
        <v>0.10525542696726739</v>
      </c>
      <c r="F8" s="408">
        <f t="shared" si="5"/>
        <v>9.6376953897833351E-2</v>
      </c>
      <c r="G8" s="408">
        <f t="shared" si="5"/>
        <v>0.11677253107912608</v>
      </c>
      <c r="H8" s="408">
        <f t="shared" si="5"/>
        <v>0.13318270638729346</v>
      </c>
      <c r="I8" s="408">
        <f t="shared" si="3"/>
        <v>0.10688136356992078</v>
      </c>
    </row>
    <row r="10" spans="2:9">
      <c r="B10" s="397" t="s">
        <v>876</v>
      </c>
      <c r="C10" s="407" t="s">
        <v>871</v>
      </c>
      <c r="D10" s="408">
        <f>D29</f>
        <v>0.14424800758632805</v>
      </c>
      <c r="E10" s="408">
        <f t="shared" ref="E10:H10" si="6">E29</f>
        <v>0.1058624871411008</v>
      </c>
      <c r="F10" s="408">
        <f t="shared" si="6"/>
        <v>0.16333591038724526</v>
      </c>
      <c r="G10" s="408">
        <f t="shared" si="6"/>
        <v>0.18445745749412568</v>
      </c>
      <c r="H10" s="408">
        <f t="shared" si="6"/>
        <v>0.15623623194123881</v>
      </c>
      <c r="I10" s="408">
        <f>AVERAGE(D10:H10)</f>
        <v>0.15082801891000772</v>
      </c>
    </row>
    <row r="11" spans="2:9">
      <c r="B11" s="397" t="s">
        <v>877</v>
      </c>
      <c r="C11" s="408">
        <f>C39</f>
        <v>0.17980474264772656</v>
      </c>
      <c r="D11" s="408">
        <f t="shared" ref="D11:H11" si="7">D39</f>
        <v>0.18196419935193692</v>
      </c>
      <c r="E11" s="408">
        <f t="shared" si="7"/>
        <v>0.18968696003172536</v>
      </c>
      <c r="F11" s="408">
        <f t="shared" si="7"/>
        <v>0.17384997047191253</v>
      </c>
      <c r="G11" s="408">
        <f t="shared" si="7"/>
        <v>0.19550441119053888</v>
      </c>
      <c r="H11" s="408">
        <f t="shared" si="7"/>
        <v>0.21027511536685167</v>
      </c>
      <c r="I11" s="408">
        <f>AVERAGE(C11:H11)</f>
        <v>0.18851423317678198</v>
      </c>
    </row>
    <row r="12" spans="2:9">
      <c r="B12" s="397" t="s">
        <v>878</v>
      </c>
      <c r="C12" s="408">
        <f>C49</f>
        <v>0.13476961200585974</v>
      </c>
      <c r="D12" s="408">
        <f t="shared" ref="D12:H12" si="8">D49</f>
        <v>0.1396983363157131</v>
      </c>
      <c r="E12" s="408">
        <f t="shared" si="8"/>
        <v>0.14114266728984315</v>
      </c>
      <c r="F12" s="408">
        <f t="shared" si="8"/>
        <v>0.13664865732351411</v>
      </c>
      <c r="G12" s="408">
        <f t="shared" si="8"/>
        <v>0.16515320627856894</v>
      </c>
      <c r="H12" s="408">
        <f t="shared" si="8"/>
        <v>0.18010582820522075</v>
      </c>
      <c r="I12" s="408">
        <f t="shared" ref="I12:I14" si="9">AVERAGE(C12:H12)</f>
        <v>0.14958638456978665</v>
      </c>
    </row>
    <row r="13" spans="2:9">
      <c r="B13" s="397" t="s">
        <v>879</v>
      </c>
      <c r="C13" s="408">
        <f>C59</f>
        <v>0.12247116301672123</v>
      </c>
      <c r="D13" s="408">
        <f t="shared" ref="D13:H13" si="10">D59</f>
        <v>0.12829061275813705</v>
      </c>
      <c r="E13" s="408">
        <f t="shared" si="10"/>
        <v>0.14156278984009207</v>
      </c>
      <c r="F13" s="408">
        <f t="shared" si="10"/>
        <v>0.13056704030425187</v>
      </c>
      <c r="G13" s="408">
        <f t="shared" si="10"/>
        <v>0.16985490865675823</v>
      </c>
      <c r="H13" s="408">
        <f t="shared" si="10"/>
        <v>0.17222103321695298</v>
      </c>
      <c r="I13" s="408">
        <f t="shared" si="9"/>
        <v>0.14416125796548554</v>
      </c>
    </row>
    <row r="14" spans="2:9">
      <c r="B14" s="397" t="s">
        <v>880</v>
      </c>
      <c r="C14" s="408">
        <f>C69</f>
        <v>8.1621763854576285E-2</v>
      </c>
      <c r="D14" s="408">
        <f t="shared" ref="D14:H14" si="11">D69</f>
        <v>9.3185786139188473E-2</v>
      </c>
      <c r="E14" s="408">
        <f t="shared" si="11"/>
        <v>0.10485890723999598</v>
      </c>
      <c r="F14" s="408">
        <f t="shared" si="11"/>
        <v>9.5897828006635683E-2</v>
      </c>
      <c r="G14" s="408">
        <f t="shared" si="11"/>
        <v>0.12958466486888393</v>
      </c>
      <c r="H14" s="408">
        <f t="shared" si="11"/>
        <v>0.12914075401010866</v>
      </c>
      <c r="I14" s="408">
        <f t="shared" si="9"/>
        <v>0.10571495068656482</v>
      </c>
    </row>
    <row r="22" spans="2:8">
      <c r="B22" s="402" t="s">
        <v>881</v>
      </c>
      <c r="C22" s="403"/>
      <c r="D22" s="403"/>
      <c r="E22" s="403"/>
      <c r="F22" s="403"/>
      <c r="G22" s="403"/>
      <c r="H22" s="403"/>
    </row>
    <row r="23" spans="2:8">
      <c r="B23" s="404"/>
      <c r="C23" s="405">
        <v>2019</v>
      </c>
      <c r="D23" s="405">
        <v>2020</v>
      </c>
      <c r="E23" s="405">
        <v>2021</v>
      </c>
      <c r="F23" s="405">
        <v>2022</v>
      </c>
      <c r="G23" s="405">
        <v>2023</v>
      </c>
      <c r="H23" s="405">
        <v>2024</v>
      </c>
    </row>
    <row r="24" spans="2:8">
      <c r="B24" s="397" t="s">
        <v>556</v>
      </c>
      <c r="C24" s="409" t="s">
        <v>871</v>
      </c>
      <c r="D24" s="410">
        <v>0.39666993143976503</v>
      </c>
      <c r="E24" s="410">
        <v>-9.5371669004207571E-2</v>
      </c>
      <c r="F24" s="410">
        <v>0.36790697674418604</v>
      </c>
      <c r="G24" s="410">
        <v>0.49302958177490641</v>
      </c>
      <c r="H24" s="410">
        <v>0.21786988537159346</v>
      </c>
    </row>
    <row r="25" spans="2:8">
      <c r="B25" s="397" t="s">
        <v>862</v>
      </c>
      <c r="C25" s="409" t="s">
        <v>871</v>
      </c>
      <c r="D25" s="410">
        <v>9.5377258235919138E-2</v>
      </c>
      <c r="E25" s="410">
        <v>7.9311181178753243E-2</v>
      </c>
      <c r="F25" s="410">
        <v>0.1041947565543071</v>
      </c>
      <c r="G25" s="410">
        <v>0.14625873414286694</v>
      </c>
      <c r="H25" s="410">
        <v>0.13191690832692204</v>
      </c>
    </row>
    <row r="26" spans="2:8">
      <c r="B26" s="397" t="s">
        <v>864</v>
      </c>
      <c r="C26" s="409" t="s">
        <v>871</v>
      </c>
      <c r="D26" s="410">
        <v>4.9298959746721049E-2</v>
      </c>
      <c r="E26" s="410">
        <v>0.13241379310344836</v>
      </c>
      <c r="F26" s="410">
        <v>7.6126674786845205E-2</v>
      </c>
      <c r="G26" s="410">
        <v>0.15315506508205989</v>
      </c>
      <c r="H26" s="410">
        <v>2.8709895098460114E-2</v>
      </c>
    </row>
    <row r="27" spans="2:8">
      <c r="B27" s="397" t="s">
        <v>866</v>
      </c>
      <c r="C27" s="409" t="s">
        <v>871</v>
      </c>
      <c r="D27" s="410">
        <v>0.19311875693673697</v>
      </c>
      <c r="E27" s="410">
        <v>0.21674418604651158</v>
      </c>
      <c r="F27" s="410">
        <v>0.22247706422018343</v>
      </c>
      <c r="G27" s="410">
        <v>0.21575984990619146</v>
      </c>
      <c r="H27" s="410">
        <v>0.18055555555555558</v>
      </c>
    </row>
    <row r="28" spans="2:8">
      <c r="B28" s="411" t="s">
        <v>882</v>
      </c>
      <c r="C28" s="412" t="s">
        <v>871</v>
      </c>
      <c r="D28" s="413">
        <f>AVERAGE(D24:D27)</f>
        <v>0.18361622658978555</v>
      </c>
      <c r="E28" s="413">
        <f>AVERAGE(E24:E27)</f>
        <v>8.3274372831126403E-2</v>
      </c>
      <c r="F28" s="413">
        <f>AVERAGE(F24:F27)</f>
        <v>0.19267636807638044</v>
      </c>
      <c r="G28" s="413">
        <f>AVERAGE(G24:G27)</f>
        <v>0.25205080772650618</v>
      </c>
      <c r="H28" s="413">
        <f>AVERAGE(H24:H27)</f>
        <v>0.1397630610881328</v>
      </c>
    </row>
    <row r="29" spans="2:8" ht="15" thickBot="1">
      <c r="B29" s="414" t="s">
        <v>319</v>
      </c>
      <c r="C29" s="415" t="s">
        <v>871</v>
      </c>
      <c r="D29" s="416">
        <f>MEDIAN(D24:D27)</f>
        <v>0.14424800758632805</v>
      </c>
      <c r="E29" s="416">
        <f>MEDIAN(E24:E27)</f>
        <v>0.1058624871411008</v>
      </c>
      <c r="F29" s="416">
        <f>MEDIAN(F24:F27)</f>
        <v>0.16333591038724526</v>
      </c>
      <c r="G29" s="416">
        <f>MEDIAN(G24:G27)</f>
        <v>0.18445745749412568</v>
      </c>
      <c r="H29" s="416">
        <f>MEDIAN(H24:H27)</f>
        <v>0.15623623194123881</v>
      </c>
    </row>
    <row r="32" spans="2:8">
      <c r="B32" s="402" t="s">
        <v>883</v>
      </c>
      <c r="C32" s="403"/>
      <c r="D32" s="403"/>
      <c r="E32" s="403"/>
      <c r="F32" s="403"/>
      <c r="G32" s="403"/>
      <c r="H32" s="403"/>
    </row>
    <row r="33" spans="2:8">
      <c r="B33" s="404"/>
      <c r="C33" s="405">
        <v>2019</v>
      </c>
      <c r="D33" s="405">
        <v>2020</v>
      </c>
      <c r="E33" s="405">
        <v>2021</v>
      </c>
      <c r="F33" s="405">
        <v>2022</v>
      </c>
      <c r="G33" s="405">
        <v>2023</v>
      </c>
      <c r="H33" s="405">
        <v>2024</v>
      </c>
    </row>
    <row r="34" spans="2:8">
      <c r="B34" s="397" t="s">
        <v>556</v>
      </c>
      <c r="C34" s="410">
        <v>0.20293829578844269</v>
      </c>
      <c r="D34" s="410">
        <v>0.20504908835904628</v>
      </c>
      <c r="E34" s="410">
        <v>0.1883720930232558</v>
      </c>
      <c r="F34" s="410">
        <v>0.19199818655786013</v>
      </c>
      <c r="G34" s="410">
        <v>0.21733849540727246</v>
      </c>
      <c r="H34" s="410">
        <v>0.23168983357227452</v>
      </c>
    </row>
    <row r="35" spans="2:8">
      <c r="B35" s="397" t="s">
        <v>862</v>
      </c>
      <c r="C35" s="410">
        <v>0.23184555437477861</v>
      </c>
      <c r="D35" s="410">
        <v>0.23655913978494625</v>
      </c>
      <c r="E35" s="410">
        <v>0.23985018726591761</v>
      </c>
      <c r="F35" s="410">
        <v>0.24163896614883656</v>
      </c>
      <c r="G35" s="410">
        <v>0.21932887494821565</v>
      </c>
      <c r="H35" s="410">
        <v>0.2337655547422357</v>
      </c>
    </row>
    <row r="36" spans="2:8">
      <c r="B36" s="397" t="s">
        <v>864</v>
      </c>
      <c r="C36" s="410">
        <v>0.15667118950701039</v>
      </c>
      <c r="D36" s="410">
        <v>0.15887931034482758</v>
      </c>
      <c r="E36" s="410">
        <v>0.19100182704019489</v>
      </c>
      <c r="F36" s="410">
        <v>0.15570175438596492</v>
      </c>
      <c r="G36" s="410">
        <v>0.1736703269738053</v>
      </c>
      <c r="H36" s="410">
        <v>0.18886039716142883</v>
      </c>
    </row>
    <row r="37" spans="2:8">
      <c r="B37" s="397" t="s">
        <v>866</v>
      </c>
      <c r="C37" s="410">
        <v>0.10321864594894561</v>
      </c>
      <c r="D37" s="410">
        <v>8.7441860465116275E-2</v>
      </c>
      <c r="E37" s="410">
        <v>0.11085626911314984</v>
      </c>
      <c r="F37" s="410">
        <v>8.8805503439649783E-2</v>
      </c>
      <c r="G37" s="410">
        <v>0.10751028806584362</v>
      </c>
      <c r="H37" s="410">
        <v>0.17167755991285402</v>
      </c>
    </row>
    <row r="38" spans="2:8">
      <c r="B38" s="411" t="s">
        <v>882</v>
      </c>
      <c r="C38" s="413">
        <f t="shared" ref="C38:H38" si="12">AVERAGE(C34:C37)</f>
        <v>0.17366842140479433</v>
      </c>
      <c r="D38" s="413">
        <f t="shared" si="12"/>
        <v>0.17198234973848409</v>
      </c>
      <c r="E38" s="413">
        <f t="shared" si="12"/>
        <v>0.18252009411062953</v>
      </c>
      <c r="F38" s="413">
        <f t="shared" si="12"/>
        <v>0.16953610263307783</v>
      </c>
      <c r="G38" s="413">
        <f t="shared" si="12"/>
        <v>0.17946199634878424</v>
      </c>
      <c r="H38" s="413">
        <f t="shared" si="12"/>
        <v>0.20649833634719827</v>
      </c>
    </row>
    <row r="39" spans="2:8" ht="15" thickBot="1">
      <c r="B39" s="414" t="s">
        <v>319</v>
      </c>
      <c r="C39" s="416">
        <f t="shared" ref="C39:H39" si="13">MEDIAN(C34:C37)</f>
        <v>0.17980474264772656</v>
      </c>
      <c r="D39" s="416">
        <f t="shared" si="13"/>
        <v>0.18196419935193692</v>
      </c>
      <c r="E39" s="416">
        <f t="shared" si="13"/>
        <v>0.18968696003172536</v>
      </c>
      <c r="F39" s="416">
        <f t="shared" si="13"/>
        <v>0.17384997047191253</v>
      </c>
      <c r="G39" s="416">
        <f t="shared" si="13"/>
        <v>0.19550441119053888</v>
      </c>
      <c r="H39" s="416">
        <f t="shared" si="13"/>
        <v>0.21027511536685167</v>
      </c>
    </row>
    <row r="42" spans="2:8">
      <c r="B42" s="402" t="s">
        <v>884</v>
      </c>
      <c r="C42" s="403"/>
      <c r="D42" s="403"/>
      <c r="E42" s="403"/>
      <c r="F42" s="403"/>
      <c r="G42" s="403"/>
      <c r="H42" s="403"/>
    </row>
    <row r="43" spans="2:8">
      <c r="B43" s="404"/>
      <c r="C43" s="405">
        <v>2019</v>
      </c>
      <c r="D43" s="405">
        <v>2020</v>
      </c>
      <c r="E43" s="405">
        <v>2021</v>
      </c>
      <c r="F43" s="405">
        <v>2022</v>
      </c>
      <c r="G43" s="405">
        <v>2023</v>
      </c>
      <c r="H43" s="405">
        <v>2024</v>
      </c>
    </row>
    <row r="44" spans="2:8">
      <c r="B44" s="397" t="s">
        <v>556</v>
      </c>
      <c r="C44" s="410">
        <v>0.12752203721841332</v>
      </c>
      <c r="D44" s="410">
        <v>0.13646563814866761</v>
      </c>
      <c r="E44" s="410">
        <v>0.10635658914728682</v>
      </c>
      <c r="F44" s="410">
        <v>0.13181457554119913</v>
      </c>
      <c r="G44" s="410">
        <v>0.17050026569498217</v>
      </c>
      <c r="H44" s="410">
        <v>0.18924141370067943</v>
      </c>
    </row>
    <row r="45" spans="2:8">
      <c r="B45" s="397" t="s">
        <v>862</v>
      </c>
      <c r="C45" s="410">
        <v>0.20208997520368402</v>
      </c>
      <c r="D45" s="410">
        <v>0.20664564637399951</v>
      </c>
      <c r="E45" s="410">
        <v>0.21213483146067416</v>
      </c>
      <c r="F45" s="410">
        <v>0.21511430703480089</v>
      </c>
      <c r="G45" s="410">
        <v>0.19547848730543885</v>
      </c>
      <c r="H45" s="410">
        <v>0.2113353550141169</v>
      </c>
    </row>
    <row r="46" spans="2:8">
      <c r="B46" s="397" t="s">
        <v>864</v>
      </c>
      <c r="C46" s="410">
        <v>0.14201718679330619</v>
      </c>
      <c r="D46" s="410">
        <v>0.14293103448275862</v>
      </c>
      <c r="E46" s="410">
        <v>0.1759287454323995</v>
      </c>
      <c r="F46" s="410">
        <v>0.14148273910582909</v>
      </c>
      <c r="G46" s="410">
        <v>0.15980614686215569</v>
      </c>
      <c r="H46" s="410">
        <v>0.17097024270976205</v>
      </c>
    </row>
    <row r="47" spans="2:8">
      <c r="B47" s="397" t="s">
        <v>866</v>
      </c>
      <c r="C47" s="410">
        <v>7.8801331853496109E-2</v>
      </c>
      <c r="D47" s="410">
        <v>5.5813953488372092E-2</v>
      </c>
      <c r="E47" s="410">
        <v>8.5626911314984705E-2</v>
      </c>
      <c r="F47" s="410">
        <v>6.5666041275797379E-2</v>
      </c>
      <c r="G47" s="410">
        <v>8.5905349794238681E-2</v>
      </c>
      <c r="H47" s="410">
        <v>0.14727668845315905</v>
      </c>
    </row>
    <row r="48" spans="2:8">
      <c r="B48" s="411" t="s">
        <v>882</v>
      </c>
      <c r="C48" s="413">
        <f t="shared" ref="C48:H48" si="14">AVERAGE(C44:C47)</f>
        <v>0.13760763276722493</v>
      </c>
      <c r="D48" s="413">
        <f t="shared" si="14"/>
        <v>0.13546406812344947</v>
      </c>
      <c r="E48" s="413">
        <f t="shared" si="14"/>
        <v>0.1450117693388363</v>
      </c>
      <c r="F48" s="413">
        <f t="shared" si="14"/>
        <v>0.13851941573940663</v>
      </c>
      <c r="G48" s="413">
        <f t="shared" si="14"/>
        <v>0.15292256241420385</v>
      </c>
      <c r="H48" s="413">
        <f t="shared" si="14"/>
        <v>0.17970592496942933</v>
      </c>
    </row>
    <row r="49" spans="2:8" ht="15" thickBot="1">
      <c r="B49" s="414" t="s">
        <v>319</v>
      </c>
      <c r="C49" s="416">
        <f t="shared" ref="C49:H49" si="15">MEDIAN(C44:C47)</f>
        <v>0.13476961200585974</v>
      </c>
      <c r="D49" s="416">
        <f t="shared" si="15"/>
        <v>0.1396983363157131</v>
      </c>
      <c r="E49" s="416">
        <f t="shared" si="15"/>
        <v>0.14114266728984315</v>
      </c>
      <c r="F49" s="416">
        <f t="shared" si="15"/>
        <v>0.13664865732351411</v>
      </c>
      <c r="G49" s="416">
        <f t="shared" si="15"/>
        <v>0.16515320627856894</v>
      </c>
      <c r="H49" s="416">
        <f t="shared" si="15"/>
        <v>0.18010582820522075</v>
      </c>
    </row>
    <row r="52" spans="2:8">
      <c r="B52" s="402" t="s">
        <v>885</v>
      </c>
      <c r="C52" s="403"/>
      <c r="D52" s="403"/>
      <c r="E52" s="403"/>
      <c r="F52" s="403"/>
      <c r="G52" s="403"/>
      <c r="H52" s="403"/>
    </row>
    <row r="53" spans="2:8">
      <c r="B53" s="404"/>
      <c r="C53" s="405">
        <v>2019</v>
      </c>
      <c r="D53" s="405">
        <v>2020</v>
      </c>
      <c r="E53" s="405">
        <v>2021</v>
      </c>
      <c r="F53" s="405">
        <v>2022</v>
      </c>
      <c r="G53" s="405">
        <v>2023</v>
      </c>
      <c r="H53" s="405">
        <v>2024</v>
      </c>
    </row>
    <row r="54" spans="2:8">
      <c r="B54" s="397" t="s">
        <v>556</v>
      </c>
      <c r="C54" s="410">
        <v>8.5014691478942209E-2</v>
      </c>
      <c r="D54" s="410">
        <v>9.7615708274894811E-2</v>
      </c>
      <c r="E54" s="410">
        <v>5.6279069767441861E-2</v>
      </c>
      <c r="F54" s="410">
        <v>0.11413351467754732</v>
      </c>
      <c r="G54" s="410">
        <v>0.15364761254080317</v>
      </c>
      <c r="H54" s="410">
        <v>0.17072866670822165</v>
      </c>
    </row>
    <row r="55" spans="2:8">
      <c r="B55" s="397" t="s">
        <v>862</v>
      </c>
      <c r="C55" s="410">
        <v>0.2151080410910379</v>
      </c>
      <c r="D55" s="410">
        <v>0.2161047780742178</v>
      </c>
      <c r="E55" s="410">
        <v>0.21071161048689138</v>
      </c>
      <c r="F55" s="410">
        <v>0.19381317414015331</v>
      </c>
      <c r="G55" s="410">
        <v>0.19269692844883707</v>
      </c>
      <c r="H55" s="410">
        <v>0.21112621562271253</v>
      </c>
    </row>
    <row r="56" spans="2:8">
      <c r="B56" s="397" t="s">
        <v>864</v>
      </c>
      <c r="C56" s="410">
        <v>0.15992763455450024</v>
      </c>
      <c r="D56" s="410">
        <v>0.15896551724137931</v>
      </c>
      <c r="E56" s="410">
        <v>0.19138246041412912</v>
      </c>
      <c r="F56" s="410">
        <v>0.14700056593095642</v>
      </c>
      <c r="G56" s="410">
        <v>0.18606220477271332</v>
      </c>
      <c r="H56" s="410">
        <v>0.17371339972568431</v>
      </c>
    </row>
    <row r="57" spans="2:8">
      <c r="B57" s="397" t="s">
        <v>866</v>
      </c>
      <c r="C57" s="410">
        <v>8.4350721420643732E-2</v>
      </c>
      <c r="D57" s="410">
        <v>5.7674418604651161E-2</v>
      </c>
      <c r="E57" s="410">
        <v>9.1743119266055051E-2</v>
      </c>
      <c r="F57" s="410">
        <v>6.8167604752970609E-2</v>
      </c>
      <c r="G57" s="410">
        <v>8.89917695473251E-2</v>
      </c>
      <c r="H57" s="410">
        <v>0.15511982570806102</v>
      </c>
    </row>
    <row r="58" spans="2:8">
      <c r="B58" s="411" t="s">
        <v>882</v>
      </c>
      <c r="C58" s="413">
        <f t="shared" ref="C58:H58" si="16">AVERAGE(C54:C57)</f>
        <v>0.13610027213628101</v>
      </c>
      <c r="D58" s="413">
        <f t="shared" si="16"/>
        <v>0.13259010554878575</v>
      </c>
      <c r="E58" s="413">
        <f t="shared" si="16"/>
        <v>0.13752906498362935</v>
      </c>
      <c r="F58" s="413">
        <f t="shared" si="16"/>
        <v>0.1307787148754069</v>
      </c>
      <c r="G58" s="413">
        <f t="shared" si="16"/>
        <v>0.15534962882741968</v>
      </c>
      <c r="H58" s="413">
        <f t="shared" si="16"/>
        <v>0.17767202694116987</v>
      </c>
    </row>
    <row r="59" spans="2:8" ht="15" thickBot="1">
      <c r="B59" s="414" t="s">
        <v>319</v>
      </c>
      <c r="C59" s="416">
        <f t="shared" ref="C59:H59" si="17">MEDIAN(C54:C57)</f>
        <v>0.12247116301672123</v>
      </c>
      <c r="D59" s="416">
        <f t="shared" si="17"/>
        <v>0.12829061275813705</v>
      </c>
      <c r="E59" s="416">
        <f t="shared" si="17"/>
        <v>0.14156278984009207</v>
      </c>
      <c r="F59" s="416">
        <f t="shared" si="17"/>
        <v>0.13056704030425187</v>
      </c>
      <c r="G59" s="416">
        <f t="shared" si="17"/>
        <v>0.16985490865675823</v>
      </c>
      <c r="H59" s="416">
        <f t="shared" si="17"/>
        <v>0.17222103321695298</v>
      </c>
    </row>
    <row r="62" spans="2:8">
      <c r="B62" s="402" t="s">
        <v>886</v>
      </c>
      <c r="C62" s="403"/>
      <c r="D62" s="403"/>
      <c r="E62" s="403"/>
      <c r="F62" s="403"/>
      <c r="G62" s="403"/>
      <c r="H62" s="403"/>
    </row>
    <row r="63" spans="2:8">
      <c r="B63" s="404"/>
      <c r="C63" s="405">
        <v>2019</v>
      </c>
      <c r="D63" s="405">
        <v>2020</v>
      </c>
      <c r="E63" s="405">
        <v>2021</v>
      </c>
      <c r="F63" s="405">
        <v>2022</v>
      </c>
      <c r="G63" s="405">
        <v>2023</v>
      </c>
      <c r="H63" s="405">
        <v>2024</v>
      </c>
    </row>
    <row r="64" spans="2:8">
      <c r="B64" s="397" t="s">
        <v>556</v>
      </c>
      <c r="C64" s="410">
        <v>5.8765915768854066E-2</v>
      </c>
      <c r="D64" s="410">
        <v>6.6199158485273496E-2</v>
      </c>
      <c r="E64" s="410">
        <v>5.5348837209302323E-2</v>
      </c>
      <c r="F64" s="410">
        <v>8.4551739771052931E-2</v>
      </c>
      <c r="G64" s="410">
        <v>0.11766492067106961</v>
      </c>
      <c r="H64" s="410">
        <v>0.13102287602069437</v>
      </c>
    </row>
    <row r="65" spans="2:8">
      <c r="B65" s="397" t="s">
        <v>862</v>
      </c>
      <c r="C65" s="410">
        <v>0.14231314204746723</v>
      </c>
      <c r="D65" s="410">
        <v>0.15910744603444094</v>
      </c>
      <c r="E65" s="410">
        <v>0.15595505617977529</v>
      </c>
      <c r="F65" s="410">
        <v>0.14368089003459739</v>
      </c>
      <c r="G65" s="410">
        <v>0.14150440906669823</v>
      </c>
      <c r="H65" s="410">
        <v>0.15680225870542716</v>
      </c>
    </row>
    <row r="66" spans="2:8">
      <c r="B66" s="397" t="s">
        <v>864</v>
      </c>
      <c r="C66" s="410">
        <v>0.1044776119402985</v>
      </c>
      <c r="D66" s="410">
        <v>0.12017241379310345</v>
      </c>
      <c r="E66" s="410">
        <v>0.14091047503045068</v>
      </c>
      <c r="F66" s="410">
        <v>0.10724391624221845</v>
      </c>
      <c r="G66" s="410">
        <v>0.14207717317955953</v>
      </c>
      <c r="H66" s="410">
        <v>0.12725863199952292</v>
      </c>
    </row>
    <row r="67" spans="2:8">
      <c r="B67" s="397" t="s">
        <v>866</v>
      </c>
      <c r="C67" s="410">
        <v>5.6603773584905662E-2</v>
      </c>
      <c r="D67" s="410">
        <v>5.1162790697674418E-2</v>
      </c>
      <c r="E67" s="410">
        <v>6.8807339449541288E-2</v>
      </c>
      <c r="F67" s="410">
        <v>5.0031269543464665E-2</v>
      </c>
      <c r="G67" s="410">
        <v>6.584362139917696E-2</v>
      </c>
      <c r="H67" s="410">
        <v>0.11764705882352941</v>
      </c>
    </row>
    <row r="68" spans="2:8">
      <c r="B68" s="411" t="s">
        <v>882</v>
      </c>
      <c r="C68" s="413">
        <f t="shared" ref="C68:H68" si="18">AVERAGE(C64:C67)</f>
        <v>9.0540110835381354E-2</v>
      </c>
      <c r="D68" s="413">
        <f t="shared" si="18"/>
        <v>9.9160452252623085E-2</v>
      </c>
      <c r="E68" s="413">
        <f t="shared" si="18"/>
        <v>0.10525542696726739</v>
      </c>
      <c r="F68" s="413">
        <f t="shared" si="18"/>
        <v>9.6376953897833351E-2</v>
      </c>
      <c r="G68" s="413">
        <f t="shared" si="18"/>
        <v>0.11677253107912608</v>
      </c>
      <c r="H68" s="413">
        <f t="shared" si="18"/>
        <v>0.13318270638729346</v>
      </c>
    </row>
    <row r="69" spans="2:8" ht="15" thickBot="1">
      <c r="B69" s="414" t="s">
        <v>319</v>
      </c>
      <c r="C69" s="416">
        <f t="shared" ref="C69:H69" si="19">MEDIAN(C64:C67)</f>
        <v>8.1621763854576285E-2</v>
      </c>
      <c r="D69" s="416">
        <f t="shared" si="19"/>
        <v>9.3185786139188473E-2</v>
      </c>
      <c r="E69" s="416">
        <f t="shared" si="19"/>
        <v>0.10485890723999598</v>
      </c>
      <c r="F69" s="416">
        <f t="shared" si="19"/>
        <v>9.5897828006635683E-2</v>
      </c>
      <c r="G69" s="416">
        <f t="shared" si="19"/>
        <v>0.12958466486888393</v>
      </c>
      <c r="H69" s="416">
        <f t="shared" si="19"/>
        <v>0.12914075401010866</v>
      </c>
    </row>
  </sheetData>
  <pageMargins left="0.7" right="0.7" top="0.75" bottom="0.75" header="0.3" footer="0.3"/>
  <ignoredErrors>
    <ignoredError sqref="D28:H29 C38:H39" formulaRange="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9C1C82-F144-405E-8028-C7C91EF8FE87}">
  <dimension ref="B2:AK32"/>
  <sheetViews>
    <sheetView showGridLines="0" zoomScale="85" workbookViewId="0">
      <selection activeCell="H24" sqref="H24"/>
    </sheetView>
  </sheetViews>
  <sheetFormatPr defaultRowHeight="14.4" outlineLevelCol="1"/>
  <cols>
    <col min="1" max="1" width="8.88671875" style="397"/>
    <col min="2" max="2" width="25.6640625" style="397" customWidth="1"/>
    <col min="3" max="3" width="0.6640625" style="397" customWidth="1"/>
    <col min="4" max="4" width="14.5546875" style="397" bestFit="1" customWidth="1"/>
    <col min="5" max="5" width="10.5546875" style="397" customWidth="1"/>
    <col min="6" max="6" width="10.77734375" style="397" bestFit="1" customWidth="1"/>
    <col min="7" max="7" width="8.88671875" style="397"/>
    <col min="8" max="8" width="14.77734375" style="397" bestFit="1" customWidth="1"/>
    <col min="9" max="11" width="8.88671875" style="397"/>
    <col min="12" max="14" width="15.21875" style="397" hidden="1" customWidth="1" outlineLevel="1"/>
    <col min="15" max="15" width="8.88671875" style="397" collapsed="1"/>
    <col min="16" max="16" width="8.88671875" style="397"/>
    <col min="17" max="17" width="12.109375" style="397" customWidth="1"/>
    <col min="18" max="20" width="16.88671875" style="397" hidden="1" customWidth="1" outlineLevel="1"/>
    <col min="21" max="21" width="7.6640625" style="397" customWidth="1" collapsed="1"/>
    <col min="22" max="23" width="7.77734375" style="397" customWidth="1"/>
    <col min="24" max="26" width="14.109375" style="397" hidden="1" customWidth="1" outlineLevel="1"/>
    <col min="27" max="27" width="11.5546875" style="397" bestFit="1" customWidth="1" collapsed="1"/>
    <col min="28" max="29" width="8.88671875" style="397"/>
    <col min="30" max="32" width="10.21875" style="397" bestFit="1" customWidth="1"/>
    <col min="33" max="35" width="9.21875" style="397" customWidth="1"/>
    <col min="36" max="16384" width="8.88671875" style="397"/>
  </cols>
  <sheetData>
    <row r="2" spans="2:37">
      <c r="B2" s="74" t="s">
        <v>17</v>
      </c>
    </row>
    <row r="3" spans="2:37">
      <c r="B3" s="417"/>
      <c r="C3" s="417"/>
      <c r="D3" s="569" t="s">
        <v>887</v>
      </c>
      <c r="E3" s="569"/>
      <c r="F3" s="569"/>
      <c r="G3" s="569"/>
      <c r="H3" s="569"/>
      <c r="I3" s="569" t="s">
        <v>888</v>
      </c>
      <c r="J3" s="569"/>
      <c r="K3" s="569"/>
      <c r="L3" s="569"/>
      <c r="M3" s="569"/>
      <c r="N3" s="569"/>
      <c r="O3" s="569"/>
      <c r="P3" s="569"/>
      <c r="Q3" s="569"/>
      <c r="R3" s="569"/>
      <c r="S3" s="569"/>
      <c r="T3" s="569"/>
      <c r="U3" s="569"/>
      <c r="V3" s="569"/>
      <c r="W3" s="569"/>
      <c r="X3" s="417"/>
      <c r="Y3" s="417"/>
      <c r="Z3" s="417"/>
      <c r="AA3" s="569" t="s">
        <v>889</v>
      </c>
      <c r="AB3" s="569"/>
      <c r="AC3" s="569"/>
      <c r="AD3" s="569"/>
      <c r="AE3" s="569"/>
      <c r="AF3" s="569"/>
      <c r="AG3" s="569"/>
      <c r="AH3" s="569"/>
      <c r="AI3" s="569"/>
    </row>
    <row r="4" spans="2:37">
      <c r="B4" s="417"/>
      <c r="C4" s="417"/>
      <c r="D4" s="417"/>
      <c r="E4" s="417"/>
      <c r="F4" s="417"/>
      <c r="G4" s="417"/>
      <c r="H4" s="417"/>
      <c r="I4" s="418" t="s">
        <v>890</v>
      </c>
      <c r="J4" s="418" t="s">
        <v>891</v>
      </c>
      <c r="K4" s="418" t="s">
        <v>892</v>
      </c>
      <c r="L4" s="418" t="s">
        <v>890</v>
      </c>
      <c r="M4" s="418" t="s">
        <v>891</v>
      </c>
      <c r="N4" s="418" t="s">
        <v>892</v>
      </c>
      <c r="O4" s="418" t="s">
        <v>890</v>
      </c>
      <c r="P4" s="418" t="s">
        <v>891</v>
      </c>
      <c r="Q4" s="418" t="s">
        <v>892</v>
      </c>
      <c r="R4" s="418" t="s">
        <v>890</v>
      </c>
      <c r="S4" s="418" t="s">
        <v>891</v>
      </c>
      <c r="T4" s="418" t="s">
        <v>892</v>
      </c>
      <c r="U4" s="418" t="s">
        <v>890</v>
      </c>
      <c r="V4" s="418" t="s">
        <v>891</v>
      </c>
      <c r="W4" s="418" t="s">
        <v>892</v>
      </c>
      <c r="X4" s="418" t="s">
        <v>890</v>
      </c>
      <c r="Y4" s="418" t="s">
        <v>891</v>
      </c>
      <c r="Z4" s="418" t="s">
        <v>892</v>
      </c>
      <c r="AA4" s="418" t="s">
        <v>890</v>
      </c>
      <c r="AB4" s="418" t="s">
        <v>891</v>
      </c>
      <c r="AC4" s="418" t="s">
        <v>892</v>
      </c>
      <c r="AD4" s="418" t="s">
        <v>890</v>
      </c>
      <c r="AE4" s="418" t="s">
        <v>891</v>
      </c>
      <c r="AF4" s="418" t="s">
        <v>892</v>
      </c>
      <c r="AG4" s="418" t="s">
        <v>890</v>
      </c>
      <c r="AH4" s="418" t="s">
        <v>891</v>
      </c>
      <c r="AI4" s="418" t="s">
        <v>892</v>
      </c>
    </row>
    <row r="5" spans="2:37">
      <c r="B5" s="402" t="s">
        <v>893</v>
      </c>
      <c r="C5" s="417"/>
      <c r="D5" s="402" t="s">
        <v>894</v>
      </c>
      <c r="E5" s="402" t="s">
        <v>895</v>
      </c>
      <c r="F5" s="402" t="s">
        <v>896</v>
      </c>
      <c r="G5" s="418" t="s">
        <v>513</v>
      </c>
      <c r="H5" s="402" t="s">
        <v>134</v>
      </c>
      <c r="I5" s="418" t="s">
        <v>897</v>
      </c>
      <c r="J5" s="418" t="s">
        <v>897</v>
      </c>
      <c r="K5" s="418" t="s">
        <v>897</v>
      </c>
      <c r="L5" s="418" t="s">
        <v>898</v>
      </c>
      <c r="M5" s="418" t="s">
        <v>898</v>
      </c>
      <c r="N5" s="418" t="s">
        <v>898</v>
      </c>
      <c r="O5" s="418" t="s">
        <v>54</v>
      </c>
      <c r="P5" s="418" t="s">
        <v>54</v>
      </c>
      <c r="Q5" s="418" t="s">
        <v>54</v>
      </c>
      <c r="R5" s="418" t="s">
        <v>899</v>
      </c>
      <c r="S5" s="418" t="s">
        <v>899</v>
      </c>
      <c r="T5" s="418" t="s">
        <v>899</v>
      </c>
      <c r="U5" s="418" t="s">
        <v>900</v>
      </c>
      <c r="V5" s="418" t="s">
        <v>900</v>
      </c>
      <c r="W5" s="418" t="s">
        <v>900</v>
      </c>
      <c r="X5" s="418" t="s">
        <v>901</v>
      </c>
      <c r="Y5" s="418" t="s">
        <v>901</v>
      </c>
      <c r="Z5" s="418" t="s">
        <v>901</v>
      </c>
      <c r="AA5" s="418" t="s">
        <v>902</v>
      </c>
      <c r="AB5" s="418" t="s">
        <v>902</v>
      </c>
      <c r="AC5" s="418" t="s">
        <v>902</v>
      </c>
      <c r="AD5" s="418" t="s">
        <v>903</v>
      </c>
      <c r="AE5" s="418" t="s">
        <v>903</v>
      </c>
      <c r="AF5" s="418" t="s">
        <v>903</v>
      </c>
      <c r="AG5" s="418" t="s">
        <v>974</v>
      </c>
      <c r="AH5" s="418" t="s">
        <v>974</v>
      </c>
      <c r="AI5" s="418" t="s">
        <v>974</v>
      </c>
    </row>
    <row r="6" spans="2:37" ht="5.4" customHeight="1"/>
    <row r="7" spans="2:37">
      <c r="B7" s="419" t="s">
        <v>556</v>
      </c>
      <c r="C7" s="419"/>
      <c r="D7" s="419" t="s">
        <v>904</v>
      </c>
      <c r="E7" s="419">
        <v>1413</v>
      </c>
      <c r="F7" s="420">
        <v>183683</v>
      </c>
      <c r="G7" s="420">
        <v>5431</v>
      </c>
      <c r="H7" s="420">
        <v>190838</v>
      </c>
      <c r="I7" s="434">
        <v>16043</v>
      </c>
      <c r="J7" s="434">
        <v>19673</v>
      </c>
      <c r="K7" s="434">
        <v>23700</v>
      </c>
      <c r="L7" s="556">
        <v>0.21786988537159346</v>
      </c>
      <c r="M7" s="556">
        <f>J7/I7-1</f>
        <v>0.22626690768559499</v>
      </c>
      <c r="N7" s="556">
        <f>K7/J7-1</f>
        <v>0.20469679255832873</v>
      </c>
      <c r="O7" s="434">
        <v>3717</v>
      </c>
      <c r="P7" s="434">
        <v>4431</v>
      </c>
      <c r="Q7" s="434">
        <v>5380</v>
      </c>
      <c r="R7" s="556">
        <f>O7/I7</f>
        <v>0.23168983357227452</v>
      </c>
      <c r="S7" s="556">
        <f t="shared" ref="S7:T10" si="0">P7/J7</f>
        <v>0.22523255222894323</v>
      </c>
      <c r="T7" s="556">
        <f t="shared" si="0"/>
        <v>0.2270042194092827</v>
      </c>
      <c r="U7" s="434">
        <v>2102</v>
      </c>
      <c r="V7" s="434">
        <v>2505</v>
      </c>
      <c r="W7" s="434">
        <v>3181</v>
      </c>
      <c r="X7" s="421">
        <f>U7/I7</f>
        <v>0.13102287602069437</v>
      </c>
      <c r="Y7" s="421">
        <f t="shared" ref="Y7:Z10" si="1">V7/J7</f>
        <v>0.12733187617546893</v>
      </c>
      <c r="Z7" s="421">
        <f t="shared" si="1"/>
        <v>0.13421940928270043</v>
      </c>
      <c r="AA7" s="422">
        <f>$H7/I7</f>
        <v>11.895406096116686</v>
      </c>
      <c r="AB7" s="422">
        <f t="shared" ref="AB7:AC10" si="2">$H7/J7</f>
        <v>9.7005032277741066</v>
      </c>
      <c r="AC7" s="422">
        <f t="shared" si="2"/>
        <v>8.0522362869198307</v>
      </c>
      <c r="AD7" s="422">
        <f>$H7/O7</f>
        <v>51.341942426688192</v>
      </c>
      <c r="AE7" s="422">
        <f t="shared" ref="AE7:AF10" si="3">$H7/P7</f>
        <v>43.068833220491989</v>
      </c>
      <c r="AF7" s="422">
        <f t="shared" si="3"/>
        <v>35.471747211895909</v>
      </c>
      <c r="AG7" s="422">
        <f>$F7/U7</f>
        <v>87.384871550903895</v>
      </c>
      <c r="AH7" s="422">
        <f t="shared" ref="AH7:AI10" si="4">$F7/V7</f>
        <v>73.32654690618763</v>
      </c>
      <c r="AI7" s="422">
        <f t="shared" si="4"/>
        <v>57.743791260609868</v>
      </c>
      <c r="AK7" s="555" t="s">
        <v>902</v>
      </c>
    </row>
    <row r="8" spans="2:37">
      <c r="B8" s="423" t="s">
        <v>862</v>
      </c>
      <c r="C8" s="423"/>
      <c r="D8" s="423" t="s">
        <v>905</v>
      </c>
      <c r="E8" s="423">
        <v>2476</v>
      </c>
      <c r="F8" s="424">
        <v>238749</v>
      </c>
      <c r="G8" s="423">
        <v>345</v>
      </c>
      <c r="H8" s="424">
        <v>238315</v>
      </c>
      <c r="I8" s="435">
        <v>19126</v>
      </c>
      <c r="J8" s="436">
        <v>21613</v>
      </c>
      <c r="K8" s="435">
        <v>24248</v>
      </c>
      <c r="L8" s="557">
        <v>0.13191690832692204</v>
      </c>
      <c r="M8" s="556">
        <f t="shared" ref="M8:N10" si="5">J8/I8-1</f>
        <v>0.13003241660566767</v>
      </c>
      <c r="N8" s="556">
        <f t="shared" si="5"/>
        <v>0.12191736454911406</v>
      </c>
      <c r="O8" s="435">
        <v>4471</v>
      </c>
      <c r="P8" s="435">
        <v>5347</v>
      </c>
      <c r="Q8" s="435">
        <v>6093</v>
      </c>
      <c r="R8" s="556">
        <f t="shared" ref="R8:R10" si="6">O8/I8</f>
        <v>0.2337655547422357</v>
      </c>
      <c r="S8" s="556">
        <f t="shared" si="0"/>
        <v>0.24739739971313562</v>
      </c>
      <c r="T8" s="556">
        <f t="shared" si="0"/>
        <v>0.25127845595513032</v>
      </c>
      <c r="U8" s="435">
        <v>2999</v>
      </c>
      <c r="V8" s="435">
        <v>3506</v>
      </c>
      <c r="W8" s="435">
        <v>3968</v>
      </c>
      <c r="X8" s="421">
        <f t="shared" ref="X8:X10" si="7">U8/I8</f>
        <v>0.15680225870542716</v>
      </c>
      <c r="Y8" s="421">
        <f t="shared" si="1"/>
        <v>0.16221718410216074</v>
      </c>
      <c r="Z8" s="421">
        <f t="shared" si="1"/>
        <v>0.16364236225668097</v>
      </c>
      <c r="AA8" s="422">
        <f t="shared" ref="AA8:AA10" si="8">$H8/I8</f>
        <v>12.460263515633169</v>
      </c>
      <c r="AB8" s="422">
        <f t="shared" si="2"/>
        <v>11.026465553139314</v>
      </c>
      <c r="AC8" s="422">
        <f t="shared" si="2"/>
        <v>9.8282332563510391</v>
      </c>
      <c r="AD8" s="422">
        <f t="shared" ref="AD8:AD10" si="9">$H8/O8</f>
        <v>53.302393200626256</v>
      </c>
      <c r="AE8" s="422">
        <f t="shared" si="3"/>
        <v>44.569852253600146</v>
      </c>
      <c r="AF8" s="422">
        <f t="shared" si="3"/>
        <v>39.112916461513208</v>
      </c>
      <c r="AG8" s="422">
        <f t="shared" ref="AG8:AG10" si="10">$F8/U8</f>
        <v>79.60953651217072</v>
      </c>
      <c r="AH8" s="422">
        <f t="shared" si="4"/>
        <v>68.097261836851118</v>
      </c>
      <c r="AI8" s="422">
        <f t="shared" si="4"/>
        <v>60.168598790322584</v>
      </c>
      <c r="AK8" s="555" t="s">
        <v>903</v>
      </c>
    </row>
    <row r="9" spans="2:37">
      <c r="B9" s="423" t="s">
        <v>864</v>
      </c>
      <c r="C9" s="423"/>
      <c r="D9" s="423" t="s">
        <v>906</v>
      </c>
      <c r="E9" s="423">
        <v>5230</v>
      </c>
      <c r="F9" s="424">
        <v>126073</v>
      </c>
      <c r="G9" s="423">
        <v>2065</v>
      </c>
      <c r="H9" s="424">
        <v>127691</v>
      </c>
      <c r="I9" s="435">
        <v>16769</v>
      </c>
      <c r="J9" s="435">
        <v>18605</v>
      </c>
      <c r="K9" s="435">
        <v>20470</v>
      </c>
      <c r="L9" s="557">
        <v>2.8709895098460114E-2</v>
      </c>
      <c r="M9" s="556">
        <f t="shared" si="5"/>
        <v>0.10948774524420068</v>
      </c>
      <c r="N9" s="556">
        <f t="shared" si="5"/>
        <v>0.10024187046492883</v>
      </c>
      <c r="O9" s="435">
        <v>3167</v>
      </c>
      <c r="P9" s="435">
        <v>3513</v>
      </c>
      <c r="Q9" s="435">
        <v>3902</v>
      </c>
      <c r="R9" s="556">
        <f t="shared" si="6"/>
        <v>0.18886039716142883</v>
      </c>
      <c r="S9" s="556">
        <f t="shared" si="0"/>
        <v>0.1888202096210696</v>
      </c>
      <c r="T9" s="556">
        <f t="shared" si="0"/>
        <v>0.19062042012701513</v>
      </c>
      <c r="U9" s="435">
        <v>2134</v>
      </c>
      <c r="V9" s="435">
        <v>2434</v>
      </c>
      <c r="W9" s="435">
        <v>2749</v>
      </c>
      <c r="X9" s="421">
        <f t="shared" si="7"/>
        <v>0.12725863199952292</v>
      </c>
      <c r="Y9" s="421">
        <f t="shared" si="1"/>
        <v>0.13082504703036818</v>
      </c>
      <c r="Z9" s="421">
        <f t="shared" si="1"/>
        <v>0.13429408891060088</v>
      </c>
      <c r="AA9" s="422">
        <f t="shared" si="8"/>
        <v>7.6147057069592705</v>
      </c>
      <c r="AB9" s="422">
        <f t="shared" si="2"/>
        <v>6.863262563826928</v>
      </c>
      <c r="AC9" s="422">
        <f t="shared" si="2"/>
        <v>6.2379579872984854</v>
      </c>
      <c r="AD9" s="422">
        <f t="shared" si="9"/>
        <v>40.319229554783711</v>
      </c>
      <c r="AE9" s="422">
        <f t="shared" si="3"/>
        <v>36.348135496726442</v>
      </c>
      <c r="AF9" s="422">
        <f t="shared" si="3"/>
        <v>32.72450025627883</v>
      </c>
      <c r="AG9" s="422">
        <f t="shared" si="10"/>
        <v>59.078256794751638</v>
      </c>
      <c r="AH9" s="422">
        <f t="shared" si="4"/>
        <v>51.796631059983568</v>
      </c>
      <c r="AI9" s="422">
        <f t="shared" si="4"/>
        <v>45.861404146962535</v>
      </c>
      <c r="AK9" s="555" t="s">
        <v>907</v>
      </c>
    </row>
    <row r="10" spans="2:37">
      <c r="B10" s="423" t="s">
        <v>866</v>
      </c>
      <c r="C10" s="423"/>
      <c r="D10" s="423" t="s">
        <v>908</v>
      </c>
      <c r="E10" s="423">
        <v>546</v>
      </c>
      <c r="F10" s="424">
        <v>13667</v>
      </c>
      <c r="G10" s="423">
        <v>139</v>
      </c>
      <c r="H10" s="424">
        <v>13630</v>
      </c>
      <c r="I10" s="435">
        <v>2295</v>
      </c>
      <c r="J10" s="435">
        <v>2685</v>
      </c>
      <c r="K10" s="435">
        <v>3135</v>
      </c>
      <c r="L10" s="557">
        <v>0.18055555555555558</v>
      </c>
      <c r="M10" s="556">
        <f t="shared" si="5"/>
        <v>0.16993464052287588</v>
      </c>
      <c r="N10" s="556">
        <f t="shared" si="5"/>
        <v>0.16759776536312843</v>
      </c>
      <c r="O10" s="435">
        <v>394</v>
      </c>
      <c r="P10" s="435">
        <v>382</v>
      </c>
      <c r="Q10" s="435">
        <v>445</v>
      </c>
      <c r="R10" s="556">
        <f t="shared" si="6"/>
        <v>0.17167755991285402</v>
      </c>
      <c r="S10" s="556">
        <f t="shared" si="0"/>
        <v>0.14227188081936684</v>
      </c>
      <c r="T10" s="556">
        <f t="shared" si="0"/>
        <v>0.1419457735247209</v>
      </c>
      <c r="U10" s="435">
        <v>270</v>
      </c>
      <c r="V10" s="435">
        <v>254</v>
      </c>
      <c r="W10" s="435">
        <v>306</v>
      </c>
      <c r="X10" s="421">
        <f t="shared" si="7"/>
        <v>0.11764705882352941</v>
      </c>
      <c r="Y10" s="421">
        <f t="shared" si="1"/>
        <v>9.4599627560521413E-2</v>
      </c>
      <c r="Z10" s="421">
        <f t="shared" si="1"/>
        <v>9.7607655502392338E-2</v>
      </c>
      <c r="AA10" s="422">
        <f t="shared" si="8"/>
        <v>5.9389978213507622</v>
      </c>
      <c r="AB10" s="422">
        <f t="shared" si="2"/>
        <v>5.0763500931098697</v>
      </c>
      <c r="AC10" s="422">
        <f t="shared" si="2"/>
        <v>4.3476874003189794</v>
      </c>
      <c r="AD10" s="422">
        <f t="shared" si="9"/>
        <v>34.593908629441621</v>
      </c>
      <c r="AE10" s="422">
        <f t="shared" si="3"/>
        <v>35.680628272251312</v>
      </c>
      <c r="AF10" s="422">
        <f t="shared" si="3"/>
        <v>30.629213483146067</v>
      </c>
      <c r="AG10" s="422">
        <f t="shared" si="10"/>
        <v>50.61851851851852</v>
      </c>
      <c r="AH10" s="422">
        <f t="shared" si="4"/>
        <v>53.80708661417323</v>
      </c>
      <c r="AI10" s="422">
        <f t="shared" si="4"/>
        <v>44.66339869281046</v>
      </c>
    </row>
    <row r="11" spans="2:37" ht="6.6" customHeight="1"/>
    <row r="12" spans="2:37">
      <c r="B12" s="425" t="s">
        <v>798</v>
      </c>
      <c r="C12" s="425"/>
      <c r="D12" s="425"/>
      <c r="E12" s="425"/>
      <c r="F12" s="425"/>
      <c r="G12" s="425"/>
      <c r="H12" s="425"/>
      <c r="I12" s="425"/>
      <c r="J12" s="425"/>
      <c r="K12" s="425"/>
      <c r="L12" s="425"/>
      <c r="M12" s="425"/>
      <c r="N12" s="425"/>
      <c r="O12" s="425"/>
      <c r="P12" s="425"/>
      <c r="Q12" s="425"/>
      <c r="R12" s="425"/>
      <c r="S12" s="425"/>
      <c r="T12" s="425"/>
      <c r="U12" s="425"/>
      <c r="V12" s="425"/>
      <c r="W12" s="425"/>
      <c r="X12" s="425"/>
      <c r="Y12" s="425"/>
      <c r="Z12" s="425"/>
      <c r="AA12" s="426">
        <f>MAX(AA8:AA10)</f>
        <v>12.460263515633169</v>
      </c>
      <c r="AB12" s="426">
        <f t="shared" ref="AB12:AI12" si="11">MAX(AB8:AB10)</f>
        <v>11.026465553139314</v>
      </c>
      <c r="AC12" s="426">
        <f t="shared" si="11"/>
        <v>9.8282332563510391</v>
      </c>
      <c r="AD12" s="426">
        <f t="shared" si="11"/>
        <v>53.302393200626256</v>
      </c>
      <c r="AE12" s="426">
        <f t="shared" si="11"/>
        <v>44.569852253600146</v>
      </c>
      <c r="AF12" s="426">
        <f t="shared" si="11"/>
        <v>39.112916461513208</v>
      </c>
      <c r="AG12" s="426">
        <f t="shared" si="11"/>
        <v>79.60953651217072</v>
      </c>
      <c r="AH12" s="426">
        <f t="shared" si="11"/>
        <v>68.097261836851118</v>
      </c>
      <c r="AI12" s="426">
        <f t="shared" si="11"/>
        <v>60.168598790322584</v>
      </c>
    </row>
    <row r="13" spans="2:37">
      <c r="B13" s="427" t="s">
        <v>909</v>
      </c>
      <c r="C13" s="427"/>
      <c r="D13" s="427"/>
      <c r="E13" s="427"/>
      <c r="F13" s="427"/>
      <c r="G13" s="427"/>
      <c r="H13" s="427"/>
      <c r="I13" s="427"/>
      <c r="J13" s="427"/>
      <c r="K13" s="427"/>
      <c r="L13" s="427"/>
      <c r="M13" s="427"/>
      <c r="N13" s="427"/>
      <c r="O13" s="427"/>
      <c r="P13" s="427"/>
      <c r="Q13" s="427"/>
      <c r="R13" s="427"/>
      <c r="S13" s="427"/>
      <c r="T13" s="427"/>
      <c r="U13" s="427"/>
      <c r="V13" s="427"/>
      <c r="W13" s="427"/>
      <c r="X13" s="427"/>
      <c r="Y13" s="427"/>
      <c r="Z13" s="427"/>
      <c r="AA13" s="426">
        <f>QUARTILE(AA8:AA10,3)</f>
        <v>10.03748461129622</v>
      </c>
      <c r="AB13" s="426">
        <f t="shared" ref="AB13:AI13" si="12">QUARTILE(AB8:AB10,3)</f>
        <v>8.9448640584831214</v>
      </c>
      <c r="AC13" s="426">
        <f t="shared" si="12"/>
        <v>8.0330956218247618</v>
      </c>
      <c r="AD13" s="426">
        <f t="shared" si="12"/>
        <v>46.810811377704979</v>
      </c>
      <c r="AE13" s="426">
        <f t="shared" si="12"/>
        <v>40.458993875163294</v>
      </c>
      <c r="AF13" s="426">
        <f t="shared" si="12"/>
        <v>35.918708358896019</v>
      </c>
      <c r="AG13" s="426">
        <f t="shared" si="12"/>
        <v>69.343896653461172</v>
      </c>
      <c r="AH13" s="426">
        <f t="shared" si="12"/>
        <v>60.952174225512174</v>
      </c>
      <c r="AI13" s="426">
        <f t="shared" si="12"/>
        <v>53.015001468642559</v>
      </c>
    </row>
    <row r="14" spans="2:37">
      <c r="B14" s="428" t="s">
        <v>320</v>
      </c>
      <c r="C14" s="427"/>
      <c r="D14" s="427"/>
      <c r="E14" s="427"/>
      <c r="F14" s="427"/>
      <c r="G14" s="427"/>
      <c r="H14" s="427"/>
      <c r="I14" s="427"/>
      <c r="J14" s="427"/>
      <c r="K14" s="427"/>
      <c r="L14" s="427"/>
      <c r="M14" s="427"/>
      <c r="N14" s="427"/>
      <c r="O14" s="427"/>
      <c r="P14" s="427"/>
      <c r="Q14" s="427"/>
      <c r="R14" s="427"/>
      <c r="S14" s="427"/>
      <c r="T14" s="427"/>
      <c r="U14" s="427"/>
      <c r="V14" s="427"/>
      <c r="W14" s="427"/>
      <c r="X14" s="427"/>
      <c r="Y14" s="427"/>
      <c r="Z14" s="427"/>
      <c r="AA14" s="429">
        <f>AVERAGE(AA8:AA10)</f>
        <v>8.6713223479810679</v>
      </c>
      <c r="AB14" s="429">
        <f t="shared" ref="AB14:AI14" si="13">AVERAGE(AB8:AB10)</f>
        <v>7.6553594033587045</v>
      </c>
      <c r="AC14" s="429">
        <f t="shared" si="13"/>
        <v>6.8046262146561673</v>
      </c>
      <c r="AD14" s="429">
        <f t="shared" si="13"/>
        <v>42.738510461617189</v>
      </c>
      <c r="AE14" s="429">
        <f t="shared" si="13"/>
        <v>38.866205340859302</v>
      </c>
      <c r="AF14" s="429">
        <f t="shared" si="13"/>
        <v>34.155543400312702</v>
      </c>
      <c r="AG14" s="429">
        <f t="shared" si="13"/>
        <v>63.102103941813624</v>
      </c>
      <c r="AH14" s="429">
        <f t="shared" si="13"/>
        <v>57.900326503669305</v>
      </c>
      <c r="AI14" s="429">
        <f t="shared" si="13"/>
        <v>50.231133876698529</v>
      </c>
    </row>
    <row r="15" spans="2:37">
      <c r="B15" s="428" t="s">
        <v>319</v>
      </c>
      <c r="C15" s="427"/>
      <c r="D15" s="427"/>
      <c r="E15" s="427"/>
      <c r="F15" s="427"/>
      <c r="G15" s="427"/>
      <c r="H15" s="427"/>
      <c r="I15" s="427"/>
      <c r="J15" s="427"/>
      <c r="K15" s="427"/>
      <c r="L15" s="427"/>
      <c r="M15" s="427"/>
      <c r="N15" s="427"/>
      <c r="O15" s="427"/>
      <c r="P15" s="427"/>
      <c r="Q15" s="427"/>
      <c r="R15" s="427"/>
      <c r="S15" s="427"/>
      <c r="T15" s="427"/>
      <c r="U15" s="427"/>
      <c r="V15" s="427"/>
      <c r="W15" s="427"/>
      <c r="X15" s="427"/>
      <c r="Y15" s="427"/>
      <c r="Z15" s="427"/>
      <c r="AA15" s="429">
        <f>MEDIAN(AA8:AA10)</f>
        <v>7.6147057069592705</v>
      </c>
      <c r="AB15" s="429">
        <f t="shared" ref="AB15:AI15" si="14">MEDIAN(AB8:AB10)</f>
        <v>6.863262563826928</v>
      </c>
      <c r="AC15" s="429">
        <f t="shared" si="14"/>
        <v>6.2379579872984854</v>
      </c>
      <c r="AD15" s="429">
        <f t="shared" si="14"/>
        <v>40.319229554783711</v>
      </c>
      <c r="AE15" s="429">
        <f t="shared" si="14"/>
        <v>36.348135496726442</v>
      </c>
      <c r="AF15" s="429">
        <f t="shared" si="14"/>
        <v>32.72450025627883</v>
      </c>
      <c r="AG15" s="429">
        <f t="shared" si="14"/>
        <v>59.078256794751638</v>
      </c>
      <c r="AH15" s="429">
        <f t="shared" si="14"/>
        <v>53.80708661417323</v>
      </c>
      <c r="AI15" s="429">
        <f t="shared" si="14"/>
        <v>45.861404146962535</v>
      </c>
    </row>
    <row r="16" spans="2:37">
      <c r="B16" s="427" t="s">
        <v>910</v>
      </c>
      <c r="C16" s="427"/>
      <c r="D16" s="427"/>
      <c r="E16" s="427"/>
      <c r="F16" s="427"/>
      <c r="G16" s="427"/>
      <c r="H16" s="427"/>
      <c r="I16" s="427"/>
      <c r="J16" s="427"/>
      <c r="K16" s="427"/>
      <c r="L16" s="427"/>
      <c r="M16" s="427"/>
      <c r="N16" s="427"/>
      <c r="O16" s="427"/>
      <c r="P16" s="427"/>
      <c r="Q16" s="427"/>
      <c r="R16" s="427"/>
      <c r="S16" s="427"/>
      <c r="T16" s="427"/>
      <c r="U16" s="427"/>
      <c r="V16" s="427"/>
      <c r="W16" s="427"/>
      <c r="X16" s="427"/>
      <c r="Y16" s="427"/>
      <c r="Z16" s="427"/>
      <c r="AA16" s="430">
        <f>QUARTILE(AA8:AA10,1)</f>
        <v>6.7768517641550163</v>
      </c>
      <c r="AB16" s="430">
        <f t="shared" ref="AB16:AI16" si="15">QUARTILE(AB8:AB10,1)</f>
        <v>5.9698063284683993</v>
      </c>
      <c r="AC16" s="430">
        <f t="shared" si="15"/>
        <v>5.2928226938087324</v>
      </c>
      <c r="AD16" s="430">
        <f t="shared" si="15"/>
        <v>37.456569092112666</v>
      </c>
      <c r="AE16" s="430">
        <f t="shared" si="15"/>
        <v>36.014381884488877</v>
      </c>
      <c r="AF16" s="430">
        <f t="shared" si="15"/>
        <v>31.676856869712449</v>
      </c>
      <c r="AG16" s="430">
        <f t="shared" si="15"/>
        <v>54.848387656635083</v>
      </c>
      <c r="AH16" s="430">
        <f t="shared" si="15"/>
        <v>52.801858837078399</v>
      </c>
      <c r="AI16" s="430">
        <f t="shared" si="15"/>
        <v>45.262401419886501</v>
      </c>
    </row>
    <row r="17" spans="2:35">
      <c r="B17" s="427" t="s">
        <v>796</v>
      </c>
      <c r="C17" s="427"/>
      <c r="D17" s="427"/>
      <c r="E17" s="427"/>
      <c r="F17" s="427"/>
      <c r="G17" s="427"/>
      <c r="H17" s="427"/>
      <c r="I17" s="427"/>
      <c r="J17" s="427"/>
      <c r="K17" s="427"/>
      <c r="L17" s="427"/>
      <c r="M17" s="427"/>
      <c r="N17" s="427"/>
      <c r="O17" s="427"/>
      <c r="P17" s="427"/>
      <c r="Q17" s="427"/>
      <c r="R17" s="427"/>
      <c r="S17" s="427"/>
      <c r="T17" s="427"/>
      <c r="U17" s="427"/>
      <c r="V17" s="427"/>
      <c r="W17" s="427"/>
      <c r="X17" s="427"/>
      <c r="Y17" s="427"/>
      <c r="Z17" s="427"/>
      <c r="AA17" s="430">
        <f>MIN(AA8:AA10)</f>
        <v>5.9389978213507622</v>
      </c>
      <c r="AB17" s="430">
        <f t="shared" ref="AB17:AI17" si="16">MIN(AB8:AB10)</f>
        <v>5.0763500931098697</v>
      </c>
      <c r="AC17" s="430">
        <f t="shared" si="16"/>
        <v>4.3476874003189794</v>
      </c>
      <c r="AD17" s="430">
        <f t="shared" si="16"/>
        <v>34.593908629441621</v>
      </c>
      <c r="AE17" s="430">
        <f t="shared" si="16"/>
        <v>35.680628272251312</v>
      </c>
      <c r="AF17" s="430">
        <f t="shared" si="16"/>
        <v>30.629213483146067</v>
      </c>
      <c r="AG17" s="430">
        <f t="shared" si="16"/>
        <v>50.61851851851852</v>
      </c>
      <c r="AH17" s="430">
        <f t="shared" si="16"/>
        <v>51.796631059983568</v>
      </c>
      <c r="AI17" s="430">
        <f t="shared" si="16"/>
        <v>44.66339869281046</v>
      </c>
    </row>
    <row r="19" spans="2:35">
      <c r="B19" s="402" t="str">
        <f>D23</f>
        <v>EV/Sales</v>
      </c>
      <c r="C19" s="402"/>
      <c r="D19" s="402"/>
    </row>
    <row r="20" spans="2:35">
      <c r="B20" s="397" t="s">
        <v>897</v>
      </c>
      <c r="D20" s="437">
        <f>I7</f>
        <v>16043</v>
      </c>
    </row>
    <row r="21" spans="2:35">
      <c r="B21" s="397" t="s">
        <v>54</v>
      </c>
      <c r="D21" s="437">
        <f>O7</f>
        <v>3717</v>
      </c>
    </row>
    <row r="22" spans="2:35">
      <c r="B22" s="397" t="s">
        <v>911</v>
      </c>
      <c r="D22" s="437">
        <f>U7</f>
        <v>2102</v>
      </c>
    </row>
    <row r="23" spans="2:35">
      <c r="B23" s="431" t="s">
        <v>912</v>
      </c>
      <c r="C23" s="431"/>
      <c r="D23" s="432" t="s">
        <v>902</v>
      </c>
    </row>
    <row r="24" spans="2:35">
      <c r="B24" s="397" t="str">
        <f>D23</f>
        <v>EV/Sales</v>
      </c>
      <c r="D24" s="433">
        <f>IF(B24=AK7,AA15,IF(B24=AK8,AD15,AG15))</f>
        <v>7.6147057069592705</v>
      </c>
    </row>
    <row r="25" spans="2:35">
      <c r="B25" s="397" t="str">
        <f>IF(D23=AK9,"Equity Value","Enterprise Value")</f>
        <v>Enterprise Value</v>
      </c>
      <c r="D25" s="69">
        <f>IF(D23=AK7,D24*D20,IF(D23=AK8,D24*D21,D24*D22))</f>
        <v>122162.72365674758</v>
      </c>
    </row>
    <row r="26" spans="2:35">
      <c r="B26" s="397" t="str">
        <f>IF(D23=AK9," ","Less: Debt ")</f>
        <v xml:space="preserve">Less: Debt </v>
      </c>
      <c r="D26" s="69">
        <f>IF(D23=AK9," ",'DCF-Valn'!C41)</f>
        <v>-5194.3870000000006</v>
      </c>
    </row>
    <row r="27" spans="2:35">
      <c r="B27" s="397" t="str">
        <f>IF(D23=AK9," ","Add: Cash")</f>
        <v>Add: Cash</v>
      </c>
      <c r="D27" s="69">
        <f>IF(D23=AK9," ",'DCF-Valn'!C42)</f>
        <v>459.48699999999963</v>
      </c>
    </row>
    <row r="28" spans="2:35">
      <c r="B28" s="397" t="str">
        <f>IF(D23=AK9," ","Less: Minority Interest")</f>
        <v>Less: Minority Interest</v>
      </c>
      <c r="D28" s="69">
        <f>IF(D23=AK9," ",'DCF-Valn'!C43)</f>
        <v>-148.155</v>
      </c>
    </row>
    <row r="29" spans="2:35">
      <c r="B29" s="397" t="str">
        <f>IF(D23=AK9," ","Add: Non Operating Asset")</f>
        <v>Add: Non Operating Asset</v>
      </c>
      <c r="D29" s="69">
        <f>IF(D23=AK9," ",'DCF-Valn'!C44)</f>
        <v>65.418000000000006</v>
      </c>
    </row>
    <row r="30" spans="2:35">
      <c r="B30" s="438" t="s">
        <v>139</v>
      </c>
      <c r="C30" s="438"/>
      <c r="D30" s="439">
        <f>IF(D23=AK9,D25,SUM(D25,D26:D29))</f>
        <v>117345.08665674758</v>
      </c>
    </row>
    <row r="31" spans="2:35">
      <c r="B31" s="397" t="s">
        <v>814</v>
      </c>
      <c r="D31" s="69">
        <f ca="1">'DCF-Valn'!C46</f>
        <v>-107.4976042492536</v>
      </c>
      <c r="E31"/>
    </row>
    <row r="32" spans="2:35" ht="15" thickBot="1">
      <c r="B32" s="440" t="s">
        <v>815</v>
      </c>
      <c r="C32" s="440"/>
      <c r="D32" s="441">
        <f ca="1">SUM(D30:D31)</f>
        <v>117237.58905249833</v>
      </c>
    </row>
  </sheetData>
  <mergeCells count="3">
    <mergeCell ref="D3:H3"/>
    <mergeCell ref="I3:W3"/>
    <mergeCell ref="AA3:AI3"/>
  </mergeCells>
  <dataValidations count="1">
    <dataValidation type="list" allowBlank="1" showInputMessage="1" showErrorMessage="1" sqref="D23" xr:uid="{CD941C9C-F9D5-4506-9193-540E99D16BFC}">
      <formula1>$AK$7:$AK$9</formula1>
    </dataValidation>
  </dataValidation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AC168-3AB5-4A3D-99B7-A32CAEF35DD8}">
  <sheetPr>
    <tabColor theme="9" tint="-0.249977111117893"/>
  </sheetPr>
  <dimension ref="A1"/>
  <sheetViews>
    <sheetView workbookViewId="0"/>
  </sheetViews>
  <sheetFormatPr defaultRowHeight="14.4"/>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48CAB-3D89-4D23-9BE2-7746D094B44E}">
  <dimension ref="B2:P37"/>
  <sheetViews>
    <sheetView showGridLines="0" zoomScale="83" zoomScaleNormal="130" workbookViewId="0">
      <selection activeCell="E5" sqref="E5"/>
    </sheetView>
  </sheetViews>
  <sheetFormatPr defaultColWidth="11.44140625" defaultRowHeight="11.4"/>
  <cols>
    <col min="1" max="2" width="11.44140625" style="366"/>
    <col min="3" max="3" width="11.6640625" style="366" bestFit="1" customWidth="1"/>
    <col min="4" max="4" width="35.44140625" style="366" customWidth="1"/>
    <col min="5" max="5" width="23.21875" style="366" customWidth="1"/>
    <col min="6" max="6" width="9.109375" style="366" bestFit="1" customWidth="1"/>
    <col min="7" max="7" width="13.6640625" style="366" bestFit="1" customWidth="1"/>
    <col min="8" max="9" width="11.44140625" style="366"/>
    <col min="10" max="10" width="6.88671875" style="366" bestFit="1" customWidth="1"/>
    <col min="11" max="11" width="8.77734375" style="366" bestFit="1" customWidth="1"/>
    <col min="12" max="12" width="18" style="366" bestFit="1" customWidth="1"/>
    <col min="13" max="13" width="11.5546875" style="366" bestFit="1" customWidth="1"/>
    <col min="14" max="14" width="6.44140625" style="366" bestFit="1" customWidth="1"/>
    <col min="15" max="15" width="14.33203125" style="366" bestFit="1" customWidth="1"/>
    <col min="16" max="16" width="15.77734375" style="366" bestFit="1" customWidth="1"/>
    <col min="17" max="16384" width="11.44140625" style="366"/>
  </cols>
  <sheetData>
    <row r="2" spans="2:16" s="363" customFormat="1" ht="17.399999999999999">
      <c r="B2" s="361" t="s">
        <v>816</v>
      </c>
      <c r="C2" s="361"/>
      <c r="D2" s="361"/>
      <c r="E2" s="362"/>
      <c r="F2" s="361"/>
      <c r="G2" s="361"/>
      <c r="H2" s="361"/>
    </row>
    <row r="3" spans="2:16" ht="14.4">
      <c r="B3" s="364" t="s">
        <v>817</v>
      </c>
      <c r="C3" s="364"/>
      <c r="D3" s="364"/>
      <c r="E3" s="365">
        <v>1474</v>
      </c>
      <c r="F3" s="364"/>
      <c r="G3" s="364"/>
      <c r="H3" s="364"/>
      <c r="J3" s="385" t="s">
        <v>850</v>
      </c>
      <c r="K3" s="385" t="s">
        <v>849</v>
      </c>
      <c r="L3" s="385" t="s">
        <v>851</v>
      </c>
      <c r="M3" s="385" t="s">
        <v>848</v>
      </c>
      <c r="N3" s="385" t="s">
        <v>847</v>
      </c>
      <c r="O3" s="385" t="s">
        <v>845</v>
      </c>
      <c r="P3" s="385" t="s">
        <v>846</v>
      </c>
    </row>
    <row r="4" spans="2:16" ht="14.4">
      <c r="B4" s="364" t="s">
        <v>818</v>
      </c>
      <c r="C4" s="364"/>
      <c r="D4" s="364"/>
      <c r="E4" s="367">
        <f>M9</f>
        <v>767.56976744186045</v>
      </c>
      <c r="F4" s="364"/>
      <c r="G4" s="364"/>
      <c r="H4" s="364"/>
      <c r="J4" s="386">
        <v>1</v>
      </c>
      <c r="K4" s="387">
        <v>44963</v>
      </c>
      <c r="L4" s="386">
        <v>54000</v>
      </c>
      <c r="M4" s="386">
        <v>628</v>
      </c>
      <c r="N4" s="386">
        <v>4.5</v>
      </c>
      <c r="O4" s="388">
        <v>0.4007</v>
      </c>
      <c r="P4" s="388">
        <v>2.2000000000000001E-3</v>
      </c>
    </row>
    <row r="5" spans="2:16" ht="14.4">
      <c r="B5" s="364" t="s">
        <v>819</v>
      </c>
      <c r="C5" s="364"/>
      <c r="D5" s="364"/>
      <c r="E5" s="365">
        <f>N9</f>
        <v>4.072790697674419</v>
      </c>
      <c r="F5" s="364"/>
      <c r="G5" s="364"/>
      <c r="H5" s="364"/>
      <c r="J5" s="386">
        <v>2</v>
      </c>
      <c r="K5" s="387">
        <v>45048</v>
      </c>
      <c r="L5" s="386">
        <v>12000</v>
      </c>
      <c r="M5" s="386">
        <v>643</v>
      </c>
      <c r="N5" s="386">
        <v>4.2</v>
      </c>
      <c r="O5" s="388">
        <v>0.39950000000000002</v>
      </c>
      <c r="P5" s="388">
        <v>2.3999999999999998E-3</v>
      </c>
    </row>
    <row r="6" spans="2:16" ht="14.4">
      <c r="B6" s="364" t="s">
        <v>820</v>
      </c>
      <c r="C6" s="364"/>
      <c r="D6" s="364"/>
      <c r="E6" s="368">
        <f>O9</f>
        <v>0.38705348837209308</v>
      </c>
      <c r="F6" s="364" t="s">
        <v>821</v>
      </c>
      <c r="G6" s="364"/>
      <c r="H6" s="364"/>
      <c r="J6" s="386">
        <v>3</v>
      </c>
      <c r="K6" s="387">
        <v>45141</v>
      </c>
      <c r="L6" s="386">
        <v>50000</v>
      </c>
      <c r="M6" s="386">
        <v>801</v>
      </c>
      <c r="N6" s="386">
        <v>4</v>
      </c>
      <c r="O6" s="388">
        <v>0.39119999999999999</v>
      </c>
      <c r="P6" s="388">
        <v>4.3E-3</v>
      </c>
    </row>
    <row r="7" spans="2:16" ht="14.4">
      <c r="B7" s="364" t="s">
        <v>822</v>
      </c>
      <c r="C7" s="364"/>
      <c r="D7" s="364"/>
      <c r="E7" s="369">
        <f>P9</f>
        <v>3.2604651162790703E-3</v>
      </c>
      <c r="F7" s="364"/>
      <c r="G7" s="364"/>
      <c r="H7" s="364"/>
      <c r="J7" s="386">
        <v>4</v>
      </c>
      <c r="K7" s="387">
        <v>45236</v>
      </c>
      <c r="L7" s="386">
        <v>26000</v>
      </c>
      <c r="M7" s="386">
        <v>899</v>
      </c>
      <c r="N7" s="386">
        <v>3.72</v>
      </c>
      <c r="O7" s="388">
        <v>0.37090000000000001</v>
      </c>
      <c r="P7" s="388">
        <v>3.7000000000000002E-3</v>
      </c>
    </row>
    <row r="8" spans="2:16" ht="14.4">
      <c r="B8" s="364" t="s">
        <v>823</v>
      </c>
      <c r="C8" s="364"/>
      <c r="D8" s="364"/>
      <c r="E8" s="369">
        <f>WACC!E7</f>
        <v>4.641E-2</v>
      </c>
      <c r="F8" s="364"/>
      <c r="G8" s="364"/>
      <c r="H8" s="364"/>
      <c r="J8" s="386">
        <v>5</v>
      </c>
      <c r="K8" s="387">
        <v>45253</v>
      </c>
      <c r="L8" s="386">
        <v>30000</v>
      </c>
      <c r="M8" s="386">
        <v>899</v>
      </c>
      <c r="N8" s="386">
        <v>3.68</v>
      </c>
      <c r="O8" s="388">
        <v>0.36459999999999998</v>
      </c>
      <c r="P8" s="388">
        <v>3.4000000000000002E-3</v>
      </c>
    </row>
    <row r="9" spans="2:16" ht="14.4">
      <c r="B9" s="364" t="s">
        <v>824</v>
      </c>
      <c r="C9" s="364"/>
      <c r="D9" s="364"/>
      <c r="E9" s="365">
        <v>0.1233214</v>
      </c>
      <c r="F9" s="483" t="s">
        <v>957</v>
      </c>
      <c r="G9" s="364"/>
      <c r="H9" s="364"/>
      <c r="L9" s="392" t="s">
        <v>852</v>
      </c>
      <c r="M9" s="389">
        <f>SUMPRODUCT(M4:M8,$L$4:$L$8)/SUM($L$4:$L$8)</f>
        <v>767.56976744186045</v>
      </c>
      <c r="N9" s="390">
        <f t="shared" ref="N9:P9" si="0">SUMPRODUCT(N4:N8,$L$4:$L$8)/SUM($L$4:$L$8)</f>
        <v>4.072790697674419</v>
      </c>
      <c r="O9" s="391">
        <f t="shared" si="0"/>
        <v>0.38705348837209308</v>
      </c>
      <c r="P9" s="391">
        <f t="shared" si="0"/>
        <v>3.2604651162790703E-3</v>
      </c>
    </row>
    <row r="10" spans="2:16" ht="14.4">
      <c r="B10" s="364" t="s">
        <v>825</v>
      </c>
      <c r="C10" s="364"/>
      <c r="D10" s="364"/>
      <c r="E10" s="365">
        <v>129.92149760000001</v>
      </c>
      <c r="F10" s="483" t="s">
        <v>957</v>
      </c>
      <c r="G10" s="364"/>
      <c r="H10" s="364"/>
    </row>
    <row r="11" spans="2:16" ht="14.4">
      <c r="B11" s="364"/>
      <c r="C11" s="364"/>
      <c r="D11" s="364"/>
      <c r="E11" s="371"/>
      <c r="F11" s="364"/>
      <c r="G11" s="364"/>
      <c r="H11" s="364"/>
      <c r="K11"/>
    </row>
    <row r="12" spans="2:16" s="372" customFormat="1" ht="14.4">
      <c r="B12" s="370" t="s">
        <v>826</v>
      </c>
      <c r="C12" s="371"/>
      <c r="D12" s="371"/>
      <c r="E12" s="371"/>
      <c r="F12" s="371"/>
      <c r="H12" s="371"/>
    </row>
    <row r="13" spans="2:16" s="373" customFormat="1" ht="14.4">
      <c r="B13" s="361" t="s">
        <v>827</v>
      </c>
      <c r="C13" s="364"/>
      <c r="D13" s="364"/>
      <c r="E13" s="364"/>
      <c r="F13" s="364"/>
      <c r="G13" s="364"/>
      <c r="H13" s="364"/>
    </row>
    <row r="14" spans="2:16" s="373" customFormat="1" ht="14.4">
      <c r="B14" s="364" t="s">
        <v>828</v>
      </c>
      <c r="C14" s="364"/>
      <c r="D14" s="374">
        <f>E3</f>
        <v>1474</v>
      </c>
      <c r="E14" s="364" t="s">
        <v>829</v>
      </c>
      <c r="F14" s="364"/>
      <c r="G14" s="375">
        <f>E9</f>
        <v>0.1233214</v>
      </c>
      <c r="H14" s="376"/>
    </row>
    <row r="15" spans="2:16" s="373" customFormat="1" ht="14.4">
      <c r="B15" s="364" t="s">
        <v>830</v>
      </c>
      <c r="C15" s="364"/>
      <c r="D15" s="374">
        <f>E4</f>
        <v>767.56976744186045</v>
      </c>
      <c r="E15" s="364" t="s">
        <v>831</v>
      </c>
      <c r="F15" s="364"/>
      <c r="G15" s="375">
        <f>E10</f>
        <v>129.92149760000001</v>
      </c>
      <c r="H15" s="376"/>
    </row>
    <row r="16" spans="2:16" s="373" customFormat="1" ht="14.4">
      <c r="B16" s="364" t="s">
        <v>832</v>
      </c>
      <c r="C16" s="364"/>
      <c r="D16" s="374">
        <f ca="1">(D14*G15+D27*G14)/(G15+G14)</f>
        <v>1473.4288266159165</v>
      </c>
      <c r="E16" s="364" t="s">
        <v>833</v>
      </c>
      <c r="F16" s="364"/>
      <c r="G16" s="377">
        <f>E8</f>
        <v>4.641E-2</v>
      </c>
      <c r="H16" s="364"/>
    </row>
    <row r="17" spans="2:8" s="373" customFormat="1" ht="14.4">
      <c r="B17" s="364" t="s">
        <v>834</v>
      </c>
      <c r="C17" s="364"/>
      <c r="D17" s="374">
        <f>D15</f>
        <v>767.56976744186045</v>
      </c>
      <c r="E17" s="364" t="s">
        <v>835</v>
      </c>
      <c r="F17" s="364"/>
      <c r="G17" s="378">
        <f>E6^2</f>
        <v>0.149810402861006</v>
      </c>
      <c r="H17" s="364"/>
    </row>
    <row r="18" spans="2:8" s="373" customFormat="1" ht="14.4">
      <c r="B18" s="364" t="s">
        <v>836</v>
      </c>
      <c r="C18" s="364"/>
      <c r="D18" s="374">
        <f>E5</f>
        <v>4.072790697674419</v>
      </c>
      <c r="E18" s="364" t="s">
        <v>837</v>
      </c>
      <c r="F18" s="364"/>
      <c r="G18" s="377">
        <f>E7</f>
        <v>3.2604651162790703E-3</v>
      </c>
      <c r="H18" s="364"/>
    </row>
    <row r="19" spans="2:8" s="373" customFormat="1" ht="14.4">
      <c r="B19" s="364"/>
      <c r="C19" s="364"/>
      <c r="D19" s="361"/>
      <c r="E19" s="364" t="s">
        <v>838</v>
      </c>
      <c r="F19" s="364"/>
      <c r="G19" s="379">
        <f>G16-G18</f>
        <v>4.3149534883720933E-2</v>
      </c>
      <c r="H19" s="364"/>
    </row>
    <row r="20" spans="2:8" s="373" customFormat="1" ht="14.4">
      <c r="B20" s="364"/>
      <c r="C20" s="364"/>
      <c r="D20" s="364"/>
      <c r="E20" s="364"/>
      <c r="F20" s="364"/>
      <c r="G20" s="364"/>
      <c r="H20" s="364"/>
    </row>
    <row r="21" spans="2:8" s="373" customFormat="1" ht="14.4">
      <c r="B21" s="364" t="s">
        <v>839</v>
      </c>
      <c r="C21" s="380">
        <f ca="1">(LN(D16/D17)+(G19+(G17/2))*D18)/(((G17)^(0.5))*(D18^0.5))</f>
        <v>1.4503946209445517</v>
      </c>
      <c r="D21" s="364"/>
      <c r="E21" s="364"/>
      <c r="F21" s="364"/>
      <c r="G21" s="364"/>
      <c r="H21" s="364"/>
    </row>
    <row r="22" spans="2:8" s="373" customFormat="1" ht="14.4">
      <c r="B22" s="364" t="s">
        <v>840</v>
      </c>
      <c r="C22" s="380">
        <f ca="1">NORMSDIST(C21)</f>
        <v>0.92652574687188849</v>
      </c>
      <c r="D22" s="364"/>
      <c r="E22" s="364"/>
      <c r="F22" s="364"/>
      <c r="G22" s="364"/>
      <c r="H22" s="364"/>
    </row>
    <row r="23" spans="2:8" s="373" customFormat="1" ht="14.4">
      <c r="B23" s="364"/>
      <c r="C23" s="381"/>
      <c r="D23" s="364"/>
      <c r="E23" s="364"/>
      <c r="F23" s="364"/>
      <c r="G23" s="364"/>
      <c r="H23" s="364"/>
    </row>
    <row r="24" spans="2:8" s="373" customFormat="1" ht="15.75" customHeight="1">
      <c r="B24" s="364" t="s">
        <v>841</v>
      </c>
      <c r="C24" s="380">
        <f ca="1">C21-((G17^0.5)*(D18^(0.5)))</f>
        <v>0.66927592625906263</v>
      </c>
      <c r="D24" s="364"/>
      <c r="E24" s="364"/>
      <c r="F24" s="364"/>
      <c r="G24" s="364"/>
      <c r="H24" s="364"/>
    </row>
    <row r="25" spans="2:8" s="373" customFormat="1" ht="14.4">
      <c r="B25" s="364" t="s">
        <v>842</v>
      </c>
      <c r="C25" s="380">
        <f ca="1">NORMSDIST(C24)</f>
        <v>0.74834025974226637</v>
      </c>
      <c r="D25" s="364"/>
      <c r="E25" s="364"/>
      <c r="F25" s="364"/>
      <c r="G25" s="364"/>
      <c r="H25" s="364"/>
    </row>
    <row r="26" spans="2:8" ht="15" thickBot="1">
      <c r="B26" s="364"/>
      <c r="C26" s="364"/>
      <c r="D26" s="364"/>
      <c r="E26" s="364"/>
      <c r="F26" s="364"/>
      <c r="G26" s="364"/>
      <c r="H26" s="364"/>
    </row>
    <row r="27" spans="2:8" s="373" customFormat="1" ht="15" thickBot="1">
      <c r="B27" s="364" t="s">
        <v>843</v>
      </c>
      <c r="C27" s="364"/>
      <c r="D27" s="382">
        <f ca="1">((EXP((0-G18)*D18))*D16*C22-D17*(EXP((0-G16)*D18))*C25)</f>
        <v>871.68653817791233</v>
      </c>
      <c r="E27" s="383"/>
      <c r="F27" s="364"/>
      <c r="G27" s="364"/>
      <c r="H27" s="384"/>
    </row>
    <row r="28" spans="2:8" s="373" customFormat="1" ht="15" thickBot="1">
      <c r="B28" s="364" t="s">
        <v>844</v>
      </c>
      <c r="C28" s="364"/>
      <c r="D28" s="364"/>
      <c r="E28" s="393">
        <f ca="1">D27*E9</f>
        <v>107.4976042492536</v>
      </c>
      <c r="F28" s="364"/>
      <c r="G28" s="364"/>
      <c r="H28" s="364"/>
    </row>
    <row r="29" spans="2:8" ht="14.4">
      <c r="B29" s="364"/>
      <c r="C29" s="364"/>
      <c r="D29" s="364"/>
      <c r="E29" s="364"/>
      <c r="F29" s="364"/>
      <c r="G29" s="364"/>
      <c r="H29" s="364"/>
    </row>
    <row r="30" spans="2:8" ht="14.4">
      <c r="B30" s="364"/>
      <c r="C30" s="364"/>
      <c r="D30" s="364"/>
      <c r="E30" s="364"/>
      <c r="F30" s="364"/>
      <c r="G30" s="364"/>
    </row>
    <row r="31" spans="2:8" ht="14.4">
      <c r="B31" s="364"/>
      <c r="C31" s="364"/>
      <c r="D31" s="364"/>
      <c r="E31" s="364"/>
      <c r="F31" s="364"/>
      <c r="G31" s="364"/>
    </row>
    <row r="32" spans="2:8" ht="14.4">
      <c r="B32" s="364"/>
      <c r="C32" s="364"/>
      <c r="D32" s="364"/>
      <c r="E32" s="364"/>
      <c r="F32" s="364"/>
      <c r="G32" s="364"/>
    </row>
    <row r="33" spans="2:7" ht="14.4">
      <c r="B33" s="364"/>
      <c r="C33" s="364"/>
      <c r="D33" s="364"/>
      <c r="E33" s="364"/>
      <c r="F33" s="364"/>
      <c r="G33" s="364"/>
    </row>
    <row r="34" spans="2:7" ht="14.4">
      <c r="B34" s="364"/>
      <c r="C34" s="364"/>
      <c r="D34" s="364"/>
      <c r="E34" s="364"/>
      <c r="F34" s="364"/>
      <c r="G34" s="364"/>
    </row>
    <row r="35" spans="2:7" ht="14.4">
      <c r="B35" s="364"/>
      <c r="C35" s="364"/>
      <c r="D35" s="364"/>
      <c r="E35" s="364"/>
      <c r="F35" s="364"/>
      <c r="G35" s="364"/>
    </row>
    <row r="36" spans="2:7" ht="14.4">
      <c r="B36" s="364"/>
      <c r="C36" s="364"/>
      <c r="D36" s="364"/>
      <c r="E36" s="364"/>
      <c r="F36" s="364"/>
      <c r="G36" s="364"/>
    </row>
    <row r="37" spans="2:7" ht="14.4">
      <c r="B37" s="364"/>
      <c r="C37" s="364"/>
      <c r="D37" s="364"/>
      <c r="E37" s="364"/>
      <c r="F37" s="364"/>
      <c r="G37" s="364"/>
    </row>
  </sheetData>
  <pageMargins left="0.75" right="0.75" top="1" bottom="1" header="0.5" footer="0.5"/>
  <pageSetup orientation="portrait" r:id="rId1"/>
  <headerFooter alignWithMargins="0"/>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D50D1B-D3BA-401F-9E3A-9C47A5288EF3}">
  <sheetPr>
    <pageSetUpPr autoPageBreaks="0"/>
  </sheetPr>
  <dimension ref="A2:AQ910"/>
  <sheetViews>
    <sheetView showGridLines="0" topLeftCell="A695" zoomScale="75" zoomScaleNormal="97" workbookViewId="0">
      <selection activeCell="J704" sqref="J704"/>
    </sheetView>
  </sheetViews>
  <sheetFormatPr defaultRowHeight="14.4" outlineLevelRow="1"/>
  <cols>
    <col min="1" max="1" width="3.21875" customWidth="1"/>
    <col min="2" max="2" width="49.5546875" customWidth="1"/>
    <col min="3" max="3" width="12" customWidth="1"/>
    <col min="4" max="4" width="9.44140625" bestFit="1" customWidth="1"/>
    <col min="10" max="10" width="9.88671875" customWidth="1"/>
    <col min="15" max="15" width="10.44140625" customWidth="1"/>
    <col min="16" max="16" width="9.44140625" bestFit="1" customWidth="1"/>
    <col min="19" max="19" width="15.21875" customWidth="1"/>
  </cols>
  <sheetData>
    <row r="2" spans="1:15" ht="31.2">
      <c r="A2" t="s">
        <v>220</v>
      </c>
      <c r="B2" s="180" t="s">
        <v>259</v>
      </c>
    </row>
    <row r="4" spans="1:15" ht="15.6">
      <c r="B4" s="163" t="s">
        <v>260</v>
      </c>
    </row>
    <row r="5" spans="1:15">
      <c r="M5" s="184" t="s">
        <v>58</v>
      </c>
      <c r="N5" s="186"/>
      <c r="O5" s="186"/>
    </row>
    <row r="6" spans="1:15">
      <c r="B6" s="184" t="s">
        <v>147</v>
      </c>
      <c r="C6" s="185"/>
      <c r="D6" s="186">
        <v>2016</v>
      </c>
      <c r="E6" s="186">
        <f>D6+1</f>
        <v>2017</v>
      </c>
      <c r="F6" s="186">
        <f t="shared" ref="F6:K6" si="0">E6+1</f>
        <v>2018</v>
      </c>
      <c r="G6" s="186">
        <f>F6+1</f>
        <v>2019</v>
      </c>
      <c r="H6" s="186">
        <f t="shared" si="0"/>
        <v>2020</v>
      </c>
      <c r="I6" s="186">
        <f t="shared" si="0"/>
        <v>2021</v>
      </c>
      <c r="J6" s="186">
        <f t="shared" si="0"/>
        <v>2022</v>
      </c>
      <c r="K6" s="186">
        <f t="shared" si="0"/>
        <v>2023</v>
      </c>
      <c r="M6" s="185" t="s">
        <v>57</v>
      </c>
      <c r="N6" s="185" t="s">
        <v>56</v>
      </c>
      <c r="O6" s="185" t="s">
        <v>263</v>
      </c>
    </row>
    <row r="7" spans="1:15">
      <c r="B7" s="181" t="s">
        <v>149</v>
      </c>
      <c r="D7" s="190">
        <f>IncomeStatement!D6</f>
        <v>3861.1800000000003</v>
      </c>
      <c r="E7" s="190">
        <f>IncomeStatement!E6</f>
        <v>4003.54</v>
      </c>
      <c r="F7" s="190">
        <f>IncomeStatement!F6</f>
        <v>5105.26</v>
      </c>
      <c r="G7" s="190">
        <f>IncomeStatement!G6</f>
        <v>7129.58</v>
      </c>
      <c r="H7" s="190">
        <f>IncomeStatement!H6</f>
        <v>6450.14</v>
      </c>
      <c r="I7" s="190">
        <f>IncomeStatement!I6</f>
        <v>8823.2300000000014</v>
      </c>
      <c r="J7" s="190">
        <f>IncomeStatement!J6</f>
        <v>13173.14</v>
      </c>
      <c r="K7" s="190">
        <f>IncomeStatement!K6</f>
        <v>16042.581</v>
      </c>
      <c r="M7" s="165">
        <f>_xlfn.RRI(3,H7,K7)</f>
        <v>0.3548827075708445</v>
      </c>
      <c r="N7" s="165">
        <f>_xlfn.RRI(5,F7,K7)</f>
        <v>0.25733578222438513</v>
      </c>
      <c r="O7" s="165">
        <f>_xlfn.RRI(7,D7,K7)</f>
        <v>0.22564552723648701</v>
      </c>
    </row>
    <row r="8" spans="1:15">
      <c r="B8" t="s">
        <v>262</v>
      </c>
      <c r="D8" s="164">
        <f>IncomeStatement!D8</f>
        <v>0.13764879198585755</v>
      </c>
      <c r="E8" s="164">
        <f>IncomeStatement!E8</f>
        <v>3.6869558010763415E-2</v>
      </c>
      <c r="F8" s="164">
        <f>IncomeStatement!F8</f>
        <v>0.27518645998291524</v>
      </c>
      <c r="G8" s="164">
        <f>IncomeStatement!G8</f>
        <v>0.39651653392775277</v>
      </c>
      <c r="H8" s="164">
        <f>IncomeStatement!H8</f>
        <v>-9.5298741300329004E-2</v>
      </c>
      <c r="I8" s="164">
        <f>IncomeStatement!I8</f>
        <v>0.36791294452523515</v>
      </c>
      <c r="J8" s="164">
        <f>IncomeStatement!J8</f>
        <v>0.49300652935489575</v>
      </c>
      <c r="K8" s="164">
        <f>IncomeStatement!K8</f>
        <v>0.21782513508548451</v>
      </c>
    </row>
    <row r="12" spans="1:15">
      <c r="B12" s="11" t="s">
        <v>264</v>
      </c>
    </row>
    <row r="14" spans="1:15">
      <c r="B14" s="129" t="s">
        <v>265</v>
      </c>
      <c r="C14" s="166" t="s">
        <v>266</v>
      </c>
    </row>
    <row r="16" spans="1:15">
      <c r="B16" t="s">
        <v>269</v>
      </c>
      <c r="C16" s="36" t="s">
        <v>267</v>
      </c>
    </row>
    <row r="17" spans="2:3">
      <c r="B17" t="s">
        <v>268</v>
      </c>
      <c r="C17" s="167">
        <v>6.9800000000000001E-2</v>
      </c>
    </row>
    <row r="18" spans="2:3">
      <c r="B18" t="s">
        <v>270</v>
      </c>
      <c r="C18" s="60">
        <v>0.03</v>
      </c>
    </row>
    <row r="37" spans="1:3">
      <c r="B37" s="129" t="s">
        <v>272</v>
      </c>
      <c r="C37" s="166" t="s">
        <v>271</v>
      </c>
    </row>
    <row r="38" spans="1:3">
      <c r="A38" s="36" t="s">
        <v>220</v>
      </c>
      <c r="B38" t="s">
        <v>309</v>
      </c>
    </row>
    <row r="39" spans="1:3">
      <c r="A39" s="36" t="s">
        <v>220</v>
      </c>
      <c r="B39" t="s">
        <v>273</v>
      </c>
    </row>
    <row r="41" spans="1:3">
      <c r="B41" s="129" t="s">
        <v>274</v>
      </c>
      <c r="C41" s="166" t="s">
        <v>275</v>
      </c>
    </row>
    <row r="42" spans="1:3">
      <c r="A42" s="36" t="s">
        <v>220</v>
      </c>
      <c r="B42" t="s">
        <v>273</v>
      </c>
    </row>
    <row r="43" spans="1:3">
      <c r="A43" s="36" t="s">
        <v>220</v>
      </c>
      <c r="B43" t="s">
        <v>308</v>
      </c>
    </row>
    <row r="44" spans="1:3">
      <c r="A44" s="36" t="s">
        <v>220</v>
      </c>
      <c r="B44" t="s">
        <v>276</v>
      </c>
    </row>
    <row r="46" spans="1:3">
      <c r="B46" s="129" t="s">
        <v>277</v>
      </c>
      <c r="C46" s="166" t="s">
        <v>278</v>
      </c>
    </row>
    <row r="47" spans="1:3">
      <c r="A47" s="36" t="s">
        <v>220</v>
      </c>
      <c r="B47" t="s">
        <v>307</v>
      </c>
    </row>
    <row r="48" spans="1:3">
      <c r="A48" s="36" t="s">
        <v>220</v>
      </c>
      <c r="B48" t="s">
        <v>279</v>
      </c>
    </row>
    <row r="49" spans="1:2">
      <c r="A49" s="36" t="s">
        <v>220</v>
      </c>
      <c r="B49" t="s">
        <v>280</v>
      </c>
    </row>
    <row r="50" spans="1:2">
      <c r="A50" s="36" t="s">
        <v>220</v>
      </c>
      <c r="B50" t="s">
        <v>281</v>
      </c>
    </row>
    <row r="51" spans="1:2">
      <c r="A51" s="36" t="s">
        <v>220</v>
      </c>
      <c r="B51" t="s">
        <v>305</v>
      </c>
    </row>
    <row r="52" spans="1:2">
      <c r="B52" t="s">
        <v>306</v>
      </c>
    </row>
    <row r="83" spans="1:11">
      <c r="B83" s="129" t="s">
        <v>282</v>
      </c>
      <c r="C83" s="166" t="s">
        <v>283</v>
      </c>
    </row>
    <row r="84" spans="1:11" ht="14.4" customHeight="1">
      <c r="A84" s="36" t="s">
        <v>220</v>
      </c>
      <c r="B84" s="564" t="s">
        <v>975</v>
      </c>
      <c r="C84" s="564"/>
      <c r="D84" s="564"/>
      <c r="E84" s="564"/>
      <c r="F84" s="564"/>
      <c r="G84" s="564"/>
      <c r="H84" s="564"/>
      <c r="I84" s="564"/>
      <c r="J84" s="564"/>
      <c r="K84" s="564"/>
    </row>
    <row r="85" spans="1:11" ht="15.6" customHeight="1">
      <c r="B85" s="564"/>
      <c r="C85" s="564"/>
      <c r="D85" s="564"/>
      <c r="E85" s="564"/>
      <c r="F85" s="564"/>
      <c r="G85" s="564"/>
      <c r="H85" s="564"/>
      <c r="I85" s="564"/>
      <c r="J85" s="564"/>
      <c r="K85" s="564"/>
    </row>
    <row r="86" spans="1:11" ht="16.8" customHeight="1">
      <c r="B86" s="564"/>
      <c r="C86" s="564"/>
      <c r="D86" s="564"/>
      <c r="E86" s="564"/>
      <c r="F86" s="564"/>
      <c r="G86" s="564"/>
      <c r="H86" s="564"/>
      <c r="I86" s="564"/>
      <c r="J86" s="564"/>
      <c r="K86" s="564"/>
    </row>
    <row r="88" spans="1:11">
      <c r="B88" s="129" t="s">
        <v>284</v>
      </c>
      <c r="C88" s="166" t="s">
        <v>285</v>
      </c>
    </row>
    <row r="89" spans="1:11">
      <c r="A89" s="36" t="s">
        <v>220</v>
      </c>
      <c r="B89" t="s">
        <v>286</v>
      </c>
    </row>
    <row r="90" spans="1:11">
      <c r="A90" s="36" t="s">
        <v>220</v>
      </c>
      <c r="B90" t="s">
        <v>304</v>
      </c>
    </row>
    <row r="91" spans="1:11">
      <c r="A91" s="36" t="s">
        <v>220</v>
      </c>
      <c r="B91" t="s">
        <v>287</v>
      </c>
    </row>
    <row r="92" spans="1:11">
      <c r="A92" s="36" t="s">
        <v>220</v>
      </c>
      <c r="B92" t="s">
        <v>288</v>
      </c>
    </row>
    <row r="93" spans="1:11">
      <c r="B93" t="s">
        <v>289</v>
      </c>
    </row>
    <row r="94" spans="1:11">
      <c r="B94" t="s">
        <v>290</v>
      </c>
    </row>
    <row r="96" spans="1:11">
      <c r="B96" s="184" t="s">
        <v>291</v>
      </c>
    </row>
    <row r="98" spans="2:13">
      <c r="B98" s="561" t="s">
        <v>299</v>
      </c>
      <c r="C98" s="561"/>
      <c r="D98" s="561"/>
      <c r="E98" s="561"/>
    </row>
    <row r="99" spans="2:13">
      <c r="B99" s="173" t="s">
        <v>300</v>
      </c>
      <c r="C99" s="172" t="s">
        <v>292</v>
      </c>
      <c r="D99" s="172" t="s">
        <v>293</v>
      </c>
      <c r="E99" s="172" t="s">
        <v>294</v>
      </c>
    </row>
    <row r="100" spans="2:13">
      <c r="B100" t="s">
        <v>295</v>
      </c>
      <c r="C100" s="169">
        <v>0.34530562377669449</v>
      </c>
      <c r="D100" s="169">
        <v>0.17835994476930073</v>
      </c>
      <c r="E100" s="169">
        <v>0.17924943770741919</v>
      </c>
    </row>
    <row r="101" spans="2:13">
      <c r="B101" t="s">
        <v>296</v>
      </c>
      <c r="C101" s="169">
        <v>0.26947626943263558</v>
      </c>
      <c r="D101" s="169">
        <v>0.24376770746893062</v>
      </c>
      <c r="E101" s="170" t="s">
        <v>178</v>
      </c>
    </row>
    <row r="102" spans="2:13">
      <c r="B102" t="s">
        <v>297</v>
      </c>
      <c r="C102" s="169">
        <v>0.28605088950668844</v>
      </c>
      <c r="D102" s="169">
        <v>0.19367378196552854</v>
      </c>
      <c r="E102" s="169">
        <v>0.16358608704126287</v>
      </c>
    </row>
    <row r="103" spans="2:13">
      <c r="B103" t="s">
        <v>298</v>
      </c>
      <c r="C103" s="171">
        <v>0.251</v>
      </c>
      <c r="D103" s="171">
        <v>0.23100000000000001</v>
      </c>
      <c r="E103" s="171">
        <v>0.22</v>
      </c>
    </row>
    <row r="104" spans="2:13">
      <c r="B104" s="20" t="s">
        <v>301</v>
      </c>
      <c r="C104" s="174">
        <f>AVERAGE(C100:C103)</f>
        <v>0.2879581956790046</v>
      </c>
      <c r="D104" s="174">
        <f>AVERAGE(D100:D103)</f>
        <v>0.21170035855093997</v>
      </c>
      <c r="E104" s="174">
        <f>AVERAGE(E100:E103)</f>
        <v>0.18761184158289401</v>
      </c>
      <c r="L104" s="171"/>
      <c r="M104" s="171"/>
    </row>
    <row r="105" spans="2:13">
      <c r="B105" s="20"/>
      <c r="C105" s="174"/>
      <c r="D105" s="174"/>
      <c r="E105" s="174"/>
    </row>
    <row r="107" spans="2:13">
      <c r="B107" t="s">
        <v>302</v>
      </c>
      <c r="D107" s="60">
        <f>N7</f>
        <v>0.25733578222438513</v>
      </c>
    </row>
    <row r="108" spans="2:13">
      <c r="B108" t="s">
        <v>303</v>
      </c>
      <c r="D108" s="171">
        <v>0.26</v>
      </c>
    </row>
    <row r="109" spans="2:13">
      <c r="B109" t="s">
        <v>291</v>
      </c>
      <c r="D109" s="171">
        <f>C104</f>
        <v>0.2879581956790046</v>
      </c>
    </row>
    <row r="110" spans="2:13">
      <c r="B110" t="s">
        <v>311</v>
      </c>
      <c r="D110" s="36" t="s">
        <v>310</v>
      </c>
    </row>
    <row r="149" spans="1:43" ht="31.2">
      <c r="A149" s="21" t="s">
        <v>220</v>
      </c>
      <c r="B149" s="182" t="s">
        <v>317</v>
      </c>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row>
    <row r="150" spans="1:43" ht="10.199999999999999" customHeight="1"/>
    <row r="151" spans="1:43" ht="15.6">
      <c r="B151" s="163" t="s">
        <v>318</v>
      </c>
    </row>
    <row r="153" spans="1:43">
      <c r="B153" s="184" t="s">
        <v>147</v>
      </c>
      <c r="C153" s="185"/>
      <c r="D153" s="186">
        <v>2016</v>
      </c>
      <c r="E153" s="186">
        <f>D153+1</f>
        <v>2017</v>
      </c>
      <c r="F153" s="186">
        <f t="shared" ref="F153" si="1">E153+1</f>
        <v>2018</v>
      </c>
      <c r="G153" s="186">
        <f>F153+1</f>
        <v>2019</v>
      </c>
      <c r="H153" s="186">
        <f t="shared" ref="H153" si="2">G153+1</f>
        <v>2020</v>
      </c>
      <c r="I153" s="186">
        <f t="shared" ref="I153" si="3">H153+1</f>
        <v>2021</v>
      </c>
      <c r="J153" s="186">
        <f t="shared" ref="J153" si="4">I153+1</f>
        <v>2022</v>
      </c>
      <c r="K153" s="186">
        <f t="shared" ref="K153" si="5">J153+1</f>
        <v>2023</v>
      </c>
      <c r="L153" s="187"/>
      <c r="M153" s="185" t="s">
        <v>319</v>
      </c>
      <c r="N153" s="185" t="s">
        <v>320</v>
      </c>
    </row>
    <row r="154" spans="1:43">
      <c r="B154" s="181" t="s">
        <v>95</v>
      </c>
      <c r="D154" s="175">
        <f>IncomeStatement!D19</f>
        <v>0.54990961312344933</v>
      </c>
      <c r="E154" s="175">
        <f>IncomeStatement!E19</f>
        <v>0.54788512166732439</v>
      </c>
      <c r="F154" s="175">
        <f>IncomeStatement!F19</f>
        <v>0.56043374872190643</v>
      </c>
      <c r="G154" s="175">
        <f>IncomeStatement!G19</f>
        <v>0.54844044109190171</v>
      </c>
      <c r="H154" s="175">
        <f>IncomeStatement!H19</f>
        <v>0.57149147150294399</v>
      </c>
      <c r="I154" s="175">
        <f>IncomeStatement!I19</f>
        <v>0.54272301640102327</v>
      </c>
      <c r="J154" s="175">
        <f>IncomeStatement!J19</f>
        <v>0.52470329777107061</v>
      </c>
      <c r="K154" s="175">
        <f>IncomeStatement!K19</f>
        <v>0.53842290090353917</v>
      </c>
      <c r="M154" s="165">
        <f>MEDIAN(D154:K154)</f>
        <v>0.54816278137961305</v>
      </c>
      <c r="N154" s="165">
        <f>AVERAGE(D154:K154)</f>
        <v>0.54800120139789488</v>
      </c>
    </row>
    <row r="155" spans="1:43">
      <c r="B155" s="181"/>
      <c r="D155" s="175"/>
      <c r="E155" s="175"/>
      <c r="F155" s="175"/>
      <c r="G155" s="175"/>
      <c r="H155" s="175"/>
      <c r="I155" s="175"/>
      <c r="J155" s="175"/>
      <c r="K155" s="175"/>
    </row>
    <row r="156" spans="1:43">
      <c r="B156" s="184" t="s">
        <v>417</v>
      </c>
      <c r="D156" s="175"/>
      <c r="E156" s="175"/>
      <c r="F156" s="175"/>
      <c r="G156" s="175"/>
      <c r="H156" s="175"/>
      <c r="I156" s="175"/>
      <c r="J156" s="175"/>
      <c r="K156" s="175"/>
    </row>
    <row r="157" spans="1:43">
      <c r="D157" s="175"/>
      <c r="E157" s="175"/>
      <c r="F157" s="175"/>
      <c r="G157" s="175"/>
      <c r="H157" s="175"/>
      <c r="I157" s="175"/>
      <c r="J157" s="175"/>
      <c r="K157" s="175"/>
    </row>
    <row r="158" spans="1:43">
      <c r="B158" s="151" t="s">
        <v>418</v>
      </c>
      <c r="D158" s="175"/>
      <c r="E158" s="175"/>
      <c r="F158" s="175"/>
      <c r="G158" s="175"/>
      <c r="H158" s="175"/>
      <c r="I158" s="175"/>
      <c r="J158" s="175"/>
      <c r="K158" s="175"/>
    </row>
    <row r="159" spans="1:43">
      <c r="B159" s="239" t="s">
        <v>419</v>
      </c>
      <c r="C159" s="173" t="s">
        <v>95</v>
      </c>
      <c r="D159" s="175"/>
      <c r="E159" s="175"/>
      <c r="F159" s="175"/>
      <c r="G159" s="175"/>
      <c r="H159" s="175"/>
      <c r="I159" s="175"/>
      <c r="J159" s="175"/>
      <c r="K159" s="175"/>
    </row>
    <row r="160" spans="1:43">
      <c r="B160" s="238" t="s">
        <v>420</v>
      </c>
      <c r="C160" s="37">
        <v>0.53710000000000002</v>
      </c>
      <c r="D160" s="175"/>
      <c r="E160" s="175"/>
      <c r="F160" s="175"/>
      <c r="G160" s="175"/>
      <c r="H160" s="175"/>
      <c r="I160" s="175"/>
      <c r="J160" s="175"/>
      <c r="K160" s="175"/>
    </row>
    <row r="161" spans="2:17">
      <c r="B161" s="238" t="s">
        <v>421</v>
      </c>
      <c r="C161" s="37">
        <v>0.44330000000000003</v>
      </c>
      <c r="D161" s="175"/>
      <c r="E161" s="175"/>
      <c r="F161" s="175"/>
      <c r="G161" s="175"/>
      <c r="H161" s="175"/>
      <c r="I161" s="175"/>
      <c r="J161" s="175"/>
      <c r="K161" s="175"/>
    </row>
    <row r="162" spans="2:17">
      <c r="B162" s="238" t="s">
        <v>422</v>
      </c>
      <c r="C162" s="37">
        <v>0.4945</v>
      </c>
      <c r="D162" s="175"/>
      <c r="E162" s="175"/>
      <c r="F162" s="175"/>
      <c r="G162" s="175"/>
      <c r="H162" s="175"/>
      <c r="I162" s="175"/>
      <c r="J162" s="175"/>
      <c r="K162" s="175"/>
    </row>
    <row r="163" spans="2:17">
      <c r="B163" s="181"/>
      <c r="D163" s="175"/>
      <c r="E163" s="175"/>
      <c r="F163" s="175"/>
      <c r="G163" s="175"/>
      <c r="H163" s="175"/>
      <c r="I163" s="175"/>
      <c r="J163" s="175"/>
      <c r="K163" s="175"/>
      <c r="N163" s="225"/>
      <c r="O163" s="225"/>
    </row>
    <row r="164" spans="2:17">
      <c r="B164" s="184" t="s">
        <v>426</v>
      </c>
      <c r="D164" s="175"/>
      <c r="E164" s="175"/>
      <c r="F164" s="175"/>
      <c r="G164" s="175"/>
      <c r="H164" s="175"/>
      <c r="I164" s="175"/>
      <c r="J164" s="175"/>
      <c r="K164" s="175"/>
      <c r="N164" s="225"/>
      <c r="O164" s="225"/>
    </row>
    <row r="165" spans="2:17">
      <c r="D165" s="175"/>
      <c r="E165" s="175"/>
      <c r="F165" s="175"/>
      <c r="G165" s="175"/>
      <c r="H165" s="175"/>
      <c r="I165" s="175"/>
      <c r="J165" s="175"/>
      <c r="K165" s="175"/>
      <c r="N165" s="225"/>
      <c r="O165" s="225"/>
    </row>
    <row r="166" spans="2:17">
      <c r="B166" s="561" t="s">
        <v>430</v>
      </c>
      <c r="C166" s="561"/>
      <c r="D166" s="561"/>
      <c r="E166" s="561"/>
      <c r="F166" s="175"/>
      <c r="G166" s="175"/>
      <c r="H166" s="175"/>
      <c r="I166" s="175"/>
      <c r="J166" s="175"/>
      <c r="K166" s="175"/>
      <c r="N166" s="171"/>
      <c r="O166" s="171"/>
    </row>
    <row r="167" spans="2:17">
      <c r="B167" s="173" t="s">
        <v>300</v>
      </c>
      <c r="C167" s="172" t="s">
        <v>292</v>
      </c>
      <c r="D167" s="172" t="s">
        <v>293</v>
      </c>
      <c r="E167" s="172" t="s">
        <v>294</v>
      </c>
      <c r="G167" s="175"/>
      <c r="H167" s="175"/>
      <c r="I167" s="175"/>
      <c r="J167" s="175"/>
      <c r="K167" s="175"/>
      <c r="O167" s="241"/>
      <c r="P167" s="241"/>
      <c r="Q167" s="175"/>
    </row>
    <row r="168" spans="2:17">
      <c r="B168" s="242" t="s">
        <v>295</v>
      </c>
      <c r="C168" s="37">
        <v>0.54000055601375208</v>
      </c>
      <c r="D168" s="37">
        <v>0.53700121109171262</v>
      </c>
      <c r="E168" s="37">
        <v>0.53500143380170861</v>
      </c>
      <c r="G168" s="175"/>
      <c r="H168" s="175"/>
      <c r="I168" s="175"/>
      <c r="J168" s="175"/>
      <c r="K168" s="175"/>
      <c r="N168" s="225"/>
      <c r="O168" s="241"/>
      <c r="P168" s="241"/>
      <c r="Q168" s="175"/>
    </row>
    <row r="169" spans="2:17">
      <c r="B169" s="242" t="s">
        <v>297</v>
      </c>
      <c r="C169" s="37">
        <v>0.54427189360010853</v>
      </c>
      <c r="D169" s="37">
        <v>0.53799832706660067</v>
      </c>
      <c r="E169" s="37">
        <v>0.54000020937950377</v>
      </c>
      <c r="G169" s="175"/>
      <c r="H169" s="175"/>
      <c r="I169" s="175"/>
      <c r="J169" s="175"/>
      <c r="K169" s="175"/>
      <c r="N169" s="171"/>
      <c r="O169" s="171"/>
      <c r="P169" s="171"/>
      <c r="Q169" s="175"/>
    </row>
    <row r="170" spans="2:17">
      <c r="B170" s="242" t="s">
        <v>427</v>
      </c>
      <c r="C170" s="37">
        <v>0.55099012434119632</v>
      </c>
      <c r="D170" s="37">
        <v>0.55508914841444668</v>
      </c>
      <c r="E170" s="37">
        <v>0.55523770603460021</v>
      </c>
      <c r="G170" s="175"/>
      <c r="H170" s="175"/>
      <c r="I170" s="175"/>
      <c r="J170" s="175"/>
      <c r="K170" s="175"/>
      <c r="O170" s="175"/>
      <c r="P170" s="175"/>
      <c r="Q170" s="175"/>
    </row>
    <row r="171" spans="2:17">
      <c r="B171" s="242" t="s">
        <v>428</v>
      </c>
      <c r="C171" s="37">
        <v>0.54981169319002043</v>
      </c>
      <c r="D171" s="175">
        <v>0.54904027603414107</v>
      </c>
      <c r="E171" s="175"/>
      <c r="F171" s="175"/>
      <c r="G171" s="175"/>
      <c r="H171" s="175"/>
      <c r="I171" s="175"/>
      <c r="J171" s="175"/>
      <c r="K171" s="175"/>
    </row>
    <row r="172" spans="2:17">
      <c r="B172" s="20" t="s">
        <v>429</v>
      </c>
      <c r="C172" s="243">
        <f>MEDIAN(C168:C171)</f>
        <v>0.54704179339506442</v>
      </c>
      <c r="D172" s="243">
        <f t="shared" ref="D172:E172" si="6">MEDIAN(D168:D171)</f>
        <v>0.54351930155037087</v>
      </c>
      <c r="E172" s="243">
        <f t="shared" si="6"/>
        <v>0.54000020937950377</v>
      </c>
      <c r="F172" s="175"/>
      <c r="G172" s="175"/>
      <c r="H172" s="175"/>
      <c r="I172" s="175"/>
      <c r="J172" s="175"/>
      <c r="K172" s="175"/>
    </row>
    <row r="173" spans="2:17">
      <c r="B173" s="181"/>
      <c r="C173" s="60"/>
      <c r="D173" s="60"/>
      <c r="E173" s="60"/>
      <c r="F173" s="175"/>
      <c r="G173" s="175"/>
      <c r="H173" s="175"/>
      <c r="I173" s="175"/>
      <c r="J173" s="175"/>
      <c r="K173" s="175"/>
    </row>
    <row r="174" spans="2:17">
      <c r="B174" s="184" t="s">
        <v>431</v>
      </c>
    </row>
    <row r="176" spans="2:17" ht="15.6">
      <c r="B176" s="254" t="s">
        <v>433</v>
      </c>
    </row>
    <row r="184" spans="2:2" ht="15.6">
      <c r="B184" s="254" t="s">
        <v>432</v>
      </c>
    </row>
    <row r="231" spans="1:43" ht="31.2">
      <c r="A231" s="21" t="s">
        <v>220</v>
      </c>
      <c r="B231" s="182" t="s">
        <v>323</v>
      </c>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row>
    <row r="233" spans="1:43" ht="21">
      <c r="B233" s="216" t="s">
        <v>424</v>
      </c>
    </row>
    <row r="234" spans="1:43">
      <c r="M234" s="570" t="s">
        <v>58</v>
      </c>
      <c r="N234" s="570"/>
    </row>
    <row r="235" spans="1:43">
      <c r="B235" s="184" t="s">
        <v>147</v>
      </c>
      <c r="C235" s="185"/>
      <c r="D235" s="186">
        <v>2016</v>
      </c>
      <c r="E235" s="186">
        <f>D235+1</f>
        <v>2017</v>
      </c>
      <c r="F235" s="186">
        <f t="shared" ref="F235" si="7">E235+1</f>
        <v>2018</v>
      </c>
      <c r="G235" s="186">
        <f>F235+1</f>
        <v>2019</v>
      </c>
      <c r="H235" s="186">
        <f t="shared" ref="H235" si="8">G235+1</f>
        <v>2020</v>
      </c>
      <c r="I235" s="186">
        <f t="shared" ref="I235" si="9">H235+1</f>
        <v>2021</v>
      </c>
      <c r="J235" s="186">
        <f t="shared" ref="J235" si="10">I235+1</f>
        <v>2022</v>
      </c>
      <c r="K235" s="186">
        <f t="shared" ref="K235" si="11">J235+1</f>
        <v>2023</v>
      </c>
      <c r="M235" s="185" t="s">
        <v>57</v>
      </c>
      <c r="N235" s="185" t="s">
        <v>56</v>
      </c>
    </row>
    <row r="236" spans="1:43">
      <c r="B236" s="151" t="s">
        <v>149</v>
      </c>
      <c r="D236" s="190">
        <f t="shared" ref="D236:K237" si="12">D7</f>
        <v>3861.1800000000003</v>
      </c>
      <c r="E236" s="190">
        <f t="shared" si="12"/>
        <v>4003.54</v>
      </c>
      <c r="F236" s="190">
        <f t="shared" si="12"/>
        <v>5105.26</v>
      </c>
      <c r="G236" s="190">
        <f t="shared" si="12"/>
        <v>7129.58</v>
      </c>
      <c r="H236" s="190">
        <f t="shared" si="12"/>
        <v>6450.14</v>
      </c>
      <c r="I236" s="190">
        <f t="shared" si="12"/>
        <v>8823.2300000000014</v>
      </c>
      <c r="J236" s="190">
        <f t="shared" si="12"/>
        <v>13173.14</v>
      </c>
      <c r="K236" s="190">
        <f t="shared" si="12"/>
        <v>16042.581</v>
      </c>
      <c r="M236" s="165">
        <f>_xlfn.RRI(3,H236,K236)</f>
        <v>0.3548827075708445</v>
      </c>
      <c r="N236" s="165">
        <f>_xlfn.RRI(5,F236,K236)</f>
        <v>0.25733578222438513</v>
      </c>
    </row>
    <row r="237" spans="1:43">
      <c r="B237" s="189" t="s">
        <v>324</v>
      </c>
      <c r="D237" s="244">
        <f t="shared" si="12"/>
        <v>0.13764879198585755</v>
      </c>
      <c r="E237" s="244">
        <f t="shared" si="12"/>
        <v>3.6869558010763415E-2</v>
      </c>
      <c r="F237" s="244">
        <f t="shared" si="12"/>
        <v>0.27518645998291524</v>
      </c>
      <c r="G237" s="244">
        <f t="shared" si="12"/>
        <v>0.39651653392775277</v>
      </c>
      <c r="H237" s="244">
        <f t="shared" si="12"/>
        <v>-9.5298741300329004E-2</v>
      </c>
      <c r="I237" s="244">
        <f t="shared" si="12"/>
        <v>0.36791294452523515</v>
      </c>
      <c r="J237" s="244">
        <f t="shared" si="12"/>
        <v>0.49300652935489575</v>
      </c>
      <c r="K237" s="244">
        <f t="shared" si="12"/>
        <v>0.21782513508548451</v>
      </c>
    </row>
    <row r="239" spans="1:43">
      <c r="B239" t="s">
        <v>323</v>
      </c>
      <c r="D239" s="190">
        <f>IncomeStatement!D31*-1</f>
        <v>1327.33</v>
      </c>
      <c r="E239" s="190">
        <f>IncomeStatement!E31*-1</f>
        <v>1357.57</v>
      </c>
      <c r="F239" s="190">
        <f>IncomeStatement!F31*-1</f>
        <v>1854.57</v>
      </c>
      <c r="G239" s="190">
        <f>IncomeStatement!G31*-1</f>
        <v>2462.5</v>
      </c>
      <c r="H239" s="190">
        <f>IncomeStatement!H31*-1</f>
        <v>2484.34</v>
      </c>
      <c r="I239" s="190">
        <f>IncomeStatement!I31*-1</f>
        <v>3133.9300000000003</v>
      </c>
      <c r="J239" s="190">
        <f>IncomeStatement!J31*-1</f>
        <v>4123.88</v>
      </c>
      <c r="K239" s="190">
        <f>IncomeStatement!K31*-1</f>
        <v>5028.2080000000005</v>
      </c>
      <c r="M239" s="165">
        <f>_xlfn.RRI(3,H239,K239)</f>
        <v>0.26493264516476955</v>
      </c>
      <c r="N239" s="165">
        <f>_xlfn.RRI(5,F239,K239)</f>
        <v>0.22077042945959002</v>
      </c>
    </row>
    <row r="240" spans="1:43">
      <c r="B240" s="240" t="s">
        <v>324</v>
      </c>
      <c r="C240" s="7"/>
      <c r="D240" s="240"/>
      <c r="E240" s="245">
        <f>E239/D239-1</f>
        <v>2.2782578559966238E-2</v>
      </c>
      <c r="F240" s="245">
        <f t="shared" ref="F240:K240" si="13">F239/E239-1</f>
        <v>0.36609530263632806</v>
      </c>
      <c r="G240" s="245">
        <f>G239/F239-1</f>
        <v>0.32780105361350609</v>
      </c>
      <c r="H240" s="245">
        <f t="shared" si="13"/>
        <v>8.8690355329950066E-3</v>
      </c>
      <c r="I240" s="245">
        <f t="shared" si="13"/>
        <v>0.26147387233631481</v>
      </c>
      <c r="J240" s="245">
        <f t="shared" si="13"/>
        <v>0.31588133748998848</v>
      </c>
      <c r="K240" s="245">
        <f t="shared" si="13"/>
        <v>0.21929057101564564</v>
      </c>
    </row>
    <row r="242" spans="2:14" ht="21">
      <c r="B242" s="216" t="s">
        <v>325</v>
      </c>
    </row>
    <row r="244" spans="2:14">
      <c r="B244" s="184" t="s">
        <v>147</v>
      </c>
      <c r="C244" s="184" t="s">
        <v>326</v>
      </c>
      <c r="D244" s="184" t="s">
        <v>327</v>
      </c>
      <c r="E244" s="184" t="s">
        <v>328</v>
      </c>
      <c r="F244" s="184" t="s">
        <v>329</v>
      </c>
      <c r="G244" s="184" t="s">
        <v>330</v>
      </c>
      <c r="H244" s="184" t="s">
        <v>331</v>
      </c>
      <c r="I244" s="184" t="s">
        <v>332</v>
      </c>
      <c r="J244" s="184" t="s">
        <v>333</v>
      </c>
      <c r="K244" s="184" t="s">
        <v>334</v>
      </c>
      <c r="L244" s="184" t="s">
        <v>335</v>
      </c>
      <c r="M244" s="184" t="s">
        <v>336</v>
      </c>
      <c r="N244" s="184" t="s">
        <v>337</v>
      </c>
    </row>
    <row r="245" spans="2:14">
      <c r="B245" s="11" t="s">
        <v>36</v>
      </c>
      <c r="C245" s="192">
        <v>1800</v>
      </c>
      <c r="D245" s="192">
        <v>2115</v>
      </c>
      <c r="E245" s="192">
        <v>2502</v>
      </c>
      <c r="F245" s="192">
        <v>3394</v>
      </c>
      <c r="G245" s="192">
        <v>3861</v>
      </c>
      <c r="H245" s="192">
        <v>4004</v>
      </c>
      <c r="I245" s="192">
        <v>5105</v>
      </c>
      <c r="J245" s="192">
        <v>7130</v>
      </c>
      <c r="K245" s="192">
        <v>6450</v>
      </c>
      <c r="L245" s="192">
        <v>8823</v>
      </c>
      <c r="M245" s="192">
        <v>13173</v>
      </c>
      <c r="N245" s="192">
        <v>16043</v>
      </c>
    </row>
    <row r="247" spans="2:14">
      <c r="B247" t="s">
        <v>338</v>
      </c>
      <c r="C247" s="190">
        <v>152</v>
      </c>
      <c r="D247" s="190">
        <v>183</v>
      </c>
      <c r="E247" s="190">
        <v>217</v>
      </c>
      <c r="F247" s="190">
        <v>324</v>
      </c>
      <c r="G247" s="190">
        <v>421</v>
      </c>
      <c r="H247" s="190">
        <v>463</v>
      </c>
      <c r="I247" s="190">
        <v>583</v>
      </c>
      <c r="J247" s="190">
        <v>811</v>
      </c>
      <c r="K247" s="190">
        <v>890</v>
      </c>
      <c r="L247" s="190">
        <v>1008</v>
      </c>
      <c r="M247" s="190">
        <v>1217</v>
      </c>
      <c r="N247" s="190">
        <v>1447</v>
      </c>
    </row>
    <row r="248" spans="2:14">
      <c r="B248" t="s">
        <v>339</v>
      </c>
      <c r="C248" s="190">
        <v>84</v>
      </c>
      <c r="D248" s="190">
        <v>101</v>
      </c>
      <c r="E248" s="190">
        <v>114</v>
      </c>
      <c r="F248" s="190">
        <v>131</v>
      </c>
      <c r="G248" s="190">
        <v>156</v>
      </c>
      <c r="H248" s="190">
        <v>160</v>
      </c>
      <c r="I248" s="190">
        <v>195</v>
      </c>
      <c r="J248" s="190">
        <v>279</v>
      </c>
      <c r="K248" s="190">
        <v>267</v>
      </c>
      <c r="L248" s="190">
        <v>330</v>
      </c>
      <c r="M248" s="190">
        <v>479</v>
      </c>
      <c r="N248" s="190">
        <v>550</v>
      </c>
    </row>
    <row r="249" spans="2:14">
      <c r="B249" t="s">
        <v>340</v>
      </c>
      <c r="C249" s="190">
        <v>58</v>
      </c>
      <c r="D249" s="190">
        <v>64</v>
      </c>
      <c r="E249" s="190">
        <v>72</v>
      </c>
      <c r="F249" s="190">
        <v>104</v>
      </c>
      <c r="G249" s="190">
        <v>136</v>
      </c>
      <c r="H249" s="190">
        <v>133</v>
      </c>
      <c r="I249" s="190">
        <v>159</v>
      </c>
      <c r="J249" s="190">
        <v>242</v>
      </c>
      <c r="K249" s="190">
        <v>221</v>
      </c>
      <c r="L249" s="190">
        <v>304</v>
      </c>
      <c r="M249" s="190">
        <v>318</v>
      </c>
      <c r="N249" s="190">
        <v>454</v>
      </c>
    </row>
    <row r="250" spans="2:14">
      <c r="B250" t="s">
        <v>341</v>
      </c>
      <c r="C250" s="190">
        <v>46</v>
      </c>
      <c r="D250" s="190">
        <v>50</v>
      </c>
      <c r="E250" s="190">
        <v>60</v>
      </c>
      <c r="F250" s="190">
        <v>82</v>
      </c>
      <c r="G250" s="190">
        <v>111</v>
      </c>
      <c r="H250" s="190">
        <v>115</v>
      </c>
      <c r="I250" s="190">
        <v>154</v>
      </c>
      <c r="J250" s="190">
        <v>168</v>
      </c>
      <c r="K250" s="190">
        <v>157</v>
      </c>
      <c r="L250" s="190">
        <v>316</v>
      </c>
      <c r="M250" s="190">
        <v>418</v>
      </c>
      <c r="N250" s="190">
        <v>510</v>
      </c>
    </row>
    <row r="251" spans="2:14">
      <c r="B251" t="s">
        <v>342</v>
      </c>
      <c r="C251" s="190">
        <v>10</v>
      </c>
      <c r="D251" s="190">
        <v>8</v>
      </c>
      <c r="E251" s="190">
        <v>11</v>
      </c>
      <c r="F251" s="190">
        <v>27</v>
      </c>
      <c r="G251" s="190">
        <v>41</v>
      </c>
      <c r="H251" s="190">
        <v>48</v>
      </c>
      <c r="I251" s="190">
        <v>129</v>
      </c>
      <c r="J251" s="190">
        <v>124</v>
      </c>
      <c r="K251" s="190">
        <v>63</v>
      </c>
      <c r="L251" s="190">
        <v>79</v>
      </c>
      <c r="M251" s="190">
        <v>142</v>
      </c>
      <c r="N251" s="190">
        <v>216</v>
      </c>
    </row>
    <row r="252" spans="2:14">
      <c r="B252" t="s">
        <v>343</v>
      </c>
      <c r="C252" s="190">
        <v>49</v>
      </c>
      <c r="D252" s="190">
        <v>56</v>
      </c>
      <c r="E252" s="190">
        <v>67</v>
      </c>
      <c r="F252" s="190">
        <v>95</v>
      </c>
      <c r="G252" s="190">
        <v>113</v>
      </c>
      <c r="H252" s="190">
        <v>0</v>
      </c>
      <c r="I252" s="190">
        <v>143</v>
      </c>
      <c r="J252" s="190">
        <v>175</v>
      </c>
      <c r="K252" s="190">
        <v>198</v>
      </c>
      <c r="L252" s="190">
        <v>249</v>
      </c>
      <c r="M252" s="190">
        <v>353</v>
      </c>
      <c r="N252" s="190">
        <v>408</v>
      </c>
    </row>
    <row r="253" spans="2:14">
      <c r="B253" t="s">
        <v>344</v>
      </c>
      <c r="C253" s="190">
        <v>145</v>
      </c>
      <c r="D253" s="190">
        <v>162</v>
      </c>
      <c r="E253" s="190">
        <v>199</v>
      </c>
      <c r="F253" s="190">
        <v>276</v>
      </c>
      <c r="G253" s="190">
        <v>346</v>
      </c>
      <c r="H253" s="190">
        <v>322</v>
      </c>
      <c r="I253" s="190">
        <v>482</v>
      </c>
      <c r="J253" s="190">
        <v>663.68000000000006</v>
      </c>
      <c r="K253" s="190">
        <v>688.59999999999991</v>
      </c>
      <c r="L253" s="190">
        <v>848.23</v>
      </c>
      <c r="M253" s="190">
        <v>1197.2399999999998</v>
      </c>
      <c r="N253" s="190">
        <v>1443.6210000000001</v>
      </c>
    </row>
    <row r="254" spans="2:14" ht="15" thickBot="1">
      <c r="B254" s="25" t="s">
        <v>345</v>
      </c>
      <c r="C254" s="25">
        <f t="shared" ref="C254:N254" si="14">SUM(C247:C253)</f>
        <v>544</v>
      </c>
      <c r="D254" s="25">
        <f t="shared" si="14"/>
        <v>624</v>
      </c>
      <c r="E254" s="25">
        <f t="shared" si="14"/>
        <v>740</v>
      </c>
      <c r="F254" s="25">
        <f t="shared" si="14"/>
        <v>1039</v>
      </c>
      <c r="G254" s="25">
        <f t="shared" si="14"/>
        <v>1324</v>
      </c>
      <c r="H254" s="25">
        <f t="shared" si="14"/>
        <v>1241</v>
      </c>
      <c r="I254" s="25">
        <f t="shared" si="14"/>
        <v>1845</v>
      </c>
      <c r="J254" s="263">
        <f t="shared" si="14"/>
        <v>2462.6800000000003</v>
      </c>
      <c r="K254" s="263">
        <f t="shared" si="14"/>
        <v>2484.6</v>
      </c>
      <c r="L254" s="263">
        <f t="shared" si="14"/>
        <v>3134.23</v>
      </c>
      <c r="M254" s="263">
        <f t="shared" si="14"/>
        <v>4124.24</v>
      </c>
      <c r="N254" s="263">
        <f t="shared" si="14"/>
        <v>5028.6210000000001</v>
      </c>
    </row>
    <row r="255" spans="2:14">
      <c r="B255" s="11"/>
      <c r="C255" s="11"/>
      <c r="D255" s="11"/>
      <c r="E255" s="11"/>
      <c r="F255" s="11"/>
      <c r="G255" s="11"/>
      <c r="H255" s="11"/>
      <c r="J255" s="11"/>
      <c r="K255" s="11"/>
      <c r="L255" s="11"/>
      <c r="M255" s="11"/>
      <c r="N255" s="11"/>
    </row>
    <row r="257" spans="2:17">
      <c r="B257" s="184" t="s">
        <v>147</v>
      </c>
      <c r="C257" s="184" t="s">
        <v>326</v>
      </c>
      <c r="D257" s="184" t="s">
        <v>327</v>
      </c>
      <c r="E257" s="184" t="s">
        <v>328</v>
      </c>
      <c r="F257" s="184" t="s">
        <v>329</v>
      </c>
      <c r="G257" s="184" t="s">
        <v>330</v>
      </c>
      <c r="H257" s="184" t="s">
        <v>331</v>
      </c>
      <c r="I257" s="184" t="s">
        <v>332</v>
      </c>
      <c r="J257" s="184" t="s">
        <v>333</v>
      </c>
      <c r="K257" s="184" t="s">
        <v>334</v>
      </c>
      <c r="L257" s="184" t="s">
        <v>335</v>
      </c>
      <c r="M257" s="184" t="s">
        <v>336</v>
      </c>
      <c r="N257" s="184" t="s">
        <v>337</v>
      </c>
      <c r="P257" s="185" t="s">
        <v>319</v>
      </c>
      <c r="Q257" s="185" t="s">
        <v>320</v>
      </c>
    </row>
    <row r="258" spans="2:17">
      <c r="B258" t="s">
        <v>338</v>
      </c>
      <c r="C258" s="171">
        <f t="shared" ref="C258:N258" si="15">C247/C$254</f>
        <v>0.27941176470588236</v>
      </c>
      <c r="D258" s="171">
        <f t="shared" si="15"/>
        <v>0.29326923076923078</v>
      </c>
      <c r="E258" s="171">
        <f t="shared" si="15"/>
        <v>0.29324324324324325</v>
      </c>
      <c r="F258" s="171">
        <f t="shared" si="15"/>
        <v>0.31183830606352264</v>
      </c>
      <c r="G258" s="171">
        <f t="shared" si="15"/>
        <v>0.31797583081570996</v>
      </c>
      <c r="H258" s="171">
        <f t="shared" si="15"/>
        <v>0.37308622078968573</v>
      </c>
      <c r="I258" s="171">
        <f t="shared" si="15"/>
        <v>0.31598915989159893</v>
      </c>
      <c r="J258" s="171">
        <f t="shared" si="15"/>
        <v>0.32931602969123064</v>
      </c>
      <c r="K258" s="171">
        <f t="shared" si="15"/>
        <v>0.35820655236255333</v>
      </c>
      <c r="L258" s="171">
        <f t="shared" si="15"/>
        <v>0.32161009243099581</v>
      </c>
      <c r="M258" s="171">
        <f t="shared" si="15"/>
        <v>0.29508467014528739</v>
      </c>
      <c r="N258" s="171">
        <f t="shared" si="15"/>
        <v>0.28775284516371386</v>
      </c>
      <c r="P258" s="165">
        <f t="shared" ref="P258:P264" si="16">MEDIAN(C258:N258)</f>
        <v>0.31391373297756076</v>
      </c>
      <c r="Q258" s="165">
        <f t="shared" ref="Q258:Q264" si="17">AVERAGE(C258:N258)</f>
        <v>0.31473199550605457</v>
      </c>
    </row>
    <row r="259" spans="2:17">
      <c r="B259" t="s">
        <v>339</v>
      </c>
      <c r="C259" s="171">
        <f t="shared" ref="C259:N259" si="18">C248/C$254</f>
        <v>0.15441176470588236</v>
      </c>
      <c r="D259" s="171">
        <f t="shared" si="18"/>
        <v>0.16185897435897437</v>
      </c>
      <c r="E259" s="171">
        <f t="shared" si="18"/>
        <v>0.15405405405405406</v>
      </c>
      <c r="F259" s="171">
        <f t="shared" si="18"/>
        <v>0.12608277189605391</v>
      </c>
      <c r="G259" s="171">
        <f t="shared" si="18"/>
        <v>0.11782477341389729</v>
      </c>
      <c r="H259" s="171">
        <f t="shared" si="18"/>
        <v>0.128928283642224</v>
      </c>
      <c r="I259" s="171">
        <f t="shared" si="18"/>
        <v>0.10569105691056911</v>
      </c>
      <c r="J259" s="171">
        <f t="shared" si="18"/>
        <v>0.11329121120080561</v>
      </c>
      <c r="K259" s="171">
        <f t="shared" si="18"/>
        <v>0.107461965708766</v>
      </c>
      <c r="L259" s="171">
        <f t="shared" si="18"/>
        <v>0.10528901835538554</v>
      </c>
      <c r="M259" s="171">
        <f t="shared" si="18"/>
        <v>0.11614261051733168</v>
      </c>
      <c r="N259" s="171">
        <f t="shared" si="18"/>
        <v>0.10937392179685046</v>
      </c>
      <c r="P259" s="165">
        <f t="shared" si="16"/>
        <v>0.11698369196561448</v>
      </c>
      <c r="Q259" s="165">
        <f t="shared" si="17"/>
        <v>0.12503420054673287</v>
      </c>
    </row>
    <row r="260" spans="2:17">
      <c r="B260" t="s">
        <v>340</v>
      </c>
      <c r="C260" s="171">
        <f t="shared" ref="C260:N260" si="19">C249/C$254</f>
        <v>0.10661764705882353</v>
      </c>
      <c r="D260" s="171">
        <f t="shared" si="19"/>
        <v>0.10256410256410256</v>
      </c>
      <c r="E260" s="171">
        <f t="shared" si="19"/>
        <v>9.7297297297297303E-2</v>
      </c>
      <c r="F260" s="171">
        <f t="shared" si="19"/>
        <v>0.10009624639076034</v>
      </c>
      <c r="G260" s="171">
        <f t="shared" si="19"/>
        <v>0.1027190332326284</v>
      </c>
      <c r="H260" s="171">
        <f t="shared" si="19"/>
        <v>0.10717163577759871</v>
      </c>
      <c r="I260" s="171">
        <f t="shared" si="19"/>
        <v>8.6178861788617889E-2</v>
      </c>
      <c r="J260" s="171">
        <f t="shared" si="19"/>
        <v>9.8266928711809892E-2</v>
      </c>
      <c r="K260" s="171">
        <f t="shared" si="19"/>
        <v>8.8947919182162119E-2</v>
      </c>
      <c r="L260" s="171">
        <f t="shared" si="19"/>
        <v>9.6993519939506667E-2</v>
      </c>
      <c r="M260" s="171">
        <f t="shared" si="19"/>
        <v>7.7105115124241078E-2</v>
      </c>
      <c r="N260" s="171">
        <f t="shared" si="19"/>
        <v>9.0283200901400198E-2</v>
      </c>
      <c r="P260" s="165">
        <f t="shared" si="16"/>
        <v>9.7782113004553597E-2</v>
      </c>
      <c r="Q260" s="165">
        <f t="shared" si="17"/>
        <v>9.618679233074573E-2</v>
      </c>
    </row>
    <row r="261" spans="2:17">
      <c r="B261" t="s">
        <v>341</v>
      </c>
      <c r="C261" s="171">
        <f t="shared" ref="C261:N261" si="20">C250/C$254</f>
        <v>8.455882352941177E-2</v>
      </c>
      <c r="D261" s="171">
        <f t="shared" si="20"/>
        <v>8.0128205128205135E-2</v>
      </c>
      <c r="E261" s="171">
        <f t="shared" si="20"/>
        <v>8.1081081081081086E-2</v>
      </c>
      <c r="F261" s="171">
        <f t="shared" si="20"/>
        <v>7.8922040423484122E-2</v>
      </c>
      <c r="G261" s="171">
        <f t="shared" si="20"/>
        <v>8.3836858006042292E-2</v>
      </c>
      <c r="H261" s="171">
        <f t="shared" si="20"/>
        <v>9.2667203867848505E-2</v>
      </c>
      <c r="I261" s="171">
        <f t="shared" si="20"/>
        <v>8.3468834688346885E-2</v>
      </c>
      <c r="J261" s="171">
        <f t="shared" si="20"/>
        <v>6.8218363733818427E-2</v>
      </c>
      <c r="K261" s="171">
        <f t="shared" si="20"/>
        <v>6.3189245753843673E-2</v>
      </c>
      <c r="L261" s="171">
        <f t="shared" si="20"/>
        <v>0.10082221151606614</v>
      </c>
      <c r="M261" s="171">
        <f t="shared" si="20"/>
        <v>0.10135200667274456</v>
      </c>
      <c r="N261" s="171">
        <f t="shared" si="20"/>
        <v>0.10141945475707953</v>
      </c>
      <c r="P261" s="165">
        <f t="shared" si="16"/>
        <v>8.3652846347194582E-2</v>
      </c>
      <c r="Q261" s="165">
        <f t="shared" si="17"/>
        <v>8.497202742983101E-2</v>
      </c>
    </row>
    <row r="262" spans="2:17">
      <c r="B262" t="s">
        <v>342</v>
      </c>
      <c r="C262" s="171">
        <f t="shared" ref="C262:N262" si="21">C251/C$254</f>
        <v>1.8382352941176471E-2</v>
      </c>
      <c r="D262" s="171">
        <f t="shared" si="21"/>
        <v>1.282051282051282E-2</v>
      </c>
      <c r="E262" s="171">
        <f t="shared" si="21"/>
        <v>1.4864864864864866E-2</v>
      </c>
      <c r="F262" s="171">
        <f t="shared" si="21"/>
        <v>2.598652550529355E-2</v>
      </c>
      <c r="G262" s="171">
        <f t="shared" si="21"/>
        <v>3.0966767371601207E-2</v>
      </c>
      <c r="H262" s="171">
        <f t="shared" si="21"/>
        <v>3.8678485092667206E-2</v>
      </c>
      <c r="I262" s="171">
        <f t="shared" si="21"/>
        <v>6.9918699186991867E-2</v>
      </c>
      <c r="J262" s="171">
        <f t="shared" si="21"/>
        <v>5.0351649422580275E-2</v>
      </c>
      <c r="K262" s="171">
        <f t="shared" si="21"/>
        <v>2.5356194156000968E-2</v>
      </c>
      <c r="L262" s="171">
        <f t="shared" si="21"/>
        <v>2.5205552879016536E-2</v>
      </c>
      <c r="M262" s="171">
        <f t="shared" si="21"/>
        <v>3.4430585998874948E-2</v>
      </c>
      <c r="N262" s="171">
        <f t="shared" si="21"/>
        <v>4.2954122014763091E-2</v>
      </c>
      <c r="P262" s="165">
        <f t="shared" si="16"/>
        <v>2.8476646438447377E-2</v>
      </c>
      <c r="Q262" s="165">
        <f t="shared" si="17"/>
        <v>3.2493026021195325E-2</v>
      </c>
    </row>
    <row r="263" spans="2:17">
      <c r="B263" t="s">
        <v>343</v>
      </c>
      <c r="C263" s="171">
        <f t="shared" ref="C263:N263" si="22">C252/C$254</f>
        <v>9.0073529411764705E-2</v>
      </c>
      <c r="D263" s="171">
        <f t="shared" si="22"/>
        <v>8.9743589743589744E-2</v>
      </c>
      <c r="E263" s="171">
        <f t="shared" si="22"/>
        <v>9.0540540540540546E-2</v>
      </c>
      <c r="F263" s="171">
        <f t="shared" si="22"/>
        <v>9.1434071222329161E-2</v>
      </c>
      <c r="G263" s="171">
        <f t="shared" si="22"/>
        <v>8.5347432024169181E-2</v>
      </c>
      <c r="H263" s="171">
        <f t="shared" si="22"/>
        <v>0</v>
      </c>
      <c r="I263" s="171">
        <f t="shared" si="22"/>
        <v>7.750677506775068E-2</v>
      </c>
      <c r="J263" s="171">
        <f t="shared" si="22"/>
        <v>7.1060795556060874E-2</v>
      </c>
      <c r="K263" s="171">
        <f t="shared" si="22"/>
        <v>7.969089591886018E-2</v>
      </c>
      <c r="L263" s="171">
        <f t="shared" si="22"/>
        <v>7.9445350213609087E-2</v>
      </c>
      <c r="M263" s="171">
        <f t="shared" si="22"/>
        <v>8.5591527166217291E-2</v>
      </c>
      <c r="N263" s="171">
        <f t="shared" si="22"/>
        <v>8.1135563805663613E-2</v>
      </c>
      <c r="P263" s="165">
        <f t="shared" si="16"/>
        <v>8.324149791491639E-2</v>
      </c>
      <c r="Q263" s="165">
        <f t="shared" si="17"/>
        <v>7.6797505889212928E-2</v>
      </c>
    </row>
    <row r="264" spans="2:17">
      <c r="B264" t="s">
        <v>344</v>
      </c>
      <c r="C264" s="171">
        <f t="shared" ref="C264:N264" si="23">C253/C$254</f>
        <v>0.26654411764705882</v>
      </c>
      <c r="D264" s="171">
        <f t="shared" si="23"/>
        <v>0.25961538461538464</v>
      </c>
      <c r="E264" s="171">
        <f t="shared" si="23"/>
        <v>0.26891891891891889</v>
      </c>
      <c r="F264" s="171">
        <f t="shared" si="23"/>
        <v>0.26564003849855633</v>
      </c>
      <c r="G264" s="171">
        <f t="shared" si="23"/>
        <v>0.26132930513595165</v>
      </c>
      <c r="H264" s="171">
        <f t="shared" si="23"/>
        <v>0.25946817082997581</v>
      </c>
      <c r="I264" s="171">
        <f t="shared" si="23"/>
        <v>0.26124661246612468</v>
      </c>
      <c r="J264" s="171">
        <f t="shared" si="23"/>
        <v>0.26949502168369416</v>
      </c>
      <c r="K264" s="171">
        <f t="shared" si="23"/>
        <v>0.27714722691781368</v>
      </c>
      <c r="L264" s="171">
        <f t="shared" si="23"/>
        <v>0.27063425466542024</v>
      </c>
      <c r="M264" s="171">
        <f t="shared" si="23"/>
        <v>0.29029348437530306</v>
      </c>
      <c r="N264" s="171">
        <f t="shared" si="23"/>
        <v>0.28708089156052924</v>
      </c>
      <c r="P264" s="165">
        <f t="shared" si="16"/>
        <v>0.26773151828298886</v>
      </c>
      <c r="Q264" s="165">
        <f t="shared" si="17"/>
        <v>0.26978445227622755</v>
      </c>
    </row>
    <row r="265" spans="2:17" ht="15" thickBot="1">
      <c r="B265" s="25" t="s">
        <v>345</v>
      </c>
      <c r="C265" s="191">
        <f>SUM(C258:C264)</f>
        <v>1</v>
      </c>
      <c r="D265" s="191">
        <f t="shared" ref="D265:N265" si="24">SUM(D258:D264)</f>
        <v>1</v>
      </c>
      <c r="E265" s="191">
        <f t="shared" si="24"/>
        <v>0.99999999999999978</v>
      </c>
      <c r="F265" s="191">
        <f t="shared" si="24"/>
        <v>1</v>
      </c>
      <c r="G265" s="191">
        <f t="shared" si="24"/>
        <v>0.99999999999999989</v>
      </c>
      <c r="H265" s="191">
        <f t="shared" si="24"/>
        <v>1</v>
      </c>
      <c r="I265" s="191">
        <f t="shared" si="24"/>
        <v>1</v>
      </c>
      <c r="J265" s="191">
        <f t="shared" si="24"/>
        <v>1</v>
      </c>
      <c r="K265" s="191">
        <f t="shared" si="24"/>
        <v>0.99999999999999989</v>
      </c>
      <c r="L265" s="191">
        <f t="shared" si="24"/>
        <v>1</v>
      </c>
      <c r="M265" s="191">
        <f t="shared" si="24"/>
        <v>1</v>
      </c>
      <c r="N265" s="191">
        <f t="shared" si="24"/>
        <v>1</v>
      </c>
    </row>
    <row r="266" spans="2:17">
      <c r="B266" s="11"/>
      <c r="C266" s="195"/>
      <c r="D266" s="195"/>
      <c r="E266" s="195"/>
      <c r="F266" s="195"/>
      <c r="G266" s="195"/>
      <c r="H266" s="195"/>
      <c r="I266" s="195"/>
      <c r="J266" s="195"/>
      <c r="K266" s="195"/>
      <c r="L266" s="195"/>
      <c r="M266" s="195"/>
      <c r="N266" s="195"/>
    </row>
    <row r="268" spans="2:17">
      <c r="B268" s="184" t="s">
        <v>147</v>
      </c>
      <c r="C268" s="184" t="s">
        <v>326</v>
      </c>
      <c r="D268" s="184" t="s">
        <v>327</v>
      </c>
      <c r="E268" s="184" t="s">
        <v>328</v>
      </c>
      <c r="F268" s="184" t="s">
        <v>329</v>
      </c>
      <c r="G268" s="184" t="s">
        <v>330</v>
      </c>
      <c r="H268" s="184" t="s">
        <v>331</v>
      </c>
      <c r="I268" s="184" t="s">
        <v>332</v>
      </c>
      <c r="J268" s="184" t="s">
        <v>333</v>
      </c>
      <c r="K268" s="184" t="s">
        <v>334</v>
      </c>
      <c r="L268" s="184" t="s">
        <v>335</v>
      </c>
      <c r="M268" s="184" t="s">
        <v>336</v>
      </c>
      <c r="N268" s="184" t="s">
        <v>337</v>
      </c>
      <c r="P268" s="185" t="s">
        <v>319</v>
      </c>
      <c r="Q268" s="185" t="s">
        <v>320</v>
      </c>
    </row>
    <row r="269" spans="2:17">
      <c r="B269" s="11" t="s">
        <v>36</v>
      </c>
      <c r="C269" s="192">
        <f>C245</f>
        <v>1800</v>
      </c>
      <c r="D269" s="192">
        <f t="shared" ref="D269:N269" si="25">D245</f>
        <v>2115</v>
      </c>
      <c r="E269" s="192">
        <f t="shared" si="25"/>
        <v>2502</v>
      </c>
      <c r="F269" s="192">
        <f t="shared" si="25"/>
        <v>3394</v>
      </c>
      <c r="G269" s="192">
        <f t="shared" si="25"/>
        <v>3861</v>
      </c>
      <c r="H269" s="192">
        <f t="shared" si="25"/>
        <v>4004</v>
      </c>
      <c r="I269" s="192">
        <f t="shared" si="25"/>
        <v>5105</v>
      </c>
      <c r="J269" s="192">
        <f t="shared" si="25"/>
        <v>7130</v>
      </c>
      <c r="K269" s="192">
        <f t="shared" si="25"/>
        <v>6450</v>
      </c>
      <c r="L269" s="192">
        <f t="shared" si="25"/>
        <v>8823</v>
      </c>
      <c r="M269" s="192">
        <f t="shared" si="25"/>
        <v>13173</v>
      </c>
      <c r="N269" s="192">
        <f t="shared" si="25"/>
        <v>16043</v>
      </c>
      <c r="P269" s="190"/>
      <c r="Q269" s="190"/>
    </row>
    <row r="271" spans="2:17">
      <c r="B271" t="s">
        <v>338</v>
      </c>
      <c r="C271" s="190">
        <v>152</v>
      </c>
      <c r="D271" s="190">
        <v>183</v>
      </c>
      <c r="E271" s="190">
        <v>217</v>
      </c>
      <c r="F271" s="190">
        <v>324</v>
      </c>
      <c r="G271" s="190">
        <v>421</v>
      </c>
      <c r="H271" s="190">
        <v>463</v>
      </c>
      <c r="I271" s="190">
        <v>583</v>
      </c>
      <c r="J271" s="190">
        <v>811</v>
      </c>
      <c r="K271" s="190">
        <v>890</v>
      </c>
      <c r="L271" s="190">
        <v>1008</v>
      </c>
      <c r="M271" s="190">
        <v>1217</v>
      </c>
      <c r="N271" s="190">
        <v>1447</v>
      </c>
      <c r="P271" s="192">
        <f>MEDIAN(C271:N271)</f>
        <v>523</v>
      </c>
      <c r="Q271" s="192">
        <f>AVERAGE(C271:N271)</f>
        <v>643</v>
      </c>
    </row>
    <row r="272" spans="2:17">
      <c r="B272" s="189" t="s">
        <v>349</v>
      </c>
      <c r="C272" s="194">
        <f>C271/C$269</f>
        <v>8.4444444444444447E-2</v>
      </c>
      <c r="D272" s="194">
        <f t="shared" ref="D272:N272" si="26">D271/D$269</f>
        <v>8.6524822695035461E-2</v>
      </c>
      <c r="E272" s="194">
        <f t="shared" si="26"/>
        <v>8.6730615507593922E-2</v>
      </c>
      <c r="F272" s="194">
        <f t="shared" si="26"/>
        <v>9.5462581025338833E-2</v>
      </c>
      <c r="G272" s="194">
        <f t="shared" si="26"/>
        <v>0.10903910903910904</v>
      </c>
      <c r="H272" s="194">
        <f t="shared" si="26"/>
        <v>0.11563436563436563</v>
      </c>
      <c r="I272" s="194">
        <f t="shared" si="26"/>
        <v>0.11420176297747306</v>
      </c>
      <c r="J272" s="194">
        <f t="shared" si="26"/>
        <v>0.11374474053295933</v>
      </c>
      <c r="K272" s="194">
        <f t="shared" si="26"/>
        <v>0.13798449612403102</v>
      </c>
      <c r="L272" s="194">
        <f t="shared" si="26"/>
        <v>0.11424685481128868</v>
      </c>
      <c r="M272" s="194">
        <f t="shared" si="26"/>
        <v>9.2385940939801112E-2</v>
      </c>
      <c r="N272" s="194">
        <f t="shared" si="26"/>
        <v>9.0195100666957545E-2</v>
      </c>
      <c r="P272" s="196">
        <f>MEDIAN(C272:N272)</f>
        <v>0.10225084503222394</v>
      </c>
      <c r="Q272" s="196">
        <f>AVERAGE(C272:N272)</f>
        <v>0.10338290286653318</v>
      </c>
    </row>
    <row r="273" spans="2:17">
      <c r="C273" s="190"/>
      <c r="D273" s="190"/>
      <c r="E273" s="190"/>
      <c r="F273" s="190"/>
      <c r="G273" s="190"/>
      <c r="H273" s="190"/>
      <c r="I273" s="190"/>
      <c r="J273" s="190"/>
      <c r="K273" s="190"/>
      <c r="L273" s="190"/>
      <c r="M273" s="190"/>
      <c r="N273" s="190"/>
    </row>
    <row r="274" spans="2:17">
      <c r="B274" t="s">
        <v>339</v>
      </c>
      <c r="C274" s="190">
        <v>84</v>
      </c>
      <c r="D274" s="190">
        <v>101</v>
      </c>
      <c r="E274" s="190">
        <v>114</v>
      </c>
      <c r="F274" s="190">
        <v>131</v>
      </c>
      <c r="G274" s="190">
        <v>156</v>
      </c>
      <c r="H274" s="190">
        <v>160</v>
      </c>
      <c r="I274" s="190">
        <v>195</v>
      </c>
      <c r="J274" s="190">
        <v>279</v>
      </c>
      <c r="K274" s="190">
        <v>267</v>
      </c>
      <c r="L274" s="190">
        <v>330</v>
      </c>
      <c r="M274" s="190">
        <v>479</v>
      </c>
      <c r="N274" s="190">
        <v>550</v>
      </c>
      <c r="P274" s="192">
        <f>MEDIAN(C274:N274)</f>
        <v>177.5</v>
      </c>
      <c r="Q274" s="192">
        <f>AVERAGE(C274:N274)</f>
        <v>237.16666666666666</v>
      </c>
    </row>
    <row r="275" spans="2:17">
      <c r="B275" s="189" t="s">
        <v>350</v>
      </c>
      <c r="C275" s="194">
        <f>C274/C$269</f>
        <v>4.6666666666666669E-2</v>
      </c>
      <c r="D275" s="194">
        <f t="shared" ref="D275" si="27">D274/D$269</f>
        <v>4.7754137115839243E-2</v>
      </c>
      <c r="E275" s="194">
        <f t="shared" ref="E275" si="28">E274/E$269</f>
        <v>4.5563549160671464E-2</v>
      </c>
      <c r="F275" s="194">
        <f t="shared" ref="F275" si="29">F274/F$269</f>
        <v>3.8597525044195641E-2</v>
      </c>
      <c r="G275" s="194">
        <f t="shared" ref="G275" si="30">G274/G$269</f>
        <v>4.0404040404040407E-2</v>
      </c>
      <c r="H275" s="194">
        <f t="shared" ref="H275" si="31">H274/H$269</f>
        <v>3.996003996003996E-2</v>
      </c>
      <c r="I275" s="194">
        <f t="shared" ref="I275" si="32">I274/I$269</f>
        <v>3.8197845249755141E-2</v>
      </c>
      <c r="J275" s="194">
        <f t="shared" ref="J275" si="33">J274/J$269</f>
        <v>3.9130434782608699E-2</v>
      </c>
      <c r="K275" s="194">
        <f t="shared" ref="K275" si="34">K274/K$269</f>
        <v>4.13953488372093E-2</v>
      </c>
      <c r="L275" s="194">
        <f t="shared" ref="L275" si="35">L274/L$269</f>
        <v>3.7402244134648079E-2</v>
      </c>
      <c r="M275" s="194">
        <f t="shared" ref="M275" si="36">M274/M$269</f>
        <v>3.63622561299628E-2</v>
      </c>
      <c r="N275" s="194">
        <f t="shared" ref="N275" si="37">N274/N$269</f>
        <v>3.4282864800847725E-2</v>
      </c>
      <c r="P275" s="196">
        <f>MEDIAN(C275:N275)</f>
        <v>3.9545237371324329E-2</v>
      </c>
      <c r="Q275" s="196">
        <f>AVERAGE(C275:N275)</f>
        <v>4.0476412690540427E-2</v>
      </c>
    </row>
    <row r="276" spans="2:17">
      <c r="C276" s="190"/>
      <c r="D276" s="190"/>
      <c r="E276" s="190"/>
      <c r="F276" s="190"/>
      <c r="G276" s="190"/>
      <c r="H276" s="190"/>
      <c r="I276" s="190"/>
      <c r="J276" s="190"/>
      <c r="K276" s="190"/>
      <c r="L276" s="190"/>
      <c r="M276" s="190"/>
      <c r="N276" s="190"/>
    </row>
    <row r="277" spans="2:17">
      <c r="B277" t="s">
        <v>341</v>
      </c>
      <c r="C277" s="190">
        <v>46</v>
      </c>
      <c r="D277" s="190">
        <v>50</v>
      </c>
      <c r="E277" s="190">
        <v>60</v>
      </c>
      <c r="F277" s="190">
        <v>82</v>
      </c>
      <c r="G277" s="190">
        <v>111</v>
      </c>
      <c r="H277" s="190">
        <v>115</v>
      </c>
      <c r="I277" s="190">
        <v>154</v>
      </c>
      <c r="J277" s="190">
        <v>168</v>
      </c>
      <c r="K277" s="190">
        <v>157</v>
      </c>
      <c r="L277" s="190">
        <v>316</v>
      </c>
      <c r="M277" s="190">
        <v>418</v>
      </c>
      <c r="N277" s="190">
        <v>510</v>
      </c>
      <c r="P277" s="192">
        <f>MEDIAN(C277:N277)</f>
        <v>134.5</v>
      </c>
      <c r="Q277" s="192">
        <f>AVERAGE(C277:N277)</f>
        <v>182.25</v>
      </c>
    </row>
    <row r="278" spans="2:17">
      <c r="B278" s="189" t="s">
        <v>351</v>
      </c>
      <c r="C278" s="194">
        <f>C277/C$269</f>
        <v>2.5555555555555557E-2</v>
      </c>
      <c r="D278" s="194">
        <f t="shared" ref="D278" si="38">D277/D$269</f>
        <v>2.3640661938534278E-2</v>
      </c>
      <c r="E278" s="194">
        <f t="shared" ref="E278" si="39">E277/E$269</f>
        <v>2.3980815347721823E-2</v>
      </c>
      <c r="F278" s="194">
        <f t="shared" ref="F278" si="40">F277/F$269</f>
        <v>2.4160282852091926E-2</v>
      </c>
      <c r="G278" s="194">
        <f t="shared" ref="G278" si="41">G277/G$269</f>
        <v>2.8749028749028748E-2</v>
      </c>
      <c r="H278" s="194">
        <f t="shared" ref="H278" si="42">H277/H$269</f>
        <v>2.872127872127872E-2</v>
      </c>
      <c r="I278" s="194">
        <f t="shared" ref="I278" si="43">I277/I$269</f>
        <v>3.0166503428011752E-2</v>
      </c>
      <c r="J278" s="194">
        <f t="shared" ref="J278" si="44">J277/J$269</f>
        <v>2.356241234221599E-2</v>
      </c>
      <c r="K278" s="194">
        <f t="shared" ref="K278" si="45">K277/K$269</f>
        <v>2.4341085271317828E-2</v>
      </c>
      <c r="L278" s="194">
        <f t="shared" ref="L278" si="46">L277/L$269</f>
        <v>3.581548226226907E-2</v>
      </c>
      <c r="M278" s="194">
        <f t="shared" ref="M278" si="47">M277/M$269</f>
        <v>3.1731572155165873E-2</v>
      </c>
      <c r="N278" s="194">
        <f t="shared" ref="N278" si="48">N277/N$269</f>
        <v>3.1789565542604252E-2</v>
      </c>
      <c r="P278" s="196">
        <f>MEDIAN(C278:N278)</f>
        <v>2.7138417138417137E-2</v>
      </c>
      <c r="Q278" s="196">
        <f>AVERAGE(C278:N278)</f>
        <v>2.768452034714965E-2</v>
      </c>
    </row>
    <row r="279" spans="2:17">
      <c r="C279" s="190"/>
      <c r="D279" s="190"/>
      <c r="E279" s="190"/>
      <c r="F279" s="190"/>
      <c r="G279" s="190"/>
      <c r="H279" s="190"/>
      <c r="I279" s="190"/>
      <c r="J279" s="190"/>
      <c r="K279" s="190"/>
      <c r="L279" s="190"/>
      <c r="M279" s="190"/>
      <c r="N279" s="190"/>
    </row>
    <row r="280" spans="2:17">
      <c r="B280" t="s">
        <v>346</v>
      </c>
      <c r="C280" s="190">
        <f t="shared" ref="C280:N280" si="49">SUM(C252:C253)</f>
        <v>194</v>
      </c>
      <c r="D280" s="190">
        <f t="shared" si="49"/>
        <v>218</v>
      </c>
      <c r="E280" s="190">
        <f t="shared" si="49"/>
        <v>266</v>
      </c>
      <c r="F280" s="190">
        <f t="shared" si="49"/>
        <v>371</v>
      </c>
      <c r="G280" s="190">
        <f t="shared" si="49"/>
        <v>459</v>
      </c>
      <c r="H280" s="190">
        <f t="shared" si="49"/>
        <v>322</v>
      </c>
      <c r="I280" s="190">
        <f t="shared" si="49"/>
        <v>625</v>
      </c>
      <c r="J280" s="190">
        <f t="shared" si="49"/>
        <v>838.68000000000006</v>
      </c>
      <c r="K280" s="190">
        <f t="shared" si="49"/>
        <v>886.59999999999991</v>
      </c>
      <c r="L280" s="190">
        <f t="shared" si="49"/>
        <v>1097.23</v>
      </c>
      <c r="M280" s="190">
        <f t="shared" si="49"/>
        <v>1550.2399999999998</v>
      </c>
      <c r="N280" s="190">
        <f t="shared" si="49"/>
        <v>1851.6210000000001</v>
      </c>
      <c r="P280" s="192">
        <f>MEDIAN(C280:N280)</f>
        <v>542</v>
      </c>
      <c r="Q280" s="192">
        <f>AVERAGE(C280:N280)</f>
        <v>723.2809166666666</v>
      </c>
    </row>
    <row r="281" spans="2:17">
      <c r="B281" s="189" t="s">
        <v>352</v>
      </c>
      <c r="C281" s="194">
        <f>C280/C$269</f>
        <v>0.10777777777777778</v>
      </c>
      <c r="D281" s="194">
        <f t="shared" ref="D281" si="50">D280/D$269</f>
        <v>0.10307328605200945</v>
      </c>
      <c r="E281" s="194">
        <f t="shared" ref="E281" si="51">E280/E$269</f>
        <v>0.10631494804156674</v>
      </c>
      <c r="F281" s="194">
        <f t="shared" ref="F281" si="52">F280/F$269</f>
        <v>0.10931054802592811</v>
      </c>
      <c r="G281" s="194">
        <f t="shared" ref="G281" si="53">G280/G$269</f>
        <v>0.11888111888111888</v>
      </c>
      <c r="H281" s="194">
        <f t="shared" ref="H281" si="54">H280/H$269</f>
        <v>8.0419580419580416E-2</v>
      </c>
      <c r="I281" s="194">
        <f t="shared" ref="I281" si="55">I280/I$269</f>
        <v>0.12242899118511263</v>
      </c>
      <c r="J281" s="194">
        <f t="shared" ref="J281" si="56">J280/J$269</f>
        <v>0.11762692847124825</v>
      </c>
      <c r="K281" s="194">
        <f t="shared" ref="K281" si="57">K280/K$269</f>
        <v>0.13745736434108527</v>
      </c>
      <c r="L281" s="194">
        <f t="shared" ref="L281" si="58">L280/L$269</f>
        <v>0.12436019494503003</v>
      </c>
      <c r="M281" s="194">
        <f t="shared" ref="M281" si="59">M280/M$269</f>
        <v>0.11768313975556061</v>
      </c>
      <c r="N281" s="194">
        <f t="shared" ref="N281" si="60">N280/N$269</f>
        <v>0.11541613164620085</v>
      </c>
      <c r="P281" s="196">
        <f>MEDIAN(C281:N281)</f>
        <v>0.11652153005872455</v>
      </c>
      <c r="Q281" s="196">
        <f>AVERAGE(C281:N281)</f>
        <v>0.11339583412851827</v>
      </c>
    </row>
    <row r="282" spans="2:17">
      <c r="C282" s="190"/>
      <c r="D282" s="190"/>
      <c r="E282" s="190"/>
      <c r="F282" s="190"/>
      <c r="G282" s="190"/>
      <c r="H282" s="190"/>
      <c r="I282" s="190"/>
      <c r="J282" s="190"/>
      <c r="K282" s="190"/>
      <c r="L282" s="190"/>
      <c r="M282" s="190"/>
      <c r="N282" s="190"/>
    </row>
    <row r="283" spans="2:17">
      <c r="B283" t="s">
        <v>347</v>
      </c>
      <c r="C283" s="190">
        <f t="shared" ref="C283:N283" si="61">SUM(C249,C251)</f>
        <v>68</v>
      </c>
      <c r="D283" s="190">
        <f t="shared" si="61"/>
        <v>72</v>
      </c>
      <c r="E283" s="190">
        <f t="shared" si="61"/>
        <v>83</v>
      </c>
      <c r="F283" s="190">
        <f t="shared" si="61"/>
        <v>131</v>
      </c>
      <c r="G283" s="190">
        <f t="shared" si="61"/>
        <v>177</v>
      </c>
      <c r="H283" s="190">
        <f t="shared" si="61"/>
        <v>181</v>
      </c>
      <c r="I283" s="190">
        <f t="shared" si="61"/>
        <v>288</v>
      </c>
      <c r="J283" s="190">
        <f t="shared" si="61"/>
        <v>366</v>
      </c>
      <c r="K283" s="190">
        <f t="shared" si="61"/>
        <v>284</v>
      </c>
      <c r="L283" s="190">
        <f t="shared" si="61"/>
        <v>383</v>
      </c>
      <c r="M283" s="190">
        <f t="shared" si="61"/>
        <v>460</v>
      </c>
      <c r="N283" s="190">
        <f t="shared" si="61"/>
        <v>670</v>
      </c>
      <c r="P283" s="192">
        <f>MEDIAN(C283:N283)</f>
        <v>232.5</v>
      </c>
      <c r="Q283" s="192">
        <f>AVERAGE(C283:N283)</f>
        <v>263.58333333333331</v>
      </c>
    </row>
    <row r="284" spans="2:17">
      <c r="B284" s="189" t="s">
        <v>353</v>
      </c>
      <c r="C284" s="194">
        <f>C283/C$269</f>
        <v>3.7777777777777778E-2</v>
      </c>
      <c r="D284" s="194">
        <f t="shared" ref="D284" si="62">D283/D$269</f>
        <v>3.4042553191489362E-2</v>
      </c>
      <c r="E284" s="194">
        <f t="shared" ref="E284" si="63">E283/E$269</f>
        <v>3.3173461231015187E-2</v>
      </c>
      <c r="F284" s="194">
        <f t="shared" ref="F284" si="64">F283/F$269</f>
        <v>3.8597525044195641E-2</v>
      </c>
      <c r="G284" s="194">
        <f t="shared" ref="G284" si="65">G283/G$269</f>
        <v>4.584304584304584E-2</v>
      </c>
      <c r="H284" s="194">
        <f t="shared" ref="H284" si="66">H283/H$269</f>
        <v>4.5204795204795208E-2</v>
      </c>
      <c r="I284" s="194">
        <f t="shared" ref="I284" si="67">I283/I$269</f>
        <v>5.6415279138099905E-2</v>
      </c>
      <c r="J284" s="194">
        <f t="shared" ref="J284" si="68">J283/J$269</f>
        <v>5.1332398316970548E-2</v>
      </c>
      <c r="K284" s="194">
        <f t="shared" ref="K284" si="69">K283/K$269</f>
        <v>4.4031007751937981E-2</v>
      </c>
      <c r="L284" s="194">
        <f t="shared" ref="L284" si="70">L283/L$269</f>
        <v>4.3409271222940041E-2</v>
      </c>
      <c r="M284" s="194">
        <f t="shared" ref="M284" si="71">M283/M$269</f>
        <v>3.4919911941091626E-2</v>
      </c>
      <c r="N284" s="194">
        <f t="shared" ref="N284" si="72">N283/N$269</f>
        <v>4.1762762575578136E-2</v>
      </c>
      <c r="P284" s="196">
        <f>MEDIAN(C284:N284)</f>
        <v>4.2586016899259088E-2</v>
      </c>
      <c r="Q284" s="196">
        <f>AVERAGE(C284:N284)</f>
        <v>4.2209149103244768E-2</v>
      </c>
    </row>
    <row r="285" spans="2:17">
      <c r="C285" s="190"/>
      <c r="D285" s="190"/>
      <c r="E285" s="190"/>
      <c r="F285" s="190"/>
      <c r="G285" s="190"/>
      <c r="H285" s="190"/>
      <c r="I285" s="190"/>
      <c r="J285" s="190"/>
      <c r="K285" s="190"/>
      <c r="L285" s="190"/>
      <c r="M285" s="190"/>
      <c r="N285" s="190"/>
      <c r="P285" s="190"/>
      <c r="Q285" s="190"/>
    </row>
    <row r="286" spans="2:17">
      <c r="B286" s="11" t="s">
        <v>348</v>
      </c>
      <c r="C286" s="193">
        <f>SUM(C272,C275,C278,C281,C284)</f>
        <v>0.30222222222222228</v>
      </c>
      <c r="D286" s="193">
        <f t="shared" ref="D286:Q286" si="73">SUM(D272,D275,D278,D281,D284)</f>
        <v>0.29503546099290778</v>
      </c>
      <c r="E286" s="193">
        <f t="shared" si="73"/>
        <v>0.2957633892885691</v>
      </c>
      <c r="F286" s="193">
        <f t="shared" si="73"/>
        <v>0.30612846199175014</v>
      </c>
      <c r="G286" s="193">
        <f t="shared" si="73"/>
        <v>0.34291634291634293</v>
      </c>
      <c r="H286" s="193">
        <f t="shared" si="73"/>
        <v>0.30994005994005996</v>
      </c>
      <c r="I286" s="193">
        <f t="shared" si="73"/>
        <v>0.36141038197845249</v>
      </c>
      <c r="J286" s="193">
        <f t="shared" si="73"/>
        <v>0.34539691444600285</v>
      </c>
      <c r="K286" s="193">
        <f t="shared" si="73"/>
        <v>0.38520930232558143</v>
      </c>
      <c r="L286" s="193">
        <f t="shared" si="73"/>
        <v>0.35523404737617592</v>
      </c>
      <c r="M286" s="193">
        <f t="shared" si="73"/>
        <v>0.31308282092158202</v>
      </c>
      <c r="N286" s="193">
        <f t="shared" si="73"/>
        <v>0.31344642523218852</v>
      </c>
      <c r="O286" s="193">
        <f t="shared" si="73"/>
        <v>0</v>
      </c>
      <c r="P286" s="193">
        <f>SUM(P272,P275,P278,P281,P284)</f>
        <v>0.32804204649994906</v>
      </c>
      <c r="Q286" s="193">
        <f t="shared" si="73"/>
        <v>0.32714881913598626</v>
      </c>
    </row>
    <row r="287" spans="2:17">
      <c r="B287" s="11"/>
      <c r="C287" s="193"/>
      <c r="D287" s="193"/>
      <c r="E287" s="193"/>
      <c r="F287" s="193"/>
      <c r="G287" s="193"/>
      <c r="H287" s="193"/>
      <c r="I287" s="193"/>
      <c r="J287" s="193"/>
      <c r="K287" s="193"/>
      <c r="L287" s="193"/>
      <c r="M287" s="193"/>
      <c r="N287" s="193"/>
      <c r="P287" s="197"/>
      <c r="Q287" s="197"/>
    </row>
    <row r="289" spans="2:9">
      <c r="B289" s="184" t="s">
        <v>426</v>
      </c>
      <c r="D289" s="175"/>
      <c r="E289" s="175"/>
    </row>
    <row r="290" spans="2:9">
      <c r="D290" s="175"/>
      <c r="E290" s="175"/>
    </row>
    <row r="291" spans="2:9">
      <c r="B291" s="561" t="s">
        <v>436</v>
      </c>
      <c r="C291" s="561"/>
      <c r="D291" s="561"/>
      <c r="E291" s="561"/>
      <c r="I291" s="225"/>
    </row>
    <row r="292" spans="2:9">
      <c r="B292" s="173" t="s">
        <v>300</v>
      </c>
      <c r="C292" s="172" t="s">
        <v>292</v>
      </c>
      <c r="D292" s="172" t="s">
        <v>293</v>
      </c>
      <c r="E292" s="172" t="s">
        <v>294</v>
      </c>
    </row>
    <row r="293" spans="2:9">
      <c r="B293" s="242" t="s">
        <v>295</v>
      </c>
      <c r="C293" s="37">
        <v>0.23</v>
      </c>
      <c r="D293" s="37">
        <v>0.23</v>
      </c>
      <c r="E293" s="37">
        <v>0.23</v>
      </c>
    </row>
    <row r="294" spans="2:9">
      <c r="B294" s="242" t="s">
        <v>297</v>
      </c>
      <c r="C294" s="37">
        <v>0.23</v>
      </c>
      <c r="D294" s="37">
        <v>0.22500000000000001</v>
      </c>
      <c r="E294" s="37">
        <v>0.23</v>
      </c>
    </row>
    <row r="295" spans="2:9">
      <c r="B295" s="242" t="s">
        <v>427</v>
      </c>
      <c r="C295" s="37">
        <v>0.254</v>
      </c>
      <c r="D295" s="37">
        <v>0.25800000000000001</v>
      </c>
      <c r="E295" s="37">
        <v>0.25900000000000001</v>
      </c>
    </row>
    <row r="296" spans="2:9">
      <c r="B296" s="242" t="s">
        <v>428</v>
      </c>
      <c r="C296" s="37">
        <v>0.22500000000000001</v>
      </c>
      <c r="D296" s="175">
        <v>0.23</v>
      </c>
      <c r="E296" s="175">
        <v>0.23300000000000001</v>
      </c>
    </row>
    <row r="297" spans="2:9">
      <c r="B297" s="249" t="s">
        <v>437</v>
      </c>
      <c r="C297" s="37">
        <v>0.22500000000000001</v>
      </c>
      <c r="D297" s="37">
        <v>0.23100000000000001</v>
      </c>
      <c r="E297" s="37">
        <v>0.23399999999999999</v>
      </c>
    </row>
    <row r="298" spans="2:9">
      <c r="B298" s="20" t="s">
        <v>429</v>
      </c>
      <c r="C298" s="243">
        <f>MEDIAN(C293:C297)</f>
        <v>0.23</v>
      </c>
      <c r="D298" s="243">
        <f t="shared" ref="D298:E298" si="74">MEDIAN(D293:D297)</f>
        <v>0.23</v>
      </c>
      <c r="E298" s="243">
        <f t="shared" si="74"/>
        <v>0.23300000000000001</v>
      </c>
    </row>
    <row r="299" spans="2:9">
      <c r="B299" s="11"/>
      <c r="C299" s="198"/>
      <c r="D299" s="198"/>
      <c r="E299" s="198"/>
    </row>
    <row r="300" spans="2:9">
      <c r="B300" s="11"/>
      <c r="C300" s="198"/>
      <c r="D300" s="198"/>
      <c r="E300" s="198"/>
    </row>
    <row r="301" spans="2:9">
      <c r="B301" s="11"/>
      <c r="C301" s="198"/>
      <c r="D301" s="198"/>
      <c r="E301" s="198"/>
    </row>
    <row r="302" spans="2:9">
      <c r="B302" s="11"/>
      <c r="C302" s="198"/>
      <c r="D302" s="198"/>
      <c r="E302" s="198"/>
    </row>
    <row r="303" spans="2:9">
      <c r="B303" s="11"/>
      <c r="C303" s="198"/>
      <c r="D303" s="198"/>
      <c r="E303" s="198"/>
    </row>
    <row r="304" spans="2:9">
      <c r="B304" s="11"/>
      <c r="C304" s="198"/>
      <c r="D304" s="198"/>
      <c r="E304" s="198"/>
    </row>
    <row r="305" spans="1:43">
      <c r="B305" s="11"/>
      <c r="C305" s="198"/>
      <c r="D305" s="198"/>
      <c r="E305" s="198"/>
    </row>
    <row r="306" spans="1:43">
      <c r="B306" s="11"/>
      <c r="C306" s="198"/>
      <c r="D306" s="198"/>
      <c r="E306" s="198"/>
    </row>
    <row r="307" spans="1:43">
      <c r="B307" s="11"/>
      <c r="C307" s="198"/>
      <c r="D307" s="198"/>
      <c r="E307" s="198"/>
    </row>
    <row r="308" spans="1:43">
      <c r="B308" s="11"/>
      <c r="C308" s="198"/>
      <c r="D308" s="198"/>
      <c r="E308" s="198"/>
    </row>
    <row r="309" spans="1:43">
      <c r="B309" s="11"/>
      <c r="C309" s="198"/>
      <c r="D309" s="198"/>
      <c r="E309" s="198"/>
    </row>
    <row r="311" spans="1:43" ht="31.2">
      <c r="A311" s="21" t="s">
        <v>220</v>
      </c>
      <c r="B311" s="182" t="s">
        <v>83</v>
      </c>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row>
    <row r="312" spans="1:43">
      <c r="P312" s="570" t="s">
        <v>58</v>
      </c>
      <c r="Q312" s="570"/>
      <c r="R312" s="570"/>
    </row>
    <row r="313" spans="1:43">
      <c r="B313" s="184" t="s">
        <v>83</v>
      </c>
      <c r="C313" s="208" t="s">
        <v>326</v>
      </c>
      <c r="D313" s="208" t="s">
        <v>327</v>
      </c>
      <c r="E313" s="208" t="s">
        <v>328</v>
      </c>
      <c r="F313" s="208" t="s">
        <v>329</v>
      </c>
      <c r="G313" s="208" t="s">
        <v>330</v>
      </c>
      <c r="H313" s="208" t="s">
        <v>331</v>
      </c>
      <c r="I313" s="208" t="s">
        <v>332</v>
      </c>
      <c r="J313" s="208" t="s">
        <v>333</v>
      </c>
      <c r="K313" s="208" t="s">
        <v>334</v>
      </c>
      <c r="L313" s="208" t="s">
        <v>335</v>
      </c>
      <c r="M313" s="208" t="s">
        <v>336</v>
      </c>
      <c r="N313" s="208" t="s">
        <v>337</v>
      </c>
      <c r="P313" s="185" t="s">
        <v>57</v>
      </c>
      <c r="Q313" s="185" t="s">
        <v>56</v>
      </c>
      <c r="R313" s="185" t="s">
        <v>263</v>
      </c>
    </row>
    <row r="314" spans="1:43">
      <c r="B314" s="207" t="s">
        <v>233</v>
      </c>
      <c r="C314">
        <v>231</v>
      </c>
      <c r="D314">
        <v>246</v>
      </c>
      <c r="E314">
        <v>289</v>
      </c>
      <c r="F314">
        <v>425</v>
      </c>
      <c r="G314">
        <v>490</v>
      </c>
      <c r="H314">
        <v>439</v>
      </c>
      <c r="I314">
        <v>578</v>
      </c>
      <c r="J314">
        <v>882</v>
      </c>
      <c r="K314">
        <v>929</v>
      </c>
      <c r="L314">
        <v>1448</v>
      </c>
      <c r="M314">
        <v>1994</v>
      </c>
      <c r="N314">
        <v>2151</v>
      </c>
      <c r="P314" s="165">
        <f>_xlfn.RRI(3,K314,N314)</f>
        <v>0.32294431833122905</v>
      </c>
      <c r="Q314" s="165">
        <f>_xlfn.RRI(5,I314,N314)</f>
        <v>0.3005963006646637</v>
      </c>
      <c r="R314" s="165">
        <f>_xlfn.RRI(7,G314,N314)</f>
        <v>0.23531513238332669</v>
      </c>
    </row>
    <row r="315" spans="1:43">
      <c r="B315" s="207" t="s">
        <v>357</v>
      </c>
      <c r="C315">
        <v>91</v>
      </c>
      <c r="D315">
        <v>65</v>
      </c>
      <c r="E315">
        <v>97</v>
      </c>
      <c r="F315">
        <v>98</v>
      </c>
      <c r="G315">
        <v>131</v>
      </c>
      <c r="H315">
        <v>150</v>
      </c>
      <c r="I315">
        <v>128</v>
      </c>
      <c r="J315">
        <v>173</v>
      </c>
      <c r="K315">
        <v>242</v>
      </c>
      <c r="L315">
        <v>221</v>
      </c>
      <c r="M315">
        <v>299</v>
      </c>
      <c r="N315">
        <v>359</v>
      </c>
      <c r="P315" s="165">
        <f t="shared" ref="P315:P318" si="75">_xlfn.RRI(3,K315,N315)</f>
        <v>0.14049405957093164</v>
      </c>
      <c r="Q315" s="165">
        <f t="shared" ref="Q315:Q318" si="76">_xlfn.RRI(5,I315,N315)</f>
        <v>0.229070785469768</v>
      </c>
      <c r="R315" s="165">
        <f t="shared" ref="R315:R318" si="77">_xlfn.RRI(7,G315,N315)</f>
        <v>0.15490474241104479</v>
      </c>
    </row>
    <row r="316" spans="1:43">
      <c r="B316" t="s">
        <v>452</v>
      </c>
      <c r="C316">
        <v>24</v>
      </c>
      <c r="D316">
        <v>16</v>
      </c>
      <c r="E316">
        <v>41</v>
      </c>
      <c r="F316">
        <v>41</v>
      </c>
      <c r="G316">
        <v>24</v>
      </c>
      <c r="H316">
        <v>101</v>
      </c>
      <c r="I316">
        <v>149</v>
      </c>
      <c r="J316">
        <v>234</v>
      </c>
      <c r="K316">
        <v>193</v>
      </c>
      <c r="L316">
        <v>251</v>
      </c>
      <c r="M316">
        <v>402</v>
      </c>
      <c r="N316">
        <v>739</v>
      </c>
      <c r="P316" s="165">
        <f>_xlfn.RRI(3,K316,N316)</f>
        <v>0.56445248146586557</v>
      </c>
      <c r="Q316" s="165">
        <f>_xlfn.RRI(5,I316,N316)</f>
        <v>0.37750008396636381</v>
      </c>
      <c r="R316" s="165">
        <f>_xlfn.RRI(7,G316,N316)</f>
        <v>0.6316737013561915</v>
      </c>
    </row>
    <row r="317" spans="1:43">
      <c r="B317" s="207" t="s">
        <v>359</v>
      </c>
      <c r="C317">
        <v>201</v>
      </c>
      <c r="D317">
        <v>165</v>
      </c>
      <c r="E317">
        <v>95</v>
      </c>
      <c r="F317">
        <v>109</v>
      </c>
      <c r="G317">
        <v>141</v>
      </c>
      <c r="H317">
        <v>146</v>
      </c>
      <c r="I317">
        <v>192</v>
      </c>
      <c r="J317">
        <v>213</v>
      </c>
      <c r="K317">
        <v>246</v>
      </c>
      <c r="L317">
        <v>289</v>
      </c>
      <c r="M317">
        <v>424</v>
      </c>
      <c r="N317">
        <v>526</v>
      </c>
      <c r="P317" s="165">
        <f>_xlfn.RRI(3,K317,N317)</f>
        <v>0.28829962096472683</v>
      </c>
      <c r="Q317" s="165">
        <f>_xlfn.RRI(5,I317,N317)</f>
        <v>0.22331106243908172</v>
      </c>
      <c r="R317" s="165">
        <f>_xlfn.RRI(7,G317,N317)</f>
        <v>0.20692684552483853</v>
      </c>
    </row>
    <row r="318" spans="1:43">
      <c r="B318" t="s">
        <v>358</v>
      </c>
      <c r="C318">
        <v>38</v>
      </c>
      <c r="D318">
        <v>51</v>
      </c>
      <c r="E318">
        <v>34</v>
      </c>
      <c r="F318">
        <v>58</v>
      </c>
      <c r="G318">
        <v>66</v>
      </c>
      <c r="H318">
        <v>94</v>
      </c>
      <c r="I318">
        <v>93</v>
      </c>
      <c r="J318">
        <v>171</v>
      </c>
      <c r="K318">
        <v>190</v>
      </c>
      <c r="L318">
        <v>337</v>
      </c>
      <c r="M318">
        <v>285</v>
      </c>
      <c r="N318">
        <v>460</v>
      </c>
      <c r="P318" s="165">
        <f t="shared" si="75"/>
        <v>0.34276932137711702</v>
      </c>
      <c r="Q318" s="165">
        <f t="shared" si="76"/>
        <v>0.37674965595782206</v>
      </c>
      <c r="R318" s="165">
        <f t="shared" si="77"/>
        <v>0.31965111189739681</v>
      </c>
    </row>
    <row r="319" spans="1:43" ht="15" thickBot="1">
      <c r="B319" s="212" t="s">
        <v>11</v>
      </c>
      <c r="C319" s="25">
        <f t="shared" ref="C319:N319" si="78">SUM(C314:C318)</f>
        <v>585</v>
      </c>
      <c r="D319" s="25">
        <f t="shared" si="78"/>
        <v>543</v>
      </c>
      <c r="E319" s="25">
        <f t="shared" si="78"/>
        <v>556</v>
      </c>
      <c r="F319" s="25">
        <f t="shared" si="78"/>
        <v>731</v>
      </c>
      <c r="G319" s="25">
        <f t="shared" si="78"/>
        <v>852</v>
      </c>
      <c r="H319" s="25">
        <f t="shared" si="78"/>
        <v>930</v>
      </c>
      <c r="I319" s="25">
        <f t="shared" si="78"/>
        <v>1140</v>
      </c>
      <c r="J319" s="25">
        <f t="shared" si="78"/>
        <v>1673</v>
      </c>
      <c r="K319" s="25">
        <f t="shared" si="78"/>
        <v>1800</v>
      </c>
      <c r="L319" s="25">
        <f t="shared" si="78"/>
        <v>2546</v>
      </c>
      <c r="M319" s="25">
        <f t="shared" si="78"/>
        <v>3404</v>
      </c>
      <c r="N319" s="25">
        <f t="shared" si="78"/>
        <v>4235</v>
      </c>
    </row>
    <row r="321" spans="1:18">
      <c r="B321" s="11" t="s">
        <v>13</v>
      </c>
      <c r="C321" s="210">
        <v>2553</v>
      </c>
      <c r="D321" s="211">
        <v>2986</v>
      </c>
      <c r="E321" s="211">
        <v>3292</v>
      </c>
      <c r="F321" s="211">
        <v>4431</v>
      </c>
      <c r="G321" s="209">
        <v>4824</v>
      </c>
      <c r="H321" s="209">
        <v>5276</v>
      </c>
      <c r="I321" s="209">
        <v>5998</v>
      </c>
      <c r="J321" s="209">
        <v>8376</v>
      </c>
      <c r="K321" s="209">
        <v>8447</v>
      </c>
      <c r="L321" s="209">
        <v>9579</v>
      </c>
      <c r="M321" s="209">
        <v>11618</v>
      </c>
      <c r="N321" s="209">
        <v>15187</v>
      </c>
      <c r="P321" s="165">
        <f>_xlfn.RRI(3,K321,N321)</f>
        <v>0.215970856627556</v>
      </c>
      <c r="Q321" s="165">
        <f>_xlfn.RRI(5,I321,N321)</f>
        <v>0.20418470391048316</v>
      </c>
      <c r="R321" s="165">
        <f>_xlfn.RRI(7,G321,N321)</f>
        <v>0.17801846827636747</v>
      </c>
    </row>
    <row r="323" spans="1:18">
      <c r="B323" s="11" t="s">
        <v>360</v>
      </c>
      <c r="C323" s="37">
        <f>C319/C321</f>
        <v>0.2291421856639248</v>
      </c>
      <c r="D323" s="37">
        <f t="shared" ref="D323:N323" si="79">D319/D321</f>
        <v>0.18184862692565304</v>
      </c>
      <c r="E323" s="37">
        <f t="shared" si="79"/>
        <v>0.16889428918590524</v>
      </c>
      <c r="F323" s="37">
        <f t="shared" si="79"/>
        <v>0.16497404649063416</v>
      </c>
      <c r="G323" s="37">
        <f t="shared" si="79"/>
        <v>0.17661691542288557</v>
      </c>
      <c r="H323" s="37">
        <f t="shared" si="79"/>
        <v>0.17626990144048521</v>
      </c>
      <c r="I323" s="37">
        <f t="shared" si="79"/>
        <v>0.19006335445148384</v>
      </c>
      <c r="J323" s="37">
        <f t="shared" si="79"/>
        <v>0.19973734479465138</v>
      </c>
      <c r="K323" s="37">
        <f t="shared" si="79"/>
        <v>0.21309340594293832</v>
      </c>
      <c r="L323" s="37">
        <f t="shared" si="79"/>
        <v>0.26578974840797576</v>
      </c>
      <c r="M323" s="37">
        <f t="shared" si="79"/>
        <v>0.2929936305732484</v>
      </c>
      <c r="N323" s="37">
        <f t="shared" si="79"/>
        <v>0.27885691710015142</v>
      </c>
    </row>
    <row r="325" spans="1:18">
      <c r="B325" s="184" t="s">
        <v>83</v>
      </c>
      <c r="C325" s="208" t="s">
        <v>326</v>
      </c>
      <c r="D325" s="208" t="s">
        <v>327</v>
      </c>
      <c r="E325" s="208" t="s">
        <v>328</v>
      </c>
      <c r="F325" s="208" t="s">
        <v>329</v>
      </c>
      <c r="G325" s="208" t="s">
        <v>330</v>
      </c>
      <c r="H325" s="208" t="s">
        <v>331</v>
      </c>
      <c r="I325" s="208" t="s">
        <v>332</v>
      </c>
      <c r="J325" s="208" t="s">
        <v>333</v>
      </c>
      <c r="K325" s="208" t="s">
        <v>334</v>
      </c>
      <c r="L325" s="208" t="s">
        <v>335</v>
      </c>
      <c r="M325" s="208" t="s">
        <v>336</v>
      </c>
      <c r="N325" s="208" t="s">
        <v>337</v>
      </c>
    </row>
    <row r="326" spans="1:18">
      <c r="B326" s="207" t="s">
        <v>233</v>
      </c>
      <c r="C326" s="171">
        <f>C314/C$319</f>
        <v>0.39487179487179486</v>
      </c>
      <c r="D326" s="171">
        <f t="shared" ref="D326:N326" si="80">D314/D$319</f>
        <v>0.45303867403314918</v>
      </c>
      <c r="E326" s="171">
        <f t="shared" si="80"/>
        <v>0.51978417266187049</v>
      </c>
      <c r="F326" s="171">
        <f t="shared" si="80"/>
        <v>0.58139534883720934</v>
      </c>
      <c r="G326" s="171">
        <f t="shared" si="80"/>
        <v>0.57511737089201875</v>
      </c>
      <c r="H326" s="171">
        <f t="shared" si="80"/>
        <v>0.47204301075268817</v>
      </c>
      <c r="I326" s="171">
        <f t="shared" si="80"/>
        <v>0.50701754385964914</v>
      </c>
      <c r="J326" s="171">
        <f t="shared" si="80"/>
        <v>0.52719665271966532</v>
      </c>
      <c r="K326" s="171">
        <f t="shared" si="80"/>
        <v>0.51611111111111108</v>
      </c>
      <c r="L326" s="171">
        <f t="shared" si="80"/>
        <v>0.5687352710133543</v>
      </c>
      <c r="M326" s="171">
        <f t="shared" si="80"/>
        <v>0.58578143360752055</v>
      </c>
      <c r="N326" s="171">
        <f t="shared" si="80"/>
        <v>0.50791027154663515</v>
      </c>
    </row>
    <row r="327" spans="1:18">
      <c r="B327" s="207" t="s">
        <v>357</v>
      </c>
      <c r="C327" s="171">
        <f t="shared" ref="C327:N327" si="81">C315/C$319</f>
        <v>0.15555555555555556</v>
      </c>
      <c r="D327" s="171">
        <f t="shared" si="81"/>
        <v>0.11970534069981584</v>
      </c>
      <c r="E327" s="171">
        <f t="shared" si="81"/>
        <v>0.17446043165467626</v>
      </c>
      <c r="F327" s="171">
        <f t="shared" si="81"/>
        <v>0.13406292749658003</v>
      </c>
      <c r="G327" s="171">
        <f t="shared" si="81"/>
        <v>0.15375586854460094</v>
      </c>
      <c r="H327" s="171">
        <f t="shared" si="81"/>
        <v>0.16129032258064516</v>
      </c>
      <c r="I327" s="171">
        <f t="shared" si="81"/>
        <v>0.11228070175438597</v>
      </c>
      <c r="J327" s="171">
        <f t="shared" si="81"/>
        <v>0.10340705319784818</v>
      </c>
      <c r="K327" s="171">
        <f t="shared" si="81"/>
        <v>0.13444444444444445</v>
      </c>
      <c r="L327" s="171">
        <f t="shared" si="81"/>
        <v>8.680282796543598E-2</v>
      </c>
      <c r="M327" s="171">
        <f t="shared" si="81"/>
        <v>8.7837837837837843E-2</v>
      </c>
      <c r="N327" s="171">
        <f t="shared" si="81"/>
        <v>8.4769775678866593E-2</v>
      </c>
    </row>
    <row r="328" spans="1:18">
      <c r="B328" t="s">
        <v>452</v>
      </c>
      <c r="C328" s="171">
        <f t="shared" ref="C328:N328" si="82">C316/C$319</f>
        <v>4.1025641025641026E-2</v>
      </c>
      <c r="D328" s="171">
        <f t="shared" si="82"/>
        <v>2.9465930018416207E-2</v>
      </c>
      <c r="E328" s="171">
        <f t="shared" si="82"/>
        <v>7.3741007194244604E-2</v>
      </c>
      <c r="F328" s="171">
        <f t="shared" si="82"/>
        <v>5.6087551299589603E-2</v>
      </c>
      <c r="G328" s="171">
        <f t="shared" si="82"/>
        <v>2.8169014084507043E-2</v>
      </c>
      <c r="H328" s="171">
        <f t="shared" si="82"/>
        <v>0.1086021505376344</v>
      </c>
      <c r="I328" s="171">
        <f t="shared" si="82"/>
        <v>0.1307017543859649</v>
      </c>
      <c r="J328" s="171">
        <f t="shared" si="82"/>
        <v>0.13986849970113568</v>
      </c>
      <c r="K328" s="171">
        <f t="shared" si="82"/>
        <v>0.10722222222222222</v>
      </c>
      <c r="L328" s="171">
        <f t="shared" si="82"/>
        <v>9.8586017282010996E-2</v>
      </c>
      <c r="M328" s="171">
        <f t="shared" si="82"/>
        <v>0.11809635722679201</v>
      </c>
      <c r="N328" s="171">
        <f t="shared" si="82"/>
        <v>0.17449822904368359</v>
      </c>
    </row>
    <row r="329" spans="1:18">
      <c r="B329" s="207" t="s">
        <v>359</v>
      </c>
      <c r="C329" s="171">
        <f t="shared" ref="C329:N329" si="83">C317/C$319</f>
        <v>0.34358974358974359</v>
      </c>
      <c r="D329" s="171">
        <f t="shared" si="83"/>
        <v>0.30386740331491713</v>
      </c>
      <c r="E329" s="171">
        <f t="shared" si="83"/>
        <v>0.17086330935251798</v>
      </c>
      <c r="F329" s="171">
        <f t="shared" si="83"/>
        <v>0.1491108071135431</v>
      </c>
      <c r="G329" s="171">
        <f t="shared" si="83"/>
        <v>0.16549295774647887</v>
      </c>
      <c r="H329" s="171">
        <f t="shared" si="83"/>
        <v>0.15698924731182795</v>
      </c>
      <c r="I329" s="171">
        <f t="shared" si="83"/>
        <v>0.16842105263157894</v>
      </c>
      <c r="J329" s="171">
        <f t="shared" si="83"/>
        <v>0.12731619844590555</v>
      </c>
      <c r="K329" s="171">
        <f t="shared" si="83"/>
        <v>0.13666666666666666</v>
      </c>
      <c r="L329" s="171">
        <f t="shared" si="83"/>
        <v>0.11351139041633936</v>
      </c>
      <c r="M329" s="171">
        <f t="shared" si="83"/>
        <v>0.1245593419506463</v>
      </c>
      <c r="N329" s="171">
        <f t="shared" si="83"/>
        <v>0.12420306965761511</v>
      </c>
    </row>
    <row r="330" spans="1:18">
      <c r="B330" t="s">
        <v>358</v>
      </c>
      <c r="C330" s="171">
        <f t="shared" ref="C330:N330" si="84">C318/C$319</f>
        <v>6.4957264957264962E-2</v>
      </c>
      <c r="D330" s="171">
        <f t="shared" si="84"/>
        <v>9.3922651933701654E-2</v>
      </c>
      <c r="E330" s="171">
        <f t="shared" si="84"/>
        <v>6.1151079136690649E-2</v>
      </c>
      <c r="F330" s="171">
        <f t="shared" si="84"/>
        <v>7.9343365253077974E-2</v>
      </c>
      <c r="G330" s="171">
        <f t="shared" si="84"/>
        <v>7.746478873239436E-2</v>
      </c>
      <c r="H330" s="171">
        <f t="shared" si="84"/>
        <v>0.1010752688172043</v>
      </c>
      <c r="I330" s="171">
        <f t="shared" si="84"/>
        <v>8.1578947368421056E-2</v>
      </c>
      <c r="J330" s="171">
        <f t="shared" si="84"/>
        <v>0.10221159593544531</v>
      </c>
      <c r="K330" s="171">
        <f t="shared" si="84"/>
        <v>0.10555555555555556</v>
      </c>
      <c r="L330" s="171">
        <f t="shared" si="84"/>
        <v>0.13236449332285938</v>
      </c>
      <c r="M330" s="171">
        <f t="shared" si="84"/>
        <v>8.3725029377203289E-2</v>
      </c>
      <c r="N330" s="171">
        <f t="shared" si="84"/>
        <v>0.10861865407319952</v>
      </c>
    </row>
    <row r="331" spans="1:18" ht="15" thickBot="1">
      <c r="B331" s="212" t="s">
        <v>11</v>
      </c>
      <c r="C331" s="213">
        <f t="shared" ref="C331:N331" si="85">C319/C$319</f>
        <v>1</v>
      </c>
      <c r="D331" s="213">
        <f t="shared" si="85"/>
        <v>1</v>
      </c>
      <c r="E331" s="213">
        <f t="shared" si="85"/>
        <v>1</v>
      </c>
      <c r="F331" s="213">
        <f t="shared" si="85"/>
        <v>1</v>
      </c>
      <c r="G331" s="213">
        <f t="shared" si="85"/>
        <v>1</v>
      </c>
      <c r="H331" s="213">
        <f t="shared" si="85"/>
        <v>1</v>
      </c>
      <c r="I331" s="213">
        <f t="shared" si="85"/>
        <v>1</v>
      </c>
      <c r="J331" s="213">
        <f t="shared" si="85"/>
        <v>1</v>
      </c>
      <c r="K331" s="213">
        <f t="shared" si="85"/>
        <v>1</v>
      </c>
      <c r="L331" s="213">
        <f t="shared" si="85"/>
        <v>1</v>
      </c>
      <c r="M331" s="213">
        <f t="shared" si="85"/>
        <v>1</v>
      </c>
      <c r="N331" s="213">
        <f t="shared" si="85"/>
        <v>1</v>
      </c>
    </row>
    <row r="333" spans="1:18" ht="21">
      <c r="A333" t="s">
        <v>220</v>
      </c>
      <c r="B333" s="216" t="s">
        <v>8</v>
      </c>
    </row>
    <row r="335" spans="1:18">
      <c r="B335" s="184" t="s">
        <v>147</v>
      </c>
      <c r="C335" s="184" t="s">
        <v>326</v>
      </c>
      <c r="D335" s="184" t="s">
        <v>327</v>
      </c>
      <c r="E335" s="184" t="s">
        <v>328</v>
      </c>
      <c r="F335" s="184" t="s">
        <v>329</v>
      </c>
      <c r="G335" s="184" t="s">
        <v>330</v>
      </c>
      <c r="H335" s="184" t="s">
        <v>331</v>
      </c>
      <c r="I335" s="184" t="s">
        <v>332</v>
      </c>
      <c r="J335" s="184" t="s">
        <v>333</v>
      </c>
      <c r="K335" s="184" t="s">
        <v>334</v>
      </c>
      <c r="L335" s="184" t="s">
        <v>335</v>
      </c>
      <c r="M335" s="184" t="s">
        <v>336</v>
      </c>
      <c r="N335" s="184" t="s">
        <v>337</v>
      </c>
      <c r="P335" s="185" t="s">
        <v>319</v>
      </c>
      <c r="Q335" s="185" t="s">
        <v>320</v>
      </c>
    </row>
    <row r="336" spans="1:18">
      <c r="B336" s="11" t="s">
        <v>36</v>
      </c>
      <c r="C336" s="192">
        <f t="shared" ref="C336:N336" si="86">C245</f>
        <v>1800</v>
      </c>
      <c r="D336" s="192">
        <f t="shared" si="86"/>
        <v>2115</v>
      </c>
      <c r="E336" s="192">
        <f t="shared" si="86"/>
        <v>2502</v>
      </c>
      <c r="F336" s="192">
        <f t="shared" si="86"/>
        <v>3394</v>
      </c>
      <c r="G336" s="192">
        <f t="shared" si="86"/>
        <v>3861</v>
      </c>
      <c r="H336" s="192">
        <f t="shared" si="86"/>
        <v>4004</v>
      </c>
      <c r="I336" s="192">
        <f t="shared" si="86"/>
        <v>5105</v>
      </c>
      <c r="J336" s="192">
        <f t="shared" si="86"/>
        <v>7130</v>
      </c>
      <c r="K336" s="192">
        <f t="shared" si="86"/>
        <v>6450</v>
      </c>
      <c r="L336" s="192">
        <f t="shared" si="86"/>
        <v>8823</v>
      </c>
      <c r="M336" s="192">
        <f t="shared" si="86"/>
        <v>13173</v>
      </c>
      <c r="N336" s="192">
        <f t="shared" si="86"/>
        <v>16043</v>
      </c>
    </row>
    <row r="337" spans="2:18">
      <c r="B337" s="189" t="s">
        <v>150</v>
      </c>
      <c r="C337" s="189"/>
      <c r="D337" s="246">
        <f>D336/C336-1</f>
        <v>0.17500000000000004</v>
      </c>
      <c r="E337" s="246">
        <f t="shared" ref="E337:N337" si="87">E336/D336-1</f>
        <v>0.18297872340425525</v>
      </c>
      <c r="F337" s="246">
        <f t="shared" si="87"/>
        <v>0.35651478816946436</v>
      </c>
      <c r="G337" s="246">
        <f>G336/F336-1</f>
        <v>0.13759575721862105</v>
      </c>
      <c r="H337" s="246">
        <f t="shared" si="87"/>
        <v>3.7037037037036979E-2</v>
      </c>
      <c r="I337" s="246">
        <f t="shared" si="87"/>
        <v>0.27497502497502491</v>
      </c>
      <c r="J337" s="246">
        <f t="shared" si="87"/>
        <v>0.39666993143976503</v>
      </c>
      <c r="K337" s="246">
        <f t="shared" si="87"/>
        <v>-9.5371669004207571E-2</v>
      </c>
      <c r="L337" s="246">
        <f t="shared" si="87"/>
        <v>0.36790697674418604</v>
      </c>
      <c r="M337" s="246">
        <f t="shared" si="87"/>
        <v>0.49302958177490641</v>
      </c>
      <c r="N337" s="246">
        <f t="shared" si="87"/>
        <v>0.21786988537159346</v>
      </c>
      <c r="O337" s="189"/>
      <c r="P337" s="247">
        <f>MEDIAN(D337:N337)</f>
        <v>0.21786988537159346</v>
      </c>
      <c r="Q337" s="247">
        <f>AVERAGE(D337:N337)</f>
        <v>0.23129145792096784</v>
      </c>
    </row>
    <row r="339" spans="2:18">
      <c r="B339" s="11" t="s">
        <v>233</v>
      </c>
      <c r="C339" s="11">
        <f>C314</f>
        <v>231</v>
      </c>
      <c r="D339" s="11">
        <f t="shared" ref="D339:N339" si="88">D314</f>
        <v>246</v>
      </c>
      <c r="E339" s="11">
        <f t="shared" si="88"/>
        <v>289</v>
      </c>
      <c r="F339" s="11">
        <f t="shared" si="88"/>
        <v>425</v>
      </c>
      <c r="G339" s="11">
        <f t="shared" si="88"/>
        <v>490</v>
      </c>
      <c r="H339" s="11">
        <f t="shared" si="88"/>
        <v>439</v>
      </c>
      <c r="I339" s="11">
        <f t="shared" si="88"/>
        <v>578</v>
      </c>
      <c r="J339" s="11">
        <f t="shared" si="88"/>
        <v>882</v>
      </c>
      <c r="K339" s="11">
        <f t="shared" si="88"/>
        <v>929</v>
      </c>
      <c r="L339" s="11">
        <f t="shared" si="88"/>
        <v>1448</v>
      </c>
      <c r="M339" s="11">
        <f t="shared" si="88"/>
        <v>1994</v>
      </c>
      <c r="N339" s="11">
        <f t="shared" si="88"/>
        <v>2151</v>
      </c>
    </row>
    <row r="340" spans="2:18">
      <c r="B340" s="189" t="s">
        <v>361</v>
      </c>
      <c r="C340" s="189"/>
      <c r="D340" s="246">
        <f>D339/C339-1</f>
        <v>6.4935064935064846E-2</v>
      </c>
      <c r="E340" s="246">
        <f t="shared" ref="E340:N340" si="89">E339/D339-1</f>
        <v>0.17479674796747968</v>
      </c>
      <c r="F340" s="246">
        <f t="shared" si="89"/>
        <v>0.47058823529411775</v>
      </c>
      <c r="G340" s="246">
        <f>G339/F339-1</f>
        <v>0.15294117647058814</v>
      </c>
      <c r="H340" s="246">
        <f t="shared" si="89"/>
        <v>-0.10408163265306125</v>
      </c>
      <c r="I340" s="246">
        <f t="shared" si="89"/>
        <v>0.31662870159453305</v>
      </c>
      <c r="J340" s="246">
        <f t="shared" si="89"/>
        <v>0.52595155709342567</v>
      </c>
      <c r="K340" s="246">
        <f t="shared" si="89"/>
        <v>5.3287981859410527E-2</v>
      </c>
      <c r="L340" s="246">
        <f t="shared" si="89"/>
        <v>0.55866523143164692</v>
      </c>
      <c r="M340" s="246">
        <f t="shared" si="89"/>
        <v>0.3770718232044199</v>
      </c>
      <c r="N340" s="246">
        <f t="shared" si="89"/>
        <v>7.8736208625877602E-2</v>
      </c>
      <c r="O340" s="189"/>
      <c r="P340" s="247">
        <f>MEDIAN(D340:N340)</f>
        <v>0.17479674796747968</v>
      </c>
      <c r="Q340" s="247">
        <f>AVERAGE(D340:N340)</f>
        <v>0.24268373598395476</v>
      </c>
    </row>
    <row r="342" spans="2:18">
      <c r="B342" s="11" t="s">
        <v>362</v>
      </c>
      <c r="D342" s="214">
        <f>AVERAGE(C339:D339)</f>
        <v>238.5</v>
      </c>
      <c r="E342" s="214">
        <f t="shared" ref="E342:N342" si="90">AVERAGE(D339:E339)</f>
        <v>267.5</v>
      </c>
      <c r="F342" s="214">
        <f t="shared" si="90"/>
        <v>357</v>
      </c>
      <c r="G342" s="214">
        <f>AVERAGE(F339:G339)</f>
        <v>457.5</v>
      </c>
      <c r="H342" s="214">
        <f t="shared" si="90"/>
        <v>464.5</v>
      </c>
      <c r="I342" s="214">
        <f t="shared" si="90"/>
        <v>508.5</v>
      </c>
      <c r="J342" s="214">
        <f t="shared" si="90"/>
        <v>730</v>
      </c>
      <c r="K342" s="214">
        <f t="shared" si="90"/>
        <v>905.5</v>
      </c>
      <c r="L342" s="214">
        <f t="shared" si="90"/>
        <v>1188.5</v>
      </c>
      <c r="M342" s="214">
        <f t="shared" si="90"/>
        <v>1721</v>
      </c>
      <c r="N342" s="214">
        <f t="shared" si="90"/>
        <v>2072.5</v>
      </c>
    </row>
    <row r="344" spans="2:18">
      <c r="B344" s="11" t="s">
        <v>363</v>
      </c>
      <c r="D344" s="37">
        <f>D342/D336</f>
        <v>0.11276595744680851</v>
      </c>
      <c r="E344" s="37">
        <f t="shared" ref="E344:N344" si="91">E342/E336</f>
        <v>0.1069144684252598</v>
      </c>
      <c r="F344" s="37">
        <f t="shared" si="91"/>
        <v>0.10518562168532705</v>
      </c>
      <c r="G344" s="37">
        <f t="shared" si="91"/>
        <v>0.1184926184926185</v>
      </c>
      <c r="H344" s="37">
        <f t="shared" si="91"/>
        <v>0.11600899100899101</v>
      </c>
      <c r="I344" s="37">
        <f t="shared" si="91"/>
        <v>9.9608227228207641E-2</v>
      </c>
      <c r="J344" s="37">
        <f t="shared" si="91"/>
        <v>0.10238429172510519</v>
      </c>
      <c r="K344" s="37">
        <f t="shared" si="91"/>
        <v>0.14038759689922481</v>
      </c>
      <c r="L344" s="37">
        <f t="shared" si="91"/>
        <v>0.13470474895160375</v>
      </c>
      <c r="M344" s="37">
        <f t="shared" si="91"/>
        <v>0.13064601837091019</v>
      </c>
      <c r="N344" s="37">
        <f t="shared" si="91"/>
        <v>0.12918406781773983</v>
      </c>
      <c r="P344" s="60">
        <f>MEDIAN(D344:N344)</f>
        <v>0.11600899100899101</v>
      </c>
      <c r="Q344" s="60">
        <f>AVERAGE(D344:N344)</f>
        <v>0.11784387345925419</v>
      </c>
    </row>
    <row r="346" spans="2:18">
      <c r="B346" s="11" t="s">
        <v>46</v>
      </c>
      <c r="C346" s="11">
        <v>1028</v>
      </c>
      <c r="D346" s="11">
        <v>1199</v>
      </c>
      <c r="E346" s="11">
        <v>1376</v>
      </c>
      <c r="F346" s="11">
        <v>1716</v>
      </c>
      <c r="G346" s="11">
        <v>1738</v>
      </c>
      <c r="H346" s="11">
        <v>1810</v>
      </c>
      <c r="I346" s="11">
        <v>2244</v>
      </c>
      <c r="J346" s="11">
        <v>3219</v>
      </c>
      <c r="K346" s="11">
        <v>2764</v>
      </c>
      <c r="L346" s="11">
        <v>4035</v>
      </c>
      <c r="M346" s="11">
        <v>6261</v>
      </c>
      <c r="N346" s="11">
        <v>7405</v>
      </c>
    </row>
    <row r="348" spans="2:18">
      <c r="B348" t="s">
        <v>364</v>
      </c>
      <c r="C348" s="215"/>
      <c r="D348" s="215">
        <f>D346/D342</f>
        <v>5.0272536687631026</v>
      </c>
      <c r="E348" s="215">
        <f t="shared" ref="E348:N348" si="92">E346/E342</f>
        <v>5.1439252336448602</v>
      </c>
      <c r="F348" s="215">
        <f t="shared" si="92"/>
        <v>4.8067226890756301</v>
      </c>
      <c r="G348" s="215">
        <f t="shared" si="92"/>
        <v>3.7989071038251367</v>
      </c>
      <c r="H348" s="215">
        <f t="shared" si="92"/>
        <v>3.8966630785791172</v>
      </c>
      <c r="I348" s="215">
        <f t="shared" si="92"/>
        <v>4.4129793510324484</v>
      </c>
      <c r="J348" s="215">
        <f t="shared" si="92"/>
        <v>4.4095890410958907</v>
      </c>
      <c r="K348" s="215">
        <f t="shared" si="92"/>
        <v>3.052457205963556</v>
      </c>
      <c r="L348" s="215">
        <f t="shared" si="92"/>
        <v>3.3950357593605385</v>
      </c>
      <c r="M348" s="215">
        <f t="shared" si="92"/>
        <v>3.6380011621150494</v>
      </c>
      <c r="N348" s="215">
        <f t="shared" si="92"/>
        <v>3.5729794933655006</v>
      </c>
      <c r="P348" s="215">
        <f>MEDIAN(D348:N348)</f>
        <v>3.8966630785791172</v>
      </c>
      <c r="Q348" s="215">
        <f>AVERAGE(D348:N348)</f>
        <v>4.1049557988018943</v>
      </c>
    </row>
    <row r="349" spans="2:18">
      <c r="B349" t="s">
        <v>365</v>
      </c>
      <c r="C349" s="215"/>
      <c r="D349" s="215">
        <f>D336/D342</f>
        <v>8.8679245283018862</v>
      </c>
      <c r="E349" s="215">
        <f t="shared" ref="E349:N349" si="93">E336/E342</f>
        <v>9.3532710280373834</v>
      </c>
      <c r="F349" s="215">
        <f t="shared" si="93"/>
        <v>9.5070028011204482</v>
      </c>
      <c r="G349" s="215">
        <f t="shared" si="93"/>
        <v>8.4393442622950818</v>
      </c>
      <c r="H349" s="215">
        <f t="shared" si="93"/>
        <v>8.6200215285252959</v>
      </c>
      <c r="I349" s="215">
        <f t="shared" si="93"/>
        <v>10.039331366764996</v>
      </c>
      <c r="J349" s="215">
        <f t="shared" si="93"/>
        <v>9.7671232876712324</v>
      </c>
      <c r="K349" s="215">
        <f t="shared" si="93"/>
        <v>7.1231363887355048</v>
      </c>
      <c r="L349" s="215">
        <f t="shared" si="93"/>
        <v>7.4236432477913334</v>
      </c>
      <c r="M349" s="215">
        <f t="shared" si="93"/>
        <v>7.654270772806508</v>
      </c>
      <c r="N349" s="215">
        <f t="shared" si="93"/>
        <v>7.740892641737033</v>
      </c>
      <c r="P349" s="215">
        <f>MEDIAN(D349:N349)</f>
        <v>8.6200215285252959</v>
      </c>
      <c r="Q349" s="215">
        <f>AVERAGE(D349:N349)</f>
        <v>8.5941783503442473</v>
      </c>
      <c r="R349" s="215">
        <f>AVERAGE(J349:O349)</f>
        <v>7.9418132677483211</v>
      </c>
    </row>
    <row r="351" spans="2:18">
      <c r="B351" t="s">
        <v>366</v>
      </c>
      <c r="C351" s="85"/>
      <c r="D351" s="85">
        <f>$B$353/D348</f>
        <v>72.604253544620519</v>
      </c>
      <c r="E351" s="85">
        <f t="shared" ref="E351:N352" si="94">$B$353/E348</f>
        <v>70.957485465116278</v>
      </c>
      <c r="F351" s="85">
        <f t="shared" si="94"/>
        <v>75.935314685314694</v>
      </c>
      <c r="G351" s="85">
        <f t="shared" si="94"/>
        <v>96.080264672036819</v>
      </c>
      <c r="H351" s="85">
        <f t="shared" si="94"/>
        <v>93.66988950276243</v>
      </c>
      <c r="I351" s="85">
        <f t="shared" si="94"/>
        <v>82.710561497326196</v>
      </c>
      <c r="J351" s="85">
        <f t="shared" si="94"/>
        <v>82.774153463808631</v>
      </c>
      <c r="K351" s="85">
        <f t="shared" si="94"/>
        <v>119.5757959479016</v>
      </c>
      <c r="L351" s="85">
        <f t="shared" si="94"/>
        <v>107.50991325898389</v>
      </c>
      <c r="M351" s="85">
        <f t="shared" si="94"/>
        <v>100.32981951764894</v>
      </c>
      <c r="N351" s="85">
        <f t="shared" si="94"/>
        <v>102.15563808237677</v>
      </c>
      <c r="P351" s="85">
        <f>MEDIAN(D351:N351)</f>
        <v>93.66988950276243</v>
      </c>
      <c r="Q351" s="85">
        <f>AVERAGE(D351:N351)</f>
        <v>91.300280876172437</v>
      </c>
    </row>
    <row r="352" spans="2:18">
      <c r="B352" t="s">
        <v>367</v>
      </c>
      <c r="C352" s="85"/>
      <c r="D352" s="85">
        <f>$B$353/D349</f>
        <v>41.159574468085111</v>
      </c>
      <c r="E352" s="85">
        <f t="shared" si="94"/>
        <v>39.023780975219822</v>
      </c>
      <c r="F352" s="85">
        <f t="shared" si="94"/>
        <v>38.392751915144373</v>
      </c>
      <c r="G352" s="85">
        <f t="shared" si="94"/>
        <v>43.249805749805752</v>
      </c>
      <c r="H352" s="85">
        <f t="shared" si="94"/>
        <v>42.343281718281716</v>
      </c>
      <c r="I352" s="85">
        <f t="shared" si="94"/>
        <v>36.357002938295786</v>
      </c>
      <c r="J352" s="85">
        <f t="shared" si="94"/>
        <v>37.370266479663393</v>
      </c>
      <c r="K352" s="85">
        <f t="shared" si="94"/>
        <v>51.241472868217059</v>
      </c>
      <c r="L352" s="85">
        <f t="shared" si="94"/>
        <v>49.167233367335378</v>
      </c>
      <c r="M352" s="85">
        <f t="shared" si="94"/>
        <v>47.685796705382224</v>
      </c>
      <c r="N352" s="85">
        <f t="shared" si="94"/>
        <v>47.152184753475034</v>
      </c>
      <c r="P352" s="85">
        <f>MEDIAN(D352:N352)</f>
        <v>42.343281718281716</v>
      </c>
      <c r="Q352" s="85">
        <f>AVERAGE(D352:N352)</f>
        <v>43.013013812627783</v>
      </c>
      <c r="R352" s="85">
        <f>AVERAGE(J352:O352)</f>
        <v>46.523390834814613</v>
      </c>
    </row>
    <row r="353" spans="2:6">
      <c r="B353" s="206">
        <v>365</v>
      </c>
    </row>
    <row r="355" spans="2:6">
      <c r="B355" s="184" t="s">
        <v>438</v>
      </c>
    </row>
    <row r="357" spans="2:6">
      <c r="B357" t="s">
        <v>439</v>
      </c>
    </row>
    <row r="359" spans="2:6">
      <c r="B359" s="184" t="s">
        <v>426</v>
      </c>
      <c r="D359" s="175"/>
      <c r="E359" s="175"/>
    </row>
    <row r="360" spans="2:6">
      <c r="D360" s="175"/>
      <c r="E360" s="175"/>
    </row>
    <row r="361" spans="2:6">
      <c r="B361" s="561" t="s">
        <v>440</v>
      </c>
      <c r="C361" s="561"/>
      <c r="D361" s="561"/>
      <c r="E361" s="561"/>
    </row>
    <row r="362" spans="2:6">
      <c r="B362" s="173" t="s">
        <v>300</v>
      </c>
      <c r="C362" s="172" t="s">
        <v>441</v>
      </c>
      <c r="D362" s="172" t="s">
        <v>292</v>
      </c>
      <c r="E362" s="172" t="s">
        <v>293</v>
      </c>
      <c r="F362" s="172" t="s">
        <v>294</v>
      </c>
    </row>
    <row r="363" spans="2:6">
      <c r="B363" s="548" t="s">
        <v>979</v>
      </c>
      <c r="C363" s="250">
        <v>102</v>
      </c>
      <c r="D363" s="250">
        <v>94</v>
      </c>
      <c r="E363" s="85">
        <v>101</v>
      </c>
      <c r="F363" s="85">
        <v>101</v>
      </c>
    </row>
    <row r="364" spans="2:6">
      <c r="B364" s="548" t="s">
        <v>980</v>
      </c>
      <c r="C364" s="250">
        <v>49</v>
      </c>
      <c r="D364" s="250">
        <v>49</v>
      </c>
      <c r="E364" s="85">
        <v>49</v>
      </c>
      <c r="F364" s="85">
        <v>49</v>
      </c>
    </row>
    <row r="365" spans="2:6">
      <c r="B365" s="548" t="s">
        <v>981</v>
      </c>
      <c r="C365" s="251">
        <v>50.2</v>
      </c>
      <c r="D365" s="251">
        <v>50.2</v>
      </c>
      <c r="E365" s="251">
        <v>50.2</v>
      </c>
      <c r="F365" s="251">
        <v>50.2</v>
      </c>
    </row>
    <row r="366" spans="2:6">
      <c r="B366" s="11"/>
      <c r="C366" s="253"/>
      <c r="D366" s="253"/>
      <c r="E366" s="253"/>
      <c r="F366" s="253"/>
    </row>
    <row r="367" spans="2:6">
      <c r="B367" s="184" t="s">
        <v>431</v>
      </c>
    </row>
    <row r="369" spans="2:2" ht="15.6">
      <c r="B369" s="254" t="s">
        <v>449</v>
      </c>
    </row>
    <row r="377" spans="2:2" ht="15.6">
      <c r="B377" s="254" t="s">
        <v>448</v>
      </c>
    </row>
    <row r="400" spans="1:2" ht="21">
      <c r="A400" t="s">
        <v>220</v>
      </c>
      <c r="B400" s="216" t="s">
        <v>9</v>
      </c>
    </row>
    <row r="402" spans="2:17">
      <c r="B402" s="184" t="s">
        <v>147</v>
      </c>
      <c r="C402" s="184" t="s">
        <v>326</v>
      </c>
      <c r="D402" s="184" t="s">
        <v>327</v>
      </c>
      <c r="E402" s="184" t="s">
        <v>328</v>
      </c>
      <c r="F402" s="184" t="s">
        <v>329</v>
      </c>
      <c r="G402" s="184" t="s">
        <v>330</v>
      </c>
      <c r="H402" s="184" t="s">
        <v>331</v>
      </c>
      <c r="I402" s="184" t="s">
        <v>332</v>
      </c>
      <c r="J402" s="184" t="s">
        <v>333</v>
      </c>
      <c r="K402" s="184" t="s">
        <v>334</v>
      </c>
      <c r="L402" s="184" t="s">
        <v>335</v>
      </c>
      <c r="M402" s="184" t="s">
        <v>336</v>
      </c>
      <c r="N402" s="184" t="s">
        <v>337</v>
      </c>
      <c r="P402" s="185" t="s">
        <v>319</v>
      </c>
      <c r="Q402" s="185" t="s">
        <v>320</v>
      </c>
    </row>
    <row r="403" spans="2:17">
      <c r="B403" s="11" t="s">
        <v>36</v>
      </c>
      <c r="C403" s="192">
        <f t="shared" ref="C403:N403" si="95">C245</f>
        <v>1800</v>
      </c>
      <c r="D403" s="192">
        <f t="shared" si="95"/>
        <v>2115</v>
      </c>
      <c r="E403" s="192">
        <f t="shared" si="95"/>
        <v>2502</v>
      </c>
      <c r="F403" s="192">
        <f t="shared" si="95"/>
        <v>3394</v>
      </c>
      <c r="G403" s="192">
        <f t="shared" si="95"/>
        <v>3861</v>
      </c>
      <c r="H403" s="192">
        <f t="shared" si="95"/>
        <v>4004</v>
      </c>
      <c r="I403" s="192">
        <f t="shared" si="95"/>
        <v>5105</v>
      </c>
      <c r="J403" s="192">
        <f t="shared" si="95"/>
        <v>7130</v>
      </c>
      <c r="K403" s="192">
        <f t="shared" si="95"/>
        <v>6450</v>
      </c>
      <c r="L403" s="192">
        <f t="shared" si="95"/>
        <v>8823</v>
      </c>
      <c r="M403" s="192">
        <f t="shared" si="95"/>
        <v>13173</v>
      </c>
      <c r="N403" s="192">
        <f t="shared" si="95"/>
        <v>16043</v>
      </c>
    </row>
    <row r="404" spans="2:17">
      <c r="B404" s="189" t="s">
        <v>150</v>
      </c>
      <c r="D404" s="246">
        <f>D403/C403-1</f>
        <v>0.17500000000000004</v>
      </c>
      <c r="E404" s="246">
        <f t="shared" ref="E404" si="96">E403/D403-1</f>
        <v>0.18297872340425525</v>
      </c>
      <c r="F404" s="246">
        <f t="shared" ref="F404" si="97">F403/E403-1</f>
        <v>0.35651478816946436</v>
      </c>
      <c r="G404" s="246">
        <f>G403/F403-1</f>
        <v>0.13759575721862105</v>
      </c>
      <c r="H404" s="246">
        <f t="shared" ref="H404" si="98">H403/G403-1</f>
        <v>3.7037037037036979E-2</v>
      </c>
      <c r="I404" s="246">
        <f t="shared" ref="I404" si="99">I403/H403-1</f>
        <v>0.27497502497502491</v>
      </c>
      <c r="J404" s="246">
        <f t="shared" ref="J404" si="100">J403/I403-1</f>
        <v>0.39666993143976503</v>
      </c>
      <c r="K404" s="246">
        <f t="shared" ref="K404" si="101">K403/J403-1</f>
        <v>-9.5371669004207571E-2</v>
      </c>
      <c r="L404" s="246">
        <f t="shared" ref="L404" si="102">L403/K403-1</f>
        <v>0.36790697674418604</v>
      </c>
      <c r="M404" s="246">
        <f t="shared" ref="M404" si="103">M403/L403-1</f>
        <v>0.49302958177490641</v>
      </c>
      <c r="N404" s="246">
        <f t="shared" ref="N404" si="104">N403/M403-1</f>
        <v>0.21786988537159346</v>
      </c>
      <c r="O404" s="189"/>
      <c r="P404" s="247">
        <f>MEDIAN(D404:N404)</f>
        <v>0.21786988537159346</v>
      </c>
      <c r="Q404" s="247">
        <f>AVERAGE(D404:N404)</f>
        <v>0.23129145792096784</v>
      </c>
    </row>
    <row r="406" spans="2:17">
      <c r="B406" s="11" t="s">
        <v>368</v>
      </c>
      <c r="C406" s="11">
        <f t="shared" ref="C406:N406" si="105">C315</f>
        <v>91</v>
      </c>
      <c r="D406" s="11">
        <f t="shared" si="105"/>
        <v>65</v>
      </c>
      <c r="E406" s="11">
        <f t="shared" si="105"/>
        <v>97</v>
      </c>
      <c r="F406" s="11">
        <f t="shared" si="105"/>
        <v>98</v>
      </c>
      <c r="G406" s="11">
        <f t="shared" si="105"/>
        <v>131</v>
      </c>
      <c r="H406" s="11">
        <f t="shared" si="105"/>
        <v>150</v>
      </c>
      <c r="I406" s="11">
        <f t="shared" si="105"/>
        <v>128</v>
      </c>
      <c r="J406" s="11">
        <f t="shared" si="105"/>
        <v>173</v>
      </c>
      <c r="K406" s="11">
        <f t="shared" si="105"/>
        <v>242</v>
      </c>
      <c r="L406" s="11">
        <f t="shared" si="105"/>
        <v>221</v>
      </c>
      <c r="M406" s="11">
        <f t="shared" si="105"/>
        <v>299</v>
      </c>
      <c r="N406" s="11">
        <f t="shared" si="105"/>
        <v>359</v>
      </c>
    </row>
    <row r="407" spans="2:17">
      <c r="B407" s="189" t="s">
        <v>369</v>
      </c>
      <c r="D407" s="246">
        <f>D406/C406-1</f>
        <v>-0.2857142857142857</v>
      </c>
      <c r="E407" s="246">
        <f t="shared" ref="E407" si="106">E406/D406-1</f>
        <v>0.49230769230769234</v>
      </c>
      <c r="F407" s="246">
        <f t="shared" ref="F407" si="107">F406/E406-1</f>
        <v>1.0309278350515427E-2</v>
      </c>
      <c r="G407" s="246">
        <f>G406/F406-1</f>
        <v>0.33673469387755106</v>
      </c>
      <c r="H407" s="246">
        <f t="shared" ref="H407" si="108">H406/G406-1</f>
        <v>0.14503816793893121</v>
      </c>
      <c r="I407" s="246">
        <f t="shared" ref="I407" si="109">I406/H406-1</f>
        <v>-0.14666666666666661</v>
      </c>
      <c r="J407" s="246">
        <f t="shared" ref="J407" si="110">J406/I406-1</f>
        <v>0.3515625</v>
      </c>
      <c r="K407" s="246">
        <f t="shared" ref="K407" si="111">K406/J406-1</f>
        <v>0.39884393063583823</v>
      </c>
      <c r="L407" s="246">
        <f t="shared" ref="L407" si="112">L406/K406-1</f>
        <v>-8.6776859504132275E-2</v>
      </c>
      <c r="M407" s="246">
        <f t="shared" ref="M407" si="113">M406/L406-1</f>
        <v>0.35294117647058831</v>
      </c>
      <c r="N407" s="246">
        <f t="shared" ref="N407" si="114">N406/M406-1</f>
        <v>0.20066889632107032</v>
      </c>
      <c r="O407" s="189"/>
      <c r="P407" s="247">
        <f>MEDIAN(D407:N407)</f>
        <v>0.20066889632107032</v>
      </c>
      <c r="Q407" s="247">
        <f>AVERAGE(D407:N407)</f>
        <v>0.16084077491064566</v>
      </c>
    </row>
    <row r="409" spans="2:17">
      <c r="B409" s="11" t="s">
        <v>370</v>
      </c>
      <c r="D409" s="214">
        <f>AVERAGE(C406:D406)</f>
        <v>78</v>
      </c>
      <c r="E409" s="214">
        <f t="shared" ref="E409:N409" si="115">AVERAGE(D406:E406)</f>
        <v>81</v>
      </c>
      <c r="F409" s="214">
        <f t="shared" si="115"/>
        <v>97.5</v>
      </c>
      <c r="G409" s="214">
        <f>AVERAGE(F406:G406)</f>
        <v>114.5</v>
      </c>
      <c r="H409" s="214">
        <f t="shared" si="115"/>
        <v>140.5</v>
      </c>
      <c r="I409" s="214">
        <f t="shared" si="115"/>
        <v>139</v>
      </c>
      <c r="J409" s="214">
        <f t="shared" si="115"/>
        <v>150.5</v>
      </c>
      <c r="K409" s="214">
        <f t="shared" si="115"/>
        <v>207.5</v>
      </c>
      <c r="L409" s="214">
        <f t="shared" si="115"/>
        <v>231.5</v>
      </c>
      <c r="M409" s="214">
        <f t="shared" si="115"/>
        <v>260</v>
      </c>
      <c r="N409" s="214">
        <f t="shared" si="115"/>
        <v>329</v>
      </c>
    </row>
    <row r="411" spans="2:17">
      <c r="B411" s="11" t="s">
        <v>371</v>
      </c>
      <c r="D411" s="37">
        <f>D409/D403</f>
        <v>3.6879432624113473E-2</v>
      </c>
      <c r="E411" s="37">
        <f t="shared" ref="E411:N411" si="116">E409/E403</f>
        <v>3.237410071942446E-2</v>
      </c>
      <c r="F411" s="37">
        <f t="shared" si="116"/>
        <v>2.8727165586328814E-2</v>
      </c>
      <c r="G411" s="37">
        <f t="shared" si="116"/>
        <v>2.9655529655529655E-2</v>
      </c>
      <c r="H411" s="37">
        <f t="shared" si="116"/>
        <v>3.5089910089910088E-2</v>
      </c>
      <c r="I411" s="37">
        <f t="shared" si="116"/>
        <v>2.7228207639569051E-2</v>
      </c>
      <c r="J411" s="37">
        <f t="shared" si="116"/>
        <v>2.1107994389901824E-2</v>
      </c>
      <c r="K411" s="37">
        <f t="shared" si="116"/>
        <v>3.2170542635658918E-2</v>
      </c>
      <c r="L411" s="37">
        <f t="shared" si="116"/>
        <v>2.6238240961124336E-2</v>
      </c>
      <c r="M411" s="37">
        <f t="shared" si="116"/>
        <v>1.9737341531921353E-2</v>
      </c>
      <c r="N411" s="37">
        <f t="shared" si="116"/>
        <v>2.0507386399052547E-2</v>
      </c>
      <c r="P411" s="60">
        <f>MEDIAN(D411:N411)</f>
        <v>2.8727165586328814E-2</v>
      </c>
      <c r="Q411" s="60">
        <f>AVERAGE(D411:N411)</f>
        <v>2.815598656659404E-2</v>
      </c>
    </row>
    <row r="413" spans="2:17">
      <c r="B413" t="s">
        <v>372</v>
      </c>
      <c r="C413" s="215"/>
      <c r="D413" s="215">
        <f>D403/D409</f>
        <v>27.115384615384617</v>
      </c>
      <c r="E413" s="215">
        <f t="shared" ref="E413:N413" si="117">E403/E409</f>
        <v>30.888888888888889</v>
      </c>
      <c r="F413" s="215">
        <f t="shared" si="117"/>
        <v>34.810256410256407</v>
      </c>
      <c r="G413" s="215">
        <f t="shared" si="117"/>
        <v>33.720524017467248</v>
      </c>
      <c r="H413" s="215">
        <f t="shared" si="117"/>
        <v>28.498220640569397</v>
      </c>
      <c r="I413" s="215">
        <f t="shared" si="117"/>
        <v>36.726618705035975</v>
      </c>
      <c r="J413" s="215">
        <f t="shared" si="117"/>
        <v>47.375415282392026</v>
      </c>
      <c r="K413" s="215">
        <f t="shared" si="117"/>
        <v>31.08433734939759</v>
      </c>
      <c r="L413" s="215">
        <f t="shared" si="117"/>
        <v>38.112311015118792</v>
      </c>
      <c r="M413" s="215">
        <f t="shared" si="117"/>
        <v>50.665384615384617</v>
      </c>
      <c r="N413" s="215">
        <f t="shared" si="117"/>
        <v>48.762917933130701</v>
      </c>
      <c r="P413" s="215">
        <f>MEDIAN(D413:N413)</f>
        <v>34.810256410256407</v>
      </c>
      <c r="Q413" s="215">
        <f>AVERAGE(D413:N413)</f>
        <v>37.069114497547844</v>
      </c>
    </row>
    <row r="415" spans="2:17">
      <c r="B415" t="s">
        <v>373</v>
      </c>
      <c r="C415" s="85"/>
      <c r="D415" s="85">
        <f>$B$416/D413</f>
        <v>13.460992907801417</v>
      </c>
      <c r="E415" s="85">
        <f t="shared" ref="E415:N415" si="118">$B$416/E413</f>
        <v>11.816546762589928</v>
      </c>
      <c r="F415" s="85">
        <f t="shared" si="118"/>
        <v>10.485415439010019</v>
      </c>
      <c r="G415" s="85">
        <f t="shared" si="118"/>
        <v>10.824268324268324</v>
      </c>
      <c r="H415" s="85">
        <f t="shared" si="118"/>
        <v>12.807817182817182</v>
      </c>
      <c r="I415" s="85">
        <f t="shared" si="118"/>
        <v>9.9382957884427015</v>
      </c>
      <c r="J415" s="85">
        <f t="shared" si="118"/>
        <v>7.7044179523141656</v>
      </c>
      <c r="K415" s="85">
        <f t="shared" si="118"/>
        <v>11.742248062015504</v>
      </c>
      <c r="L415" s="85">
        <f t="shared" si="118"/>
        <v>9.5769579508103817</v>
      </c>
      <c r="M415" s="85">
        <f t="shared" si="118"/>
        <v>7.2041296591512944</v>
      </c>
      <c r="N415" s="85">
        <f t="shared" si="118"/>
        <v>7.4851960356541793</v>
      </c>
      <c r="P415" s="85">
        <f>MEDIAN(D415:N415)</f>
        <v>10.485415439010019</v>
      </c>
      <c r="Q415" s="85">
        <f>AVERAGE(D415:N415)</f>
        <v>10.276935096806826</v>
      </c>
    </row>
    <row r="416" spans="2:17">
      <c r="B416" s="206">
        <v>365</v>
      </c>
    </row>
    <row r="418" spans="2:6">
      <c r="B418" s="184" t="s">
        <v>443</v>
      </c>
    </row>
    <row r="420" spans="2:6">
      <c r="B420" t="s">
        <v>439</v>
      </c>
    </row>
    <row r="422" spans="2:6">
      <c r="B422" s="184" t="s">
        <v>426</v>
      </c>
      <c r="D422" s="175"/>
      <c r="E422" s="175"/>
    </row>
    <row r="423" spans="2:6">
      <c r="D423" s="175"/>
      <c r="E423" s="175"/>
    </row>
    <row r="424" spans="2:6">
      <c r="B424" s="561" t="s">
        <v>442</v>
      </c>
      <c r="C424" s="561"/>
      <c r="D424" s="561"/>
      <c r="E424" s="561"/>
    </row>
    <row r="425" spans="2:6">
      <c r="B425" s="173" t="s">
        <v>300</v>
      </c>
      <c r="C425" s="172" t="s">
        <v>441</v>
      </c>
      <c r="D425" s="172" t="s">
        <v>292</v>
      </c>
      <c r="E425" s="172" t="s">
        <v>293</v>
      </c>
      <c r="F425" s="172" t="s">
        <v>294</v>
      </c>
    </row>
    <row r="426" spans="2:6">
      <c r="B426" s="548" t="s">
        <v>989</v>
      </c>
      <c r="C426" s="250">
        <v>7</v>
      </c>
      <c r="D426" s="250">
        <v>9</v>
      </c>
      <c r="E426">
        <v>10</v>
      </c>
      <c r="F426">
        <v>10</v>
      </c>
    </row>
    <row r="427" spans="2:6">
      <c r="B427" s="548" t="s">
        <v>990</v>
      </c>
      <c r="C427" s="250">
        <v>8</v>
      </c>
      <c r="D427" s="250">
        <v>8</v>
      </c>
      <c r="E427" s="250">
        <v>8</v>
      </c>
      <c r="F427" s="250">
        <v>8</v>
      </c>
    </row>
    <row r="428" spans="2:6">
      <c r="B428" s="548" t="s">
        <v>991</v>
      </c>
      <c r="C428" s="250">
        <v>8.4</v>
      </c>
      <c r="D428" s="250">
        <v>10</v>
      </c>
      <c r="E428" s="250">
        <v>10</v>
      </c>
      <c r="F428" s="250">
        <v>10</v>
      </c>
    </row>
    <row r="430" spans="2:6">
      <c r="B430" s="11"/>
      <c r="C430" s="214"/>
      <c r="D430" s="214"/>
      <c r="E430" s="214"/>
      <c r="F430" s="214"/>
    </row>
    <row r="431" spans="2:6">
      <c r="B431" s="11"/>
      <c r="C431" s="214"/>
      <c r="D431" s="214"/>
      <c r="E431" s="214"/>
      <c r="F431" s="214"/>
    </row>
    <row r="432" spans="2:6">
      <c r="B432" s="11"/>
      <c r="C432" s="214"/>
      <c r="D432" s="214"/>
      <c r="E432" s="214"/>
      <c r="F432" s="214"/>
    </row>
    <row r="433" spans="1:6">
      <c r="B433" s="11"/>
      <c r="C433" s="214"/>
      <c r="D433" s="214"/>
      <c r="E433" s="214"/>
      <c r="F433" s="214"/>
    </row>
    <row r="434" spans="1:6">
      <c r="B434" s="11"/>
      <c r="C434" s="214"/>
      <c r="D434" s="214"/>
      <c r="E434" s="214"/>
      <c r="F434" s="214"/>
    </row>
    <row r="435" spans="1:6">
      <c r="B435" s="11"/>
      <c r="C435" s="214"/>
      <c r="D435" s="214"/>
      <c r="E435" s="214"/>
      <c r="F435" s="214"/>
    </row>
    <row r="436" spans="1:6">
      <c r="B436" s="11"/>
      <c r="C436" s="214"/>
      <c r="D436" s="214"/>
      <c r="E436" s="214"/>
      <c r="F436" s="214"/>
    </row>
    <row r="437" spans="1:6">
      <c r="B437" s="11"/>
      <c r="C437" s="214"/>
      <c r="D437" s="214"/>
      <c r="E437" s="214"/>
      <c r="F437" s="214"/>
    </row>
    <row r="438" spans="1:6">
      <c r="B438" s="11"/>
      <c r="C438" s="214"/>
      <c r="D438" s="214"/>
      <c r="E438" s="214"/>
      <c r="F438" s="214"/>
    </row>
    <row r="439" spans="1:6">
      <c r="B439" s="11"/>
      <c r="C439" s="214"/>
      <c r="D439" s="214"/>
      <c r="E439" s="214"/>
      <c r="F439" s="214"/>
    </row>
    <row r="440" spans="1:6">
      <c r="B440" s="11"/>
      <c r="C440" s="214"/>
      <c r="D440" s="214"/>
      <c r="E440" s="214"/>
      <c r="F440" s="214"/>
    </row>
    <row r="441" spans="1:6">
      <c r="B441" s="11"/>
      <c r="C441" s="214"/>
      <c r="D441" s="214"/>
      <c r="E441" s="214"/>
      <c r="F441" s="214"/>
    </row>
    <row r="442" spans="1:6">
      <c r="B442" s="11"/>
      <c r="C442" s="214"/>
      <c r="D442" s="214"/>
      <c r="E442" s="214"/>
      <c r="F442" s="214"/>
    </row>
    <row r="443" spans="1:6">
      <c r="B443" s="11"/>
      <c r="C443" s="214"/>
      <c r="D443" s="214"/>
      <c r="E443" s="214"/>
      <c r="F443" s="214"/>
    </row>
    <row r="444" spans="1:6">
      <c r="B444" s="11"/>
      <c r="C444" s="214"/>
      <c r="D444" s="214"/>
      <c r="E444" s="214"/>
      <c r="F444" s="214"/>
    </row>
    <row r="447" spans="1:6" ht="21">
      <c r="A447" t="s">
        <v>220</v>
      </c>
      <c r="B447" s="216" t="s">
        <v>10</v>
      </c>
    </row>
    <row r="449" spans="1:43">
      <c r="B449" s="184" t="s">
        <v>147</v>
      </c>
      <c r="C449" s="184"/>
      <c r="D449" s="184" t="s">
        <v>330</v>
      </c>
      <c r="E449" s="184" t="s">
        <v>331</v>
      </c>
      <c r="F449" s="184" t="s">
        <v>332</v>
      </c>
      <c r="G449" s="184" t="s">
        <v>333</v>
      </c>
      <c r="H449" s="184" t="s">
        <v>334</v>
      </c>
      <c r="I449" s="184" t="s">
        <v>335</v>
      </c>
      <c r="J449" s="184" t="s">
        <v>336</v>
      </c>
      <c r="K449" s="184" t="s">
        <v>337</v>
      </c>
      <c r="M449" s="185" t="s">
        <v>319</v>
      </c>
      <c r="N449" s="185" t="s">
        <v>320</v>
      </c>
    </row>
    <row r="450" spans="1:43">
      <c r="B450" s="11" t="s">
        <v>36</v>
      </c>
      <c r="C450" s="192"/>
      <c r="D450" s="192">
        <f t="shared" ref="D450:K450" si="119">G245</f>
        <v>3861</v>
      </c>
      <c r="E450" s="192">
        <f t="shared" si="119"/>
        <v>4004</v>
      </c>
      <c r="F450" s="192">
        <f t="shared" si="119"/>
        <v>5105</v>
      </c>
      <c r="G450" s="192">
        <f t="shared" si="119"/>
        <v>7130</v>
      </c>
      <c r="H450" s="192">
        <f t="shared" si="119"/>
        <v>6450</v>
      </c>
      <c r="I450" s="192">
        <f t="shared" si="119"/>
        <v>8823</v>
      </c>
      <c r="J450" s="192">
        <f t="shared" si="119"/>
        <v>13173</v>
      </c>
      <c r="K450" s="192">
        <f t="shared" si="119"/>
        <v>16043</v>
      </c>
    </row>
    <row r="452" spans="1:43">
      <c r="B452" s="11" t="s">
        <v>10</v>
      </c>
      <c r="C452" s="11"/>
      <c r="D452" s="11">
        <f>BalanceSheet!C25</f>
        <v>165.6</v>
      </c>
      <c r="E452" s="11">
        <f>BalanceSheet!D25</f>
        <v>285.02999999999997</v>
      </c>
      <c r="F452" s="11">
        <f>BalanceSheet!E25</f>
        <v>340.84000000000003</v>
      </c>
      <c r="G452" s="11">
        <f>BalanceSheet!F25</f>
        <v>446.74</v>
      </c>
      <c r="H452" s="11">
        <f>BalanceSheet!G25</f>
        <v>439.03</v>
      </c>
      <c r="I452" s="11">
        <f>BalanceSheet!H25</f>
        <v>540.16000000000008</v>
      </c>
      <c r="J452" s="11">
        <f>BalanceSheet!I25</f>
        <v>825.54</v>
      </c>
      <c r="K452" s="11">
        <f>BalanceSheet!J25</f>
        <v>1265.8499999999999</v>
      </c>
    </row>
    <row r="454" spans="1:43">
      <c r="B454" s="11" t="s">
        <v>374</v>
      </c>
      <c r="C454" s="37"/>
      <c r="D454" s="37">
        <f t="shared" ref="D454:K454" si="120">D452/D450</f>
        <v>4.2890442890442887E-2</v>
      </c>
      <c r="E454" s="37">
        <f t="shared" si="120"/>
        <v>7.1186313686313674E-2</v>
      </c>
      <c r="F454" s="37">
        <f t="shared" si="120"/>
        <v>6.6765915768854073E-2</v>
      </c>
      <c r="G454" s="37">
        <f t="shared" si="120"/>
        <v>6.2656381486676016E-2</v>
      </c>
      <c r="H454" s="37">
        <f t="shared" si="120"/>
        <v>6.8066666666666664E-2</v>
      </c>
      <c r="I454" s="37">
        <f t="shared" si="120"/>
        <v>6.1221806641731845E-2</v>
      </c>
      <c r="J454" s="37">
        <f t="shared" si="120"/>
        <v>6.2669095877932138E-2</v>
      </c>
      <c r="K454" s="37">
        <f t="shared" si="120"/>
        <v>7.8903571651187429E-2</v>
      </c>
      <c r="M454" s="60">
        <f>MEDIAN(D454:K454)</f>
        <v>6.4717505823393112E-2</v>
      </c>
      <c r="N454" s="60">
        <f>AVERAGE(D454:K454)</f>
        <v>6.4295024333725581E-2</v>
      </c>
    </row>
    <row r="456" spans="1:43">
      <c r="B456" s="456" t="s">
        <v>547</v>
      </c>
      <c r="C456" s="457"/>
      <c r="G456" s="127"/>
      <c r="H456" s="127"/>
      <c r="I456" s="127"/>
      <c r="J456" s="127"/>
      <c r="K456" s="127"/>
      <c r="L456" s="127"/>
      <c r="M456" s="127"/>
      <c r="N456" s="127"/>
    </row>
    <row r="457" spans="1:43">
      <c r="B457" s="458"/>
      <c r="C457" s="459"/>
      <c r="G457" s="127"/>
      <c r="H457" s="127"/>
      <c r="I457" s="127"/>
      <c r="J457" s="127"/>
      <c r="K457" s="127"/>
      <c r="L457" s="127"/>
      <c r="M457" s="127"/>
      <c r="N457" s="127"/>
    </row>
    <row r="458" spans="1:43">
      <c r="C458" s="258"/>
      <c r="D458" s="258"/>
      <c r="E458" s="258"/>
      <c r="F458" s="258"/>
      <c r="G458" s="258"/>
      <c r="H458" s="258"/>
      <c r="I458" s="258"/>
      <c r="J458" s="258"/>
      <c r="K458" s="258"/>
      <c r="L458" s="258"/>
      <c r="M458" s="259"/>
      <c r="N458" s="259"/>
    </row>
    <row r="460" spans="1:43" ht="31.2">
      <c r="A460" s="21" t="s">
        <v>220</v>
      </c>
      <c r="B460" s="182" t="s">
        <v>423</v>
      </c>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row>
    <row r="461" spans="1:43" ht="13.95" customHeight="1">
      <c r="B461" s="180"/>
    </row>
    <row r="462" spans="1:43" ht="21">
      <c r="A462" t="s">
        <v>220</v>
      </c>
      <c r="B462" s="216" t="s">
        <v>174</v>
      </c>
    </row>
    <row r="464" spans="1:43">
      <c r="B464" s="184" t="s">
        <v>147</v>
      </c>
      <c r="C464" s="184" t="s">
        <v>326</v>
      </c>
      <c r="D464" s="184" t="s">
        <v>327</v>
      </c>
      <c r="E464" s="184" t="s">
        <v>328</v>
      </c>
      <c r="F464" s="184" t="s">
        <v>329</v>
      </c>
      <c r="G464" s="184" t="s">
        <v>330</v>
      </c>
      <c r="H464" s="184" t="s">
        <v>331</v>
      </c>
      <c r="I464" s="184" t="s">
        <v>332</v>
      </c>
      <c r="J464" s="184" t="s">
        <v>333</v>
      </c>
      <c r="K464" s="184" t="s">
        <v>334</v>
      </c>
      <c r="L464" s="184" t="s">
        <v>335</v>
      </c>
      <c r="M464" s="184" t="s">
        <v>336</v>
      </c>
      <c r="N464" s="184" t="s">
        <v>337</v>
      </c>
      <c r="P464" s="185" t="s">
        <v>319</v>
      </c>
      <c r="Q464" s="185" t="s">
        <v>320</v>
      </c>
    </row>
    <row r="465" spans="2:17">
      <c r="B465" s="11" t="s">
        <v>375</v>
      </c>
      <c r="C465" s="210">
        <v>2240</v>
      </c>
      <c r="D465" s="210">
        <v>3064</v>
      </c>
      <c r="E465" s="210">
        <v>3223</v>
      </c>
      <c r="F465" s="210">
        <v>4632</v>
      </c>
      <c r="G465" s="210">
        <v>5159</v>
      </c>
      <c r="H465" s="210">
        <v>5635</v>
      </c>
      <c r="I465" s="210">
        <v>6172</v>
      </c>
      <c r="J465" s="210">
        <v>8745</v>
      </c>
      <c r="K465" s="210">
        <v>9033</v>
      </c>
      <c r="L465" s="210">
        <v>9410</v>
      </c>
      <c r="M465" s="210">
        <v>10441</v>
      </c>
      <c r="N465" s="210">
        <v>12445</v>
      </c>
    </row>
    <row r="466" spans="2:17">
      <c r="B466" t="s">
        <v>410</v>
      </c>
      <c r="C466" s="225">
        <v>527</v>
      </c>
      <c r="D466" s="225">
        <v>689</v>
      </c>
      <c r="E466" s="225">
        <v>868</v>
      </c>
      <c r="F466" s="225">
        <v>1137</v>
      </c>
      <c r="G466" s="225">
        <v>1443</v>
      </c>
      <c r="H466" s="225">
        <v>1654</v>
      </c>
      <c r="I466" s="225">
        <v>1785</v>
      </c>
      <c r="J466" s="225">
        <v>2265</v>
      </c>
      <c r="K466" s="225">
        <v>2624</v>
      </c>
      <c r="L466" s="225">
        <v>3099</v>
      </c>
      <c r="M466" s="225">
        <v>3509</v>
      </c>
      <c r="N466" s="225">
        <v>4036</v>
      </c>
      <c r="O466" s="225"/>
    </row>
    <row r="467" spans="2:17" ht="15" thickBot="1">
      <c r="B467" s="25" t="s">
        <v>376</v>
      </c>
      <c r="C467" s="226">
        <f>C465-C466</f>
        <v>1713</v>
      </c>
      <c r="D467" s="226">
        <f t="shared" ref="D467:N467" si="121">D465-D466</f>
        <v>2375</v>
      </c>
      <c r="E467" s="226">
        <f t="shared" si="121"/>
        <v>2355</v>
      </c>
      <c r="F467" s="226">
        <f t="shared" si="121"/>
        <v>3495</v>
      </c>
      <c r="G467" s="226">
        <f t="shared" si="121"/>
        <v>3716</v>
      </c>
      <c r="H467" s="226">
        <f t="shared" si="121"/>
        <v>3981</v>
      </c>
      <c r="I467" s="226">
        <f t="shared" si="121"/>
        <v>4387</v>
      </c>
      <c r="J467" s="226">
        <f t="shared" si="121"/>
        <v>6480</v>
      </c>
      <c r="K467" s="226">
        <f t="shared" si="121"/>
        <v>6409</v>
      </c>
      <c r="L467" s="226">
        <f t="shared" si="121"/>
        <v>6311</v>
      </c>
      <c r="M467" s="226">
        <f t="shared" si="121"/>
        <v>6932</v>
      </c>
      <c r="N467" s="226">
        <f t="shared" si="121"/>
        <v>8409</v>
      </c>
    </row>
    <row r="469" spans="2:17">
      <c r="B469" s="11" t="s">
        <v>13</v>
      </c>
      <c r="C469" s="210">
        <f t="shared" ref="C469:N469" si="122">C321</f>
        <v>2553</v>
      </c>
      <c r="D469" s="210">
        <f t="shared" si="122"/>
        <v>2986</v>
      </c>
      <c r="E469" s="210">
        <f t="shared" si="122"/>
        <v>3292</v>
      </c>
      <c r="F469" s="210">
        <f t="shared" si="122"/>
        <v>4431</v>
      </c>
      <c r="G469" s="210">
        <f t="shared" si="122"/>
        <v>4824</v>
      </c>
      <c r="H469" s="210">
        <f t="shared" si="122"/>
        <v>5276</v>
      </c>
      <c r="I469" s="210">
        <f t="shared" si="122"/>
        <v>5998</v>
      </c>
      <c r="J469" s="210">
        <f t="shared" si="122"/>
        <v>8376</v>
      </c>
      <c r="K469" s="210">
        <f t="shared" si="122"/>
        <v>8447</v>
      </c>
      <c r="L469" s="210">
        <f t="shared" si="122"/>
        <v>9579</v>
      </c>
      <c r="M469" s="210">
        <f t="shared" si="122"/>
        <v>11618</v>
      </c>
      <c r="N469" s="210">
        <f t="shared" si="122"/>
        <v>15187</v>
      </c>
    </row>
    <row r="471" spans="2:17">
      <c r="B471" s="228" t="s">
        <v>377</v>
      </c>
      <c r="C471" s="231">
        <f t="shared" ref="C471:N471" si="123">C467/C469</f>
        <v>0.67097532314923625</v>
      </c>
      <c r="D471" s="231">
        <f t="shared" si="123"/>
        <v>0.79537843268586739</v>
      </c>
      <c r="E471" s="231">
        <f t="shared" si="123"/>
        <v>0.71537059538274606</v>
      </c>
      <c r="F471" s="231">
        <f t="shared" si="123"/>
        <v>0.78876100203114419</v>
      </c>
      <c r="G471" s="231">
        <f t="shared" si="123"/>
        <v>0.77031509121061359</v>
      </c>
      <c r="H471" s="231">
        <f t="shared" si="123"/>
        <v>0.75454890068233516</v>
      </c>
      <c r="I471" s="231">
        <f t="shared" si="123"/>
        <v>0.73141047015671889</v>
      </c>
      <c r="J471" s="231">
        <f t="shared" si="123"/>
        <v>0.77363896848137537</v>
      </c>
      <c r="K471" s="231">
        <f t="shared" si="123"/>
        <v>0.75873091038238427</v>
      </c>
      <c r="L471" s="231">
        <f t="shared" si="123"/>
        <v>0.65883703935692661</v>
      </c>
      <c r="M471" s="231">
        <f t="shared" si="123"/>
        <v>0.59666035462213807</v>
      </c>
      <c r="N471" s="231">
        <f t="shared" si="123"/>
        <v>0.55369724106143414</v>
      </c>
      <c r="P471" s="232">
        <f>MEDIAN(C471:N471)</f>
        <v>0.74297968541952697</v>
      </c>
      <c r="Q471" s="232">
        <f>AVERAGE(C471:N471)</f>
        <v>0.7140270274335766</v>
      </c>
    </row>
    <row r="473" spans="2:17">
      <c r="B473" s="11" t="s">
        <v>378</v>
      </c>
      <c r="C473" s="217">
        <f t="shared" ref="C473:N473" si="124">C245</f>
        <v>1800</v>
      </c>
      <c r="D473" s="217">
        <f t="shared" si="124"/>
        <v>2115</v>
      </c>
      <c r="E473" s="217">
        <f t="shared" si="124"/>
        <v>2502</v>
      </c>
      <c r="F473" s="217">
        <f t="shared" si="124"/>
        <v>3394</v>
      </c>
      <c r="G473" s="217">
        <f t="shared" si="124"/>
        <v>3861</v>
      </c>
      <c r="H473" s="217">
        <f t="shared" si="124"/>
        <v>4004</v>
      </c>
      <c r="I473" s="217">
        <f t="shared" si="124"/>
        <v>5105</v>
      </c>
      <c r="J473" s="217">
        <f t="shared" si="124"/>
        <v>7130</v>
      </c>
      <c r="K473" s="217">
        <f t="shared" si="124"/>
        <v>6450</v>
      </c>
      <c r="L473" s="217">
        <f t="shared" si="124"/>
        <v>8823</v>
      </c>
      <c r="M473" s="217">
        <f t="shared" si="124"/>
        <v>13173</v>
      </c>
      <c r="N473" s="217">
        <f t="shared" si="124"/>
        <v>16043</v>
      </c>
    </row>
    <row r="474" spans="2:17">
      <c r="O474" s="189"/>
    </row>
    <row r="475" spans="2:17">
      <c r="B475" s="228" t="s">
        <v>379</v>
      </c>
      <c r="C475" s="231">
        <f t="shared" ref="C475:N475" si="125">C467/C473</f>
        <v>0.95166666666666666</v>
      </c>
      <c r="D475" s="231">
        <f t="shared" si="125"/>
        <v>1.1229314420803782</v>
      </c>
      <c r="E475" s="231">
        <f t="shared" si="125"/>
        <v>0.94124700239808157</v>
      </c>
      <c r="F475" s="231">
        <f t="shared" si="125"/>
        <v>1.029758397171479</v>
      </c>
      <c r="G475" s="231">
        <f t="shared" si="125"/>
        <v>0.96244496244496247</v>
      </c>
      <c r="H475" s="231">
        <f t="shared" si="125"/>
        <v>0.99425574425574426</v>
      </c>
      <c r="I475" s="231">
        <f t="shared" si="125"/>
        <v>0.85935357492654263</v>
      </c>
      <c r="J475" s="231">
        <f t="shared" si="125"/>
        <v>0.90883590462833097</v>
      </c>
      <c r="K475" s="231">
        <f t="shared" si="125"/>
        <v>0.99364341085271313</v>
      </c>
      <c r="L475" s="231">
        <f t="shared" si="125"/>
        <v>0.71528958404170917</v>
      </c>
      <c r="M475" s="231">
        <f t="shared" si="125"/>
        <v>0.5262278903818417</v>
      </c>
      <c r="N475" s="231">
        <f t="shared" si="125"/>
        <v>0.52415383656423364</v>
      </c>
      <c r="P475" s="232">
        <f>MEDIAN(C475:N475)</f>
        <v>0.94645683453237406</v>
      </c>
      <c r="Q475" s="232">
        <f>AVERAGE(C475:N475)</f>
        <v>0.87748403470105696</v>
      </c>
    </row>
    <row r="477" spans="2:17">
      <c r="B477" s="228" t="s">
        <v>399</v>
      </c>
      <c r="C477" s="231"/>
      <c r="D477" s="231">
        <f>D465/C465-1</f>
        <v>0.36785714285714288</v>
      </c>
      <c r="E477" s="231">
        <f t="shared" ref="E477:N477" si="126">E465/D465-1</f>
        <v>5.1892950391644987E-2</v>
      </c>
      <c r="F477" s="231">
        <f t="shared" si="126"/>
        <v>0.4371703381942289</v>
      </c>
      <c r="G477" s="231">
        <f>G465/F465-1</f>
        <v>0.11377374784110539</v>
      </c>
      <c r="H477" s="231">
        <f t="shared" si="126"/>
        <v>9.2265943012211693E-2</v>
      </c>
      <c r="I477" s="231">
        <f t="shared" si="126"/>
        <v>9.5297249334516332E-2</v>
      </c>
      <c r="J477" s="231">
        <f t="shared" si="126"/>
        <v>0.41688269604666228</v>
      </c>
      <c r="K477" s="231">
        <f t="shared" si="126"/>
        <v>3.2933104631217791E-2</v>
      </c>
      <c r="L477" s="231">
        <f t="shared" si="126"/>
        <v>4.1735857411712596E-2</v>
      </c>
      <c r="M477" s="231">
        <f t="shared" si="126"/>
        <v>0.10956429330499473</v>
      </c>
      <c r="N477" s="231">
        <f t="shared" si="126"/>
        <v>0.19193563834881711</v>
      </c>
    </row>
    <row r="479" spans="2:17">
      <c r="B479" t="s">
        <v>394</v>
      </c>
      <c r="D479" s="225">
        <f t="shared" ref="D479:N479" si="127">D465-C465</f>
        <v>824</v>
      </c>
      <c r="E479" s="225">
        <f t="shared" si="127"/>
        <v>159</v>
      </c>
      <c r="F479" s="225">
        <f t="shared" si="127"/>
        <v>1409</v>
      </c>
      <c r="G479" s="225">
        <f>G465-F465</f>
        <v>527</v>
      </c>
      <c r="H479" s="225">
        <f t="shared" si="127"/>
        <v>476</v>
      </c>
      <c r="I479" s="225">
        <f t="shared" si="127"/>
        <v>537</v>
      </c>
      <c r="J479" s="225">
        <f t="shared" si="127"/>
        <v>2573</v>
      </c>
      <c r="K479" s="225">
        <f t="shared" si="127"/>
        <v>288</v>
      </c>
      <c r="L479" s="225">
        <f t="shared" si="127"/>
        <v>377</v>
      </c>
      <c r="M479" s="225">
        <f t="shared" si="127"/>
        <v>1031</v>
      </c>
      <c r="N479" s="225">
        <f t="shared" si="127"/>
        <v>2004</v>
      </c>
    </row>
    <row r="480" spans="2:17">
      <c r="B480" t="s">
        <v>107</v>
      </c>
      <c r="C480" s="218"/>
      <c r="D480" s="218">
        <f t="shared" ref="D480:N480" si="128">D473-C473</f>
        <v>315</v>
      </c>
      <c r="E480" s="218">
        <f t="shared" si="128"/>
        <v>387</v>
      </c>
      <c r="F480" s="218">
        <f t="shared" si="128"/>
        <v>892</v>
      </c>
      <c r="G480" s="218">
        <f>G473-F473</f>
        <v>467</v>
      </c>
      <c r="H480" s="218">
        <f t="shared" si="128"/>
        <v>143</v>
      </c>
      <c r="I480" s="218">
        <f t="shared" si="128"/>
        <v>1101</v>
      </c>
      <c r="J480" s="218">
        <f t="shared" si="128"/>
        <v>2025</v>
      </c>
      <c r="K480" s="218">
        <f t="shared" si="128"/>
        <v>-680</v>
      </c>
      <c r="L480" s="218">
        <f t="shared" si="128"/>
        <v>2373</v>
      </c>
      <c r="M480" s="218">
        <f t="shared" si="128"/>
        <v>4350</v>
      </c>
      <c r="N480" s="218">
        <f t="shared" si="128"/>
        <v>2870</v>
      </c>
      <c r="O480" s="189"/>
    </row>
    <row r="481" spans="2:17">
      <c r="C481" s="218"/>
      <c r="D481" s="218"/>
      <c r="E481" s="218"/>
      <c r="F481" s="218"/>
      <c r="G481" s="218"/>
      <c r="H481" s="218"/>
      <c r="I481" s="218"/>
      <c r="J481" s="218"/>
      <c r="K481" s="218"/>
      <c r="L481" s="218"/>
      <c r="M481" s="218"/>
      <c r="N481" s="218"/>
    </row>
    <row r="482" spans="2:17">
      <c r="B482" s="228" t="s">
        <v>395</v>
      </c>
      <c r="C482" s="229"/>
      <c r="D482" s="264">
        <f>D480/D479</f>
        <v>0.38228155339805825</v>
      </c>
      <c r="E482" s="264">
        <f t="shared" ref="E482:N482" si="129">E480/E479</f>
        <v>2.4339622641509435</v>
      </c>
      <c r="F482" s="264">
        <f t="shared" si="129"/>
        <v>0.63307310149041873</v>
      </c>
      <c r="G482" s="264">
        <f t="shared" si="129"/>
        <v>0.88614800759013279</v>
      </c>
      <c r="H482" s="264">
        <f t="shared" si="129"/>
        <v>0.30042016806722688</v>
      </c>
      <c r="I482" s="264">
        <f t="shared" si="129"/>
        <v>2.0502793296089385</v>
      </c>
      <c r="J482" s="264">
        <f t="shared" si="129"/>
        <v>0.78701904391760591</v>
      </c>
      <c r="K482" s="264">
        <f t="shared" si="129"/>
        <v>-2.3611111111111112</v>
      </c>
      <c r="L482" s="264">
        <f t="shared" si="129"/>
        <v>6.294429708222812</v>
      </c>
      <c r="M482" s="264">
        <f t="shared" si="129"/>
        <v>4.219204655674103</v>
      </c>
      <c r="N482" s="264">
        <f t="shared" si="129"/>
        <v>1.4321357285429142</v>
      </c>
      <c r="P482" s="230">
        <f>MEDIAN(D482:N482)</f>
        <v>0.88614800759013279</v>
      </c>
      <c r="Q482" s="230">
        <f>AVERAGE(D482:N482)</f>
        <v>1.5507129499592767</v>
      </c>
    </row>
    <row r="483" spans="2:17">
      <c r="B483" s="228" t="s">
        <v>104</v>
      </c>
      <c r="C483" s="231">
        <f>C473/C469</f>
        <v>0.70505287896592239</v>
      </c>
      <c r="D483" s="231">
        <f t="shared" ref="D483:N483" si="130">D473/D469</f>
        <v>0.70830542531815133</v>
      </c>
      <c r="E483" s="231">
        <f t="shared" si="130"/>
        <v>0.7600243013365735</v>
      </c>
      <c r="F483" s="231">
        <f t="shared" si="130"/>
        <v>0.76596705032723988</v>
      </c>
      <c r="G483" s="231">
        <f t="shared" si="130"/>
        <v>0.80037313432835822</v>
      </c>
      <c r="H483" s="231">
        <f t="shared" si="130"/>
        <v>0.75890826383623955</v>
      </c>
      <c r="I483" s="231">
        <f t="shared" si="130"/>
        <v>0.85111703901300428</v>
      </c>
      <c r="J483" s="231">
        <f t="shared" si="130"/>
        <v>0.85124164278892067</v>
      </c>
      <c r="K483" s="231">
        <f t="shared" si="130"/>
        <v>0.7635847046288623</v>
      </c>
      <c r="L483" s="231">
        <f t="shared" si="130"/>
        <v>0.92107735671782021</v>
      </c>
      <c r="M483" s="231">
        <f t="shared" si="130"/>
        <v>1.1338440351179204</v>
      </c>
      <c r="N483" s="231">
        <f t="shared" si="130"/>
        <v>1.0563639955224864</v>
      </c>
      <c r="P483" s="231">
        <f>MEDIAN(D483:N483)</f>
        <v>0.80037313432835822</v>
      </c>
      <c r="Q483" s="231">
        <f>AVERAGE(D483:N483)</f>
        <v>0.85189154081232521</v>
      </c>
    </row>
    <row r="485" spans="2:17">
      <c r="B485" s="184" t="s">
        <v>391</v>
      </c>
      <c r="C485" s="184" t="s">
        <v>326</v>
      </c>
      <c r="D485" s="184" t="s">
        <v>327</v>
      </c>
      <c r="E485" s="184" t="s">
        <v>328</v>
      </c>
      <c r="F485" s="184" t="s">
        <v>329</v>
      </c>
      <c r="G485" s="184" t="s">
        <v>330</v>
      </c>
      <c r="H485" s="184" t="s">
        <v>331</v>
      </c>
      <c r="I485" s="184" t="s">
        <v>332</v>
      </c>
      <c r="J485" s="184" t="s">
        <v>333</v>
      </c>
      <c r="K485" s="184" t="s">
        <v>334</v>
      </c>
      <c r="L485" s="184" t="s">
        <v>335</v>
      </c>
      <c r="M485" s="184" t="s">
        <v>336</v>
      </c>
      <c r="N485" s="184" t="s">
        <v>337</v>
      </c>
    </row>
    <row r="486" spans="2:17">
      <c r="B486" s="219" t="s">
        <v>380</v>
      </c>
      <c r="C486" s="220">
        <v>389</v>
      </c>
      <c r="D486" s="220">
        <v>450</v>
      </c>
      <c r="E486" s="220">
        <v>449</v>
      </c>
      <c r="F486" s="220">
        <v>586</v>
      </c>
      <c r="G486" s="220">
        <v>683</v>
      </c>
      <c r="H486" s="220">
        <v>692</v>
      </c>
      <c r="I486" s="220">
        <v>783</v>
      </c>
      <c r="J486" s="221">
        <v>1209</v>
      </c>
      <c r="K486" s="221">
        <v>1250</v>
      </c>
      <c r="L486" s="221">
        <v>1296</v>
      </c>
      <c r="M486" s="221">
        <v>1679</v>
      </c>
      <c r="N486" s="221">
        <v>1832</v>
      </c>
      <c r="O486" s="189"/>
    </row>
    <row r="487" spans="2:17">
      <c r="B487" s="219" t="s">
        <v>381</v>
      </c>
      <c r="C487" s="220">
        <v>271</v>
      </c>
      <c r="D487" s="220">
        <v>363</v>
      </c>
      <c r="E487" s="220">
        <v>383</v>
      </c>
      <c r="F487" s="220">
        <v>478</v>
      </c>
      <c r="G487" s="220">
        <v>545</v>
      </c>
      <c r="H487" s="220">
        <v>636</v>
      </c>
      <c r="I487" s="220">
        <v>818</v>
      </c>
      <c r="J487" s="221">
        <v>1308</v>
      </c>
      <c r="K487" s="221">
        <v>1392</v>
      </c>
      <c r="L487" s="221">
        <v>1474</v>
      </c>
      <c r="M487" s="221">
        <v>1587</v>
      </c>
      <c r="N487" s="221">
        <v>1958</v>
      </c>
    </row>
    <row r="488" spans="2:17">
      <c r="B488" s="219" t="s">
        <v>382</v>
      </c>
      <c r="C488" s="220">
        <v>829</v>
      </c>
      <c r="D488" s="221">
        <v>1168</v>
      </c>
      <c r="E488" s="221">
        <v>1212</v>
      </c>
      <c r="F488" s="221">
        <v>1661</v>
      </c>
      <c r="G488" s="221">
        <v>1835</v>
      </c>
      <c r="H488" s="221">
        <v>2075</v>
      </c>
      <c r="I488" s="221">
        <v>2248</v>
      </c>
      <c r="J488" s="221">
        <v>3565</v>
      </c>
      <c r="K488" s="221">
        <v>3831</v>
      </c>
      <c r="L488" s="221">
        <v>3967</v>
      </c>
      <c r="M488" s="221">
        <v>4401</v>
      </c>
      <c r="N488" s="221">
        <v>5499</v>
      </c>
    </row>
    <row r="489" spans="2:17">
      <c r="B489" s="219" t="s">
        <v>383</v>
      </c>
      <c r="C489" s="220">
        <v>8</v>
      </c>
      <c r="D489" s="220">
        <v>9</v>
      </c>
      <c r="E489" s="220">
        <v>10</v>
      </c>
      <c r="F489" s="220">
        <v>832</v>
      </c>
      <c r="G489" s="220">
        <v>916</v>
      </c>
      <c r="H489" s="220">
        <v>936</v>
      </c>
      <c r="I489" s="221">
        <v>1021</v>
      </c>
      <c r="J489" s="221">
        <v>1194</v>
      </c>
      <c r="K489" s="221">
        <v>1212</v>
      </c>
      <c r="L489" s="221">
        <v>1242</v>
      </c>
      <c r="M489" s="221">
        <v>1238</v>
      </c>
      <c r="N489" s="221">
        <v>1293</v>
      </c>
    </row>
    <row r="490" spans="2:17">
      <c r="B490" s="219" t="s">
        <v>384</v>
      </c>
      <c r="C490" s="220">
        <v>9</v>
      </c>
      <c r="D490" s="220">
        <v>10</v>
      </c>
      <c r="E490" s="220">
        <v>11</v>
      </c>
      <c r="F490" s="220">
        <v>15</v>
      </c>
      <c r="G490" s="220">
        <v>18</v>
      </c>
      <c r="H490" s="220">
        <v>20</v>
      </c>
      <c r="I490" s="220">
        <v>17</v>
      </c>
      <c r="J490" s="220">
        <v>23</v>
      </c>
      <c r="K490" s="220">
        <v>25</v>
      </c>
      <c r="L490" s="220">
        <v>28</v>
      </c>
      <c r="M490" s="220">
        <v>33</v>
      </c>
      <c r="N490" s="220">
        <v>41</v>
      </c>
    </row>
    <row r="491" spans="2:17">
      <c r="B491" s="219" t="s">
        <v>385</v>
      </c>
      <c r="C491" s="220">
        <v>10</v>
      </c>
      <c r="D491" s="220">
        <v>11</v>
      </c>
      <c r="E491" s="220">
        <v>10</v>
      </c>
      <c r="F491" s="220">
        <v>14</v>
      </c>
      <c r="G491" s="220">
        <v>16</v>
      </c>
      <c r="H491" s="220">
        <v>17</v>
      </c>
      <c r="I491" s="220">
        <v>20</v>
      </c>
      <c r="J491" s="220">
        <v>25</v>
      </c>
      <c r="K491" s="220">
        <v>26</v>
      </c>
      <c r="L491" s="220">
        <v>29</v>
      </c>
      <c r="M491" s="220">
        <v>29</v>
      </c>
      <c r="N491" s="220">
        <v>41</v>
      </c>
    </row>
    <row r="492" spans="2:17">
      <c r="B492" s="219" t="s">
        <v>386</v>
      </c>
      <c r="C492" s="220">
        <v>97</v>
      </c>
      <c r="D492" s="220">
        <v>119</v>
      </c>
      <c r="E492" s="220">
        <v>121</v>
      </c>
      <c r="F492" s="220">
        <v>132</v>
      </c>
      <c r="G492" s="220">
        <v>169</v>
      </c>
      <c r="H492" s="220">
        <v>173</v>
      </c>
      <c r="I492" s="220">
        <v>652</v>
      </c>
      <c r="J492" s="220">
        <v>742</v>
      </c>
      <c r="K492" s="220">
        <v>622</v>
      </c>
      <c r="L492" s="220">
        <v>690</v>
      </c>
      <c r="M492" s="220">
        <v>795</v>
      </c>
      <c r="N492" s="221">
        <v>1086</v>
      </c>
    </row>
    <row r="493" spans="2:17">
      <c r="B493" s="219" t="s">
        <v>387</v>
      </c>
      <c r="C493" s="220">
        <v>10</v>
      </c>
      <c r="D493" s="220">
        <v>10</v>
      </c>
      <c r="E493" s="220">
        <v>10</v>
      </c>
      <c r="F493" s="220">
        <v>435</v>
      </c>
      <c r="G493" s="220">
        <v>414</v>
      </c>
      <c r="H493" s="220">
        <v>497</v>
      </c>
      <c r="I493" s="220">
        <v>584</v>
      </c>
      <c r="J493" s="220">
        <v>644</v>
      </c>
      <c r="K493" s="220">
        <v>644</v>
      </c>
      <c r="L493" s="220">
        <v>644</v>
      </c>
      <c r="M493" s="220">
        <v>644</v>
      </c>
      <c r="N493" s="220">
        <v>644</v>
      </c>
      <c r="P493" s="11" t="s">
        <v>390</v>
      </c>
    </row>
    <row r="494" spans="2:17">
      <c r="B494" s="219" t="s">
        <v>388</v>
      </c>
      <c r="C494" s="220">
        <v>607</v>
      </c>
      <c r="D494" s="220">
        <v>891</v>
      </c>
      <c r="E494" s="221">
        <v>3174</v>
      </c>
      <c r="F494" s="220">
        <v>479</v>
      </c>
      <c r="G494" s="220">
        <v>563</v>
      </c>
      <c r="H494" s="220">
        <v>588</v>
      </c>
      <c r="I494" s="220">
        <v>30</v>
      </c>
      <c r="J494" s="220">
        <v>35</v>
      </c>
      <c r="K494" s="220">
        <v>32</v>
      </c>
      <c r="L494" s="220">
        <v>38</v>
      </c>
      <c r="M494" s="220">
        <v>35</v>
      </c>
      <c r="N494" s="220">
        <v>51</v>
      </c>
    </row>
    <row r="495" spans="2:17" ht="15" thickBot="1">
      <c r="B495" s="25" t="s">
        <v>389</v>
      </c>
      <c r="C495" s="233">
        <f>SUM(C486:C494)</f>
        <v>2230</v>
      </c>
      <c r="D495" s="233">
        <f t="shared" ref="D495:N495" si="131">SUM(D486:D494)</f>
        <v>3031</v>
      </c>
      <c r="E495" s="233">
        <f t="shared" si="131"/>
        <v>5380</v>
      </c>
      <c r="F495" s="233">
        <f t="shared" si="131"/>
        <v>4632</v>
      </c>
      <c r="G495" s="233">
        <f t="shared" si="131"/>
        <v>5159</v>
      </c>
      <c r="H495" s="233">
        <f t="shared" si="131"/>
        <v>5634</v>
      </c>
      <c r="I495" s="233">
        <f t="shared" si="131"/>
        <v>6173</v>
      </c>
      <c r="J495" s="233">
        <f t="shared" si="131"/>
        <v>8745</v>
      </c>
      <c r="K495" s="233">
        <f t="shared" si="131"/>
        <v>9034</v>
      </c>
      <c r="L495" s="233">
        <f t="shared" si="131"/>
        <v>9408</v>
      </c>
      <c r="M495" s="233">
        <f t="shared" si="131"/>
        <v>10441</v>
      </c>
      <c r="N495" s="233">
        <f t="shared" si="131"/>
        <v>12445</v>
      </c>
    </row>
    <row r="497" spans="2:16">
      <c r="B497" s="184" t="s">
        <v>392</v>
      </c>
      <c r="C497" s="184" t="s">
        <v>326</v>
      </c>
      <c r="D497" s="184" t="s">
        <v>327</v>
      </c>
      <c r="E497" s="184" t="s">
        <v>328</v>
      </c>
      <c r="F497" s="184" t="s">
        <v>329</v>
      </c>
      <c r="G497" s="184" t="s">
        <v>330</v>
      </c>
      <c r="H497" s="184" t="s">
        <v>331</v>
      </c>
      <c r="I497" s="184" t="s">
        <v>332</v>
      </c>
      <c r="J497" s="184" t="s">
        <v>333</v>
      </c>
      <c r="K497" s="184" t="s">
        <v>334</v>
      </c>
      <c r="L497" s="184" t="s">
        <v>335</v>
      </c>
      <c r="M497" s="184" t="s">
        <v>336</v>
      </c>
      <c r="N497" s="184" t="s">
        <v>337</v>
      </c>
    </row>
    <row r="498" spans="2:16">
      <c r="B498" s="219" t="s">
        <v>380</v>
      </c>
      <c r="C498" s="222">
        <f>C486/C$495</f>
        <v>0.17443946188340806</v>
      </c>
      <c r="D498" s="222">
        <f t="shared" ref="D498:N498" si="132">D486/D$495</f>
        <v>0.14846585285384362</v>
      </c>
      <c r="E498" s="222">
        <f t="shared" si="132"/>
        <v>8.345724907063197E-2</v>
      </c>
      <c r="F498" s="222">
        <f t="shared" si="132"/>
        <v>0.12651122625215888</v>
      </c>
      <c r="G498" s="222">
        <f t="shared" si="132"/>
        <v>0.13238999806163984</v>
      </c>
      <c r="H498" s="222">
        <f t="shared" si="132"/>
        <v>0.12282570110046148</v>
      </c>
      <c r="I498" s="222">
        <f t="shared" si="132"/>
        <v>0.12684270208974566</v>
      </c>
      <c r="J498" s="222">
        <f t="shared" si="132"/>
        <v>0.13825042881646654</v>
      </c>
      <c r="K498" s="222">
        <f t="shared" si="132"/>
        <v>0.13836617223821121</v>
      </c>
      <c r="L498" s="222">
        <f t="shared" si="132"/>
        <v>0.13775510204081631</v>
      </c>
      <c r="M498" s="222">
        <f t="shared" si="132"/>
        <v>0.1608083516904511</v>
      </c>
      <c r="N498" s="222">
        <f t="shared" si="132"/>
        <v>0.14720771394134191</v>
      </c>
      <c r="P498" t="s">
        <v>393</v>
      </c>
    </row>
    <row r="499" spans="2:16">
      <c r="B499" s="223" t="s">
        <v>381</v>
      </c>
      <c r="C499" s="224">
        <f t="shared" ref="C499:N499" si="133">C487/C$495</f>
        <v>0.12152466367713005</v>
      </c>
      <c r="D499" s="224">
        <f t="shared" si="133"/>
        <v>0.11976245463543385</v>
      </c>
      <c r="E499" s="224">
        <f t="shared" si="133"/>
        <v>7.1189591078066911E-2</v>
      </c>
      <c r="F499" s="224">
        <f t="shared" si="133"/>
        <v>0.10319516407599309</v>
      </c>
      <c r="G499" s="224">
        <f t="shared" si="133"/>
        <v>0.10564062802868773</v>
      </c>
      <c r="H499" s="224">
        <f t="shared" si="133"/>
        <v>0.11288604898828541</v>
      </c>
      <c r="I499" s="224">
        <f t="shared" si="133"/>
        <v>0.13251255467357848</v>
      </c>
      <c r="J499" s="224">
        <f t="shared" si="133"/>
        <v>0.14957118353344767</v>
      </c>
      <c r="K499" s="224">
        <f t="shared" si="133"/>
        <v>0.15408456940447199</v>
      </c>
      <c r="L499" s="224">
        <f t="shared" si="133"/>
        <v>0.1566751700680272</v>
      </c>
      <c r="M499" s="224">
        <f t="shared" si="133"/>
        <v>0.15199693515946749</v>
      </c>
      <c r="N499" s="224">
        <f t="shared" si="133"/>
        <v>0.1573322619525914</v>
      </c>
    </row>
    <row r="500" spans="2:16" ht="21.6" customHeight="1">
      <c r="B500" s="223" t="s">
        <v>382</v>
      </c>
      <c r="C500" s="224">
        <f t="shared" ref="C500:N500" si="134">C488/C$495</f>
        <v>0.37174887892376679</v>
      </c>
      <c r="D500" s="224">
        <f t="shared" si="134"/>
        <v>0.38535136918508744</v>
      </c>
      <c r="E500" s="224">
        <f t="shared" si="134"/>
        <v>0.22527881040892192</v>
      </c>
      <c r="F500" s="224">
        <f t="shared" si="134"/>
        <v>0.3585924006908463</v>
      </c>
      <c r="G500" s="224">
        <f t="shared" si="134"/>
        <v>0.35568908703237062</v>
      </c>
      <c r="H500" s="224">
        <f t="shared" si="134"/>
        <v>0.36829960951366703</v>
      </c>
      <c r="I500" s="224">
        <f t="shared" si="134"/>
        <v>0.3641665316701766</v>
      </c>
      <c r="J500" s="224">
        <f t="shared" si="134"/>
        <v>0.40766152086906804</v>
      </c>
      <c r="K500" s="224">
        <f t="shared" si="134"/>
        <v>0.42406464467566968</v>
      </c>
      <c r="L500" s="224">
        <f t="shared" si="134"/>
        <v>0.42166241496598639</v>
      </c>
      <c r="M500" s="224">
        <f t="shared" si="134"/>
        <v>0.421511349487597</v>
      </c>
      <c r="N500" s="224">
        <f t="shared" si="134"/>
        <v>0.4418642024909602</v>
      </c>
    </row>
    <row r="501" spans="2:16">
      <c r="B501" s="223" t="s">
        <v>383</v>
      </c>
      <c r="C501" s="224">
        <f t="shared" ref="C501:N501" si="135">C489/C$495</f>
        <v>3.5874439461883408E-3</v>
      </c>
      <c r="D501" s="224">
        <f t="shared" si="135"/>
        <v>2.9693170570768723E-3</v>
      </c>
      <c r="E501" s="224">
        <f t="shared" si="135"/>
        <v>1.8587360594795538E-3</v>
      </c>
      <c r="F501" s="224">
        <f t="shared" si="135"/>
        <v>0.17962003454231434</v>
      </c>
      <c r="G501" s="224">
        <f t="shared" si="135"/>
        <v>0.17755378949408801</v>
      </c>
      <c r="H501" s="224">
        <f t="shared" si="135"/>
        <v>0.16613418530351437</v>
      </c>
      <c r="I501" s="224">
        <f t="shared" si="135"/>
        <v>0.16539769965980886</v>
      </c>
      <c r="J501" s="224">
        <f t="shared" si="135"/>
        <v>0.13653516295025728</v>
      </c>
      <c r="K501" s="224">
        <f t="shared" si="135"/>
        <v>0.13415984060216959</v>
      </c>
      <c r="L501" s="224">
        <f t="shared" si="135"/>
        <v>0.13201530612244897</v>
      </c>
      <c r="M501" s="224">
        <f t="shared" si="135"/>
        <v>0.1185710181017144</v>
      </c>
      <c r="N501" s="224">
        <f t="shared" si="135"/>
        <v>0.10389714744877461</v>
      </c>
    </row>
    <row r="502" spans="2:16">
      <c r="B502" s="219" t="s">
        <v>384</v>
      </c>
      <c r="C502" s="222">
        <f t="shared" ref="C502:N502" si="136">C490/C$495</f>
        <v>4.0358744394618836E-3</v>
      </c>
      <c r="D502" s="222">
        <f t="shared" si="136"/>
        <v>3.2992411745298581E-3</v>
      </c>
      <c r="E502" s="222">
        <f t="shared" si="136"/>
        <v>2.0446096654275093E-3</v>
      </c>
      <c r="F502" s="222">
        <f t="shared" si="136"/>
        <v>3.2383419689119169E-3</v>
      </c>
      <c r="G502" s="222">
        <f t="shared" si="136"/>
        <v>3.489048265167668E-3</v>
      </c>
      <c r="H502" s="222">
        <f t="shared" si="136"/>
        <v>3.549875754348598E-3</v>
      </c>
      <c r="I502" s="222">
        <f t="shared" si="136"/>
        <v>2.7539283978616556E-3</v>
      </c>
      <c r="J502" s="222">
        <f t="shared" si="136"/>
        <v>2.6300743281875358E-3</v>
      </c>
      <c r="K502" s="222">
        <f t="shared" si="136"/>
        <v>2.7673234447642241E-3</v>
      </c>
      <c r="L502" s="222">
        <f t="shared" si="136"/>
        <v>2.976190476190476E-3</v>
      </c>
      <c r="M502" s="222">
        <f t="shared" si="136"/>
        <v>3.160616799157169E-3</v>
      </c>
      <c r="N502" s="222">
        <f t="shared" si="136"/>
        <v>3.2944957814383287E-3</v>
      </c>
    </row>
    <row r="503" spans="2:16">
      <c r="B503" s="219" t="s">
        <v>385</v>
      </c>
      <c r="C503" s="222">
        <f t="shared" ref="C503:N503" si="137">C491/C$495</f>
        <v>4.4843049327354259E-3</v>
      </c>
      <c r="D503" s="222">
        <f t="shared" si="137"/>
        <v>3.6291652919828439E-3</v>
      </c>
      <c r="E503" s="222">
        <f t="shared" si="137"/>
        <v>1.8587360594795538E-3</v>
      </c>
      <c r="F503" s="222">
        <f t="shared" si="137"/>
        <v>3.0224525043177895E-3</v>
      </c>
      <c r="G503" s="222">
        <f t="shared" si="137"/>
        <v>3.1013762357045937E-3</v>
      </c>
      <c r="H503" s="222">
        <f t="shared" si="137"/>
        <v>3.0173943911963081E-3</v>
      </c>
      <c r="I503" s="222">
        <f t="shared" si="137"/>
        <v>3.2399157621901833E-3</v>
      </c>
      <c r="J503" s="222">
        <f t="shared" si="137"/>
        <v>2.858776443682104E-3</v>
      </c>
      <c r="K503" s="222">
        <f t="shared" si="137"/>
        <v>2.8780163825547931E-3</v>
      </c>
      <c r="L503" s="222">
        <f t="shared" si="137"/>
        <v>3.0824829931972789E-3</v>
      </c>
      <c r="M503" s="222">
        <f t="shared" si="137"/>
        <v>2.7775117325926635E-3</v>
      </c>
      <c r="N503" s="222">
        <f t="shared" si="137"/>
        <v>3.2944957814383287E-3</v>
      </c>
    </row>
    <row r="504" spans="2:16">
      <c r="B504" s="223" t="s">
        <v>386</v>
      </c>
      <c r="C504" s="224">
        <f t="shared" ref="C504:N504" si="138">C492/C$495</f>
        <v>4.3497757847533632E-2</v>
      </c>
      <c r="D504" s="224">
        <f t="shared" si="138"/>
        <v>3.9260969976905313E-2</v>
      </c>
      <c r="E504" s="224">
        <f t="shared" si="138"/>
        <v>2.2490706319702604E-2</v>
      </c>
      <c r="F504" s="224">
        <f t="shared" si="138"/>
        <v>2.8497409326424871E-2</v>
      </c>
      <c r="G504" s="224">
        <f t="shared" si="138"/>
        <v>3.2758286489629772E-2</v>
      </c>
      <c r="H504" s="224">
        <f t="shared" si="138"/>
        <v>3.070642527511537E-2</v>
      </c>
      <c r="I504" s="224">
        <f t="shared" si="138"/>
        <v>0.10562125384739997</v>
      </c>
      <c r="J504" s="224">
        <f t="shared" si="138"/>
        <v>8.4848484848484854E-2</v>
      </c>
      <c r="K504" s="224">
        <f t="shared" si="138"/>
        <v>6.8851007305733888E-2</v>
      </c>
      <c r="L504" s="224">
        <f t="shared" si="138"/>
        <v>7.3341836734693883E-2</v>
      </c>
      <c r="M504" s="224">
        <f t="shared" si="138"/>
        <v>7.6142131979695438E-2</v>
      </c>
      <c r="N504" s="224">
        <f t="shared" si="138"/>
        <v>8.7263961430293288E-2</v>
      </c>
    </row>
    <row r="505" spans="2:16">
      <c r="B505" s="219" t="s">
        <v>387</v>
      </c>
      <c r="C505" s="222">
        <f t="shared" ref="C505:N505" si="139">C493/C$495</f>
        <v>4.4843049327354259E-3</v>
      </c>
      <c r="D505" s="222">
        <f t="shared" si="139"/>
        <v>3.2992411745298581E-3</v>
      </c>
      <c r="E505" s="222">
        <f t="shared" si="139"/>
        <v>1.8587360594795538E-3</v>
      </c>
      <c r="F505" s="222">
        <f t="shared" si="139"/>
        <v>9.3911917098445596E-2</v>
      </c>
      <c r="G505" s="222">
        <f t="shared" si="139"/>
        <v>8.0248110098856365E-2</v>
      </c>
      <c r="H505" s="222">
        <f t="shared" si="139"/>
        <v>8.8214412495562652E-2</v>
      </c>
      <c r="I505" s="222">
        <f t="shared" si="139"/>
        <v>9.4605540255953344E-2</v>
      </c>
      <c r="J505" s="222">
        <f t="shared" si="139"/>
        <v>7.3642081189251002E-2</v>
      </c>
      <c r="K505" s="222">
        <f t="shared" si="139"/>
        <v>7.1286251937126413E-2</v>
      </c>
      <c r="L505" s="222">
        <f t="shared" si="139"/>
        <v>6.8452380952380959E-2</v>
      </c>
      <c r="M505" s="222">
        <f t="shared" si="139"/>
        <v>6.1679915716885358E-2</v>
      </c>
      <c r="N505" s="222">
        <f t="shared" si="139"/>
        <v>5.174768983527521E-2</v>
      </c>
    </row>
    <row r="506" spans="2:16">
      <c r="B506" s="219" t="s">
        <v>388</v>
      </c>
      <c r="C506" s="222">
        <f t="shared" ref="C506:N506" si="140">C494/C$495</f>
        <v>0.27219730941704035</v>
      </c>
      <c r="D506" s="222">
        <f t="shared" si="140"/>
        <v>0.29396238865061036</v>
      </c>
      <c r="E506" s="222">
        <f t="shared" si="140"/>
        <v>0.58996282527881039</v>
      </c>
      <c r="F506" s="222">
        <f t="shared" si="140"/>
        <v>0.10341105354058722</v>
      </c>
      <c r="G506" s="222">
        <f t="shared" si="140"/>
        <v>0.10912967629385539</v>
      </c>
      <c r="H506" s="222">
        <f t="shared" si="140"/>
        <v>0.10436634717784878</v>
      </c>
      <c r="I506" s="222">
        <f t="shared" si="140"/>
        <v>4.8598736432852747E-3</v>
      </c>
      <c r="J506" s="222">
        <f t="shared" si="140"/>
        <v>4.0022870211549461E-3</v>
      </c>
      <c r="K506" s="222">
        <f t="shared" si="140"/>
        <v>3.5421740092982067E-3</v>
      </c>
      <c r="L506" s="222">
        <f t="shared" si="140"/>
        <v>4.0391156462585035E-3</v>
      </c>
      <c r="M506" s="222">
        <f t="shared" si="140"/>
        <v>3.3521693324394214E-3</v>
      </c>
      <c r="N506" s="222">
        <f t="shared" si="140"/>
        <v>4.0980313378867015E-3</v>
      </c>
    </row>
    <row r="507" spans="2:16" ht="15" thickBot="1">
      <c r="B507" s="25" t="s">
        <v>389</v>
      </c>
      <c r="C507" s="191">
        <f>SUM(C498:C506)</f>
        <v>1</v>
      </c>
      <c r="D507" s="191">
        <f t="shared" ref="D507:N507" si="141">SUM(D498:D506)</f>
        <v>1</v>
      </c>
      <c r="E507" s="191">
        <f t="shared" si="141"/>
        <v>1</v>
      </c>
      <c r="F507" s="191">
        <f t="shared" si="141"/>
        <v>1</v>
      </c>
      <c r="G507" s="191">
        <f t="shared" si="141"/>
        <v>1</v>
      </c>
      <c r="H507" s="191">
        <f t="shared" si="141"/>
        <v>0.99999999999999989</v>
      </c>
      <c r="I507" s="191">
        <f t="shared" si="141"/>
        <v>1</v>
      </c>
      <c r="J507" s="191">
        <f t="shared" si="141"/>
        <v>0.99999999999999989</v>
      </c>
      <c r="K507" s="191">
        <f t="shared" si="141"/>
        <v>1</v>
      </c>
      <c r="L507" s="191">
        <f t="shared" si="141"/>
        <v>0.99999999999999978</v>
      </c>
      <c r="M507" s="191">
        <f t="shared" si="141"/>
        <v>1</v>
      </c>
      <c r="N507" s="191">
        <f t="shared" si="141"/>
        <v>1.0000000000000002</v>
      </c>
    </row>
    <row r="509" spans="2:16">
      <c r="B509" s="184" t="s">
        <v>147</v>
      </c>
      <c r="C509" s="184" t="s">
        <v>326</v>
      </c>
      <c r="D509" s="184" t="s">
        <v>327</v>
      </c>
      <c r="E509" s="184" t="s">
        <v>328</v>
      </c>
      <c r="F509" s="184" t="s">
        <v>329</v>
      </c>
      <c r="G509" s="184" t="s">
        <v>330</v>
      </c>
      <c r="H509" s="184" t="s">
        <v>331</v>
      </c>
      <c r="I509" s="184" t="s">
        <v>332</v>
      </c>
      <c r="J509" s="184" t="s">
        <v>333</v>
      </c>
      <c r="K509" s="184" t="s">
        <v>334</v>
      </c>
      <c r="L509" s="184" t="s">
        <v>335</v>
      </c>
      <c r="M509" s="184" t="s">
        <v>336</v>
      </c>
      <c r="N509" s="184" t="s">
        <v>337</v>
      </c>
    </row>
    <row r="511" spans="2:16">
      <c r="B511" t="s">
        <v>394</v>
      </c>
      <c r="D511" s="225">
        <f>D479</f>
        <v>824</v>
      </c>
      <c r="E511" s="225">
        <f t="shared" ref="E511:N511" si="142">E479</f>
        <v>159</v>
      </c>
      <c r="F511" s="225">
        <f t="shared" si="142"/>
        <v>1409</v>
      </c>
      <c r="G511" s="225">
        <f t="shared" si="142"/>
        <v>527</v>
      </c>
      <c r="H511" s="225">
        <f t="shared" si="142"/>
        <v>476</v>
      </c>
      <c r="I511" s="225">
        <f t="shared" si="142"/>
        <v>537</v>
      </c>
      <c r="J511" s="225">
        <f t="shared" si="142"/>
        <v>2573</v>
      </c>
      <c r="K511" s="225">
        <f t="shared" si="142"/>
        <v>288</v>
      </c>
      <c r="L511" s="225">
        <f t="shared" si="142"/>
        <v>377</v>
      </c>
      <c r="M511" s="225">
        <f t="shared" si="142"/>
        <v>1031</v>
      </c>
      <c r="N511" s="225">
        <f t="shared" si="142"/>
        <v>2004</v>
      </c>
    </row>
    <row r="512" spans="2:16">
      <c r="B512" t="s">
        <v>396</v>
      </c>
      <c r="C512">
        <v>136</v>
      </c>
      <c r="D512">
        <v>184</v>
      </c>
      <c r="E512">
        <v>210</v>
      </c>
      <c r="F512">
        <v>317</v>
      </c>
      <c r="G512">
        <v>322</v>
      </c>
      <c r="H512">
        <v>347</v>
      </c>
      <c r="I512">
        <v>385</v>
      </c>
      <c r="J512">
        <v>489</v>
      </c>
      <c r="K512">
        <v>529</v>
      </c>
      <c r="L512">
        <v>531</v>
      </c>
      <c r="M512">
        <v>617</v>
      </c>
      <c r="N512">
        <v>681</v>
      </c>
    </row>
    <row r="514" spans="2:14">
      <c r="B514" s="21" t="s">
        <v>397</v>
      </c>
      <c r="C514" s="234"/>
      <c r="D514" s="234">
        <f>D512</f>
        <v>184</v>
      </c>
      <c r="E514" s="234">
        <f t="shared" ref="E514:N514" si="143">E512</f>
        <v>210</v>
      </c>
      <c r="F514" s="234">
        <f t="shared" si="143"/>
        <v>317</v>
      </c>
      <c r="G514" s="234">
        <f t="shared" si="143"/>
        <v>322</v>
      </c>
      <c r="H514" s="234">
        <f t="shared" si="143"/>
        <v>347</v>
      </c>
      <c r="I514" s="234">
        <f t="shared" si="143"/>
        <v>385</v>
      </c>
      <c r="J514" s="234">
        <f t="shared" si="143"/>
        <v>489</v>
      </c>
      <c r="K514" s="234">
        <f t="shared" si="143"/>
        <v>529</v>
      </c>
      <c r="L514" s="234">
        <f t="shared" si="143"/>
        <v>531</v>
      </c>
      <c r="M514" s="234">
        <f t="shared" si="143"/>
        <v>617</v>
      </c>
      <c r="N514" s="234">
        <f t="shared" si="143"/>
        <v>681</v>
      </c>
    </row>
    <row r="515" spans="2:14">
      <c r="B515" t="s">
        <v>398</v>
      </c>
      <c r="C515" s="218"/>
      <c r="D515" s="218">
        <f>IF(D512&gt;D511,0,D511-D512)</f>
        <v>640</v>
      </c>
      <c r="E515" s="218">
        <f t="shared" ref="E515:N515" si="144">IF(E512&gt;E511,0,E511-E512)</f>
        <v>0</v>
      </c>
      <c r="F515" s="218">
        <f t="shared" si="144"/>
        <v>1092</v>
      </c>
      <c r="G515" s="218">
        <f t="shared" si="144"/>
        <v>205</v>
      </c>
      <c r="H515" s="218">
        <f t="shared" si="144"/>
        <v>129</v>
      </c>
      <c r="I515" s="218">
        <f t="shared" si="144"/>
        <v>152</v>
      </c>
      <c r="J515" s="218">
        <f t="shared" si="144"/>
        <v>2084</v>
      </c>
      <c r="K515" s="218">
        <f t="shared" si="144"/>
        <v>0</v>
      </c>
      <c r="L515" s="218">
        <f t="shared" si="144"/>
        <v>0</v>
      </c>
      <c r="M515" s="218">
        <f t="shared" si="144"/>
        <v>414</v>
      </c>
      <c r="N515" s="218">
        <f t="shared" si="144"/>
        <v>1323</v>
      </c>
    </row>
    <row r="517" spans="2:14">
      <c r="B517" s="184" t="s">
        <v>431</v>
      </c>
    </row>
    <row r="519" spans="2:14" ht="15.6">
      <c r="B519" s="254" t="s">
        <v>432</v>
      </c>
    </row>
    <row r="521" spans="2:14">
      <c r="I521" t="s">
        <v>459</v>
      </c>
    </row>
    <row r="532" spans="9:17">
      <c r="I532" t="s">
        <v>460</v>
      </c>
    </row>
    <row r="534" spans="9:17">
      <c r="N534" s="225"/>
      <c r="O534" s="225"/>
      <c r="P534" s="225"/>
      <c r="Q534" s="225"/>
    </row>
    <row r="535" spans="9:17">
      <c r="N535" s="225"/>
      <c r="O535" s="225"/>
      <c r="P535" s="225"/>
      <c r="Q535" s="225"/>
    </row>
    <row r="536" spans="9:17">
      <c r="M536" s="225"/>
    </row>
    <row r="537" spans="9:17">
      <c r="M537" s="225"/>
    </row>
    <row r="538" spans="9:17">
      <c r="M538" s="225"/>
    </row>
    <row r="549" spans="2:19">
      <c r="B549" s="184" t="s">
        <v>147</v>
      </c>
      <c r="C549" s="184" t="s">
        <v>330</v>
      </c>
      <c r="D549" s="184" t="s">
        <v>331</v>
      </c>
      <c r="E549" s="184" t="s">
        <v>332</v>
      </c>
      <c r="F549" s="184" t="s">
        <v>333</v>
      </c>
      <c r="G549" s="184" t="s">
        <v>334</v>
      </c>
      <c r="H549" s="184" t="s">
        <v>335</v>
      </c>
      <c r="I549" s="184" t="s">
        <v>336</v>
      </c>
      <c r="J549" s="184" t="s">
        <v>337</v>
      </c>
    </row>
    <row r="550" spans="2:19">
      <c r="B550" t="s">
        <v>400</v>
      </c>
      <c r="C550" s="225">
        <f>BalanceSheet!C6</f>
        <v>3355.85</v>
      </c>
      <c r="D550" s="225">
        <f>BalanceSheet!D6</f>
        <v>3541.17</v>
      </c>
      <c r="E550" s="225">
        <f>BalanceSheet!E6</f>
        <v>3860.18</v>
      </c>
      <c r="F550" s="225">
        <f>BalanceSheet!F6</f>
        <v>5892.5</v>
      </c>
      <c r="G550" s="225">
        <f>BalanceSheet!G6</f>
        <v>5827.19</v>
      </c>
      <c r="H550" s="225">
        <f>BalanceSheet!H6</f>
        <v>5155.17</v>
      </c>
      <c r="I550" s="225">
        <f>BalanceSheet!I6</f>
        <v>5441.5780000000004</v>
      </c>
      <c r="J550" s="225">
        <f>BalanceSheet!J6</f>
        <v>6803.1319999999996</v>
      </c>
    </row>
    <row r="551" spans="2:19">
      <c r="B551" t="s">
        <v>401</v>
      </c>
      <c r="C551" s="225">
        <f>BalanceSheet!C8</f>
        <v>0</v>
      </c>
      <c r="D551" s="225">
        <f>BalanceSheet!D8</f>
        <v>0</v>
      </c>
      <c r="E551" s="225">
        <f>BalanceSheet!E8</f>
        <v>0</v>
      </c>
      <c r="F551" s="225">
        <f>BalanceSheet!F8</f>
        <v>0</v>
      </c>
      <c r="G551" s="225">
        <f>BalanceSheet!G8</f>
        <v>0</v>
      </c>
      <c r="H551" s="225">
        <f>BalanceSheet!H8</f>
        <v>572.79899999999998</v>
      </c>
      <c r="I551" s="225">
        <f>BalanceSheet!I8</f>
        <v>915.50099999999998</v>
      </c>
      <c r="J551" s="225">
        <f>BalanceSheet!J8</f>
        <v>1034.7070000000001</v>
      </c>
      <c r="L551">
        <v>359.65</v>
      </c>
      <c r="M551">
        <v>437.42</v>
      </c>
      <c r="N551">
        <v>524.8599999999999</v>
      </c>
      <c r="O551">
        <v>562.30999999999995</v>
      </c>
      <c r="P551">
        <v>557.19999999999993</v>
      </c>
      <c r="Q551">
        <v>558.56999999999994</v>
      </c>
      <c r="R551">
        <v>550.91</v>
      </c>
      <c r="S551">
        <v>547.1</v>
      </c>
    </row>
    <row r="552" spans="2:19">
      <c r="B552" t="s">
        <v>453</v>
      </c>
      <c r="C552" s="225">
        <f>(BalanceSheet!C9)-0</f>
        <v>359.65</v>
      </c>
      <c r="D552" s="225">
        <f>(BalanceSheet!D9)-1.94</f>
        <v>435.48</v>
      </c>
      <c r="E552" s="225">
        <f>(BalanceSheet!E9)-1.94</f>
        <v>522.91999999999985</v>
      </c>
      <c r="F552" s="225">
        <f>(BalanceSheet!F9)-24.23</f>
        <v>538.07999999999993</v>
      </c>
      <c r="G552" s="225">
        <f>(BalanceSheet!G9)-24.23</f>
        <v>532.96999999999991</v>
      </c>
      <c r="H552" s="225">
        <f>(BalanceSheet!H9)-24.23</f>
        <v>534.33999999999992</v>
      </c>
      <c r="I552" s="225">
        <f>(BalanceSheet!I9)-24.23</f>
        <v>526.67999999999995</v>
      </c>
      <c r="J552" s="225">
        <f>(BalanceSheet!J9)-24.23</f>
        <v>522.87</v>
      </c>
    </row>
    <row r="553" spans="2:19">
      <c r="B553" s="11" t="s">
        <v>402</v>
      </c>
      <c r="C553" s="210">
        <f>SUM(C550:C552)</f>
        <v>3715.5</v>
      </c>
      <c r="D553" s="210">
        <f t="shared" ref="D553:J553" si="145">SUM(D550:D552)</f>
        <v>3976.65</v>
      </c>
      <c r="E553" s="210">
        <f t="shared" si="145"/>
        <v>4383.0999999999995</v>
      </c>
      <c r="F553" s="210">
        <f t="shared" si="145"/>
        <v>6430.58</v>
      </c>
      <c r="G553" s="210">
        <f t="shared" si="145"/>
        <v>6360.16</v>
      </c>
      <c r="H553" s="210">
        <f t="shared" si="145"/>
        <v>6262.3090000000002</v>
      </c>
      <c r="I553" s="210">
        <f t="shared" si="145"/>
        <v>6883.7590000000009</v>
      </c>
      <c r="J553" s="210">
        <f t="shared" si="145"/>
        <v>8360.7090000000007</v>
      </c>
    </row>
    <row r="554" spans="2:19">
      <c r="J554" s="225"/>
    </row>
    <row r="555" spans="2:19">
      <c r="B555" t="s">
        <v>12</v>
      </c>
      <c r="C555">
        <v>0</v>
      </c>
      <c r="D555">
        <v>1.94</v>
      </c>
      <c r="E555">
        <v>1.94</v>
      </c>
      <c r="F555">
        <v>24.23</v>
      </c>
      <c r="G555">
        <v>24.23</v>
      </c>
      <c r="H555">
        <v>24.23</v>
      </c>
      <c r="I555">
        <v>24.23</v>
      </c>
      <c r="J555">
        <v>24.23</v>
      </c>
    </row>
    <row r="556" spans="2:19">
      <c r="C556" s="225"/>
      <c r="D556" s="225"/>
      <c r="E556" s="225"/>
      <c r="F556" s="225"/>
      <c r="G556" s="225"/>
      <c r="H556" s="225"/>
      <c r="I556" s="225"/>
      <c r="J556" s="225"/>
    </row>
    <row r="557" spans="2:19">
      <c r="B557" s="184" t="s">
        <v>147</v>
      </c>
      <c r="C557" s="266">
        <v>24</v>
      </c>
      <c r="D557" s="266">
        <f>C557+1</f>
        <v>25</v>
      </c>
      <c r="E557" s="266">
        <f t="shared" ref="E557:G557" si="146">D557+1</f>
        <v>26</v>
      </c>
      <c r="F557" s="266">
        <f t="shared" si="146"/>
        <v>27</v>
      </c>
      <c r="G557" s="266">
        <f t="shared" si="146"/>
        <v>28</v>
      </c>
      <c r="H557" s="266">
        <f t="shared" ref="H557" si="147">G557+1</f>
        <v>29</v>
      </c>
      <c r="I557" s="266">
        <f t="shared" ref="I557" si="148">H557+1</f>
        <v>30</v>
      </c>
      <c r="J557" s="266">
        <f t="shared" ref="J557" si="149">I557+1</f>
        <v>31</v>
      </c>
      <c r="K557" s="266">
        <f t="shared" ref="K557" si="150">J557+1</f>
        <v>32</v>
      </c>
      <c r="L557" s="266">
        <f t="shared" ref="L557" si="151">K557+1</f>
        <v>33</v>
      </c>
    </row>
    <row r="558" spans="2:19">
      <c r="B558" t="s">
        <v>457</v>
      </c>
      <c r="C558" s="486">
        <v>3600</v>
      </c>
      <c r="D558" s="486">
        <v>1500</v>
      </c>
      <c r="E558" s="225"/>
      <c r="F558" s="225"/>
      <c r="G558" s="225"/>
      <c r="H558" s="225"/>
      <c r="I558" s="225"/>
      <c r="J558" s="225"/>
    </row>
    <row r="559" spans="2:19">
      <c r="B559" t="s">
        <v>458</v>
      </c>
      <c r="C559" s="225"/>
      <c r="D559" s="225"/>
      <c r="E559" s="487">
        <v>1.8</v>
      </c>
      <c r="F559" s="487">
        <v>1.8</v>
      </c>
      <c r="G559" s="487">
        <v>1.8</v>
      </c>
      <c r="H559" s="487">
        <v>1.8</v>
      </c>
      <c r="I559" s="487">
        <v>1.8</v>
      </c>
      <c r="J559" s="487">
        <v>1.8</v>
      </c>
      <c r="K559" s="487">
        <v>1.8</v>
      </c>
      <c r="L559" s="487">
        <v>1.8</v>
      </c>
    </row>
    <row r="560" spans="2:19">
      <c r="C560" s="225"/>
      <c r="D560" s="225"/>
      <c r="E560" s="225"/>
      <c r="F560" s="225"/>
      <c r="G560" s="225"/>
      <c r="H560" s="225"/>
      <c r="I560" s="225"/>
      <c r="J560" s="225"/>
    </row>
    <row r="561" spans="2:10">
      <c r="H561" s="225"/>
      <c r="I561" s="225"/>
      <c r="J561" s="225"/>
    </row>
    <row r="562" spans="2:10">
      <c r="B562" s="30"/>
      <c r="C562" s="225"/>
      <c r="D562" s="225"/>
      <c r="E562" s="225"/>
      <c r="F562" s="225"/>
      <c r="G562" s="225"/>
      <c r="H562" s="225"/>
      <c r="I562" s="225"/>
      <c r="J562" s="225"/>
    </row>
    <row r="563" spans="2:10">
      <c r="C563" s="225"/>
      <c r="D563" s="225"/>
      <c r="E563" s="225"/>
      <c r="F563" s="225"/>
      <c r="G563" s="225"/>
      <c r="H563" s="225"/>
      <c r="I563" s="225"/>
      <c r="J563" s="225"/>
    </row>
    <row r="564" spans="2:10">
      <c r="C564" s="225"/>
      <c r="D564" s="225"/>
      <c r="E564" s="225"/>
      <c r="F564" s="225"/>
      <c r="G564" s="225"/>
      <c r="H564" s="225"/>
      <c r="I564" s="225"/>
      <c r="J564" s="225"/>
    </row>
    <row r="565" spans="2:10">
      <c r="C565" s="225"/>
      <c r="D565" s="225"/>
      <c r="E565" s="225"/>
      <c r="F565" s="225"/>
      <c r="G565" s="225"/>
      <c r="H565" s="225"/>
      <c r="I565" s="225"/>
      <c r="J565" s="225"/>
    </row>
    <row r="566" spans="2:10">
      <c r="C566" s="225"/>
      <c r="D566" s="225"/>
      <c r="E566" s="225"/>
      <c r="F566" s="225"/>
      <c r="G566" s="225"/>
      <c r="H566" s="225"/>
      <c r="I566" s="225"/>
      <c r="J566" s="225"/>
    </row>
    <row r="567" spans="2:10">
      <c r="C567" s="225"/>
      <c r="D567" s="225"/>
      <c r="E567" s="225"/>
      <c r="F567" s="225"/>
      <c r="G567" s="225"/>
      <c r="H567" s="225"/>
      <c r="I567" s="225"/>
      <c r="J567" s="225"/>
    </row>
    <row r="568" spans="2:10">
      <c r="C568" s="225"/>
      <c r="D568" s="225"/>
      <c r="E568" s="225"/>
      <c r="F568" s="225"/>
      <c r="G568" s="225"/>
      <c r="H568" s="225"/>
      <c r="I568" s="225"/>
      <c r="J568" s="225"/>
    </row>
    <row r="569" spans="2:10">
      <c r="C569" s="225"/>
      <c r="D569" s="225"/>
      <c r="E569" s="225"/>
      <c r="F569" s="225"/>
      <c r="G569" s="225"/>
      <c r="H569" s="225"/>
      <c r="I569" s="225"/>
      <c r="J569" s="225"/>
    </row>
    <row r="570" spans="2:10">
      <c r="C570" s="225"/>
      <c r="D570" s="225"/>
      <c r="E570" s="225"/>
      <c r="F570" s="225"/>
      <c r="G570" s="225"/>
      <c r="H570" s="225"/>
      <c r="I570" s="225"/>
      <c r="J570" s="225"/>
    </row>
    <row r="571" spans="2:10">
      <c r="C571" s="225"/>
      <c r="D571" s="225"/>
      <c r="E571" s="225"/>
      <c r="F571" s="225"/>
      <c r="G571" s="225"/>
      <c r="H571" s="225"/>
      <c r="I571" s="225"/>
      <c r="J571" s="225"/>
    </row>
    <row r="572" spans="2:10">
      <c r="C572" s="225"/>
      <c r="D572" s="225"/>
      <c r="E572" s="225"/>
      <c r="F572" s="225"/>
      <c r="G572" s="225"/>
      <c r="H572" s="225"/>
      <c r="I572" s="225"/>
      <c r="J572" s="225"/>
    </row>
    <row r="573" spans="2:10">
      <c r="C573" s="225"/>
      <c r="D573" s="225"/>
      <c r="E573" s="225"/>
      <c r="F573" s="225"/>
      <c r="G573" s="225"/>
      <c r="H573" s="225"/>
      <c r="I573" s="225"/>
      <c r="J573" s="225"/>
    </row>
    <row r="574" spans="2:10">
      <c r="C574" s="225"/>
      <c r="D574" s="225"/>
      <c r="E574" s="225"/>
      <c r="F574" s="225"/>
      <c r="G574" s="225"/>
      <c r="H574" s="225"/>
      <c r="I574" s="225"/>
      <c r="J574" s="225"/>
    </row>
    <row r="575" spans="2:10">
      <c r="C575" s="225"/>
      <c r="D575" s="225"/>
      <c r="E575" s="225"/>
      <c r="F575" s="225"/>
      <c r="G575" s="225"/>
      <c r="H575" s="225"/>
      <c r="I575" s="225"/>
      <c r="J575" s="225"/>
    </row>
    <row r="576" spans="2:10">
      <c r="C576" s="225"/>
      <c r="D576" s="225"/>
      <c r="E576" s="225"/>
      <c r="F576" s="225"/>
      <c r="G576" s="225"/>
      <c r="H576" s="225"/>
      <c r="I576" s="225"/>
      <c r="J576" s="225"/>
    </row>
    <row r="577" spans="1:10">
      <c r="C577" s="225"/>
      <c r="D577" s="225"/>
      <c r="E577" s="225"/>
      <c r="F577" s="225"/>
      <c r="G577" s="225"/>
      <c r="H577" s="225"/>
      <c r="I577" s="225"/>
      <c r="J577" s="225"/>
    </row>
    <row r="578" spans="1:10">
      <c r="C578" s="225"/>
      <c r="D578" s="225"/>
      <c r="E578" s="225"/>
      <c r="F578" s="225"/>
      <c r="G578" s="225"/>
      <c r="H578" s="225"/>
      <c r="I578" s="225"/>
      <c r="J578" s="225"/>
    </row>
    <row r="579" spans="1:10">
      <c r="C579" s="225"/>
      <c r="D579" s="225"/>
      <c r="E579" s="225"/>
      <c r="F579" s="225"/>
      <c r="G579" s="225"/>
      <c r="H579" s="225"/>
      <c r="I579" s="225"/>
      <c r="J579" s="225"/>
    </row>
    <row r="580" spans="1:10">
      <c r="C580" s="225"/>
      <c r="D580" s="225"/>
      <c r="E580" s="225"/>
      <c r="F580" s="225"/>
      <c r="G580" s="225"/>
      <c r="H580" s="225"/>
      <c r="I580" s="225"/>
      <c r="J580" s="225"/>
    </row>
    <row r="581" spans="1:10">
      <c r="C581" s="225"/>
      <c r="D581" s="225"/>
      <c r="E581" s="225"/>
      <c r="F581" s="225"/>
      <c r="G581" s="225"/>
      <c r="H581" s="225"/>
      <c r="I581" s="225"/>
      <c r="J581" s="225"/>
    </row>
    <row r="582" spans="1:10">
      <c r="C582" s="225"/>
      <c r="D582" s="225"/>
      <c r="E582" s="225"/>
      <c r="F582" s="225"/>
      <c r="G582" s="225"/>
      <c r="H582" s="225"/>
      <c r="I582" s="225"/>
      <c r="J582" s="225"/>
    </row>
    <row r="583" spans="1:10">
      <c r="C583" s="225"/>
      <c r="D583" s="225"/>
      <c r="E583" s="225"/>
      <c r="F583" s="225"/>
      <c r="G583" s="225"/>
      <c r="H583" s="225"/>
      <c r="I583" s="225"/>
      <c r="J583" s="225"/>
    </row>
    <row r="584" spans="1:10">
      <c r="C584" s="225"/>
      <c r="D584" s="225"/>
      <c r="E584" s="225"/>
      <c r="F584" s="225"/>
      <c r="G584" s="225"/>
      <c r="H584" s="225"/>
      <c r="I584" s="225"/>
      <c r="J584" s="225"/>
    </row>
    <row r="585" spans="1:10">
      <c r="C585" s="225"/>
      <c r="D585" s="225"/>
      <c r="E585" s="225"/>
      <c r="F585" s="225"/>
      <c r="G585" s="225"/>
      <c r="H585" s="225"/>
      <c r="I585" s="225"/>
      <c r="J585" s="225"/>
    </row>
    <row r="586" spans="1:10">
      <c r="C586" s="225"/>
      <c r="D586" s="225"/>
      <c r="E586" s="225"/>
      <c r="F586" s="225"/>
      <c r="G586" s="225"/>
      <c r="H586" s="225"/>
      <c r="I586" s="225"/>
      <c r="J586" s="225"/>
    </row>
    <row r="587" spans="1:10">
      <c r="C587" s="225"/>
      <c r="D587" s="225"/>
      <c r="E587" s="225"/>
      <c r="F587" s="225"/>
      <c r="G587" s="225"/>
      <c r="H587" s="225"/>
      <c r="I587" s="225"/>
      <c r="J587" s="225"/>
    </row>
    <row r="588" spans="1:10" ht="21">
      <c r="A588" t="s">
        <v>220</v>
      </c>
      <c r="B588" s="216" t="s">
        <v>403</v>
      </c>
    </row>
    <row r="590" spans="1:10">
      <c r="B590" s="184" t="s">
        <v>147</v>
      </c>
      <c r="C590" s="184" t="s">
        <v>330</v>
      </c>
      <c r="D590" s="184" t="s">
        <v>331</v>
      </c>
      <c r="E590" s="184" t="s">
        <v>332</v>
      </c>
      <c r="F590" s="184" t="s">
        <v>333</v>
      </c>
      <c r="G590" s="184" t="s">
        <v>334</v>
      </c>
      <c r="H590" s="184" t="s">
        <v>335</v>
      </c>
      <c r="I590" s="184" t="s">
        <v>336</v>
      </c>
      <c r="J590" s="184" t="s">
        <v>337</v>
      </c>
    </row>
    <row r="591" spans="1:10">
      <c r="B591" t="s">
        <v>36</v>
      </c>
      <c r="C591" s="225">
        <f>IncomeStatement!D6</f>
        <v>3861.1800000000003</v>
      </c>
      <c r="D591" s="225">
        <f>IncomeStatement!E6</f>
        <v>4003.54</v>
      </c>
      <c r="E591" s="225">
        <f>IncomeStatement!F6</f>
        <v>5105.26</v>
      </c>
      <c r="F591" s="225">
        <f>IncomeStatement!G6</f>
        <v>7129.58</v>
      </c>
      <c r="G591" s="225">
        <f>IncomeStatement!H6</f>
        <v>6450.14</v>
      </c>
      <c r="H591" s="225">
        <f>IncomeStatement!I6</f>
        <v>8823.2300000000014</v>
      </c>
      <c r="I591" s="225">
        <f>IncomeStatement!J6</f>
        <v>13173.14</v>
      </c>
      <c r="J591" s="225">
        <f>IncomeStatement!K6</f>
        <v>16042.581</v>
      </c>
    </row>
    <row r="592" spans="1:10">
      <c r="B592" t="s">
        <v>404</v>
      </c>
      <c r="C592" s="225">
        <f>BalanceSheet!C18</f>
        <v>136.75</v>
      </c>
      <c r="D592" s="225">
        <f>BalanceSheet!D18</f>
        <v>152.59</v>
      </c>
      <c r="E592" s="225">
        <f>BalanceSheet!E18</f>
        <v>85.76</v>
      </c>
      <c r="F592" s="225">
        <f>BalanceSheet!F18</f>
        <v>115.4</v>
      </c>
      <c r="G592" s="225">
        <f>BalanceSheet!G18</f>
        <v>130.34</v>
      </c>
      <c r="H592" s="225">
        <f>BalanceSheet!H18</f>
        <v>183.92</v>
      </c>
      <c r="I592" s="225">
        <f>BalanceSheet!I18</f>
        <v>626.67999999999995</v>
      </c>
      <c r="J592" s="225">
        <f>BalanceSheet!J18</f>
        <v>536.81200000000001</v>
      </c>
    </row>
    <row r="594" spans="1:14">
      <c r="B594" t="s">
        <v>405</v>
      </c>
      <c r="C594" s="37">
        <f>C592/C591</f>
        <v>3.5416634293143547E-2</v>
      </c>
      <c r="D594" s="37">
        <f t="shared" ref="D594:J594" si="152">D592/D591</f>
        <v>3.811376931415697E-2</v>
      </c>
      <c r="E594" s="37">
        <f t="shared" si="152"/>
        <v>1.6798360906202622E-2</v>
      </c>
      <c r="F594" s="37">
        <f t="shared" si="152"/>
        <v>1.6186086697954159E-2</v>
      </c>
      <c r="G594" s="37">
        <f t="shared" si="152"/>
        <v>2.0207313329633155E-2</v>
      </c>
      <c r="H594" s="37">
        <f t="shared" si="152"/>
        <v>2.0844974006117935E-2</v>
      </c>
      <c r="I594" s="37">
        <f t="shared" si="152"/>
        <v>4.7572560528469296E-2</v>
      </c>
      <c r="J594" s="37">
        <f t="shared" si="152"/>
        <v>3.3461697964934693E-2</v>
      </c>
    </row>
    <row r="596" spans="1:14" ht="21">
      <c r="A596" t="s">
        <v>220</v>
      </c>
      <c r="B596" s="216" t="s">
        <v>406</v>
      </c>
    </row>
    <row r="598" spans="1:14">
      <c r="B598" s="184" t="s">
        <v>147</v>
      </c>
      <c r="C598" s="184" t="s">
        <v>326</v>
      </c>
      <c r="D598" s="184" t="s">
        <v>327</v>
      </c>
      <c r="E598" s="184" t="s">
        <v>328</v>
      </c>
      <c r="F598" s="184" t="s">
        <v>329</v>
      </c>
      <c r="G598" s="184" t="s">
        <v>330</v>
      </c>
      <c r="H598" s="184" t="s">
        <v>331</v>
      </c>
      <c r="I598" s="184" t="s">
        <v>332</v>
      </c>
      <c r="J598" s="184" t="s">
        <v>333</v>
      </c>
      <c r="K598" s="184" t="s">
        <v>334</v>
      </c>
      <c r="L598" s="184" t="s">
        <v>335</v>
      </c>
      <c r="M598" s="184" t="s">
        <v>336</v>
      </c>
      <c r="N598" s="184" t="s">
        <v>337</v>
      </c>
    </row>
    <row r="599" spans="1:14">
      <c r="B599" t="s">
        <v>376</v>
      </c>
      <c r="C599">
        <v>1713</v>
      </c>
      <c r="D599">
        <v>2375</v>
      </c>
      <c r="E599">
        <v>2355</v>
      </c>
      <c r="F599">
        <v>3496</v>
      </c>
      <c r="G599">
        <v>3715</v>
      </c>
      <c r="H599">
        <v>3981</v>
      </c>
      <c r="I599">
        <v>4387</v>
      </c>
      <c r="J599">
        <v>6479</v>
      </c>
      <c r="K599">
        <v>6409</v>
      </c>
      <c r="L599">
        <v>6311</v>
      </c>
      <c r="M599">
        <v>6932</v>
      </c>
      <c r="N599">
        <v>8409</v>
      </c>
    </row>
    <row r="600" spans="1:14">
      <c r="B600" t="s">
        <v>406</v>
      </c>
      <c r="C600">
        <v>189</v>
      </c>
      <c r="D600">
        <v>27</v>
      </c>
      <c r="E600">
        <v>25</v>
      </c>
      <c r="F600">
        <v>38</v>
      </c>
      <c r="G600">
        <v>96</v>
      </c>
      <c r="H600">
        <v>145</v>
      </c>
      <c r="I600">
        <v>352</v>
      </c>
      <c r="J600">
        <v>64</v>
      </c>
      <c r="K600">
        <v>67</v>
      </c>
      <c r="L600">
        <v>497</v>
      </c>
      <c r="M600">
        <v>607</v>
      </c>
      <c r="N600">
        <v>1922</v>
      </c>
    </row>
    <row r="601" spans="1:14">
      <c r="B601" s="20" t="s">
        <v>407</v>
      </c>
      <c r="C601" s="235">
        <f>C600/C599</f>
        <v>0.11033274956217162</v>
      </c>
      <c r="D601" s="235">
        <f t="shared" ref="D601:N601" si="153">D600/D599</f>
        <v>1.136842105263158E-2</v>
      </c>
      <c r="E601" s="235">
        <f t="shared" si="153"/>
        <v>1.0615711252653927E-2</v>
      </c>
      <c r="F601" s="235">
        <f t="shared" si="153"/>
        <v>1.0869565217391304E-2</v>
      </c>
      <c r="G601" s="235">
        <f t="shared" si="153"/>
        <v>2.5841184387617767E-2</v>
      </c>
      <c r="H601" s="235">
        <f t="shared" si="153"/>
        <v>3.6423009294147199E-2</v>
      </c>
      <c r="I601" s="235">
        <f t="shared" si="153"/>
        <v>8.0237064052883514E-2</v>
      </c>
      <c r="J601" s="235">
        <f t="shared" si="153"/>
        <v>9.8780676030251584E-3</v>
      </c>
      <c r="K601" s="235">
        <f t="shared" si="153"/>
        <v>1.0454048993602746E-2</v>
      </c>
      <c r="L601" s="235">
        <f t="shared" si="153"/>
        <v>7.8751386468071616E-2</v>
      </c>
      <c r="M601" s="235">
        <f t="shared" si="153"/>
        <v>8.7564916330063469E-2</v>
      </c>
      <c r="N601" s="235">
        <f t="shared" si="153"/>
        <v>0.22856463313116898</v>
      </c>
    </row>
    <row r="602" spans="1:14">
      <c r="B602" s="11"/>
      <c r="C602" s="195"/>
      <c r="D602" s="195"/>
      <c r="E602" s="195"/>
      <c r="F602" s="195"/>
      <c r="G602" s="195"/>
      <c r="H602" s="195"/>
      <c r="I602" s="195"/>
      <c r="J602" s="195"/>
      <c r="K602" s="195"/>
      <c r="L602" s="195"/>
      <c r="M602" s="195"/>
      <c r="N602" s="195"/>
    </row>
    <row r="603" spans="1:14">
      <c r="B603" s="173" t="s">
        <v>435</v>
      </c>
      <c r="C603" s="248">
        <f>MEDIAN(D601:F601,J601:K601)</f>
        <v>1.0615711252653927E-2</v>
      </c>
      <c r="D603" s="195"/>
      <c r="E603" s="195"/>
      <c r="F603" s="195"/>
      <c r="G603" s="195"/>
      <c r="H603" s="195"/>
      <c r="I603" s="195"/>
      <c r="J603" s="195"/>
      <c r="K603" s="195"/>
      <c r="L603" s="195"/>
      <c r="M603" s="195"/>
      <c r="N603" s="195"/>
    </row>
    <row r="604" spans="1:14">
      <c r="B604" s="173" t="s">
        <v>434</v>
      </c>
      <c r="C604" s="248">
        <f>MEDIAN(C601,G601:I601,L601:N601)</f>
        <v>8.0237064052883514E-2</v>
      </c>
      <c r="E604" s="195"/>
      <c r="F604" s="195"/>
      <c r="G604" s="195"/>
      <c r="H604" s="195"/>
      <c r="I604" s="195"/>
      <c r="J604" s="195"/>
      <c r="K604" s="195"/>
      <c r="L604" s="195"/>
      <c r="M604" s="195"/>
      <c r="N604" s="195"/>
    </row>
    <row r="605" spans="1:14">
      <c r="C605" s="37"/>
      <c r="D605" s="37"/>
      <c r="E605" s="37"/>
      <c r="F605" s="37"/>
      <c r="G605" s="37"/>
      <c r="H605" s="37"/>
      <c r="I605" s="37"/>
      <c r="J605" s="37"/>
    </row>
    <row r="606" spans="1:14">
      <c r="B606" s="184" t="s">
        <v>431</v>
      </c>
      <c r="C606" s="184"/>
      <c r="D606" s="184"/>
      <c r="E606" s="184"/>
      <c r="F606" s="184"/>
      <c r="G606" s="184"/>
      <c r="H606" s="184"/>
      <c r="I606" s="184"/>
      <c r="J606" s="184"/>
      <c r="K606" s="184"/>
      <c r="L606" s="184"/>
      <c r="M606" s="184"/>
      <c r="N606" s="184"/>
    </row>
    <row r="608" spans="1:14">
      <c r="B608" t="s">
        <v>408</v>
      </c>
    </row>
    <row r="610" spans="1:13" ht="21">
      <c r="A610" t="s">
        <v>220</v>
      </c>
      <c r="B610" s="216" t="s">
        <v>2</v>
      </c>
    </row>
    <row r="612" spans="1:13">
      <c r="B612" s="184" t="s">
        <v>147</v>
      </c>
      <c r="C612" s="184" t="s">
        <v>330</v>
      </c>
      <c r="D612" s="184" t="s">
        <v>331</v>
      </c>
      <c r="E612" s="184" t="s">
        <v>332</v>
      </c>
      <c r="F612" s="184" t="s">
        <v>333</v>
      </c>
      <c r="G612" s="184" t="s">
        <v>334</v>
      </c>
      <c r="H612" s="184" t="s">
        <v>335</v>
      </c>
      <c r="I612" s="184" t="s">
        <v>336</v>
      </c>
      <c r="J612" s="184" t="s">
        <v>337</v>
      </c>
    </row>
    <row r="613" spans="1:13">
      <c r="B613" s="11" t="s">
        <v>983</v>
      </c>
    </row>
    <row r="614" spans="1:13">
      <c r="B614" s="40" t="s">
        <v>984</v>
      </c>
      <c r="C614">
        <f>BalanceSheet!C6</f>
        <v>3355.85</v>
      </c>
      <c r="D614">
        <f>BalanceSheet!D6</f>
        <v>3541.17</v>
      </c>
      <c r="E614">
        <f>BalanceSheet!E6</f>
        <v>3860.18</v>
      </c>
      <c r="F614">
        <f>BalanceSheet!F6</f>
        <v>5892.5</v>
      </c>
      <c r="G614">
        <f>BalanceSheet!G6</f>
        <v>5827.19</v>
      </c>
      <c r="H614">
        <f>BalanceSheet!H6</f>
        <v>5155.17</v>
      </c>
      <c r="I614">
        <f>BalanceSheet!I6</f>
        <v>5441.5780000000004</v>
      </c>
      <c r="J614">
        <f>BalanceSheet!J6</f>
        <v>6803.1319999999996</v>
      </c>
    </row>
    <row r="615" spans="1:13">
      <c r="B615" s="40" t="s">
        <v>985</v>
      </c>
      <c r="C615">
        <f>BalanceSheet!C8</f>
        <v>0</v>
      </c>
      <c r="D615">
        <f>BalanceSheet!D8</f>
        <v>0</v>
      </c>
      <c r="E615">
        <f>BalanceSheet!E8</f>
        <v>0</v>
      </c>
      <c r="F615">
        <f>BalanceSheet!F8</f>
        <v>0</v>
      </c>
      <c r="G615">
        <f>BalanceSheet!G8</f>
        <v>0</v>
      </c>
      <c r="H615">
        <f>BalanceSheet!H8</f>
        <v>572.79899999999998</v>
      </c>
      <c r="I615">
        <f>BalanceSheet!I8</f>
        <v>915.50099999999998</v>
      </c>
      <c r="J615">
        <f>BalanceSheet!J8</f>
        <v>1034.7070000000001</v>
      </c>
    </row>
    <row r="616" spans="1:13">
      <c r="B616" s="20" t="s">
        <v>409</v>
      </c>
      <c r="C616" s="227">
        <f t="shared" ref="C616:J616" si="154">SUM(C614:C615)</f>
        <v>3355.85</v>
      </c>
      <c r="D616" s="227">
        <f t="shared" si="154"/>
        <v>3541.17</v>
      </c>
      <c r="E616" s="227">
        <f t="shared" si="154"/>
        <v>3860.18</v>
      </c>
      <c r="F616" s="227">
        <f t="shared" si="154"/>
        <v>5892.5</v>
      </c>
      <c r="G616" s="227">
        <f t="shared" si="154"/>
        <v>5827.19</v>
      </c>
      <c r="H616" s="227">
        <f t="shared" si="154"/>
        <v>5727.9690000000001</v>
      </c>
      <c r="I616" s="227">
        <f t="shared" si="154"/>
        <v>6357.0790000000006</v>
      </c>
      <c r="J616" s="227">
        <f t="shared" si="154"/>
        <v>7837.8389999999999</v>
      </c>
    </row>
    <row r="617" spans="1:13">
      <c r="B617" t="s">
        <v>410</v>
      </c>
      <c r="C617" s="225">
        <v>1443</v>
      </c>
      <c r="D617" s="225">
        <v>1654</v>
      </c>
      <c r="E617" s="225">
        <v>1785</v>
      </c>
      <c r="F617" s="225">
        <v>2265</v>
      </c>
      <c r="G617" s="225">
        <v>2624</v>
      </c>
      <c r="H617" s="225">
        <v>3099</v>
      </c>
      <c r="I617" s="225">
        <v>3509</v>
      </c>
      <c r="J617" s="225">
        <v>4036</v>
      </c>
    </row>
    <row r="618" spans="1:13" ht="15" thickBot="1">
      <c r="B618" s="25" t="s">
        <v>411</v>
      </c>
      <c r="C618" s="233">
        <f t="shared" ref="C618:J618" si="155">C616-C617</f>
        <v>1912.85</v>
      </c>
      <c r="D618" s="233">
        <f t="shared" si="155"/>
        <v>1887.17</v>
      </c>
      <c r="E618" s="233">
        <f t="shared" si="155"/>
        <v>2075.1799999999998</v>
      </c>
      <c r="F618" s="233">
        <f t="shared" si="155"/>
        <v>3627.5</v>
      </c>
      <c r="G618" s="233">
        <f t="shared" si="155"/>
        <v>3203.1899999999996</v>
      </c>
      <c r="H618" s="233">
        <f t="shared" si="155"/>
        <v>2628.9690000000001</v>
      </c>
      <c r="I618" s="233">
        <f t="shared" si="155"/>
        <v>2848.0790000000006</v>
      </c>
      <c r="J618" s="233">
        <f t="shared" si="155"/>
        <v>3801.8389999999999</v>
      </c>
    </row>
    <row r="620" spans="1:13">
      <c r="B620" t="s">
        <v>412</v>
      </c>
      <c r="C620">
        <f t="shared" ref="C620:J620" si="156">G512</f>
        <v>322</v>
      </c>
      <c r="D620">
        <f t="shared" si="156"/>
        <v>347</v>
      </c>
      <c r="E620">
        <f t="shared" si="156"/>
        <v>385</v>
      </c>
      <c r="F620">
        <f t="shared" si="156"/>
        <v>489</v>
      </c>
      <c r="G620">
        <f t="shared" si="156"/>
        <v>529</v>
      </c>
      <c r="H620">
        <f t="shared" si="156"/>
        <v>531</v>
      </c>
      <c r="I620">
        <f t="shared" si="156"/>
        <v>617</v>
      </c>
      <c r="J620">
        <f t="shared" si="156"/>
        <v>681</v>
      </c>
    </row>
    <row r="621" spans="1:13">
      <c r="L621" s="184" t="s">
        <v>319</v>
      </c>
      <c r="M621" s="184" t="s">
        <v>320</v>
      </c>
    </row>
    <row r="622" spans="1:13">
      <c r="B622" s="28" t="s">
        <v>413</v>
      </c>
      <c r="C622" s="236">
        <f t="shared" ref="C622:J622" si="157">C616/C620</f>
        <v>10.421894409937888</v>
      </c>
      <c r="D622" s="236">
        <f t="shared" si="157"/>
        <v>10.205100864553314</v>
      </c>
      <c r="E622" s="236">
        <f t="shared" si="157"/>
        <v>10.026441558441558</v>
      </c>
      <c r="F622" s="236">
        <f t="shared" si="157"/>
        <v>12.050102249488752</v>
      </c>
      <c r="G622" s="236">
        <f t="shared" si="157"/>
        <v>11.015482041587902</v>
      </c>
      <c r="H622" s="236">
        <f t="shared" si="157"/>
        <v>10.78713559322034</v>
      </c>
      <c r="I622" s="236">
        <f t="shared" si="157"/>
        <v>10.303207455429499</v>
      </c>
      <c r="J622" s="236">
        <f t="shared" si="157"/>
        <v>11.509308370044053</v>
      </c>
      <c r="L622" s="236">
        <f>MEDIAN(C622:J622)</f>
        <v>10.604515001579113</v>
      </c>
      <c r="M622" s="236">
        <f>AVERAGE(C622:J622)</f>
        <v>10.789834067837914</v>
      </c>
    </row>
    <row r="623" spans="1:13">
      <c r="B623" s="28" t="s">
        <v>414</v>
      </c>
      <c r="C623" s="236">
        <f t="shared" ref="C623:J623" si="158">C617/C620</f>
        <v>4.4813664596273295</v>
      </c>
      <c r="D623" s="236">
        <f t="shared" si="158"/>
        <v>4.7665706051873196</v>
      </c>
      <c r="E623" s="236">
        <f t="shared" si="158"/>
        <v>4.6363636363636367</v>
      </c>
      <c r="F623" s="236">
        <f t="shared" si="158"/>
        <v>4.6319018404907979</v>
      </c>
      <c r="G623" s="236">
        <f t="shared" si="158"/>
        <v>4.960302457466919</v>
      </c>
      <c r="H623" s="236">
        <f t="shared" si="158"/>
        <v>5.8361581920903953</v>
      </c>
      <c r="I623" s="236">
        <f t="shared" si="158"/>
        <v>5.6871961102106967</v>
      </c>
      <c r="J623" s="236">
        <f t="shared" si="158"/>
        <v>5.9265785609397943</v>
      </c>
      <c r="L623" s="236">
        <f>MEDIAN(C623:J623)</f>
        <v>4.8634365313271193</v>
      </c>
      <c r="M623" s="236">
        <f>AVERAGE(C623:J623)</f>
        <v>5.1158047327971117</v>
      </c>
    </row>
    <row r="625" spans="2:13">
      <c r="B625" s="28" t="s">
        <v>415</v>
      </c>
      <c r="C625" s="237">
        <f t="shared" ref="C625:J625" si="159">C620/C618</f>
        <v>0.16833520662885224</v>
      </c>
      <c r="D625" s="237">
        <f t="shared" si="159"/>
        <v>0.18387320697128504</v>
      </c>
      <c r="E625" s="237">
        <f t="shared" si="159"/>
        <v>0.18552607484651934</v>
      </c>
      <c r="F625" s="237">
        <f t="shared" si="159"/>
        <v>0.13480358373535492</v>
      </c>
      <c r="G625" s="237">
        <f t="shared" si="159"/>
        <v>0.16514786821886934</v>
      </c>
      <c r="H625" s="237">
        <f t="shared" si="159"/>
        <v>0.20198032004181107</v>
      </c>
      <c r="I625" s="237">
        <f t="shared" si="159"/>
        <v>0.21663724917742797</v>
      </c>
      <c r="J625" s="237">
        <f t="shared" si="159"/>
        <v>0.17912383980489444</v>
      </c>
      <c r="L625" s="237">
        <f>MEDIAN(C625:J625)</f>
        <v>0.18149852338808975</v>
      </c>
      <c r="M625" s="237">
        <f>AVERAGE(C625:J625)</f>
        <v>0.17942841867812681</v>
      </c>
    </row>
    <row r="628" spans="2:13">
      <c r="B628" s="28" t="s">
        <v>416</v>
      </c>
      <c r="C628" s="237">
        <f t="shared" ref="C628:J628" si="160">C620/G473</f>
        <v>8.3398083398083397E-2</v>
      </c>
      <c r="D628" s="237">
        <f t="shared" si="160"/>
        <v>8.6663336663336657E-2</v>
      </c>
      <c r="E628" s="237">
        <f t="shared" si="160"/>
        <v>7.5416258570029385E-2</v>
      </c>
      <c r="F628" s="237">
        <f t="shared" si="160"/>
        <v>6.8583450210378677E-2</v>
      </c>
      <c r="G628" s="237">
        <f t="shared" si="160"/>
        <v>8.2015503875968995E-2</v>
      </c>
      <c r="H628" s="237">
        <f t="shared" si="160"/>
        <v>6.0183611016660997E-2</v>
      </c>
      <c r="I628" s="237">
        <f t="shared" si="160"/>
        <v>4.6838229712290291E-2</v>
      </c>
      <c r="J628" s="237">
        <f t="shared" si="160"/>
        <v>4.2448419871595089E-2</v>
      </c>
      <c r="L628" s="237">
        <f>MEDIAN(C628:J628)</f>
        <v>7.1999854390204038E-2</v>
      </c>
      <c r="M628" s="237">
        <f>AVERAGE(C628:J628)</f>
        <v>6.8193361664792937E-2</v>
      </c>
    </row>
    <row r="644" spans="1:43" ht="31.2">
      <c r="A644" s="21" t="s">
        <v>220</v>
      </c>
      <c r="B644" s="182" t="s">
        <v>992</v>
      </c>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row>
    <row r="645" spans="1:43" ht="12.6" customHeight="1">
      <c r="B645" s="180"/>
    </row>
    <row r="646" spans="1:43" ht="21">
      <c r="A646" t="s">
        <v>220</v>
      </c>
      <c r="B646" s="216" t="s">
        <v>506</v>
      </c>
    </row>
    <row r="648" spans="1:43">
      <c r="B648" s="184" t="s">
        <v>147</v>
      </c>
      <c r="C648" s="184" t="s">
        <v>326</v>
      </c>
      <c r="D648" s="184" t="s">
        <v>327</v>
      </c>
      <c r="E648" s="184" t="s">
        <v>328</v>
      </c>
      <c r="F648" s="184" t="s">
        <v>329</v>
      </c>
      <c r="G648" s="184" t="s">
        <v>330</v>
      </c>
      <c r="H648" s="184" t="s">
        <v>331</v>
      </c>
      <c r="I648" s="184" t="s">
        <v>332</v>
      </c>
      <c r="J648" s="184" t="s">
        <v>333</v>
      </c>
      <c r="K648" s="184" t="s">
        <v>334</v>
      </c>
      <c r="L648" s="184" t="s">
        <v>335</v>
      </c>
      <c r="M648" s="184" t="s">
        <v>336</v>
      </c>
      <c r="N648" s="184" t="s">
        <v>337</v>
      </c>
    </row>
    <row r="649" spans="1:43">
      <c r="B649" t="s">
        <v>506</v>
      </c>
      <c r="C649" s="210">
        <v>91</v>
      </c>
      <c r="D649" s="210">
        <v>139</v>
      </c>
      <c r="E649" s="210">
        <v>181</v>
      </c>
      <c r="F649" s="210">
        <v>185</v>
      </c>
      <c r="G649" s="210">
        <v>275</v>
      </c>
      <c r="H649" s="210">
        <v>191</v>
      </c>
      <c r="I649" s="210">
        <v>317</v>
      </c>
      <c r="J649" s="210">
        <v>478</v>
      </c>
      <c r="K649" s="210">
        <v>511</v>
      </c>
      <c r="L649" s="210">
        <v>712</v>
      </c>
      <c r="M649" s="210">
        <v>824</v>
      </c>
      <c r="N649" s="210">
        <v>758</v>
      </c>
    </row>
    <row r="650" spans="1:43">
      <c r="B650" s="189" t="s">
        <v>324</v>
      </c>
      <c r="D650" s="171">
        <f>D649/C649-1</f>
        <v>0.52747252747252737</v>
      </c>
      <c r="E650" s="171">
        <f t="shared" ref="E650:N650" si="161">E649/D649-1</f>
        <v>0.30215827338129486</v>
      </c>
      <c r="F650" s="171">
        <f t="shared" si="161"/>
        <v>2.2099447513812098E-2</v>
      </c>
      <c r="G650" s="171">
        <f t="shared" si="161"/>
        <v>0.4864864864864864</v>
      </c>
      <c r="H650" s="171">
        <f t="shared" si="161"/>
        <v>-0.30545454545454542</v>
      </c>
      <c r="I650" s="171">
        <f t="shared" si="161"/>
        <v>0.65968586387434547</v>
      </c>
      <c r="J650" s="171">
        <f t="shared" si="161"/>
        <v>0.50788643533123023</v>
      </c>
      <c r="K650" s="171">
        <f t="shared" si="161"/>
        <v>6.9037656903765621E-2</v>
      </c>
      <c r="L650" s="171">
        <f t="shared" si="161"/>
        <v>0.39334637964774943</v>
      </c>
      <c r="M650" s="171">
        <f t="shared" si="161"/>
        <v>0.15730337078651679</v>
      </c>
      <c r="N650" s="171">
        <f t="shared" si="161"/>
        <v>-8.0097087378640741E-2</v>
      </c>
    </row>
    <row r="652" spans="1:43">
      <c r="B652" s="11" t="s">
        <v>46</v>
      </c>
      <c r="C652" s="210">
        <f t="shared" ref="C652:N652" si="162">C346</f>
        <v>1028</v>
      </c>
      <c r="D652" s="210">
        <f t="shared" si="162"/>
        <v>1199</v>
      </c>
      <c r="E652" s="210">
        <f t="shared" si="162"/>
        <v>1376</v>
      </c>
      <c r="F652" s="210">
        <f t="shared" si="162"/>
        <v>1716</v>
      </c>
      <c r="G652" s="210">
        <f t="shared" si="162"/>
        <v>1738</v>
      </c>
      <c r="H652" s="210">
        <f t="shared" si="162"/>
        <v>1810</v>
      </c>
      <c r="I652" s="210">
        <f t="shared" si="162"/>
        <v>2244</v>
      </c>
      <c r="J652" s="210">
        <f t="shared" si="162"/>
        <v>3219</v>
      </c>
      <c r="K652" s="210">
        <f t="shared" si="162"/>
        <v>2764</v>
      </c>
      <c r="L652" s="210">
        <f t="shared" si="162"/>
        <v>4035</v>
      </c>
      <c r="M652" s="210">
        <f t="shared" si="162"/>
        <v>6261</v>
      </c>
      <c r="N652" s="210">
        <f t="shared" si="162"/>
        <v>7405</v>
      </c>
    </row>
    <row r="654" spans="1:43">
      <c r="B654" s="28" t="s">
        <v>507</v>
      </c>
      <c r="C654" s="268">
        <f>C649/C652</f>
        <v>8.8521400778210121E-2</v>
      </c>
      <c r="D654" s="268">
        <f t="shared" ref="D654:N654" si="163">D649/D652</f>
        <v>0.11592994161801501</v>
      </c>
      <c r="E654" s="268">
        <f t="shared" si="163"/>
        <v>0.13154069767441862</v>
      </c>
      <c r="F654" s="268">
        <f t="shared" si="163"/>
        <v>0.10780885780885781</v>
      </c>
      <c r="G654" s="268">
        <f t="shared" si="163"/>
        <v>0.15822784810126583</v>
      </c>
      <c r="H654" s="268">
        <f t="shared" si="163"/>
        <v>0.10552486187845304</v>
      </c>
      <c r="I654" s="268">
        <f t="shared" si="163"/>
        <v>0.14126559714795009</v>
      </c>
      <c r="J654" s="268">
        <f t="shared" si="163"/>
        <v>0.14849332090711401</v>
      </c>
      <c r="K654" s="268">
        <f t="shared" si="163"/>
        <v>0.18487698986975398</v>
      </c>
      <c r="L654" s="268">
        <f t="shared" si="163"/>
        <v>0.17645600991325899</v>
      </c>
      <c r="M654" s="268">
        <f t="shared" si="163"/>
        <v>0.13160836927008465</v>
      </c>
      <c r="N654" s="268">
        <f t="shared" si="163"/>
        <v>0.10236326806212019</v>
      </c>
      <c r="P654" s="237">
        <f>MEDIAN(C654:N654)</f>
        <v>0.13157453347225162</v>
      </c>
      <c r="Q654" s="237">
        <f>AVERAGE(C654:N654)</f>
        <v>0.1327180969191252</v>
      </c>
    </row>
    <row r="656" spans="1:43">
      <c r="B656" s="11" t="s">
        <v>508</v>
      </c>
      <c r="C656" s="214">
        <f>$B$657/(C652/C649)</f>
        <v>32.310311284046691</v>
      </c>
      <c r="D656" s="214">
        <f t="shared" ref="D656:N656" si="164">$B$657/(D652/D649)</f>
        <v>42.314428690575475</v>
      </c>
      <c r="E656" s="214">
        <f t="shared" si="164"/>
        <v>48.012354651162788</v>
      </c>
      <c r="F656" s="214">
        <f t="shared" si="164"/>
        <v>39.350233100233105</v>
      </c>
      <c r="G656" s="214">
        <f t="shared" si="164"/>
        <v>57.75316455696202</v>
      </c>
      <c r="H656" s="214">
        <f t="shared" si="164"/>
        <v>38.516574585635354</v>
      </c>
      <c r="I656" s="214">
        <f t="shared" si="164"/>
        <v>51.561942959001783</v>
      </c>
      <c r="J656" s="214">
        <f t="shared" si="164"/>
        <v>54.200062131096615</v>
      </c>
      <c r="K656" s="214">
        <f t="shared" si="164"/>
        <v>67.480101302460199</v>
      </c>
      <c r="L656" s="214">
        <f t="shared" si="164"/>
        <v>64.406443618339523</v>
      </c>
      <c r="M656" s="214">
        <f t="shared" si="164"/>
        <v>48.037054783580892</v>
      </c>
      <c r="N656" s="214">
        <f t="shared" si="164"/>
        <v>37.36259284267387</v>
      </c>
      <c r="P656" s="280">
        <f>MEDIAN(C656:N656)</f>
        <v>48.02470471737184</v>
      </c>
      <c r="Q656" s="280">
        <f>AVERAGE(C656:N656)</f>
        <v>48.442105375480686</v>
      </c>
    </row>
    <row r="657" spans="2:17">
      <c r="B657" s="206">
        <v>365</v>
      </c>
    </row>
    <row r="659" spans="2:17">
      <c r="B659" t="s">
        <v>36</v>
      </c>
      <c r="C659" s="218">
        <f t="shared" ref="C659:N659" si="165">C245</f>
        <v>1800</v>
      </c>
      <c r="D659" s="218">
        <f t="shared" si="165"/>
        <v>2115</v>
      </c>
      <c r="E659" s="218">
        <f t="shared" si="165"/>
        <v>2502</v>
      </c>
      <c r="F659" s="218">
        <f t="shared" si="165"/>
        <v>3394</v>
      </c>
      <c r="G659" s="218">
        <f t="shared" si="165"/>
        <v>3861</v>
      </c>
      <c r="H659" s="218">
        <f t="shared" si="165"/>
        <v>4004</v>
      </c>
      <c r="I659" s="218">
        <f t="shared" si="165"/>
        <v>5105</v>
      </c>
      <c r="J659" s="218">
        <f t="shared" si="165"/>
        <v>7130</v>
      </c>
      <c r="K659" s="218">
        <f t="shared" si="165"/>
        <v>6450</v>
      </c>
      <c r="L659" s="218">
        <f t="shared" si="165"/>
        <v>8823</v>
      </c>
      <c r="M659" s="218">
        <f t="shared" si="165"/>
        <v>13173</v>
      </c>
      <c r="N659" s="218">
        <f t="shared" si="165"/>
        <v>16043</v>
      </c>
    </row>
    <row r="661" spans="2:17">
      <c r="B661" t="s">
        <v>509</v>
      </c>
      <c r="C661" s="37">
        <f>C649/C659</f>
        <v>5.0555555555555555E-2</v>
      </c>
      <c r="D661" s="37">
        <f t="shared" ref="D661:N661" si="166">D649/D659</f>
        <v>6.5721040189125293E-2</v>
      </c>
      <c r="E661" s="37">
        <f t="shared" si="166"/>
        <v>7.2342126298960835E-2</v>
      </c>
      <c r="F661" s="37">
        <f t="shared" si="166"/>
        <v>5.4507955215085446E-2</v>
      </c>
      <c r="G661" s="37">
        <f t="shared" si="166"/>
        <v>7.1225071225071226E-2</v>
      </c>
      <c r="H661" s="37">
        <f t="shared" si="166"/>
        <v>4.7702297702297704E-2</v>
      </c>
      <c r="I661" s="37">
        <f t="shared" si="166"/>
        <v>6.2095984329089131E-2</v>
      </c>
      <c r="J661" s="37">
        <f t="shared" si="166"/>
        <v>6.7040673211781213E-2</v>
      </c>
      <c r="K661" s="37">
        <f t="shared" si="166"/>
        <v>7.9224806201550382E-2</v>
      </c>
      <c r="L661" s="37">
        <f t="shared" si="166"/>
        <v>8.0698175223846758E-2</v>
      </c>
      <c r="M661" s="37">
        <f t="shared" si="166"/>
        <v>6.2552190085781528E-2</v>
      </c>
      <c r="N661" s="37">
        <f t="shared" si="166"/>
        <v>4.7248020943713769E-2</v>
      </c>
      <c r="P661" s="237">
        <f>MEDIAN(C661:N661)</f>
        <v>6.4136615137453418E-2</v>
      </c>
      <c r="Q661" s="237">
        <f>AVERAGE(C661:N661)</f>
        <v>6.3409491348488237E-2</v>
      </c>
    </row>
    <row r="662" spans="2:17">
      <c r="B662" t="s">
        <v>510</v>
      </c>
      <c r="C662" s="37">
        <f t="shared" ref="C662:N662" si="167">C406/C659</f>
        <v>5.0555555555555555E-2</v>
      </c>
      <c r="D662" s="37">
        <f t="shared" si="167"/>
        <v>3.0732860520094562E-2</v>
      </c>
      <c r="E662" s="37">
        <f t="shared" si="167"/>
        <v>3.8768984812150277E-2</v>
      </c>
      <c r="F662" s="37">
        <f t="shared" si="167"/>
        <v>2.8874484384207425E-2</v>
      </c>
      <c r="G662" s="37">
        <f t="shared" si="167"/>
        <v>3.392903392903393E-2</v>
      </c>
      <c r="H662" s="37">
        <f t="shared" si="167"/>
        <v>3.7462537462537464E-2</v>
      </c>
      <c r="I662" s="37">
        <f t="shared" si="167"/>
        <v>2.5073457394711066E-2</v>
      </c>
      <c r="J662" s="37">
        <f t="shared" si="167"/>
        <v>2.4263674614305751E-2</v>
      </c>
      <c r="K662" s="37">
        <f t="shared" si="167"/>
        <v>3.7519379844961238E-2</v>
      </c>
      <c r="L662" s="37">
        <f t="shared" si="167"/>
        <v>2.5048169556840076E-2</v>
      </c>
      <c r="M662" s="37">
        <f t="shared" si="167"/>
        <v>2.2697942761709559E-2</v>
      </c>
      <c r="N662" s="37">
        <f t="shared" si="167"/>
        <v>2.2377360842735148E-2</v>
      </c>
      <c r="P662" s="237">
        <f>MEDIAN(C662:N662)</f>
        <v>2.9803672452150994E-2</v>
      </c>
      <c r="Q662" s="237">
        <f>AVERAGE(C662:N662)</f>
        <v>3.144195347323684E-2</v>
      </c>
    </row>
    <row r="664" spans="2:17">
      <c r="B664" s="184" t="s">
        <v>443</v>
      </c>
    </row>
    <row r="666" spans="2:17">
      <c r="B666" t="s">
        <v>439</v>
      </c>
    </row>
    <row r="668" spans="2:17">
      <c r="B668" s="184" t="s">
        <v>426</v>
      </c>
      <c r="D668" s="175"/>
      <c r="E668" s="175"/>
    </row>
    <row r="669" spans="2:17">
      <c r="D669" s="175"/>
      <c r="E669" s="175"/>
    </row>
    <row r="670" spans="2:17">
      <c r="B670" s="561" t="s">
        <v>511</v>
      </c>
      <c r="C670" s="561"/>
      <c r="D670" s="561"/>
      <c r="E670" s="561"/>
    </row>
    <row r="671" spans="2:17">
      <c r="B671" s="173" t="s">
        <v>300</v>
      </c>
      <c r="C671" s="172" t="s">
        <v>441</v>
      </c>
      <c r="D671" s="172" t="s">
        <v>292</v>
      </c>
    </row>
    <row r="672" spans="2:17">
      <c r="B672" s="530" t="s">
        <v>979</v>
      </c>
      <c r="C672">
        <v>38</v>
      </c>
      <c r="D672">
        <v>37</v>
      </c>
    </row>
    <row r="673" spans="2:14">
      <c r="B673" s="530" t="s">
        <v>980</v>
      </c>
      <c r="C673" s="250">
        <v>17</v>
      </c>
      <c r="D673" s="250">
        <v>19</v>
      </c>
    </row>
    <row r="674" spans="2:14">
      <c r="B674" s="530" t="s">
        <v>981</v>
      </c>
      <c r="C674" s="250">
        <v>22.3</v>
      </c>
      <c r="D674" s="250">
        <v>23</v>
      </c>
    </row>
    <row r="676" spans="2:14">
      <c r="B676" s="184" t="s">
        <v>431</v>
      </c>
      <c r="C676" s="184"/>
      <c r="D676" s="184"/>
      <c r="E676" s="184"/>
      <c r="F676" s="184"/>
      <c r="G676" s="184"/>
      <c r="H676" s="184"/>
      <c r="I676" s="184"/>
      <c r="J676" s="184"/>
      <c r="K676" s="184"/>
      <c r="L676" s="184"/>
      <c r="M676" s="184"/>
      <c r="N676" s="184"/>
    </row>
    <row r="678" spans="2:14">
      <c r="B678" t="s">
        <v>408</v>
      </c>
    </row>
    <row r="689" spans="1:13" ht="21">
      <c r="A689" t="s">
        <v>220</v>
      </c>
      <c r="B689" s="216" t="s">
        <v>14</v>
      </c>
    </row>
    <row r="691" spans="1:13">
      <c r="B691" t="s">
        <v>512</v>
      </c>
    </row>
    <row r="693" spans="1:13" ht="21">
      <c r="A693" t="s">
        <v>220</v>
      </c>
      <c r="B693" s="216" t="s">
        <v>513</v>
      </c>
    </row>
    <row r="695" spans="1:13">
      <c r="B695" s="129" t="s">
        <v>147</v>
      </c>
      <c r="C695" s="131">
        <v>2016</v>
      </c>
      <c r="D695" s="131">
        <f>C695+1</f>
        <v>2017</v>
      </c>
      <c r="E695" s="131">
        <f t="shared" ref="E695:J695" si="168">D695+1</f>
        <v>2018</v>
      </c>
      <c r="F695" s="131">
        <f t="shared" si="168"/>
        <v>2019</v>
      </c>
      <c r="G695" s="131">
        <f t="shared" si="168"/>
        <v>2020</v>
      </c>
      <c r="H695" s="131">
        <f t="shared" si="168"/>
        <v>2021</v>
      </c>
      <c r="I695" s="131">
        <f t="shared" si="168"/>
        <v>2022</v>
      </c>
      <c r="J695" s="131">
        <f t="shared" si="168"/>
        <v>2023</v>
      </c>
    </row>
    <row r="696" spans="1:13">
      <c r="B696" t="s">
        <v>514</v>
      </c>
      <c r="C696" s="225">
        <f>BalanceSheet!C47</f>
        <v>1218.3599999999999</v>
      </c>
      <c r="D696" s="225">
        <f>BalanceSheet!D47</f>
        <v>1691.37</v>
      </c>
      <c r="E696" s="225">
        <f>BalanceSheet!E47</f>
        <v>1980.07</v>
      </c>
      <c r="F696" s="225">
        <f>BalanceSheet!F47</f>
        <v>2355.38</v>
      </c>
      <c r="G696" s="225">
        <f>BalanceSheet!G47</f>
        <v>1979.62</v>
      </c>
      <c r="H696" s="225">
        <f>BalanceSheet!H47</f>
        <v>1813.33</v>
      </c>
      <c r="I696" s="225">
        <f>BalanceSheet!I47</f>
        <v>1727.02</v>
      </c>
      <c r="J696" s="225">
        <f>BalanceSheet!J47</f>
        <v>3188.9380000000001</v>
      </c>
    </row>
    <row r="697" spans="1:13">
      <c r="B697" s="189" t="s">
        <v>516</v>
      </c>
      <c r="D697" s="281">
        <f>D696/C696-1</f>
        <v>0.38823500443218761</v>
      </c>
      <c r="E697" s="281">
        <f t="shared" ref="E697:J697" si="169">E696/D696-1</f>
        <v>0.17069003234064706</v>
      </c>
      <c r="F697" s="281">
        <f t="shared" si="169"/>
        <v>0.18954380400692905</v>
      </c>
      <c r="G697" s="281">
        <f t="shared" si="169"/>
        <v>-0.15953264441406489</v>
      </c>
      <c r="H697" s="281">
        <f t="shared" si="169"/>
        <v>-8.40009698831089E-2</v>
      </c>
      <c r="I697" s="281">
        <f t="shared" si="169"/>
        <v>-4.7597513966018301E-2</v>
      </c>
      <c r="J697" s="281">
        <f t="shared" si="169"/>
        <v>0.84649743488784157</v>
      </c>
      <c r="L697" s="282">
        <f>MEDIAN(C697:J697)</f>
        <v>0.17069003234064706</v>
      </c>
      <c r="M697" s="282">
        <f>AVERAGE(C697:J697)</f>
        <v>0.18626216391491618</v>
      </c>
    </row>
    <row r="698" spans="1:13">
      <c r="B698" t="s">
        <v>515</v>
      </c>
      <c r="C698" s="225">
        <f>BalanceSheet!C58</f>
        <v>411.13</v>
      </c>
      <c r="D698" s="225">
        <f>BalanceSheet!D58</f>
        <v>353.37</v>
      </c>
      <c r="E698" s="225">
        <f>BalanceSheet!E58</f>
        <v>377.66</v>
      </c>
      <c r="F698" s="225">
        <f>BalanceSheet!F58</f>
        <v>467.15</v>
      </c>
      <c r="G698" s="225">
        <f>BalanceSheet!G58</f>
        <v>713.86</v>
      </c>
      <c r="H698" s="225">
        <f>BalanceSheet!H58</f>
        <v>1528.57</v>
      </c>
      <c r="I698" s="225">
        <f>BalanceSheet!I58</f>
        <v>1967.79</v>
      </c>
      <c r="J698" s="225">
        <f>BalanceSheet!J58</f>
        <v>2005.4490000000001</v>
      </c>
    </row>
    <row r="699" spans="1:13">
      <c r="B699" s="189" t="s">
        <v>516</v>
      </c>
      <c r="D699" s="281">
        <f>D698/C698-1</f>
        <v>-0.14049084231265052</v>
      </c>
      <c r="E699" s="281">
        <f t="shared" ref="E699" si="170">E698/D698-1</f>
        <v>6.8738149814641991E-2</v>
      </c>
      <c r="F699" s="281">
        <f t="shared" ref="F699" si="171">F698/E698-1</f>
        <v>0.23695916962347074</v>
      </c>
      <c r="G699" s="281">
        <f t="shared" ref="G699" si="172">G698/F698-1</f>
        <v>0.52811730707481552</v>
      </c>
      <c r="H699" s="281">
        <f t="shared" ref="H699" si="173">H698/G698-1</f>
        <v>1.1412741994228557</v>
      </c>
      <c r="I699" s="281">
        <f t="shared" ref="I699" si="174">I698/H698-1</f>
        <v>0.28734045545836961</v>
      </c>
      <c r="J699" s="281">
        <f t="shared" ref="J699" si="175">J698/I698-1</f>
        <v>1.9137712865702206E-2</v>
      </c>
      <c r="L699" s="282">
        <f>MEDIAN(C699:J699)</f>
        <v>0.23695916962347074</v>
      </c>
      <c r="M699" s="282">
        <f>AVERAGE(C699:J699)</f>
        <v>0.3058680217067436</v>
      </c>
    </row>
    <row r="700" spans="1:13">
      <c r="B700" s="20" t="s">
        <v>517</v>
      </c>
      <c r="C700" s="227">
        <f>SUM(C698,C696)</f>
        <v>1629.4899999999998</v>
      </c>
      <c r="D700" s="227">
        <f t="shared" ref="D700:J700" si="176">SUM(D698,D696)</f>
        <v>2044.7399999999998</v>
      </c>
      <c r="E700" s="227">
        <f t="shared" si="176"/>
        <v>2357.73</v>
      </c>
      <c r="F700" s="227">
        <f t="shared" si="176"/>
        <v>2822.53</v>
      </c>
      <c r="G700" s="227">
        <f t="shared" si="176"/>
        <v>2693.48</v>
      </c>
      <c r="H700" s="227">
        <f t="shared" si="176"/>
        <v>3341.8999999999996</v>
      </c>
      <c r="I700" s="227">
        <f t="shared" si="176"/>
        <v>3694.81</v>
      </c>
      <c r="J700" s="227">
        <f t="shared" si="176"/>
        <v>5194.3870000000006</v>
      </c>
    </row>
    <row r="701" spans="1:13">
      <c r="B701" s="189" t="s">
        <v>516</v>
      </c>
      <c r="D701" s="281">
        <f>D700/C700-1</f>
        <v>0.25483433466912975</v>
      </c>
      <c r="E701" s="281">
        <f t="shared" ref="E701" si="177">E700/D700-1</f>
        <v>0.1530708060682533</v>
      </c>
      <c r="F701" s="281">
        <f t="shared" ref="F701" si="178">F700/E700-1</f>
        <v>0.19713877331161767</v>
      </c>
      <c r="G701" s="281">
        <f t="shared" ref="G701" si="179">G700/F700-1</f>
        <v>-4.5721391800972899E-2</v>
      </c>
      <c r="H701" s="281">
        <f t="shared" ref="H701" si="180">H700/G700-1</f>
        <v>0.24073689056536507</v>
      </c>
      <c r="I701" s="281">
        <f t="shared" ref="I701" si="181">I700/H700-1</f>
        <v>0.10560160387803363</v>
      </c>
      <c r="J701" s="281">
        <f t="shared" ref="J701" si="182">J700/I700-1</f>
        <v>0.40586038253658518</v>
      </c>
      <c r="L701" s="282">
        <f>MEDIAN(C701:J701)</f>
        <v>0.19713877331161767</v>
      </c>
      <c r="M701" s="282">
        <f>AVERAGE(C701:J701)</f>
        <v>0.18736019988971594</v>
      </c>
    </row>
    <row r="703" spans="1:13">
      <c r="B703" t="s">
        <v>518</v>
      </c>
      <c r="C703" s="171">
        <f>C696/C700</f>
        <v>0.74769406378682901</v>
      </c>
      <c r="D703" s="171">
        <f t="shared" ref="D703:J703" si="183">D696/D700</f>
        <v>0.82718096188268442</v>
      </c>
      <c r="E703" s="171">
        <f t="shared" si="183"/>
        <v>0.8398205053165545</v>
      </c>
      <c r="F703" s="171">
        <f t="shared" si="183"/>
        <v>0.8344924588932624</v>
      </c>
      <c r="G703" s="171">
        <f t="shared" si="183"/>
        <v>0.7349674027651959</v>
      </c>
      <c r="H703" s="171">
        <f t="shared" si="183"/>
        <v>0.54260450641850444</v>
      </c>
      <c r="I703" s="171">
        <f t="shared" si="183"/>
        <v>0.46741781038808489</v>
      </c>
      <c r="J703" s="171">
        <f t="shared" si="183"/>
        <v>0.61391998709376094</v>
      </c>
      <c r="L703" s="283">
        <f>MEDIAN(C703:J703)</f>
        <v>0.7413307332760124</v>
      </c>
      <c r="M703" s="283">
        <f>AVERAGE(C703:J703)</f>
        <v>0.7010122120681096</v>
      </c>
    </row>
    <row r="704" spans="1:13">
      <c r="B704" t="s">
        <v>519</v>
      </c>
      <c r="C704" s="171">
        <f>C698/C700</f>
        <v>0.25230593621317104</v>
      </c>
      <c r="D704" s="171">
        <f t="shared" ref="D704:J704" si="184">D698/D700</f>
        <v>0.17281903811731567</v>
      </c>
      <c r="E704" s="171">
        <f t="shared" si="184"/>
        <v>0.16017949468344553</v>
      </c>
      <c r="F704" s="171">
        <f t="shared" si="184"/>
        <v>0.16550754110673754</v>
      </c>
      <c r="G704" s="171">
        <f t="shared" si="184"/>
        <v>0.26503259723480405</v>
      </c>
      <c r="H704" s="171">
        <f t="shared" si="184"/>
        <v>0.45739549358149556</v>
      </c>
      <c r="I704" s="171">
        <f t="shared" si="184"/>
        <v>0.53258218961191506</v>
      </c>
      <c r="J704" s="171">
        <f t="shared" si="184"/>
        <v>0.38608001290623895</v>
      </c>
      <c r="L704" s="283">
        <f>MEDIAN(C704:J704)</f>
        <v>0.25866926672398755</v>
      </c>
      <c r="M704" s="283">
        <f>AVERAGE(C704:J704)</f>
        <v>0.2989877879318904</v>
      </c>
    </row>
    <row r="706" spans="2:24">
      <c r="B706" t="s">
        <v>36</v>
      </c>
      <c r="C706" s="218">
        <f t="shared" ref="C706:J706" si="185">G245</f>
        <v>3861</v>
      </c>
      <c r="D706" s="218">
        <f t="shared" si="185"/>
        <v>4004</v>
      </c>
      <c r="E706" s="218">
        <f t="shared" si="185"/>
        <v>5105</v>
      </c>
      <c r="F706" s="218">
        <f t="shared" si="185"/>
        <v>7130</v>
      </c>
      <c r="G706" s="218">
        <f t="shared" si="185"/>
        <v>6450</v>
      </c>
      <c r="H706" s="218">
        <f t="shared" si="185"/>
        <v>8823</v>
      </c>
      <c r="I706" s="218">
        <f t="shared" si="185"/>
        <v>13173</v>
      </c>
      <c r="J706" s="218">
        <f t="shared" si="185"/>
        <v>16043</v>
      </c>
    </row>
    <row r="708" spans="2:24">
      <c r="B708" t="s">
        <v>520</v>
      </c>
      <c r="C708" s="171">
        <f>C696/C706</f>
        <v>0.31555555555555553</v>
      </c>
      <c r="D708" s="171">
        <f t="shared" ref="D708:J708" si="186">D696/D706</f>
        <v>0.42242007992007991</v>
      </c>
      <c r="E708" s="171">
        <f t="shared" si="186"/>
        <v>0.38786875612144955</v>
      </c>
      <c r="F708" s="171">
        <f t="shared" si="186"/>
        <v>0.33034782608695656</v>
      </c>
      <c r="G708" s="171">
        <f t="shared" si="186"/>
        <v>0.30691782945736434</v>
      </c>
      <c r="H708" s="171">
        <f t="shared" si="186"/>
        <v>0.20552306471721635</v>
      </c>
      <c r="I708" s="171">
        <f t="shared" si="186"/>
        <v>0.13110301374022623</v>
      </c>
      <c r="J708" s="171">
        <f t="shared" si="186"/>
        <v>0.19877441874961044</v>
      </c>
      <c r="L708" s="283">
        <f>MEDIAN(C708:J708)</f>
        <v>0.31123669250645991</v>
      </c>
      <c r="M708" s="283">
        <f>AVERAGE(C708:J708)</f>
        <v>0.28731381804355738</v>
      </c>
    </row>
    <row r="709" spans="2:24">
      <c r="B709" t="s">
        <v>521</v>
      </c>
      <c r="C709" s="171">
        <f>C698/C706</f>
        <v>0.10648277648277649</v>
      </c>
      <c r="D709" s="171">
        <f t="shared" ref="D709:J709" si="187">D698/D706</f>
        <v>8.8254245754245758E-2</v>
      </c>
      <c r="E709" s="171">
        <f t="shared" si="187"/>
        <v>7.3978452497551431E-2</v>
      </c>
      <c r="F709" s="171">
        <f t="shared" si="187"/>
        <v>6.5518934081346417E-2</v>
      </c>
      <c r="G709" s="171">
        <f t="shared" si="187"/>
        <v>0.11067596899224806</v>
      </c>
      <c r="H709" s="171">
        <f t="shared" si="187"/>
        <v>0.1732483282330273</v>
      </c>
      <c r="I709" s="171">
        <f t="shared" si="187"/>
        <v>0.14938055112730586</v>
      </c>
      <c r="J709" s="171">
        <f t="shared" si="187"/>
        <v>0.12500461260362775</v>
      </c>
      <c r="L709" s="283">
        <f>MEDIAN(C709:J709)</f>
        <v>0.10857937273751228</v>
      </c>
      <c r="M709" s="283">
        <f>AVERAGE(C709:J709)</f>
        <v>0.11156798372151613</v>
      </c>
    </row>
    <row r="711" spans="2:24">
      <c r="B711" t="s">
        <v>522</v>
      </c>
      <c r="C711" s="110">
        <f>C700/BalanceSheet!C44</f>
        <v>0.96954209010638548</v>
      </c>
      <c r="D711" s="110">
        <f>D700/BalanceSheet!D44</f>
        <v>1.156527149321267</v>
      </c>
      <c r="E711" s="110">
        <f>E700/BalanceSheet!E44</f>
        <v>1.1751808081663984</v>
      </c>
      <c r="F711" s="110">
        <f>F700/BalanceSheet!F44</f>
        <v>0.84026376112649226</v>
      </c>
      <c r="G711" s="110">
        <f>G700/BalanceSheet!G44</f>
        <v>0.75052594328450539</v>
      </c>
      <c r="H711" s="110">
        <f>H700/BalanceSheet!H44</f>
        <v>0.79631615316796522</v>
      </c>
      <c r="I711" s="110">
        <f>I700/BalanceSheet!I44</f>
        <v>0.70843008039513067</v>
      </c>
      <c r="J711" s="110">
        <f>J700/BalanceSheet!J44</f>
        <v>0.7331886261754812</v>
      </c>
      <c r="L711" s="284">
        <f>MEDIAN(C711:J711)</f>
        <v>0.81828995714722874</v>
      </c>
      <c r="M711" s="284">
        <f>AVERAGE(C711:J711)</f>
        <v>0.89124682646795317</v>
      </c>
    </row>
    <row r="712" spans="2:24">
      <c r="B712" t="s">
        <v>525</v>
      </c>
      <c r="C712" s="110">
        <f>C700/(BalanceSheet!C44+'Assumptions working'!C700)</f>
        <v>0.4922677687248691</v>
      </c>
      <c r="D712" s="110">
        <f>D700/(BalanceSheet!D44+'Assumptions working'!D700)</f>
        <v>0.5362914859130179</v>
      </c>
      <c r="E712" s="110">
        <f>E700/(BalanceSheet!E44+'Assumptions working'!E700)</f>
        <v>0.54026810265811187</v>
      </c>
      <c r="F712" s="110">
        <f>F700/(BalanceSheet!F44+'Assumptions working'!F700)</f>
        <v>0.4565996347241747</v>
      </c>
      <c r="G712" s="110">
        <f>G700/(BalanceSheet!G44+'Assumptions working'!G700)</f>
        <v>0.42874311355608719</v>
      </c>
      <c r="H712" s="110">
        <f>H700/(BalanceSheet!H44+'Assumptions working'!H700)</f>
        <v>0.44330512296712915</v>
      </c>
      <c r="I712" s="110">
        <f>I700/(BalanceSheet!I44+'Assumptions working'!I700)</f>
        <v>0.41466729515280071</v>
      </c>
      <c r="J712" s="110">
        <f>J700/(BalanceSheet!J44+'Assumptions working'!J700)</f>
        <v>0.42302875469092049</v>
      </c>
      <c r="L712" s="284">
        <f t="shared" ref="L712:L714" si="188">MEDIAN(C712:J712)</f>
        <v>0.44995237884565192</v>
      </c>
      <c r="M712" s="284">
        <f t="shared" ref="M712:M714" si="189">AVERAGE(C712:J712)</f>
        <v>0.46689640979838881</v>
      </c>
    </row>
    <row r="713" spans="2:24">
      <c r="B713" t="s">
        <v>523</v>
      </c>
      <c r="C713" s="110">
        <f>C700/BalanceSheet!C35</f>
        <v>0.33727775132986976</v>
      </c>
      <c r="D713" s="110">
        <f>D700/BalanceSheet!D35</f>
        <v>0.38699530436461294</v>
      </c>
      <c r="E713" s="110">
        <f>E700/BalanceSheet!E35</f>
        <v>0.3909085935129597</v>
      </c>
      <c r="F713" s="110">
        <f>F700/BalanceSheet!F35</f>
        <v>0.33647853474543549</v>
      </c>
      <c r="G713" s="110">
        <f>G700/BalanceSheet!G35</f>
        <v>0.318438851838234</v>
      </c>
      <c r="H713" s="110">
        <f>H700/BalanceSheet!H35</f>
        <v>0.34877256457468875</v>
      </c>
      <c r="I713" s="110">
        <f>I700/BalanceSheet!I35</f>
        <v>0.31801769164434618</v>
      </c>
      <c r="J713" s="110">
        <f>J700/BalanceSheet!J35</f>
        <v>0.34202438990825362</v>
      </c>
      <c r="L713" s="284">
        <f t="shared" si="188"/>
        <v>0.33965107061906169</v>
      </c>
      <c r="M713" s="284">
        <f t="shared" si="189"/>
        <v>0.34736421023980002</v>
      </c>
    </row>
    <row r="714" spans="2:24">
      <c r="B714" s="7" t="s">
        <v>524</v>
      </c>
      <c r="C714" s="481" t="s">
        <v>23</v>
      </c>
      <c r="D714" s="481">
        <f>D700/IncomeStatement!E33</f>
        <v>2.4461245827900129</v>
      </c>
      <c r="E714" s="481">
        <f>E700/IncomeStatement!F33</f>
        <v>2.3422942806902505</v>
      </c>
      <c r="F714" s="481">
        <f>F700/IncomeStatement!G33</f>
        <v>1.9497323248022658</v>
      </c>
      <c r="G714" s="481">
        <f>G700/IncomeStatement!H33</f>
        <v>2.2410929725592004</v>
      </c>
      <c r="H714" s="481">
        <f>H700/IncomeStatement!I33</f>
        <v>2.0197142580863492</v>
      </c>
      <c r="I714" s="481">
        <f>I700/IncomeStatement!J33</f>
        <v>1.3252023772376271</v>
      </c>
      <c r="J714" s="481">
        <f>J700/IncomeStatement!K33</f>
        <v>1.4390936657168549</v>
      </c>
      <c r="K714" s="7"/>
      <c r="L714" s="482">
        <f t="shared" si="188"/>
        <v>2.0197142580863492</v>
      </c>
      <c r="M714" s="482">
        <f t="shared" si="189"/>
        <v>1.966179208840366</v>
      </c>
    </row>
    <row r="715" spans="2:24">
      <c r="B715" s="18"/>
      <c r="C715" s="18"/>
      <c r="D715" s="18"/>
      <c r="E715" s="18"/>
      <c r="F715" s="18"/>
      <c r="G715" s="18"/>
      <c r="H715" s="464"/>
      <c r="I715" s="464"/>
      <c r="J715" s="464"/>
      <c r="K715" s="18"/>
    </row>
    <row r="716" spans="2:24" outlineLevel="1">
      <c r="B716" s="489"/>
      <c r="C716" s="468">
        <v>2023</v>
      </c>
      <c r="D716" s="468">
        <v>2024</v>
      </c>
      <c r="E716" s="468">
        <v>2025</v>
      </c>
      <c r="F716" s="468">
        <v>2026</v>
      </c>
      <c r="G716" s="468">
        <v>2027</v>
      </c>
      <c r="H716" s="468">
        <v>2028</v>
      </c>
      <c r="I716" s="468">
        <f>H716+1</f>
        <v>2029</v>
      </c>
      <c r="J716" s="468">
        <f t="shared" ref="J716:M716" si="190">I716+1</f>
        <v>2030</v>
      </c>
      <c r="K716" s="468">
        <f t="shared" si="190"/>
        <v>2031</v>
      </c>
      <c r="L716" s="468">
        <f t="shared" si="190"/>
        <v>2032</v>
      </c>
      <c r="M716" s="469">
        <f t="shared" si="190"/>
        <v>2033</v>
      </c>
    </row>
    <row r="717" spans="2:24" outlineLevel="1">
      <c r="B717" s="479"/>
      <c r="C717" s="18"/>
      <c r="D717" s="460"/>
      <c r="E717" s="460"/>
      <c r="F717" s="460"/>
      <c r="G717" s="460"/>
      <c r="H717" s="460"/>
      <c r="I717" s="460"/>
      <c r="J717" s="460"/>
      <c r="K717" s="460"/>
      <c r="L717" s="460"/>
      <c r="M717" s="470"/>
    </row>
    <row r="718" spans="2:24" outlineLevel="1">
      <c r="B718" s="542" t="s">
        <v>954</v>
      </c>
      <c r="C718" s="471">
        <v>3188.9380000000001</v>
      </c>
      <c r="D718" s="472">
        <f>C718*(1+D719)</f>
        <v>3986.1725000000001</v>
      </c>
      <c r="E718" s="472">
        <f t="shared" ref="E718:H718" si="191">D718*(1+E719)</f>
        <v>3188.9380000000001</v>
      </c>
      <c r="F718" s="472">
        <f t="shared" si="191"/>
        <v>2710.5972999999999</v>
      </c>
      <c r="G718" s="472">
        <f t="shared" si="191"/>
        <v>2575.0674349999999</v>
      </c>
      <c r="H718" s="472">
        <f t="shared" si="191"/>
        <v>2575.0674349999999</v>
      </c>
      <c r="I718" s="472">
        <f t="shared" ref="I718" si="192">H718*(1+I719)</f>
        <v>2317.5606914999998</v>
      </c>
      <c r="J718" s="472">
        <f t="shared" ref="J718" si="193">I718*(1+J719)</f>
        <v>1969.9265877749999</v>
      </c>
      <c r="K718" s="472">
        <f t="shared" ref="K718" si="194">J718*(1+K719)</f>
        <v>1575.94127022</v>
      </c>
      <c r="L718" s="472">
        <f t="shared" ref="L718" si="195">K718*(1+L719)</f>
        <v>1591.7006829222</v>
      </c>
      <c r="M718" s="473">
        <f t="shared" ref="M718" si="196">L718*(1+M719)</f>
        <v>1607.6176897514219</v>
      </c>
    </row>
    <row r="719" spans="2:24" outlineLevel="1">
      <c r="B719" s="480" t="s">
        <v>987</v>
      </c>
      <c r="C719" s="18"/>
      <c r="D719" s="474">
        <v>0.25</v>
      </c>
      <c r="E719" s="474">
        <v>-0.2</v>
      </c>
      <c r="F719" s="474">
        <v>-0.15</v>
      </c>
      <c r="G719" s="474">
        <v>-0.05</v>
      </c>
      <c r="H719" s="474">
        <v>0</v>
      </c>
      <c r="I719" s="474">
        <v>-0.1</v>
      </c>
      <c r="J719" s="474">
        <v>-0.15</v>
      </c>
      <c r="K719" s="474">
        <v>-0.2</v>
      </c>
      <c r="L719" s="474">
        <v>0.01</v>
      </c>
      <c r="M719" s="475">
        <v>0.01</v>
      </c>
      <c r="O719" s="547">
        <v>0.25</v>
      </c>
      <c r="P719" s="547">
        <v>-0.05</v>
      </c>
      <c r="Q719" s="547">
        <v>-0.1</v>
      </c>
      <c r="R719" s="547">
        <v>-0.15</v>
      </c>
      <c r="S719" s="547">
        <v>-0.2</v>
      </c>
      <c r="T719" s="547">
        <v>0.01</v>
      </c>
      <c r="U719" s="547">
        <v>0.01</v>
      </c>
      <c r="V719" s="547">
        <v>0.01</v>
      </c>
      <c r="W719" s="547">
        <v>0.01</v>
      </c>
      <c r="X719" s="547">
        <v>0.01</v>
      </c>
    </row>
    <row r="720" spans="2:24" outlineLevel="1">
      <c r="B720" s="542" t="s">
        <v>955</v>
      </c>
      <c r="C720" s="471">
        <v>2005.4490000000001</v>
      </c>
      <c r="D720" s="472">
        <f>D721*'3StatementModel'!I13</f>
        <v>2406.38715</v>
      </c>
      <c r="E720" s="472">
        <f>E721*'3StatementModel'!J13</f>
        <v>2075.2582515468753</v>
      </c>
      <c r="F720" s="472">
        <f>F721*'3StatementModel'!K13</f>
        <v>1735.8924904115624</v>
      </c>
      <c r="G720" s="472">
        <f>G721*'3StatementModel'!L13</f>
        <v>1333.7440634662173</v>
      </c>
      <c r="H720" s="472">
        <f>H721*'3StatementModel'!M13</f>
        <v>746.89667554108166</v>
      </c>
      <c r="I720" s="472">
        <f>I721*'3StatementModel'!N13</f>
        <v>418.26213830300577</v>
      </c>
      <c r="J720" s="472">
        <f>J721*'3StatementModel'!O13</f>
        <v>468.45359489936652</v>
      </c>
      <c r="K720" s="472">
        <f>K721*'3StatementModel'!P13</f>
        <v>524.66802628729056</v>
      </c>
      <c r="L720" s="472">
        <f>L721*'3StatementModel'!Q13</f>
        <v>587.62818944176547</v>
      </c>
      <c r="M720" s="473">
        <f>M721*'3StatementModel'!R13</f>
        <v>658.14357217477743</v>
      </c>
      <c r="O720" s="547"/>
      <c r="P720" s="547"/>
      <c r="Q720" s="547"/>
      <c r="R720" s="547"/>
      <c r="S720" s="547"/>
      <c r="T720" s="547"/>
      <c r="U720" s="547"/>
      <c r="V720" s="547"/>
      <c r="W720" s="547"/>
      <c r="X720" s="547"/>
    </row>
    <row r="721" spans="2:24" outlineLevel="1">
      <c r="B721" s="480" t="s">
        <v>969</v>
      </c>
      <c r="C721" s="18"/>
      <c r="D721" s="474">
        <v>0.12</v>
      </c>
      <c r="E721" s="474">
        <v>8.5000000000000006E-2</v>
      </c>
      <c r="F721" s="474">
        <v>0.06</v>
      </c>
      <c r="G721" s="474">
        <v>0.04</v>
      </c>
      <c r="H721" s="474">
        <v>0.02</v>
      </c>
      <c r="I721" s="474">
        <v>0.01</v>
      </c>
      <c r="J721" s="474">
        <v>0.01</v>
      </c>
      <c r="K721" s="474">
        <v>0.01</v>
      </c>
      <c r="L721" s="474">
        <v>0.01</v>
      </c>
      <c r="M721" s="475">
        <v>0.01</v>
      </c>
      <c r="O721" s="547">
        <v>0.12</v>
      </c>
      <c r="P721" s="547">
        <v>0.09</v>
      </c>
      <c r="Q721" s="547">
        <v>0.08</v>
      </c>
      <c r="R721" s="547">
        <v>0.06</v>
      </c>
      <c r="S721" s="547">
        <v>0.06</v>
      </c>
      <c r="T721" s="547">
        <v>0.05</v>
      </c>
      <c r="U721" s="547">
        <v>4.4999999999999998E-2</v>
      </c>
      <c r="V721" s="547">
        <v>0.02</v>
      </c>
      <c r="W721" s="547">
        <v>0.01</v>
      </c>
      <c r="X721" s="547">
        <v>0.01</v>
      </c>
    </row>
    <row r="722" spans="2:24" outlineLevel="1">
      <c r="B722" s="543" t="s">
        <v>956</v>
      </c>
      <c r="C722" s="476">
        <f>SUM(C720,C718)</f>
        <v>5194.3870000000006</v>
      </c>
      <c r="D722" s="477">
        <f>SUM(D720,D718)</f>
        <v>6392.5596500000001</v>
      </c>
      <c r="E722" s="477">
        <f t="shared" ref="E722:H722" si="197">SUM(E720,E718)</f>
        <v>5264.1962515468749</v>
      </c>
      <c r="F722" s="477">
        <f t="shared" si="197"/>
        <v>4446.4897904115624</v>
      </c>
      <c r="G722" s="477">
        <f t="shared" si="197"/>
        <v>3908.811498466217</v>
      </c>
      <c r="H722" s="477">
        <f t="shared" si="197"/>
        <v>3321.9641105410815</v>
      </c>
      <c r="I722" s="477">
        <f t="shared" ref="I722:M722" si="198">SUM(I720,I718)</f>
        <v>2735.8228298030058</v>
      </c>
      <c r="J722" s="477">
        <f t="shared" si="198"/>
        <v>2438.3801826743666</v>
      </c>
      <c r="K722" s="477">
        <f t="shared" si="198"/>
        <v>2100.6092965072903</v>
      </c>
      <c r="L722" s="477">
        <f t="shared" si="198"/>
        <v>2179.3288723639653</v>
      </c>
      <c r="M722" s="478">
        <f t="shared" si="198"/>
        <v>2265.7612619261995</v>
      </c>
    </row>
    <row r="723" spans="2:24" outlineLevel="1">
      <c r="C723" s="18"/>
      <c r="D723" s="466"/>
      <c r="E723" s="466"/>
      <c r="F723" s="466"/>
      <c r="G723" s="466"/>
      <c r="H723" s="466"/>
    </row>
    <row r="724" spans="2:24" outlineLevel="1">
      <c r="B724" s="14" t="s">
        <v>965</v>
      </c>
      <c r="C724" s="14"/>
      <c r="D724" s="544">
        <f t="shared" ref="D724:M724" si="199">H880</f>
        <v>9.8006521971820866E-3</v>
      </c>
      <c r="E724" s="544">
        <f t="shared" si="199"/>
        <v>1.1622093801743383E-2</v>
      </c>
      <c r="F724" s="544">
        <f t="shared" si="199"/>
        <v>1.3878434573644509E-2</v>
      </c>
      <c r="G724" s="544">
        <f t="shared" si="199"/>
        <v>1.3568260670508699E-2</v>
      </c>
      <c r="H724" s="544">
        <f t="shared" si="199"/>
        <v>1.3810895069848377E-2</v>
      </c>
      <c r="I724" s="544">
        <f t="shared" si="199"/>
        <v>1.0865612790450009E-2</v>
      </c>
      <c r="J724" s="544">
        <f t="shared" si="199"/>
        <v>1.655104558889613E-2</v>
      </c>
      <c r="K724" s="544">
        <f t="shared" si="199"/>
        <v>1.7527551142651657E-2</v>
      </c>
      <c r="L724" s="544">
        <f t="shared" si="199"/>
        <v>2.1989463605607037E-2</v>
      </c>
      <c r="M724" s="544">
        <f t="shared" si="199"/>
        <v>2.1644241738997285E-2</v>
      </c>
    </row>
    <row r="725" spans="2:24" outlineLevel="1">
      <c r="F725" s="18"/>
      <c r="G725" s="18"/>
      <c r="H725" s="18"/>
      <c r="I725" s="18"/>
      <c r="J725" s="18"/>
      <c r="K725" s="18"/>
      <c r="L725" s="18"/>
      <c r="M725" s="18"/>
    </row>
    <row r="726" spans="2:24" outlineLevel="1"/>
    <row r="727" spans="2:24" outlineLevel="1">
      <c r="B727" s="14" t="s">
        <v>518</v>
      </c>
      <c r="C727" s="545">
        <f>C718/C722</f>
        <v>0.61391998709376094</v>
      </c>
      <c r="D727" s="545">
        <f t="shared" ref="D727:M727" si="200">D718/D722</f>
        <v>0.62356438081887899</v>
      </c>
      <c r="E727" s="545">
        <f t="shared" si="200"/>
        <v>0.60577870725525029</v>
      </c>
      <c r="F727" s="545">
        <f t="shared" si="200"/>
        <v>0.60960385107487447</v>
      </c>
      <c r="G727" s="545">
        <f t="shared" si="200"/>
        <v>0.65878526913114988</v>
      </c>
      <c r="H727" s="545">
        <f t="shared" si="200"/>
        <v>0.77516413462413147</v>
      </c>
      <c r="I727" s="545">
        <f t="shared" si="200"/>
        <v>0.84711651143976929</v>
      </c>
      <c r="J727" s="545">
        <f t="shared" si="200"/>
        <v>0.8078832832435604</v>
      </c>
      <c r="K727" s="545">
        <f t="shared" si="200"/>
        <v>0.75023055112644577</v>
      </c>
      <c r="L727" s="545">
        <f t="shared" si="200"/>
        <v>0.73036277502974933</v>
      </c>
      <c r="M727" s="545">
        <f t="shared" si="200"/>
        <v>0.70952651400912925</v>
      </c>
    </row>
    <row r="728" spans="2:24" outlineLevel="1">
      <c r="B728" s="546" t="s">
        <v>519</v>
      </c>
      <c r="C728" s="545">
        <f>C720/C722</f>
        <v>0.38608001290623895</v>
      </c>
      <c r="D728" s="545">
        <f t="shared" ref="D728:M728" si="201">D720/D722</f>
        <v>0.37643561918112095</v>
      </c>
      <c r="E728" s="545">
        <f t="shared" si="201"/>
        <v>0.39422129274474982</v>
      </c>
      <c r="F728" s="545">
        <f t="shared" si="201"/>
        <v>0.39039614892512553</v>
      </c>
      <c r="G728" s="545">
        <f t="shared" si="201"/>
        <v>0.34121473086885018</v>
      </c>
      <c r="H728" s="545">
        <f t="shared" si="201"/>
        <v>0.22483586537586861</v>
      </c>
      <c r="I728" s="545">
        <f t="shared" si="201"/>
        <v>0.15288348856023068</v>
      </c>
      <c r="J728" s="545">
        <f t="shared" si="201"/>
        <v>0.19211671675643952</v>
      </c>
      <c r="K728" s="545">
        <f t="shared" si="201"/>
        <v>0.24976944887355432</v>
      </c>
      <c r="L728" s="545">
        <f t="shared" si="201"/>
        <v>0.26963722497025078</v>
      </c>
      <c r="M728" s="545">
        <f t="shared" si="201"/>
        <v>0.29047348599087069</v>
      </c>
    </row>
    <row r="729" spans="2:24" outlineLevel="1">
      <c r="B729" s="18"/>
      <c r="K729" s="464"/>
      <c r="L729" s="466"/>
      <c r="M729" s="466"/>
      <c r="N729" s="466"/>
      <c r="O729" s="466"/>
      <c r="P729" s="466"/>
      <c r="Q729" s="466"/>
      <c r="R729" s="466"/>
      <c r="S729" s="466"/>
      <c r="T729" s="466"/>
      <c r="U729" s="466"/>
      <c r="V729" s="466"/>
    </row>
    <row r="730" spans="2:24" outlineLevel="1">
      <c r="B730" s="18"/>
      <c r="C730" s="131">
        <v>2023</v>
      </c>
      <c r="D730" s="131">
        <f>C730+1</f>
        <v>2024</v>
      </c>
      <c r="E730" s="131">
        <f t="shared" ref="E730:H730" si="202">D730+1</f>
        <v>2025</v>
      </c>
      <c r="F730" s="131">
        <f t="shared" si="202"/>
        <v>2026</v>
      </c>
      <c r="G730" s="131">
        <f t="shared" si="202"/>
        <v>2027</v>
      </c>
      <c r="H730" s="131">
        <f t="shared" si="202"/>
        <v>2028</v>
      </c>
      <c r="I730" s="131">
        <f t="shared" ref="I730" si="203">H730+1</f>
        <v>2029</v>
      </c>
      <c r="J730" s="131">
        <f t="shared" ref="J730" si="204">I730+1</f>
        <v>2030</v>
      </c>
      <c r="K730" s="131">
        <f t="shared" ref="K730" si="205">J730+1</f>
        <v>2031</v>
      </c>
      <c r="L730" s="131">
        <f t="shared" ref="L730" si="206">K730+1</f>
        <v>2032</v>
      </c>
      <c r="M730" s="131">
        <f t="shared" ref="M730" si="207">L730+1</f>
        <v>2033</v>
      </c>
      <c r="N730" s="466"/>
      <c r="O730" s="466"/>
      <c r="P730" s="466"/>
      <c r="Q730" s="466"/>
      <c r="R730" s="466"/>
      <c r="S730" s="466"/>
      <c r="T730" s="466"/>
      <c r="U730" s="466"/>
      <c r="V730" s="466"/>
    </row>
    <row r="731" spans="2:24" outlineLevel="1">
      <c r="B731" s="18"/>
      <c r="C731" s="18"/>
      <c r="D731" s="18"/>
      <c r="E731" s="282"/>
      <c r="F731" s="282"/>
      <c r="G731" s="282"/>
      <c r="H731" s="282"/>
      <c r="I731" s="282"/>
      <c r="K731" s="464"/>
      <c r="L731" s="466"/>
      <c r="M731" s="466"/>
      <c r="N731" s="466"/>
      <c r="O731" s="466"/>
      <c r="P731" s="466"/>
      <c r="Q731" s="466"/>
      <c r="R731" s="466"/>
      <c r="S731" s="466"/>
      <c r="T731" s="466"/>
      <c r="U731" s="466"/>
      <c r="V731" s="466"/>
    </row>
    <row r="732" spans="2:24" outlineLevel="1">
      <c r="B732" s="18" t="s">
        <v>54</v>
      </c>
      <c r="C732" s="460">
        <f>'3StatementModel'!H26</f>
        <v>3609.0719999999992</v>
      </c>
      <c r="D732" s="460">
        <f>'3StatementModel'!I26</f>
        <v>4450.9730595235014</v>
      </c>
      <c r="E732" s="460">
        <f>'3StatementModel'!J26</f>
        <v>5083.3561592784563</v>
      </c>
      <c r="F732" s="460">
        <f>'3StatementModel'!K26</f>
        <v>5625.9683530256534</v>
      </c>
      <c r="G732" s="460">
        <f>'3StatementModel'!L26</f>
        <v>6025.4540050455562</v>
      </c>
      <c r="H732" s="460">
        <f>'3StatementModel'!M26</f>
        <v>6235.0170212165285</v>
      </c>
      <c r="I732" s="460">
        <f>'3StatementModel'!N26</f>
        <v>6983.2190637625117</v>
      </c>
      <c r="J732" s="460">
        <f>'3StatementModel'!O26</f>
        <v>7821.2053514140152</v>
      </c>
      <c r="K732" s="460">
        <f>'3StatementModel'!P26</f>
        <v>8759.7499935836968</v>
      </c>
      <c r="L732" s="460">
        <f>'3StatementModel'!Q26</f>
        <v>9810.9199928137423</v>
      </c>
      <c r="M732" s="460">
        <f>'3StatementModel'!R26</f>
        <v>10988.230391951387</v>
      </c>
      <c r="N732" s="466"/>
      <c r="O732" s="466"/>
      <c r="P732" s="466"/>
      <c r="Q732" s="466"/>
      <c r="R732" s="466"/>
      <c r="S732" s="466"/>
      <c r="T732" s="466"/>
      <c r="U732" s="466"/>
      <c r="V732" s="466"/>
    </row>
    <row r="733" spans="2:24" outlineLevel="1">
      <c r="B733" s="18"/>
      <c r="C733" s="18"/>
      <c r="D733" s="282"/>
      <c r="E733" s="282"/>
      <c r="F733" s="282"/>
      <c r="G733" s="282"/>
      <c r="H733" s="282"/>
      <c r="K733" s="464"/>
      <c r="L733" s="466"/>
      <c r="M733" s="466"/>
      <c r="N733" s="466"/>
      <c r="O733" s="466"/>
      <c r="P733" s="466"/>
      <c r="Q733" s="466"/>
      <c r="R733" s="466"/>
      <c r="S733" s="466"/>
      <c r="T733" s="466"/>
      <c r="U733" s="466"/>
      <c r="V733" s="466"/>
    </row>
    <row r="734" spans="2:24" outlineLevel="1">
      <c r="B734" s="18" t="s">
        <v>490</v>
      </c>
      <c r="C734" s="460">
        <f>'3StatementModel'!H84</f>
        <v>7084.6529999999993</v>
      </c>
      <c r="D734" s="460">
        <f>'3StatementModel'!I84</f>
        <v>9069.1685824170545</v>
      </c>
      <c r="E734" s="460">
        <f>'3StatementModel'!J84</f>
        <v>11383.45782941666</v>
      </c>
      <c r="F734" s="460">
        <f>'3StatementModel'!K84</f>
        <v>13808.751007980229</v>
      </c>
      <c r="G734" s="460">
        <f>'3StatementModel'!L84</f>
        <v>15901.444854786574</v>
      </c>
      <c r="H734" s="460">
        <f>'3StatementModel'!M84</f>
        <v>17537.616579483358</v>
      </c>
      <c r="I734" s="460">
        <f>'3StatementModel'!N84</f>
        <v>19208.95615105797</v>
      </c>
      <c r="J734" s="460">
        <f>'3StatementModel'!O84</f>
        <v>21097.280177805955</v>
      </c>
      <c r="K734" s="460">
        <f>'3StatementModel'!P84</f>
        <v>22987.66933417699</v>
      </c>
      <c r="L734" s="460">
        <f>'3StatementModel'!Q84</f>
        <v>24844.775795174046</v>
      </c>
      <c r="M734" s="460">
        <f>'3StatementModel'!R84</f>
        <v>26627.486601608867</v>
      </c>
      <c r="N734" s="466"/>
      <c r="O734" s="466"/>
      <c r="P734" s="466"/>
      <c r="Q734" s="466"/>
      <c r="R734" s="466"/>
      <c r="S734" s="466"/>
      <c r="T734" s="466"/>
      <c r="U734" s="466"/>
      <c r="V734" s="466"/>
    </row>
    <row r="735" spans="2:24" outlineLevel="1">
      <c r="C735" s="18"/>
      <c r="D735" s="18"/>
      <c r="E735" s="18"/>
      <c r="F735" s="18"/>
      <c r="G735" s="18"/>
      <c r="H735" s="18"/>
      <c r="K735" s="464"/>
      <c r="L735" s="466"/>
      <c r="M735" s="466"/>
      <c r="N735" s="466"/>
      <c r="O735" s="466"/>
      <c r="P735" s="466"/>
      <c r="Q735" s="466"/>
      <c r="R735" s="466"/>
      <c r="S735" s="466"/>
      <c r="T735" s="466"/>
      <c r="U735" s="466"/>
      <c r="V735" s="466"/>
    </row>
    <row r="736" spans="2:24" outlineLevel="1">
      <c r="B736" s="18" t="s">
        <v>522</v>
      </c>
      <c r="C736" s="467">
        <f>SUM('3StatementModel'!H97,'3StatementModel'!H87)/C734</f>
        <v>0.7331886261754812</v>
      </c>
      <c r="D736" s="461">
        <f>SUM('3StatementModel'!I97,'3StatementModel'!I87)/D734</f>
        <v>0.7048672203969879</v>
      </c>
      <c r="E736" s="461">
        <f>SUM('3StatementModel'!J97,'3StatementModel'!J87)/E734</f>
        <v>0.4624426365373232</v>
      </c>
      <c r="F736" s="461">
        <f>SUM('3StatementModel'!K97,'3StatementModel'!K87)/F734</f>
        <v>0.32200521161123746</v>
      </c>
      <c r="G736" s="461">
        <f>SUM('3StatementModel'!L97,'3StatementModel'!L87)/G734</f>
        <v>0.2458148636279178</v>
      </c>
      <c r="H736" s="461">
        <f>SUM('3StatementModel'!M97,'3StatementModel'!M87)/H734</f>
        <v>0.18941936012145064</v>
      </c>
      <c r="I736" s="461">
        <f>SUM('3StatementModel'!N97,'3StatementModel'!N87)/I734</f>
        <v>0.14242433624652348</v>
      </c>
      <c r="J736" s="461">
        <f>SUM('3StatementModel'!O97,'3StatementModel'!O87)/J734</f>
        <v>0.11557794000572209</v>
      </c>
      <c r="K736" s="461">
        <f>SUM('3StatementModel'!P97,'3StatementModel'!P87)/K734</f>
        <v>9.1379829158417678E-2</v>
      </c>
      <c r="L736" s="461">
        <f>SUM('3StatementModel'!Q97,'3StatementModel'!Q87)/L734</f>
        <v>8.7717791874269493E-2</v>
      </c>
      <c r="M736" s="461">
        <f>SUM('3StatementModel'!R97,'3StatementModel'!R87)/M734</f>
        <v>8.5091067580869581E-2</v>
      </c>
      <c r="N736" s="466"/>
      <c r="O736" s="466"/>
      <c r="P736" s="466"/>
      <c r="Q736" s="466"/>
      <c r="R736" s="466"/>
      <c r="S736" s="466"/>
      <c r="T736" s="466"/>
      <c r="U736" s="466"/>
      <c r="V736" s="466"/>
    </row>
    <row r="737" spans="2:22" outlineLevel="1">
      <c r="B737" s="18"/>
      <c r="C737" s="464"/>
      <c r="D737" s="465"/>
      <c r="E737" s="465"/>
      <c r="F737" s="465"/>
      <c r="G737" s="465"/>
      <c r="H737" s="465"/>
      <c r="K737" s="464"/>
      <c r="L737" s="466"/>
      <c r="M737" s="466"/>
      <c r="N737" s="466"/>
      <c r="O737" s="466"/>
      <c r="P737" s="466"/>
      <c r="Q737" s="466"/>
      <c r="R737" s="466"/>
      <c r="S737" s="466"/>
      <c r="T737" s="466"/>
      <c r="U737" s="466"/>
      <c r="V737" s="466"/>
    </row>
    <row r="738" spans="2:22" outlineLevel="1">
      <c r="B738" s="18" t="s">
        <v>524</v>
      </c>
      <c r="C738" s="467">
        <f>SUM('3StatementModel'!H97,'3StatementModel'!H87)/'3StatementModel'!H26</f>
        <v>1.4392583467439835</v>
      </c>
      <c r="D738" s="541">
        <f>SUM('3StatementModel'!I97,'3StatementModel'!I87)/D732</f>
        <v>1.4362162081215462</v>
      </c>
      <c r="E738" s="541">
        <f>SUM('3StatementModel'!J97,'3StatementModel'!J87)/E732</f>
        <v>1.035574940374449</v>
      </c>
      <c r="F738" s="541">
        <f>SUM('3StatementModel'!K97,'3StatementModel'!K87)/F732</f>
        <v>0.79035101362065685</v>
      </c>
      <c r="G738" s="541">
        <f>SUM('3StatementModel'!L97,'3StatementModel'!L87)/G732</f>
        <v>0.64871651085429938</v>
      </c>
      <c r="H738" s="541">
        <f>SUM('3StatementModel'!M97,'3StatementModel'!M87)/H732</f>
        <v>0.53279150630015848</v>
      </c>
      <c r="I738" s="541">
        <f>SUM('3StatementModel'!N97,'3StatementModel'!N87)/I732</f>
        <v>0.39177101632108369</v>
      </c>
      <c r="J738" s="541">
        <f>SUM('3StatementModel'!O97,'3StatementModel'!O87)/J732</f>
        <v>0.31176526802656135</v>
      </c>
      <c r="K738" s="541">
        <f>SUM('3StatementModel'!P97,'3StatementModel'!P87)/K732</f>
        <v>0.23980242564524507</v>
      </c>
      <c r="L738" s="541">
        <f>SUM('3StatementModel'!Q97,'3StatementModel'!Q87)/L732</f>
        <v>0.22213297773911825</v>
      </c>
      <c r="M738" s="541">
        <f>SUM('3StatementModel'!R97,'3StatementModel'!R87)/M732</f>
        <v>0.20619892203805762</v>
      </c>
      <c r="N738" s="466"/>
      <c r="O738" s="466"/>
      <c r="P738" s="466"/>
      <c r="Q738" s="466"/>
      <c r="R738" s="466"/>
      <c r="S738" s="466"/>
      <c r="T738" s="466"/>
      <c r="U738" s="466"/>
      <c r="V738" s="466"/>
    </row>
    <row r="739" spans="2:22" outlineLevel="1">
      <c r="B739" s="18"/>
      <c r="K739" s="464"/>
      <c r="L739" s="466"/>
      <c r="M739" s="466"/>
      <c r="N739" s="466"/>
      <c r="O739" s="466"/>
      <c r="P739" s="466"/>
      <c r="Q739" s="466"/>
      <c r="R739" s="466"/>
      <c r="S739" s="466"/>
      <c r="T739" s="466"/>
      <c r="U739" s="466"/>
      <c r="V739" s="466"/>
    </row>
    <row r="740" spans="2:22" outlineLevel="1">
      <c r="B740" s="18"/>
      <c r="K740" s="464"/>
      <c r="L740" s="466"/>
      <c r="M740" s="466"/>
      <c r="N740" s="466"/>
      <c r="O740" s="466"/>
      <c r="P740" s="466"/>
      <c r="Q740" s="466"/>
      <c r="R740" s="466"/>
      <c r="S740" s="466"/>
      <c r="T740" s="466"/>
      <c r="U740" s="466"/>
      <c r="V740" s="466"/>
    </row>
    <row r="741" spans="2:22" outlineLevel="1">
      <c r="B741" s="18"/>
      <c r="K741" s="464"/>
      <c r="L741" s="466"/>
      <c r="M741" s="466"/>
      <c r="N741" s="466"/>
      <c r="O741" s="466"/>
      <c r="P741" s="466"/>
      <c r="Q741" s="466"/>
      <c r="R741" s="466"/>
      <c r="S741" s="466"/>
      <c r="T741" s="466"/>
      <c r="U741" s="466"/>
      <c r="V741" s="466"/>
    </row>
    <row r="742" spans="2:22" outlineLevel="1">
      <c r="B742" s="18"/>
      <c r="K742" s="464"/>
      <c r="L742" s="466"/>
      <c r="M742" s="466"/>
      <c r="N742" s="466"/>
      <c r="O742" s="466"/>
      <c r="P742" s="466"/>
      <c r="Q742" s="466"/>
      <c r="R742" s="466"/>
      <c r="S742" s="466"/>
      <c r="T742" s="466"/>
      <c r="U742" s="466"/>
      <c r="V742" s="466"/>
    </row>
    <row r="743" spans="2:22" outlineLevel="1">
      <c r="B743" s="18"/>
      <c r="K743" s="464"/>
      <c r="L743" s="466"/>
      <c r="M743" s="466"/>
      <c r="N743" s="466"/>
      <c r="O743" s="466"/>
      <c r="P743" s="466"/>
      <c r="Q743" s="466"/>
      <c r="R743" s="466"/>
      <c r="S743" s="466"/>
      <c r="T743" s="466"/>
      <c r="U743" s="466"/>
      <c r="V743" s="466"/>
    </row>
    <row r="744" spans="2:22" outlineLevel="1">
      <c r="B744" s="18"/>
      <c r="J744" s="464"/>
      <c r="K744" s="466"/>
      <c r="L744" s="466"/>
      <c r="M744" s="466"/>
      <c r="N744" s="466"/>
      <c r="O744" s="466"/>
      <c r="P744" s="466"/>
      <c r="Q744" s="466"/>
      <c r="R744" s="466"/>
      <c r="S744" s="466"/>
      <c r="T744" s="466"/>
      <c r="U744" s="466"/>
    </row>
    <row r="745" spans="2:22">
      <c r="B745" s="184" t="s">
        <v>431</v>
      </c>
      <c r="C745" s="184"/>
      <c r="D745" s="184"/>
      <c r="E745" s="184"/>
      <c r="F745" s="184"/>
      <c r="G745" s="184"/>
      <c r="H745" s="184"/>
      <c r="I745" s="184"/>
      <c r="J745" s="184"/>
      <c r="K745" s="184"/>
      <c r="L745" s="184"/>
      <c r="M745" s="184"/>
      <c r="N745" s="184"/>
    </row>
    <row r="747" spans="2:22" ht="15.6">
      <c r="B747" s="254" t="s">
        <v>432</v>
      </c>
    </row>
    <row r="798" spans="1:10" ht="21">
      <c r="A798" t="s">
        <v>220</v>
      </c>
      <c r="B798" s="216" t="s">
        <v>529</v>
      </c>
    </row>
    <row r="800" spans="1:10">
      <c r="B800" s="129" t="s">
        <v>147</v>
      </c>
      <c r="C800" s="131">
        <v>2016</v>
      </c>
      <c r="D800" s="131">
        <f>C800+1</f>
        <v>2017</v>
      </c>
      <c r="E800" s="131">
        <f t="shared" ref="E800" si="208">D800+1</f>
        <v>2018</v>
      </c>
      <c r="F800" s="131">
        <f t="shared" ref="F800" si="209">E800+1</f>
        <v>2019</v>
      </c>
      <c r="G800" s="131">
        <f t="shared" ref="G800" si="210">F800+1</f>
        <v>2020</v>
      </c>
      <c r="H800" s="131">
        <f t="shared" ref="H800" si="211">G800+1</f>
        <v>2021</v>
      </c>
      <c r="I800" s="131">
        <f t="shared" ref="I800" si="212">H800+1</f>
        <v>2022</v>
      </c>
      <c r="J800" s="131">
        <f t="shared" ref="J800" si="213">I800+1</f>
        <v>2023</v>
      </c>
    </row>
    <row r="801" spans="2:10">
      <c r="B801" s="20" t="s">
        <v>517</v>
      </c>
      <c r="C801" s="227">
        <f t="shared" ref="C801:J801" si="214">C700</f>
        <v>1629.4899999999998</v>
      </c>
      <c r="D801" s="227">
        <f t="shared" si="214"/>
        <v>2044.7399999999998</v>
      </c>
      <c r="E801" s="227">
        <f t="shared" si="214"/>
        <v>2357.73</v>
      </c>
      <c r="F801" s="227">
        <f t="shared" si="214"/>
        <v>2822.53</v>
      </c>
      <c r="G801" s="227">
        <f t="shared" si="214"/>
        <v>2693.48</v>
      </c>
      <c r="H801" s="227">
        <f t="shared" si="214"/>
        <v>3341.8999999999996</v>
      </c>
      <c r="I801" s="227">
        <f t="shared" si="214"/>
        <v>3694.81</v>
      </c>
      <c r="J801" s="227">
        <f t="shared" si="214"/>
        <v>5194.3870000000006</v>
      </c>
    </row>
    <row r="802" spans="2:10">
      <c r="B802" t="s">
        <v>529</v>
      </c>
      <c r="C802" s="225">
        <f>IncomeStatement!D38*-1</f>
        <v>432.54</v>
      </c>
      <c r="D802" s="225">
        <f>IncomeStatement!E38*-1</f>
        <v>212.18</v>
      </c>
      <c r="E802" s="225">
        <f>IncomeStatement!F38*-1</f>
        <v>212.56</v>
      </c>
      <c r="F802" s="225">
        <f>IncomeStatement!G38*-1</f>
        <v>309.64</v>
      </c>
      <c r="G802" s="225">
        <f>IncomeStatement!H38*-1</f>
        <v>281.10000000000002</v>
      </c>
      <c r="H802" s="225">
        <f>IncomeStatement!I38*-1</f>
        <v>184.7</v>
      </c>
      <c r="I802" s="225">
        <f>IncomeStatement!J38*-1</f>
        <v>186.12</v>
      </c>
      <c r="J802" s="225">
        <f>IncomeStatement!K38*-1</f>
        <v>268.09899999999999</v>
      </c>
    </row>
    <row r="803" spans="2:10">
      <c r="B803" t="s">
        <v>530</v>
      </c>
      <c r="C803" s="37">
        <f>C802/C801</f>
        <v>0.26544501653891711</v>
      </c>
      <c r="D803" s="37">
        <f t="shared" ref="D803:J803" si="215">D802/D801</f>
        <v>0.10376869430832283</v>
      </c>
      <c r="E803" s="37">
        <f t="shared" si="215"/>
        <v>9.0154513027361063E-2</v>
      </c>
      <c r="F803" s="37">
        <f t="shared" si="215"/>
        <v>0.10970299695663109</v>
      </c>
      <c r="G803" s="37">
        <f t="shared" si="215"/>
        <v>0.10436312874051414</v>
      </c>
      <c r="H803" s="37">
        <f t="shared" si="215"/>
        <v>5.5267961339357852E-2</v>
      </c>
      <c r="I803" s="37">
        <f t="shared" si="215"/>
        <v>5.0373361553097455E-2</v>
      </c>
      <c r="J803" s="37">
        <f t="shared" si="215"/>
        <v>5.1613212492638678E-2</v>
      </c>
    </row>
    <row r="805" spans="2:10">
      <c r="B805" s="129"/>
      <c r="C805" s="131" t="s">
        <v>531</v>
      </c>
      <c r="D805" s="551" t="s">
        <v>993</v>
      </c>
      <c r="E805" s="550"/>
      <c r="F805" s="550"/>
    </row>
    <row r="806" spans="2:10">
      <c r="C806" s="286">
        <v>7.4499999999999997E-2</v>
      </c>
      <c r="D806" s="552">
        <v>7082.05</v>
      </c>
    </row>
    <row r="807" spans="2:10">
      <c r="C807" s="286">
        <v>7.6999999999999999E-2</v>
      </c>
      <c r="D807" s="552">
        <v>2450</v>
      </c>
    </row>
    <row r="808" spans="2:10">
      <c r="C808" s="286">
        <v>3.8600000000000002E-2</v>
      </c>
      <c r="D808" s="552">
        <v>500</v>
      </c>
    </row>
    <row r="809" spans="2:10">
      <c r="C809" s="286">
        <v>8.0100000000000005E-2</v>
      </c>
      <c r="D809" s="552">
        <v>37351</v>
      </c>
    </row>
    <row r="810" spans="2:10">
      <c r="C810" s="286">
        <v>7.3999999999999996E-2</v>
      </c>
      <c r="D810" s="552">
        <v>800</v>
      </c>
    </row>
    <row r="811" spans="2:10">
      <c r="C811" s="286">
        <v>7.9500000000000001E-2</v>
      </c>
      <c r="D811" s="552">
        <v>916</v>
      </c>
    </row>
    <row r="812" spans="2:10">
      <c r="C812" s="286">
        <v>0.04</v>
      </c>
      <c r="D812" s="552">
        <v>96</v>
      </c>
    </row>
    <row r="813" spans="2:10">
      <c r="C813" s="286">
        <v>0.05</v>
      </c>
      <c r="D813" s="552">
        <v>429</v>
      </c>
    </row>
    <row r="814" spans="2:10">
      <c r="C814" s="286">
        <v>5.7500000000000002E-2</v>
      </c>
      <c r="D814" s="552">
        <v>799</v>
      </c>
      <c r="G814" s="225"/>
    </row>
    <row r="815" spans="2:10">
      <c r="C815" s="286">
        <v>7.2499999999999995E-2</v>
      </c>
      <c r="D815" s="553">
        <v>491.9</v>
      </c>
    </row>
    <row r="816" spans="2:10">
      <c r="B816" s="287" t="s">
        <v>535</v>
      </c>
      <c r="C816" s="288">
        <f>SUMPRODUCT(C806:C815,D806:D815)/SUM(D806:D815)</f>
        <v>7.7900402043014863E-2</v>
      </c>
      <c r="D816" s="554"/>
      <c r="E816" s="289"/>
      <c r="F816" s="289"/>
    </row>
    <row r="817" spans="3:4">
      <c r="C817" s="549"/>
      <c r="D817" s="225"/>
    </row>
    <row r="818" spans="3:4">
      <c r="C818" s="549"/>
      <c r="D818" s="225"/>
    </row>
    <row r="819" spans="3:4">
      <c r="C819" s="549"/>
      <c r="D819" s="225"/>
    </row>
    <row r="820" spans="3:4">
      <c r="C820" s="549"/>
      <c r="D820" s="225"/>
    </row>
    <row r="821" spans="3:4">
      <c r="C821" s="549"/>
      <c r="D821" s="225"/>
    </row>
    <row r="822" spans="3:4">
      <c r="C822" s="549"/>
      <c r="D822" s="225"/>
    </row>
    <row r="823" spans="3:4">
      <c r="C823" s="549"/>
      <c r="D823" s="225"/>
    </row>
    <row r="824" spans="3:4">
      <c r="C824" s="549"/>
      <c r="D824" s="225"/>
    </row>
    <row r="825" spans="3:4">
      <c r="C825" s="549"/>
      <c r="D825" s="225"/>
    </row>
    <row r="826" spans="3:4">
      <c r="C826" s="549"/>
      <c r="D826" s="225"/>
    </row>
    <row r="827" spans="3:4">
      <c r="C827" s="549"/>
      <c r="D827" s="225"/>
    </row>
    <row r="828" spans="3:4">
      <c r="C828" s="549"/>
      <c r="D828" s="225"/>
    </row>
    <row r="829" spans="3:4">
      <c r="C829" s="549"/>
      <c r="D829" s="225"/>
    </row>
    <row r="830" spans="3:4">
      <c r="C830" s="549"/>
      <c r="D830" s="225"/>
    </row>
    <row r="831" spans="3:4">
      <c r="C831" s="549"/>
      <c r="D831" s="225"/>
    </row>
    <row r="832" spans="3:4">
      <c r="C832" s="549"/>
      <c r="D832" s="225"/>
    </row>
    <row r="833" spans="3:4">
      <c r="C833" s="549"/>
      <c r="D833" s="225"/>
    </row>
    <row r="834" spans="3:4">
      <c r="C834" s="549"/>
      <c r="D834" s="225"/>
    </row>
    <row r="835" spans="3:4">
      <c r="C835" s="549"/>
      <c r="D835" s="225"/>
    </row>
    <row r="836" spans="3:4">
      <c r="C836" s="549"/>
      <c r="D836" s="225"/>
    </row>
    <row r="837" spans="3:4">
      <c r="C837" s="549"/>
      <c r="D837" s="225"/>
    </row>
    <row r="838" spans="3:4">
      <c r="C838" s="549"/>
      <c r="D838" s="225"/>
    </row>
    <row r="839" spans="3:4">
      <c r="C839" s="549"/>
      <c r="D839" s="225"/>
    </row>
    <row r="840" spans="3:4">
      <c r="C840" s="549"/>
      <c r="D840" s="225"/>
    </row>
    <row r="841" spans="3:4">
      <c r="C841" s="549"/>
      <c r="D841" s="225"/>
    </row>
    <row r="842" spans="3:4">
      <c r="C842" s="549"/>
      <c r="D842" s="225"/>
    </row>
    <row r="843" spans="3:4">
      <c r="C843" s="549"/>
      <c r="D843" s="225"/>
    </row>
    <row r="844" spans="3:4">
      <c r="C844" s="549"/>
      <c r="D844" s="225"/>
    </row>
    <row r="845" spans="3:4">
      <c r="C845" s="549"/>
      <c r="D845" s="225"/>
    </row>
    <row r="846" spans="3:4">
      <c r="C846" s="549"/>
      <c r="D846" s="225"/>
    </row>
    <row r="847" spans="3:4">
      <c r="C847" s="549"/>
      <c r="D847" s="225"/>
    </row>
    <row r="848" spans="3:4">
      <c r="C848" s="549"/>
      <c r="D848" s="225"/>
    </row>
    <row r="849" spans="1:10">
      <c r="C849" s="549"/>
      <c r="D849" s="225"/>
    </row>
    <row r="850" spans="1:10">
      <c r="C850" s="549"/>
      <c r="D850" s="225"/>
    </row>
    <row r="851" spans="1:10">
      <c r="C851" s="549"/>
      <c r="D851" s="225"/>
    </row>
    <row r="852" spans="1:10">
      <c r="C852" s="549"/>
      <c r="D852" s="225"/>
    </row>
    <row r="854" spans="1:10" ht="21">
      <c r="A854" t="s">
        <v>220</v>
      </c>
      <c r="B854" s="216" t="s">
        <v>484</v>
      </c>
    </row>
    <row r="856" spans="1:10">
      <c r="B856" s="129" t="s">
        <v>147</v>
      </c>
      <c r="C856" s="131">
        <v>2016</v>
      </c>
      <c r="D856" s="131">
        <f>C856+1</f>
        <v>2017</v>
      </c>
      <c r="E856" s="131">
        <f t="shared" ref="E856" si="216">D856+1</f>
        <v>2018</v>
      </c>
      <c r="F856" s="131">
        <f t="shared" ref="F856" si="217">E856+1</f>
        <v>2019</v>
      </c>
      <c r="G856" s="131">
        <f t="shared" ref="G856" si="218">F856+1</f>
        <v>2020</v>
      </c>
      <c r="H856" s="131">
        <f t="shared" ref="H856" si="219">G856+1</f>
        <v>2021</v>
      </c>
      <c r="I856" s="131">
        <f t="shared" ref="I856" si="220">H856+1</f>
        <v>2022</v>
      </c>
      <c r="J856" s="131">
        <f t="shared" ref="J856" si="221">I856+1</f>
        <v>2023</v>
      </c>
    </row>
    <row r="857" spans="1:10">
      <c r="B857" t="s">
        <v>36</v>
      </c>
      <c r="C857" s="225">
        <f t="shared" ref="C857:J857" si="222">D7</f>
        <v>3861.1800000000003</v>
      </c>
      <c r="D857" s="225">
        <f t="shared" si="222"/>
        <v>4003.54</v>
      </c>
      <c r="E857" s="225">
        <f t="shared" si="222"/>
        <v>5105.26</v>
      </c>
      <c r="F857" s="225">
        <f t="shared" si="222"/>
        <v>7129.58</v>
      </c>
      <c r="G857" s="225">
        <f t="shared" si="222"/>
        <v>6450.14</v>
      </c>
      <c r="H857" s="225">
        <f t="shared" si="222"/>
        <v>8823.2300000000014</v>
      </c>
      <c r="I857" s="225">
        <f t="shared" si="222"/>
        <v>13173.14</v>
      </c>
      <c r="J857" s="225">
        <f t="shared" si="222"/>
        <v>16042.581</v>
      </c>
    </row>
    <row r="858" spans="1:10">
      <c r="B858" t="s">
        <v>484</v>
      </c>
      <c r="C858" s="225">
        <f>IncomeStatement!D39</f>
        <v>38.11</v>
      </c>
      <c r="D858" s="225">
        <f>IncomeStatement!E39</f>
        <v>12.51</v>
      </c>
      <c r="E858" s="225">
        <f>IncomeStatement!F39</f>
        <v>21.82</v>
      </c>
      <c r="F858" s="225">
        <f>IncomeStatement!G39</f>
        <v>42.53</v>
      </c>
      <c r="G858" s="225">
        <f>IncomeStatement!H39</f>
        <v>36.97</v>
      </c>
      <c r="H858" s="225">
        <f>IncomeStatement!I39</f>
        <v>67.930000000000007</v>
      </c>
      <c r="I858" s="225">
        <f>IncomeStatement!J39</f>
        <v>38.85</v>
      </c>
      <c r="J858" s="225">
        <f>IncomeStatement!K39</f>
        <v>79.358999999999995</v>
      </c>
    </row>
    <row r="860" spans="1:10">
      <c r="B860" t="s">
        <v>485</v>
      </c>
      <c r="C860" s="37">
        <f>C858/C857</f>
        <v>9.8700397287875725E-3</v>
      </c>
      <c r="D860" s="37">
        <f t="shared" ref="D860:J860" si="223">D858/D857</f>
        <v>3.1247346098702646E-3</v>
      </c>
      <c r="E860" s="37">
        <f t="shared" si="223"/>
        <v>4.2740232622824302E-3</v>
      </c>
      <c r="F860" s="37">
        <f t="shared" si="223"/>
        <v>5.9652882778508691E-3</v>
      </c>
      <c r="G860" s="37">
        <f t="shared" si="223"/>
        <v>5.7316585376441433E-3</v>
      </c>
      <c r="H860" s="37">
        <f t="shared" si="223"/>
        <v>7.698994585882947E-3</v>
      </c>
      <c r="I860" s="37">
        <f t="shared" si="223"/>
        <v>2.9491829586567823E-3</v>
      </c>
      <c r="J860" s="37">
        <f t="shared" si="223"/>
        <v>4.946772592265546E-3</v>
      </c>
    </row>
    <row r="862" spans="1:10">
      <c r="B862" s="484" t="s">
        <v>536</v>
      </c>
      <c r="C862" s="485"/>
    </row>
    <row r="864" spans="1:10" ht="21">
      <c r="A864" t="s">
        <v>220</v>
      </c>
      <c r="B864" s="216" t="s">
        <v>537</v>
      </c>
    </row>
    <row r="866" spans="1:17">
      <c r="B866" s="129" t="s">
        <v>147</v>
      </c>
      <c r="C866" s="131">
        <v>2016</v>
      </c>
      <c r="D866" s="131">
        <f>C866+1</f>
        <v>2017</v>
      </c>
      <c r="E866" s="131">
        <f t="shared" ref="E866" si="224">D866+1</f>
        <v>2018</v>
      </c>
      <c r="F866" s="131">
        <f t="shared" ref="F866" si="225">E866+1</f>
        <v>2019</v>
      </c>
      <c r="G866" s="131">
        <f t="shared" ref="G866" si="226">F866+1</f>
        <v>2020</v>
      </c>
      <c r="H866" s="131">
        <f t="shared" ref="H866" si="227">G866+1</f>
        <v>2021</v>
      </c>
      <c r="I866" s="131">
        <f t="shared" ref="I866" si="228">H866+1</f>
        <v>2022</v>
      </c>
      <c r="J866" s="131">
        <f t="shared" ref="J866" si="229">I866+1</f>
        <v>2023</v>
      </c>
    </row>
    <row r="867" spans="1:17">
      <c r="B867" t="s">
        <v>537</v>
      </c>
      <c r="C867" s="225">
        <f>IncomeStatement!D53</f>
        <v>0</v>
      </c>
      <c r="D867" s="225">
        <f>IncomeStatement!E53</f>
        <v>45.63</v>
      </c>
      <c r="E867" s="225">
        <f>IncomeStatement!F53</f>
        <v>45.6</v>
      </c>
      <c r="F867" s="225">
        <f>IncomeStatement!G53</f>
        <v>68.5</v>
      </c>
      <c r="G867" s="225">
        <f>IncomeStatement!H53</f>
        <v>72.17</v>
      </c>
      <c r="H867" s="225">
        <f>IncomeStatement!I53</f>
        <v>108.26</v>
      </c>
      <c r="I867" s="225">
        <f>IncomeStatement!J53</f>
        <v>227.34</v>
      </c>
      <c r="J867" s="225">
        <f>IncomeStatement!K53</f>
        <v>324.80700000000002</v>
      </c>
    </row>
    <row r="868" spans="1:17">
      <c r="B868" t="s">
        <v>98</v>
      </c>
      <c r="C868" s="225">
        <f>IncomeStatement!D47</f>
        <v>45.650000000000261</v>
      </c>
      <c r="D868" s="225">
        <f>IncomeStatement!E47</f>
        <v>214.0500000000001</v>
      </c>
      <c r="E868" s="225">
        <f>IncomeStatement!F47</f>
        <v>299.86000000000041</v>
      </c>
      <c r="F868" s="225">
        <f>IncomeStatement!G47</f>
        <v>472.2000000000001</v>
      </c>
      <c r="G868" s="225">
        <f>IncomeStatement!H47</f>
        <v>357.26999999999964</v>
      </c>
      <c r="H868" s="225">
        <f>IncomeStatement!I47</f>
        <v>746.05000000000132</v>
      </c>
      <c r="I868" s="225">
        <f>IncomeStatement!J47</f>
        <v>1550.1199999999997</v>
      </c>
      <c r="J868" s="225">
        <f>IncomeStatement!K47</f>
        <v>2101.8129999999987</v>
      </c>
    </row>
    <row r="870" spans="1:17">
      <c r="B870" t="s">
        <v>538</v>
      </c>
      <c r="C870" s="171">
        <f>C867/C868</f>
        <v>0</v>
      </c>
      <c r="D870" s="171">
        <f t="shared" ref="D870:J870" si="230">D867/D868</f>
        <v>0.21317449194113516</v>
      </c>
      <c r="E870" s="171">
        <f t="shared" si="230"/>
        <v>0.15207096645101026</v>
      </c>
      <c r="F870" s="171">
        <f t="shared" si="230"/>
        <v>0.14506565014824224</v>
      </c>
      <c r="G870" s="171">
        <f t="shared" si="230"/>
        <v>0.20200408654519011</v>
      </c>
      <c r="H870" s="171">
        <f t="shared" si="230"/>
        <v>0.1451109174988269</v>
      </c>
      <c r="I870" s="171">
        <f t="shared" si="230"/>
        <v>0.14665961344928138</v>
      </c>
      <c r="J870" s="171">
        <f t="shared" si="230"/>
        <v>0.15453658341631735</v>
      </c>
    </row>
    <row r="872" spans="1:17">
      <c r="B872" s="295" t="s">
        <v>988</v>
      </c>
      <c r="C872" s="287"/>
      <c r="D872" s="287"/>
      <c r="E872" s="287"/>
      <c r="F872" s="485"/>
      <c r="G872" s="287"/>
      <c r="H872" s="287"/>
      <c r="I872" s="287"/>
      <c r="J872" s="287"/>
      <c r="K872" s="287"/>
      <c r="L872" s="287"/>
      <c r="M872" s="287"/>
      <c r="N872" s="485"/>
    </row>
    <row r="874" spans="1:17" ht="21">
      <c r="A874" t="s">
        <v>220</v>
      </c>
      <c r="B874" s="216" t="s">
        <v>548</v>
      </c>
    </row>
    <row r="876" spans="1:17">
      <c r="B876" s="129" t="s">
        <v>147</v>
      </c>
      <c r="C876" s="131">
        <v>2019</v>
      </c>
      <c r="D876" s="131">
        <f>C876+1</f>
        <v>2020</v>
      </c>
      <c r="E876" s="131">
        <f t="shared" ref="E876" si="231">D876+1</f>
        <v>2021</v>
      </c>
      <c r="F876" s="131">
        <f t="shared" ref="F876" si="232">E876+1</f>
        <v>2022</v>
      </c>
      <c r="G876" s="131">
        <f t="shared" ref="G876" si="233">F876+1</f>
        <v>2023</v>
      </c>
      <c r="H876" s="131">
        <f t="shared" ref="H876" si="234">G876+1</f>
        <v>2024</v>
      </c>
      <c r="I876" s="131">
        <f t="shared" ref="I876" si="235">H876+1</f>
        <v>2025</v>
      </c>
      <c r="J876" s="131">
        <f t="shared" ref="J876" si="236">I876+1</f>
        <v>2026</v>
      </c>
      <c r="K876" s="131">
        <f t="shared" ref="K876" si="237">J876+1</f>
        <v>2027</v>
      </c>
      <c r="L876" s="131">
        <f t="shared" ref="L876" si="238">K876+1</f>
        <v>2028</v>
      </c>
      <c r="M876" s="490">
        <f t="shared" ref="M876" si="239">L876+1</f>
        <v>2029</v>
      </c>
      <c r="N876" s="490">
        <f t="shared" ref="N876" si="240">M876+1</f>
        <v>2030</v>
      </c>
      <c r="O876" s="490">
        <f t="shared" ref="O876" si="241">N876+1</f>
        <v>2031</v>
      </c>
      <c r="P876" s="490">
        <f t="shared" ref="P876" si="242">O876+1</f>
        <v>2032</v>
      </c>
      <c r="Q876" s="490">
        <f t="shared" ref="Q876" si="243">P876+1</f>
        <v>2033</v>
      </c>
    </row>
    <row r="877" spans="1:17">
      <c r="B877" t="s">
        <v>7</v>
      </c>
      <c r="C877" s="225">
        <f>'3StatementModel'!D68</f>
        <v>137.75999999999948</v>
      </c>
      <c r="D877" s="225">
        <f>'3StatementModel'!E68</f>
        <v>104.28999999999994</v>
      </c>
      <c r="E877" s="225">
        <f>'3StatementModel'!F68</f>
        <v>150.44000000000148</v>
      </c>
      <c r="F877" s="225">
        <f>'3StatementModel'!G68</f>
        <v>153.97999999999979</v>
      </c>
      <c r="G877" s="225">
        <f>'3StatementModel'!H68</f>
        <v>241.83699999999965</v>
      </c>
      <c r="H877" s="292">
        <f>'3StatementModel'!I68</f>
        <v>196.53469590765201</v>
      </c>
      <c r="I877" s="292">
        <f>'3StatementModel'!J68</f>
        <v>283.7511301449382</v>
      </c>
      <c r="J877" s="292">
        <f>'3StatementModel'!K68</f>
        <v>401.52450591762829</v>
      </c>
      <c r="K877" s="292">
        <f>'3StatementModel'!L68</f>
        <v>452.41467802132831</v>
      </c>
      <c r="L877" s="292">
        <f>'3StatementModel'!M68</f>
        <v>515.76558069582336</v>
      </c>
      <c r="M877" s="292">
        <f>'3StatementModel'!N68</f>
        <v>454.46744397061104</v>
      </c>
      <c r="N877" s="292">
        <f>'3StatementModel'!O68</f>
        <v>775.33968054616946</v>
      </c>
      <c r="O877" s="292">
        <f>'3StatementModel'!P68</f>
        <v>919.61456636645892</v>
      </c>
      <c r="P877" s="292">
        <f>'3StatementModel'!Q68</f>
        <v>1292.162868535846</v>
      </c>
      <c r="Q877" s="292">
        <f>'3StatementModel'!R68</f>
        <v>1424.5018575118088</v>
      </c>
    </row>
    <row r="878" spans="1:17">
      <c r="B878" t="s">
        <v>36</v>
      </c>
      <c r="C878" s="225">
        <f>'3StatementModel'!D13</f>
        <v>7129.58</v>
      </c>
      <c r="D878" s="225">
        <f>'3StatementModel'!E13</f>
        <v>6450.14</v>
      </c>
      <c r="E878" s="225">
        <f>'3StatementModel'!F13</f>
        <v>8823.2300000000014</v>
      </c>
      <c r="F878" s="225">
        <f>'3StatementModel'!G13</f>
        <v>13173.14</v>
      </c>
      <c r="G878" s="225">
        <f>'3StatementModel'!H13</f>
        <v>16042.581</v>
      </c>
      <c r="H878" s="292">
        <f>'3StatementModel'!I13</f>
        <v>20053.22625</v>
      </c>
      <c r="I878" s="292">
        <f>'3StatementModel'!J13</f>
        <v>24414.802959375</v>
      </c>
      <c r="J878" s="292">
        <f>'3StatementModel'!K13</f>
        <v>28931.541506859376</v>
      </c>
      <c r="K878" s="292">
        <f>'3StatementModel'!L13</f>
        <v>33343.60158665543</v>
      </c>
      <c r="L878" s="292">
        <f>'3StatementModel'!M13</f>
        <v>37344.833777054082</v>
      </c>
      <c r="M878" s="292">
        <f>'3StatementModel'!N13</f>
        <v>41826.213830300578</v>
      </c>
      <c r="N878" s="292">
        <f>'3StatementModel'!O13</f>
        <v>46845.359489936651</v>
      </c>
      <c r="O878" s="292">
        <f>'3StatementModel'!P13</f>
        <v>52466.802628729056</v>
      </c>
      <c r="P878" s="292">
        <f>'3StatementModel'!Q13</f>
        <v>58762.81894417655</v>
      </c>
      <c r="Q878" s="292">
        <f>'3StatementModel'!R13</f>
        <v>65814.357217477736</v>
      </c>
    </row>
    <row r="879" spans="1:17">
      <c r="H879" s="28"/>
      <c r="I879" s="28"/>
      <c r="J879" s="28"/>
      <c r="K879" s="28"/>
      <c r="L879" s="28"/>
      <c r="M879" s="28"/>
      <c r="N879" s="28"/>
      <c r="O879" s="28"/>
      <c r="P879" s="28"/>
      <c r="Q879" s="28"/>
    </row>
    <row r="880" spans="1:17">
      <c r="B880" t="s">
        <v>549</v>
      </c>
      <c r="C880" s="171">
        <f>C877/C878</f>
        <v>1.9322316321578478E-2</v>
      </c>
      <c r="D880" s="171">
        <f t="shared" ref="D880:L880" si="244">D877/D878</f>
        <v>1.6168641300808965E-2</v>
      </c>
      <c r="E880" s="171">
        <f t="shared" si="244"/>
        <v>1.7050445245108816E-2</v>
      </c>
      <c r="F880" s="171">
        <f t="shared" si="244"/>
        <v>1.1688936730346735E-2</v>
      </c>
      <c r="G880" s="171">
        <f t="shared" si="244"/>
        <v>1.5074694028348658E-2</v>
      </c>
      <c r="H880" s="462">
        <f>H877/H878</f>
        <v>9.8006521971820866E-3</v>
      </c>
      <c r="I880" s="462">
        <f t="shared" si="244"/>
        <v>1.1622093801743383E-2</v>
      </c>
      <c r="J880" s="462">
        <f t="shared" si="244"/>
        <v>1.3878434573644509E-2</v>
      </c>
      <c r="K880" s="462">
        <f t="shared" si="244"/>
        <v>1.3568260670508699E-2</v>
      </c>
      <c r="L880" s="462">
        <f t="shared" si="244"/>
        <v>1.3810895069848377E-2</v>
      </c>
      <c r="M880" s="462">
        <f t="shared" ref="M880:Q880" si="245">M877/M878</f>
        <v>1.0865612790450009E-2</v>
      </c>
      <c r="N880" s="462">
        <f t="shared" si="245"/>
        <v>1.655104558889613E-2</v>
      </c>
      <c r="O880" s="462">
        <f t="shared" si="245"/>
        <v>1.7527551142651657E-2</v>
      </c>
      <c r="P880" s="462">
        <f t="shared" si="245"/>
        <v>2.1989463605607037E-2</v>
      </c>
      <c r="Q880" s="462">
        <f t="shared" si="245"/>
        <v>2.1644241738997285E-2</v>
      </c>
    </row>
    <row r="881" spans="2:20">
      <c r="H881" s="28"/>
      <c r="I881" s="28"/>
      <c r="J881" s="28"/>
      <c r="K881" s="28"/>
      <c r="L881" s="28"/>
      <c r="M881" s="28"/>
      <c r="N881" s="28"/>
      <c r="O881" s="28"/>
      <c r="P881" s="28"/>
      <c r="Q881" s="28"/>
    </row>
    <row r="882" spans="2:20">
      <c r="B882" t="s">
        <v>103</v>
      </c>
      <c r="C882" s="225">
        <f>'3StatementModel'!D75</f>
        <v>8388.2299999999977</v>
      </c>
      <c r="D882" s="225">
        <f>'3StatementModel'!E75</f>
        <v>8458.119999999999</v>
      </c>
      <c r="E882" s="225">
        <f>'3StatementModel'!F75</f>
        <v>9581.5790000000015</v>
      </c>
      <c r="F882" s="225">
        <f>'3StatementModel'!G75</f>
        <v>11617.903</v>
      </c>
      <c r="G882" s="225">
        <f>'3StatementModel'!H75</f>
        <v>15186.807999999999</v>
      </c>
      <c r="H882" s="292">
        <f>'3StatementModel'!I75</f>
        <v>18600.174458444453</v>
      </c>
      <c r="I882" s="292">
        <f>'3StatementModel'!J75</f>
        <v>20037.981190268758</v>
      </c>
      <c r="J882" s="292">
        <f>'3StatementModel'!K75</f>
        <v>21918.712696421968</v>
      </c>
      <c r="K882" s="292">
        <f>'3StatementModel'!L75</f>
        <v>23754.849698945338</v>
      </c>
      <c r="L882" s="292">
        <f>'3StatementModel'!M75</f>
        <v>25075.855874398392</v>
      </c>
      <c r="M882" s="292">
        <f>'3StatementModel'!N75</f>
        <v>26409.064787359799</v>
      </c>
      <c r="N882" s="292">
        <f>'3StatementModel'!O75</f>
        <v>28277.718063759006</v>
      </c>
      <c r="O882" s="292">
        <f>'3StatementModel'!P75</f>
        <v>30141.440858356407</v>
      </c>
      <c r="P882" s="292">
        <f>'3StatementModel'!Q75</f>
        <v>32425.703962530799</v>
      </c>
      <c r="Q882" s="292">
        <f>'3StatementModel'!R75</f>
        <v>34685.096673926986</v>
      </c>
    </row>
    <row r="883" spans="2:20">
      <c r="H883" s="28"/>
      <c r="I883" s="28"/>
      <c r="J883" s="28"/>
      <c r="K883" s="28"/>
      <c r="L883" s="28"/>
      <c r="M883" s="28"/>
      <c r="N883" s="28"/>
      <c r="O883" s="28"/>
      <c r="P883" s="28"/>
      <c r="Q883" s="28"/>
    </row>
    <row r="884" spans="2:20">
      <c r="B884" t="s">
        <v>550</v>
      </c>
      <c r="C884" s="171">
        <f>C877/C882</f>
        <v>1.6423011767679178E-2</v>
      </c>
      <c r="D884" s="171">
        <f t="shared" ref="D884:L884" si="246">D877/D882</f>
        <v>1.2330163204116274E-2</v>
      </c>
      <c r="E884" s="171">
        <f t="shared" si="246"/>
        <v>1.5700961188130001E-2</v>
      </c>
      <c r="F884" s="171">
        <f t="shared" si="246"/>
        <v>1.3253682699881362E-2</v>
      </c>
      <c r="G884" s="171">
        <f t="shared" si="246"/>
        <v>1.5924149432849855E-2</v>
      </c>
      <c r="H884" s="237">
        <f t="shared" si="246"/>
        <v>1.0566282394110853E-2</v>
      </c>
      <c r="I884" s="237">
        <f t="shared" si="246"/>
        <v>1.4160664562492905E-2</v>
      </c>
      <c r="J884" s="237">
        <f t="shared" si="246"/>
        <v>1.8318799624723103E-2</v>
      </c>
      <c r="K884" s="237">
        <f t="shared" si="246"/>
        <v>1.9045150095873455E-2</v>
      </c>
      <c r="L884" s="237">
        <f t="shared" si="246"/>
        <v>2.0568214432210179E-2</v>
      </c>
      <c r="M884" s="237">
        <f t="shared" ref="M884:Q884" si="247">M877/M882</f>
        <v>1.7208767051385073E-2</v>
      </c>
      <c r="N884" s="237">
        <f t="shared" si="247"/>
        <v>2.7418749942904771E-2</v>
      </c>
      <c r="O884" s="237">
        <f t="shared" si="247"/>
        <v>3.0509973650164942E-2</v>
      </c>
      <c r="P884" s="237">
        <f t="shared" si="247"/>
        <v>3.9849955764383466E-2</v>
      </c>
      <c r="Q884" s="237">
        <f t="shared" si="247"/>
        <v>4.1069565724538293E-2</v>
      </c>
    </row>
    <row r="885" spans="2:20">
      <c r="H885" s="28"/>
      <c r="I885" s="28"/>
      <c r="J885" s="28"/>
      <c r="K885" s="28"/>
      <c r="L885" s="28"/>
      <c r="M885" s="28"/>
      <c r="N885" s="28"/>
      <c r="O885" s="28"/>
      <c r="P885" s="28"/>
      <c r="Q885" s="28"/>
    </row>
    <row r="886" spans="2:20">
      <c r="B886" t="s">
        <v>551</v>
      </c>
      <c r="C886" s="164">
        <f>C880</f>
        <v>1.9322316321578478E-2</v>
      </c>
      <c r="D886" s="164">
        <f t="shared" ref="D886:G886" si="248">D880</f>
        <v>1.6168641300808965E-2</v>
      </c>
      <c r="E886" s="164">
        <f t="shared" si="248"/>
        <v>1.7050445245108816E-2</v>
      </c>
      <c r="F886" s="164">
        <f t="shared" si="248"/>
        <v>1.1688936730346735E-2</v>
      </c>
      <c r="G886" s="164">
        <f t="shared" si="248"/>
        <v>1.5074694028348658E-2</v>
      </c>
      <c r="H886" s="293">
        <v>0.02</v>
      </c>
      <c r="I886" s="293">
        <v>0.02</v>
      </c>
      <c r="J886" s="293">
        <v>0.02</v>
      </c>
      <c r="K886" s="293">
        <v>0.02</v>
      </c>
      <c r="L886" s="293">
        <v>0.02</v>
      </c>
      <c r="M886" s="293">
        <v>0.02</v>
      </c>
      <c r="N886" s="293">
        <v>0.02</v>
      </c>
      <c r="O886" s="293">
        <v>0.02</v>
      </c>
      <c r="P886" s="293">
        <v>0.02</v>
      </c>
      <c r="Q886" s="293">
        <v>0.02</v>
      </c>
    </row>
    <row r="887" spans="2:20">
      <c r="H887" s="28"/>
      <c r="I887" s="28"/>
      <c r="J887" s="28"/>
      <c r="K887" s="28"/>
      <c r="L887" s="28"/>
      <c r="M887" s="28"/>
      <c r="N887" s="28"/>
      <c r="O887" s="28"/>
      <c r="P887" s="28"/>
      <c r="Q887" s="28"/>
    </row>
    <row r="888" spans="2:20">
      <c r="B888" t="s">
        <v>552</v>
      </c>
      <c r="C888" s="225">
        <f>C886*C878</f>
        <v>137.75999999999948</v>
      </c>
      <c r="D888" s="225">
        <f t="shared" ref="D888:L888" si="249">D886*D878</f>
        <v>104.28999999999995</v>
      </c>
      <c r="E888" s="225">
        <f t="shared" si="249"/>
        <v>150.44000000000148</v>
      </c>
      <c r="F888" s="225">
        <f t="shared" si="249"/>
        <v>153.97999999999979</v>
      </c>
      <c r="G888" s="225">
        <f t="shared" si="249"/>
        <v>241.83699999999965</v>
      </c>
      <c r="H888" s="292">
        <f t="shared" si="249"/>
        <v>401.064525</v>
      </c>
      <c r="I888" s="292">
        <f t="shared" si="249"/>
        <v>488.29605918750002</v>
      </c>
      <c r="J888" s="292">
        <f t="shared" si="249"/>
        <v>578.63083013718756</v>
      </c>
      <c r="K888" s="292">
        <f t="shared" si="249"/>
        <v>666.87203173310866</v>
      </c>
      <c r="L888" s="292">
        <f t="shared" si="249"/>
        <v>746.89667554108166</v>
      </c>
      <c r="M888" s="292">
        <f t="shared" ref="M888:Q888" si="250">M886*M878</f>
        <v>836.52427660601154</v>
      </c>
      <c r="N888" s="292">
        <f t="shared" si="250"/>
        <v>936.90718979873304</v>
      </c>
      <c r="O888" s="292">
        <f t="shared" si="250"/>
        <v>1049.3360525745811</v>
      </c>
      <c r="P888" s="292">
        <f t="shared" si="250"/>
        <v>1175.2563788835309</v>
      </c>
      <c r="Q888" s="292">
        <f t="shared" si="250"/>
        <v>1316.2871443495549</v>
      </c>
    </row>
    <row r="889" spans="2:20">
      <c r="H889" s="28"/>
      <c r="I889" s="28"/>
      <c r="J889" s="28"/>
      <c r="K889" s="28"/>
      <c r="L889" s="28"/>
      <c r="M889" s="28"/>
      <c r="N889" s="28"/>
      <c r="O889" s="28"/>
      <c r="P889" s="28"/>
      <c r="Q889" s="28"/>
    </row>
    <row r="890" spans="2:20">
      <c r="B890" t="s">
        <v>553</v>
      </c>
      <c r="C890" s="225">
        <f>C877-C888</f>
        <v>0</v>
      </c>
      <c r="D890" s="225">
        <f t="shared" ref="D890:L890" si="251">D877-D888</f>
        <v>0</v>
      </c>
      <c r="E890" s="225">
        <f t="shared" si="251"/>
        <v>0</v>
      </c>
      <c r="F890" s="225">
        <f t="shared" si="251"/>
        <v>0</v>
      </c>
      <c r="G890" s="225">
        <f t="shared" si="251"/>
        <v>0</v>
      </c>
      <c r="H890" s="292">
        <f t="shared" si="251"/>
        <v>-204.529829092348</v>
      </c>
      <c r="I890" s="292">
        <f t="shared" si="251"/>
        <v>-204.54492904256182</v>
      </c>
      <c r="J890" s="292">
        <f t="shared" si="251"/>
        <v>-177.10632421955927</v>
      </c>
      <c r="K890" s="292">
        <f t="shared" si="251"/>
        <v>-214.45735371178034</v>
      </c>
      <c r="L890" s="292">
        <f t="shared" si="251"/>
        <v>-231.1310948452583</v>
      </c>
      <c r="M890" s="292">
        <f t="shared" ref="M890:Q890" si="252">M877-M888</f>
        <v>-382.0568326354005</v>
      </c>
      <c r="N890" s="292">
        <f t="shared" si="252"/>
        <v>-161.56750925256358</v>
      </c>
      <c r="O890" s="292">
        <f t="shared" si="252"/>
        <v>-129.7214862081222</v>
      </c>
      <c r="P890" s="292">
        <f t="shared" si="252"/>
        <v>116.90648965231503</v>
      </c>
      <c r="Q890" s="292">
        <f t="shared" si="252"/>
        <v>108.21471316225393</v>
      </c>
    </row>
    <row r="891" spans="2:20">
      <c r="R891" s="18"/>
      <c r="S891" s="18"/>
      <c r="T891" s="18"/>
    </row>
    <row r="892" spans="2:20">
      <c r="R892" s="18"/>
      <c r="S892" s="18"/>
      <c r="T892" s="18"/>
    </row>
    <row r="893" spans="2:20">
      <c r="R893" s="18"/>
      <c r="S893" s="18"/>
      <c r="T893" s="18"/>
    </row>
    <row r="894" spans="2:20">
      <c r="R894" s="18"/>
      <c r="S894" s="18"/>
      <c r="T894" s="18"/>
    </row>
    <row r="895" spans="2:20">
      <c r="R895" s="18"/>
      <c r="S895" s="18"/>
      <c r="T895" s="18"/>
    </row>
    <row r="896" spans="2:20">
      <c r="R896" s="18"/>
      <c r="S896" s="18"/>
      <c r="T896" s="18"/>
    </row>
    <row r="897" spans="2:20">
      <c r="R897" s="18"/>
      <c r="S897" s="18"/>
      <c r="T897" s="18"/>
    </row>
    <row r="898" spans="2:20">
      <c r="R898" s="18"/>
      <c r="S898" s="18"/>
      <c r="T898" s="18"/>
    </row>
    <row r="899" spans="2:20">
      <c r="R899" s="18"/>
      <c r="S899" s="18"/>
      <c r="T899" s="18"/>
    </row>
    <row r="900" spans="2:20">
      <c r="R900" s="18"/>
      <c r="S900" s="18"/>
      <c r="T900" s="18"/>
    </row>
    <row r="901" spans="2:20">
      <c r="R901" s="18"/>
      <c r="S901" s="18"/>
      <c r="T901" s="18"/>
    </row>
    <row r="902" spans="2:20">
      <c r="R902" s="18"/>
      <c r="S902" s="18"/>
      <c r="T902" s="18"/>
    </row>
    <row r="903" spans="2:20">
      <c r="R903" s="18"/>
      <c r="S903" s="18"/>
      <c r="T903" s="18"/>
    </row>
    <row r="904" spans="2:20">
      <c r="R904" s="18"/>
      <c r="S904" s="18"/>
      <c r="T904" s="18"/>
    </row>
    <row r="905" spans="2:20">
      <c r="R905" s="18"/>
      <c r="S905" s="18"/>
      <c r="T905" s="18"/>
    </row>
    <row r="906" spans="2:20">
      <c r="R906" s="18"/>
      <c r="S906" s="18"/>
      <c r="T906" s="18"/>
    </row>
    <row r="907" spans="2:20">
      <c r="R907" s="18"/>
      <c r="S907" s="18"/>
      <c r="T907" s="18"/>
    </row>
    <row r="908" spans="2:20">
      <c r="R908" s="18"/>
      <c r="S908" s="18"/>
      <c r="T908" s="18"/>
    </row>
    <row r="909" spans="2:20">
      <c r="R909" s="18"/>
      <c r="S909" s="18"/>
      <c r="T909" s="18"/>
    </row>
    <row r="910" spans="2:20">
      <c r="B910" s="18"/>
      <c r="C910" s="464"/>
      <c r="D910" s="464"/>
      <c r="E910" s="464"/>
      <c r="F910" s="464"/>
      <c r="G910" s="464"/>
      <c r="H910" s="464"/>
      <c r="I910" s="464"/>
      <c r="J910" s="464"/>
      <c r="K910" s="18"/>
      <c r="L910" s="18"/>
      <c r="M910" s="18"/>
      <c r="N910" s="18"/>
      <c r="O910" s="18"/>
      <c r="P910" s="18"/>
      <c r="Q910" s="18"/>
      <c r="R910" s="18"/>
      <c r="S910" s="18"/>
      <c r="T910" s="18"/>
    </row>
  </sheetData>
  <mergeCells count="9">
    <mergeCell ref="P312:R312"/>
    <mergeCell ref="B166:E166"/>
    <mergeCell ref="B291:E291"/>
    <mergeCell ref="B84:K86"/>
    <mergeCell ref="B670:E670"/>
    <mergeCell ref="B361:E361"/>
    <mergeCell ref="B424:E424"/>
    <mergeCell ref="B98:E98"/>
    <mergeCell ref="M234:N234"/>
  </mergeCells>
  <hyperlinks>
    <hyperlink ref="C14" r:id="rId1" xr:uid="{11061712-EE08-459D-9A07-830865064F69}"/>
    <hyperlink ref="C37" r:id="rId2" location=":~:text=Carbonates%20market%20in%20India%20registered,increase%20of%2055.38%25%20over%202020." xr:uid="{3CE350ED-2978-4704-A701-C00960D97A6B}"/>
    <hyperlink ref="C41" r:id="rId3" xr:uid="{C75127FD-87EC-4122-8826-E143BAC0392C}"/>
    <hyperlink ref="C46" r:id="rId4" xr:uid="{CEB5F218-0579-4E17-AAD6-B025694AF12B}"/>
    <hyperlink ref="C83" r:id="rId5" xr:uid="{61BA3D85-AA0F-4926-BA87-54404551EC4D}"/>
    <hyperlink ref="C88" r:id="rId6" xr:uid="{373921D2-3D5F-4047-9E34-867964BED12E}"/>
  </hyperlinks>
  <pageMargins left="0.7" right="0.7" top="0.75" bottom="0.75" header="0.3" footer="0.3"/>
  <pageSetup orientation="portrait" r:id="rId7"/>
  <ignoredErrors>
    <ignoredError sqref="C280:N280" formulaRange="1"/>
  </ignoredErrors>
  <drawing r:id="rId8"/>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9D1F09-12D8-4772-954C-5EC240941B2B}">
  <dimension ref="B3:AR270"/>
  <sheetViews>
    <sheetView topLeftCell="AE149" zoomScale="142" zoomScaleNormal="160" workbookViewId="0">
      <selection activeCell="AO154" sqref="AO154"/>
    </sheetView>
  </sheetViews>
  <sheetFormatPr defaultRowHeight="14.4"/>
  <cols>
    <col min="2" max="2" width="20.5546875" customWidth="1"/>
    <col min="6" max="6" width="13.5546875" bestFit="1" customWidth="1"/>
    <col min="12" max="12" width="18.88671875" customWidth="1"/>
    <col min="19" max="19" width="17.5546875" customWidth="1"/>
    <col min="20" max="21" width="10.109375" bestFit="1" customWidth="1"/>
    <col min="22" max="22" width="9.109375" customWidth="1"/>
    <col min="23" max="23" width="13.5546875" bestFit="1" customWidth="1"/>
    <col min="24" max="24" width="13.33203125" customWidth="1"/>
    <col min="25" max="25" width="12.6640625" customWidth="1"/>
    <col min="31" max="31" width="17.109375" bestFit="1" customWidth="1"/>
    <col min="33" max="33" width="15.33203125" customWidth="1"/>
  </cols>
  <sheetData>
    <row r="3" spans="2:34">
      <c r="F3" t="s">
        <v>962</v>
      </c>
      <c r="G3" s="171">
        <v>0.1</v>
      </c>
    </row>
    <row r="4" spans="2:34">
      <c r="F4" t="s">
        <v>959</v>
      </c>
      <c r="G4" s="171">
        <v>0.17</v>
      </c>
    </row>
    <row r="5" spans="2:34">
      <c r="B5" t="s">
        <v>913</v>
      </c>
      <c r="C5" s="171">
        <v>0.05</v>
      </c>
      <c r="F5" t="s">
        <v>960</v>
      </c>
      <c r="G5" s="171">
        <v>0.22</v>
      </c>
      <c r="L5" t="s">
        <v>918</v>
      </c>
      <c r="Q5" t="s">
        <v>928</v>
      </c>
      <c r="Y5" t="s">
        <v>929</v>
      </c>
    </row>
    <row r="6" spans="2:34">
      <c r="B6" t="s">
        <v>914</v>
      </c>
      <c r="C6" s="171">
        <v>0.27</v>
      </c>
      <c r="F6" t="s">
        <v>961</v>
      </c>
      <c r="G6" s="171">
        <v>0.47</v>
      </c>
      <c r="M6" t="s">
        <v>925</v>
      </c>
      <c r="N6" t="s">
        <v>926</v>
      </c>
      <c r="O6" t="s">
        <v>927</v>
      </c>
      <c r="R6" t="s">
        <v>674</v>
      </c>
      <c r="S6" t="s">
        <v>422</v>
      </c>
      <c r="Z6" t="s">
        <v>18</v>
      </c>
      <c r="AA6" t="s">
        <v>930</v>
      </c>
      <c r="AF6" t="s">
        <v>939</v>
      </c>
      <c r="AG6" t="s">
        <v>940</v>
      </c>
    </row>
    <row r="7" spans="2:34" ht="15" thickBot="1">
      <c r="B7" t="s">
        <v>915</v>
      </c>
      <c r="C7" s="171">
        <v>0.68</v>
      </c>
      <c r="F7" t="s">
        <v>229</v>
      </c>
      <c r="G7" s="171">
        <v>0.04</v>
      </c>
      <c r="L7" t="s">
        <v>919</v>
      </c>
      <c r="M7" s="37">
        <v>3.2000000000000001E-2</v>
      </c>
      <c r="N7" s="37">
        <v>3.2000000000000001E-2</v>
      </c>
      <c r="O7" s="37">
        <v>3.2000000000000001E-2</v>
      </c>
      <c r="Q7">
        <v>2019</v>
      </c>
      <c r="R7" s="37">
        <v>3.9E-2</v>
      </c>
      <c r="S7" s="286">
        <v>2.8000000000000001E-2</v>
      </c>
      <c r="Y7" t="s">
        <v>941</v>
      </c>
      <c r="Z7" s="37">
        <v>0.13500000000000001</v>
      </c>
      <c r="AA7" s="37">
        <v>0.152</v>
      </c>
      <c r="AE7" s="443" t="s">
        <v>931</v>
      </c>
      <c r="AF7" s="444">
        <v>7.8E-2</v>
      </c>
      <c r="AG7" s="445">
        <v>6.7000000000000004E-2</v>
      </c>
      <c r="AH7" s="445">
        <v>8.4000000000000005E-2</v>
      </c>
    </row>
    <row r="8" spans="2:34" ht="15" thickBot="1">
      <c r="L8" t="s">
        <v>920</v>
      </c>
      <c r="M8" s="37">
        <v>1.6E-2</v>
      </c>
      <c r="N8" s="37">
        <f>M8+0.1%</f>
        <v>1.7000000000000001E-2</v>
      </c>
      <c r="O8" s="37">
        <f>N8+0.1%</f>
        <v>1.8000000000000002E-2</v>
      </c>
      <c r="Q8">
        <f>Q7+1</f>
        <v>2020</v>
      </c>
      <c r="R8" s="37">
        <v>-5.8000000000000003E-2</v>
      </c>
      <c r="S8" s="286">
        <v>-2.7E-2</v>
      </c>
      <c r="Y8" t="s">
        <v>942</v>
      </c>
      <c r="Z8" s="37">
        <v>6.3E-2</v>
      </c>
      <c r="AA8" s="37">
        <v>6.2E-2</v>
      </c>
      <c r="AE8" s="446" t="s">
        <v>932</v>
      </c>
      <c r="AF8" s="447">
        <v>8.4000000000000005E-2</v>
      </c>
      <c r="AG8" s="448">
        <v>6.6000000000000003E-2</v>
      </c>
      <c r="AH8" s="448">
        <v>7.5999999999999998E-2</v>
      </c>
    </row>
    <row r="9" spans="2:34" ht="15" thickBot="1">
      <c r="L9" t="s">
        <v>921</v>
      </c>
      <c r="M9" s="37">
        <v>4.2999999999999997E-2</v>
      </c>
      <c r="N9" s="37">
        <v>4.2000000000000003E-2</v>
      </c>
      <c r="O9" s="37">
        <v>4.2000000000000003E-2</v>
      </c>
      <c r="Q9">
        <f t="shared" ref="Q9:Q11" si="0">Q8+1</f>
        <v>2021</v>
      </c>
      <c r="R9" s="37">
        <v>9.7000000000000003E-2</v>
      </c>
      <c r="S9" s="286">
        <v>6.5000000000000002E-2</v>
      </c>
      <c r="Y9" t="s">
        <v>943</v>
      </c>
      <c r="Z9" s="37">
        <v>4.3999999999999997E-2</v>
      </c>
      <c r="AA9" s="37">
        <v>4.5999999999999999E-2</v>
      </c>
      <c r="AE9" s="446" t="s">
        <v>933</v>
      </c>
      <c r="AF9" s="447">
        <v>7.5999999999999998E-2</v>
      </c>
      <c r="AG9" s="448">
        <v>6.8000000000000005E-2</v>
      </c>
      <c r="AH9" s="448">
        <v>7.8E-2</v>
      </c>
    </row>
    <row r="10" spans="2:34" ht="15" thickBot="1">
      <c r="L10" t="s">
        <v>924</v>
      </c>
      <c r="M10" s="37">
        <v>4.0000000000000001E-3</v>
      </c>
      <c r="N10" s="37">
        <v>8.0000000000000002E-3</v>
      </c>
      <c r="O10" s="37">
        <v>1.4999999999999999E-2</v>
      </c>
      <c r="Q10">
        <f t="shared" si="0"/>
        <v>2022</v>
      </c>
      <c r="R10" s="37">
        <v>7.0000000000000007E-2</v>
      </c>
      <c r="S10" s="286">
        <v>3.5000000000000003E-2</v>
      </c>
      <c r="Y10" t="s">
        <v>944</v>
      </c>
      <c r="Z10" s="37">
        <v>6.0999999999999999E-2</v>
      </c>
      <c r="AA10" s="37">
        <v>4.5999999999999999E-2</v>
      </c>
      <c r="AE10" s="446" t="s">
        <v>934</v>
      </c>
      <c r="AF10" s="447">
        <v>7.8E-2</v>
      </c>
      <c r="AG10" s="448">
        <v>7.6999999999999999E-2</v>
      </c>
      <c r="AH10" s="448">
        <v>6.0999999999999999E-2</v>
      </c>
    </row>
    <row r="11" spans="2:34" ht="15" thickBot="1">
      <c r="L11" t="s">
        <v>922</v>
      </c>
      <c r="M11" s="37">
        <v>2.5000000000000001E-2</v>
      </c>
      <c r="N11" s="37">
        <v>2.7E-2</v>
      </c>
      <c r="O11" s="37">
        <v>1.9E-2</v>
      </c>
      <c r="Q11">
        <f t="shared" si="0"/>
        <v>2023</v>
      </c>
      <c r="R11" s="37">
        <v>7.8E-2</v>
      </c>
      <c r="S11" s="286">
        <v>3.2000000000000001E-2</v>
      </c>
      <c r="Y11" t="s">
        <v>945</v>
      </c>
      <c r="Z11" s="37">
        <v>7.8E-2</v>
      </c>
      <c r="AA11" s="37">
        <v>7.6999999999999999E-2</v>
      </c>
      <c r="AE11" s="446" t="s">
        <v>935</v>
      </c>
      <c r="AF11" s="447">
        <v>6.0999999999999999E-2</v>
      </c>
      <c r="AG11" s="448">
        <v>4.5999999999999999E-2</v>
      </c>
      <c r="AH11" s="448">
        <v>4.3999999999999997E-2</v>
      </c>
    </row>
    <row r="12" spans="2:34" ht="15" thickBot="1">
      <c r="L12" t="s">
        <v>683</v>
      </c>
      <c r="M12" s="37">
        <v>1.9E-2</v>
      </c>
      <c r="N12" s="37">
        <v>8.9999999999999993E-3</v>
      </c>
      <c r="O12" s="37">
        <v>0.01</v>
      </c>
      <c r="Q12" t="str">
        <f>Q11+1&amp;"P"</f>
        <v>2024P</v>
      </c>
      <c r="R12" s="37">
        <v>6.8000000000000005E-2</v>
      </c>
      <c r="S12" s="286">
        <v>3.2000000000000001E-2</v>
      </c>
      <c r="Y12" t="s">
        <v>947</v>
      </c>
      <c r="Z12" s="37">
        <v>7.5999999999999998E-2</v>
      </c>
      <c r="AA12" s="37">
        <v>6.8000000000000005E-2</v>
      </c>
      <c r="AE12" s="446" t="s">
        <v>936</v>
      </c>
      <c r="AF12" s="449">
        <v>4.3999999999999997E-2</v>
      </c>
      <c r="AG12" s="448">
        <v>4.5999999999999999E-2</v>
      </c>
      <c r="AH12" s="448">
        <v>6.3E-2</v>
      </c>
    </row>
    <row r="13" spans="2:34" ht="15" thickBot="1">
      <c r="L13" t="s">
        <v>923</v>
      </c>
      <c r="M13" s="37">
        <v>1E-3</v>
      </c>
      <c r="N13" s="37">
        <v>5.0000000000000001E-3</v>
      </c>
      <c r="O13" s="37">
        <v>1.4999999999999999E-2</v>
      </c>
      <c r="Q13" t="s">
        <v>927</v>
      </c>
      <c r="R13" s="37">
        <v>6.5000000000000002E-2</v>
      </c>
      <c r="S13" s="286">
        <v>3.2000000000000001E-2</v>
      </c>
      <c r="Y13" t="s">
        <v>946</v>
      </c>
      <c r="Z13" s="37">
        <v>8.4000000000000005E-2</v>
      </c>
      <c r="AA13" s="37">
        <v>6.6000000000000003E-2</v>
      </c>
      <c r="AE13" s="446" t="s">
        <v>937</v>
      </c>
      <c r="AF13" s="447">
        <v>6.3E-2</v>
      </c>
      <c r="AG13" s="448">
        <v>6.2E-2</v>
      </c>
      <c r="AH13" s="448">
        <v>0.13500000000000001</v>
      </c>
    </row>
    <row r="14" spans="2:34" ht="15" thickBot="1">
      <c r="L14" t="s">
        <v>639</v>
      </c>
      <c r="M14" s="37">
        <v>5.1999999999999998E-2</v>
      </c>
      <c r="N14" s="37">
        <v>4.5999999999999999E-2</v>
      </c>
      <c r="O14" s="37">
        <v>4.1000000000000002E-2</v>
      </c>
      <c r="Y14" t="s">
        <v>948</v>
      </c>
      <c r="Z14" s="37">
        <v>7.8E-2</v>
      </c>
      <c r="AA14" s="37">
        <v>6.7000000000000004E-2</v>
      </c>
      <c r="AE14" s="446" t="s">
        <v>938</v>
      </c>
      <c r="AF14" s="449">
        <v>0.13500000000000001</v>
      </c>
      <c r="AG14" s="448">
        <v>0.152</v>
      </c>
    </row>
    <row r="15" spans="2:34">
      <c r="L15" t="s">
        <v>674</v>
      </c>
      <c r="M15" s="37">
        <v>7.8E-2</v>
      </c>
      <c r="N15" s="37">
        <v>6.8000000000000005E-2</v>
      </c>
      <c r="O15" s="37">
        <v>6.0999999999999999E-2</v>
      </c>
      <c r="Y15" t="s">
        <v>23</v>
      </c>
    </row>
    <row r="24" spans="2:35">
      <c r="B24" t="s">
        <v>916</v>
      </c>
      <c r="C24" t="s">
        <v>917</v>
      </c>
    </row>
    <row r="25" spans="2:35">
      <c r="B25" s="442">
        <v>45077</v>
      </c>
      <c r="C25">
        <v>845.26165800000001</v>
      </c>
    </row>
    <row r="26" spans="2:35">
      <c r="B26" s="442">
        <v>45078</v>
      </c>
      <c r="C26">
        <v>842.54303000000004</v>
      </c>
    </row>
    <row r="27" spans="2:35">
      <c r="B27" s="442">
        <v>45079</v>
      </c>
      <c r="C27">
        <v>845.61090100000001</v>
      </c>
    </row>
    <row r="28" spans="2:35">
      <c r="B28" s="442">
        <v>45082</v>
      </c>
      <c r="C28">
        <v>850.574341</v>
      </c>
      <c r="AI28" t="s">
        <v>23</v>
      </c>
    </row>
    <row r="29" spans="2:35">
      <c r="B29" s="442">
        <v>45083</v>
      </c>
      <c r="C29">
        <v>841.52038600000003</v>
      </c>
    </row>
    <row r="30" spans="2:35">
      <c r="B30" s="442">
        <v>45084</v>
      </c>
      <c r="C30">
        <v>821.91589399999998</v>
      </c>
    </row>
    <row r="31" spans="2:35">
      <c r="B31" s="442">
        <v>45085</v>
      </c>
      <c r="C31">
        <v>789.09216300000003</v>
      </c>
    </row>
    <row r="32" spans="2:35">
      <c r="B32" s="442">
        <v>45086</v>
      </c>
      <c r="C32">
        <v>793.85613999999998</v>
      </c>
    </row>
    <row r="33" spans="2:23">
      <c r="B33" s="442">
        <v>45089</v>
      </c>
      <c r="C33">
        <v>796.17578100000003</v>
      </c>
    </row>
    <row r="34" spans="2:23">
      <c r="B34" s="442">
        <v>45090</v>
      </c>
      <c r="C34">
        <v>805.628784</v>
      </c>
    </row>
    <row r="35" spans="2:23">
      <c r="B35" s="442">
        <v>45091</v>
      </c>
      <c r="C35">
        <v>805.628784</v>
      </c>
    </row>
    <row r="36" spans="2:23">
      <c r="B36" s="442">
        <v>45092</v>
      </c>
      <c r="C36">
        <v>825.283142</v>
      </c>
    </row>
    <row r="37" spans="2:23">
      <c r="B37" s="442">
        <v>45093</v>
      </c>
      <c r="C37">
        <v>819.34692399999994</v>
      </c>
    </row>
    <row r="38" spans="2:23">
      <c r="B38" s="442">
        <v>45096</v>
      </c>
      <c r="C38">
        <v>799.49298099999999</v>
      </c>
    </row>
    <row r="39" spans="2:23">
      <c r="B39" s="442">
        <v>45097</v>
      </c>
      <c r="C39">
        <v>811.46520999999996</v>
      </c>
    </row>
    <row r="40" spans="2:23">
      <c r="B40" s="442">
        <v>45098</v>
      </c>
      <c r="C40">
        <v>817.80053699999996</v>
      </c>
    </row>
    <row r="41" spans="2:23">
      <c r="B41" s="442">
        <v>45099</v>
      </c>
      <c r="C41">
        <v>801.68786599999999</v>
      </c>
    </row>
    <row r="42" spans="2:23">
      <c r="B42" s="442">
        <v>45100</v>
      </c>
      <c r="C42">
        <v>764.32464600000003</v>
      </c>
    </row>
    <row r="43" spans="2:23">
      <c r="B43" s="442">
        <v>45103</v>
      </c>
      <c r="C43">
        <v>797.34802200000001</v>
      </c>
    </row>
    <row r="44" spans="2:23">
      <c r="B44" s="442">
        <v>45104</v>
      </c>
      <c r="C44">
        <v>797.54754600000001</v>
      </c>
    </row>
    <row r="45" spans="2:23">
      <c r="B45" s="442">
        <v>45105</v>
      </c>
      <c r="C45">
        <v>791.71105999999997</v>
      </c>
    </row>
    <row r="46" spans="2:23">
      <c r="B46" s="442">
        <v>45107</v>
      </c>
      <c r="C46">
        <v>800.69018600000004</v>
      </c>
      <c r="W46" t="s">
        <v>949</v>
      </c>
    </row>
    <row r="47" spans="2:23">
      <c r="B47" s="442">
        <v>45110</v>
      </c>
      <c r="C47">
        <v>816.45355199999995</v>
      </c>
      <c r="V47" s="450">
        <v>2018</v>
      </c>
      <c r="W47">
        <v>3.6</v>
      </c>
    </row>
    <row r="48" spans="2:23">
      <c r="B48" s="442">
        <v>45111</v>
      </c>
      <c r="C48">
        <v>802.18670699999996</v>
      </c>
      <c r="V48" s="450">
        <f>V47+1</f>
        <v>2019</v>
      </c>
      <c r="W48">
        <v>3.7</v>
      </c>
    </row>
    <row r="49" spans="2:23">
      <c r="B49" s="442">
        <v>45112</v>
      </c>
      <c r="C49">
        <v>823.73669400000006</v>
      </c>
      <c r="V49" s="450">
        <f t="shared" ref="V49:V57" si="1">V48+1</f>
        <v>2020</v>
      </c>
      <c r="W49">
        <v>3.5</v>
      </c>
    </row>
    <row r="50" spans="2:23">
      <c r="B50" s="442">
        <v>45113</v>
      </c>
      <c r="C50">
        <v>811.96405000000004</v>
      </c>
      <c r="V50" s="450">
        <f t="shared" si="1"/>
        <v>2021</v>
      </c>
      <c r="W50">
        <v>3.8</v>
      </c>
    </row>
    <row r="51" spans="2:23">
      <c r="B51" s="442">
        <v>45114</v>
      </c>
      <c r="C51">
        <v>819.24719200000004</v>
      </c>
      <c r="V51" s="450">
        <f t="shared" si="1"/>
        <v>2022</v>
      </c>
      <c r="W51">
        <v>3.9</v>
      </c>
    </row>
    <row r="52" spans="2:23">
      <c r="B52" s="442">
        <v>45117</v>
      </c>
      <c r="C52">
        <v>810.36779799999999</v>
      </c>
      <c r="V52" s="450">
        <f t="shared" si="1"/>
        <v>2023</v>
      </c>
      <c r="W52">
        <v>4</v>
      </c>
    </row>
    <row r="53" spans="2:23">
      <c r="B53" s="442">
        <v>45118</v>
      </c>
      <c r="C53">
        <v>823.33764599999995</v>
      </c>
      <c r="V53" s="451">
        <f t="shared" si="1"/>
        <v>2024</v>
      </c>
      <c r="W53">
        <v>4.0999999999999996</v>
      </c>
    </row>
    <row r="54" spans="2:23">
      <c r="B54" s="442">
        <v>45119</v>
      </c>
      <c r="C54">
        <v>839.79937700000005</v>
      </c>
      <c r="V54" s="451">
        <f t="shared" si="1"/>
        <v>2025</v>
      </c>
      <c r="W54">
        <v>4.2</v>
      </c>
    </row>
    <row r="55" spans="2:23">
      <c r="B55" s="442">
        <v>45120</v>
      </c>
      <c r="C55">
        <v>830.919983</v>
      </c>
      <c r="V55" s="451">
        <f t="shared" si="1"/>
        <v>2026</v>
      </c>
      <c r="W55">
        <v>4.4000000000000004</v>
      </c>
    </row>
    <row r="56" spans="2:23">
      <c r="B56" s="442">
        <v>45121</v>
      </c>
      <c r="C56">
        <v>830.919983</v>
      </c>
      <c r="V56" s="451">
        <f t="shared" si="1"/>
        <v>2027</v>
      </c>
      <c r="W56">
        <v>4.5</v>
      </c>
    </row>
    <row r="57" spans="2:23">
      <c r="B57" s="442">
        <v>45124</v>
      </c>
      <c r="C57">
        <v>826.97918700000002</v>
      </c>
      <c r="V57" s="451">
        <f t="shared" si="1"/>
        <v>2028</v>
      </c>
      <c r="W57">
        <v>4.5999999999999996</v>
      </c>
    </row>
    <row r="58" spans="2:23">
      <c r="B58" s="442">
        <v>45125</v>
      </c>
      <c r="C58">
        <v>822.19030799999996</v>
      </c>
    </row>
    <row r="59" spans="2:23">
      <c r="B59" s="442">
        <v>45126</v>
      </c>
      <c r="C59">
        <v>817.95013400000005</v>
      </c>
    </row>
    <row r="60" spans="2:23">
      <c r="B60" s="442">
        <v>45127</v>
      </c>
      <c r="C60">
        <v>810.71691899999996</v>
      </c>
    </row>
    <row r="61" spans="2:23">
      <c r="B61" s="442">
        <v>45128</v>
      </c>
      <c r="C61">
        <v>798.34570299999996</v>
      </c>
    </row>
    <row r="62" spans="2:23">
      <c r="B62" s="442">
        <v>45131</v>
      </c>
      <c r="C62">
        <v>815.805115</v>
      </c>
    </row>
    <row r="63" spans="2:23">
      <c r="B63" s="442">
        <v>45132</v>
      </c>
      <c r="C63">
        <v>802.73547399999995</v>
      </c>
    </row>
    <row r="64" spans="2:23">
      <c r="B64" s="442">
        <v>45133</v>
      </c>
      <c r="C64">
        <v>805.03021200000001</v>
      </c>
    </row>
    <row r="65" spans="2:24">
      <c r="B65" s="442">
        <v>45134</v>
      </c>
      <c r="C65">
        <v>798.694885</v>
      </c>
    </row>
    <row r="66" spans="2:24">
      <c r="B66" s="442">
        <v>45135</v>
      </c>
      <c r="C66">
        <v>802.38629200000003</v>
      </c>
    </row>
    <row r="67" spans="2:24">
      <c r="B67" s="442">
        <v>45138</v>
      </c>
      <c r="C67">
        <v>802.53601100000003</v>
      </c>
    </row>
    <row r="68" spans="2:24">
      <c r="B68" s="442">
        <v>45139</v>
      </c>
      <c r="C68">
        <v>798.84454300000004</v>
      </c>
    </row>
    <row r="69" spans="2:24">
      <c r="B69" s="442">
        <v>45140</v>
      </c>
      <c r="C69">
        <v>806.22735599999999</v>
      </c>
    </row>
    <row r="70" spans="2:24">
      <c r="B70" s="442">
        <v>45141</v>
      </c>
      <c r="C70">
        <v>820.69372599999997</v>
      </c>
      <c r="W70" t="s">
        <v>950</v>
      </c>
      <c r="X70" t="s">
        <v>951</v>
      </c>
    </row>
    <row r="71" spans="2:24">
      <c r="B71" s="442">
        <v>45142</v>
      </c>
      <c r="C71">
        <v>823.38751200000002</v>
      </c>
      <c r="V71" s="450">
        <v>2018</v>
      </c>
      <c r="W71" s="452">
        <v>0.46</v>
      </c>
      <c r="X71" s="452">
        <v>1.34</v>
      </c>
    </row>
    <row r="72" spans="2:24">
      <c r="B72" s="442">
        <v>45145</v>
      </c>
      <c r="C72">
        <v>822.19030799999996</v>
      </c>
      <c r="V72" s="450">
        <f>V71+1</f>
        <v>2019</v>
      </c>
      <c r="W72" s="452">
        <v>0.47</v>
      </c>
      <c r="X72" s="452">
        <v>1.36</v>
      </c>
    </row>
    <row r="73" spans="2:24">
      <c r="B73" s="442">
        <v>45146</v>
      </c>
      <c r="C73">
        <v>818.349243</v>
      </c>
      <c r="V73" s="450">
        <f t="shared" ref="V73:V81" si="2">V72+1</f>
        <v>2020</v>
      </c>
      <c r="W73" s="452">
        <v>0.49</v>
      </c>
      <c r="X73" s="452">
        <v>1.43</v>
      </c>
    </row>
    <row r="74" spans="2:24">
      <c r="B74" s="442">
        <v>45147</v>
      </c>
      <c r="C74">
        <v>821.292419</v>
      </c>
      <c r="V74" s="450">
        <f t="shared" si="2"/>
        <v>2021</v>
      </c>
      <c r="W74" s="452">
        <v>0.49</v>
      </c>
      <c r="X74" s="452">
        <v>1.45</v>
      </c>
    </row>
    <row r="75" spans="2:24">
      <c r="B75" s="442">
        <v>45148</v>
      </c>
      <c r="C75">
        <v>816.60327099999995</v>
      </c>
      <c r="V75" s="450">
        <f t="shared" si="2"/>
        <v>2022</v>
      </c>
      <c r="W75" s="452">
        <v>0.5</v>
      </c>
      <c r="X75" s="452">
        <v>1.47</v>
      </c>
    </row>
    <row r="76" spans="2:24">
      <c r="B76" s="442">
        <v>45149</v>
      </c>
      <c r="C76">
        <v>847.43170199999997</v>
      </c>
      <c r="V76" s="450">
        <f t="shared" si="2"/>
        <v>2023</v>
      </c>
      <c r="W76" s="452">
        <v>0.53</v>
      </c>
      <c r="X76" s="452">
        <v>1.55</v>
      </c>
    </row>
    <row r="77" spans="2:24">
      <c r="B77" s="442">
        <v>45152</v>
      </c>
      <c r="C77">
        <v>867.41479500000003</v>
      </c>
      <c r="V77" s="451">
        <f t="shared" si="2"/>
        <v>2024</v>
      </c>
      <c r="W77" s="452">
        <v>0.55000000000000004</v>
      </c>
      <c r="X77" s="452">
        <v>1.62</v>
      </c>
    </row>
    <row r="78" spans="2:24">
      <c r="B78" s="442">
        <v>45154</v>
      </c>
      <c r="C78">
        <v>889.59594700000002</v>
      </c>
      <c r="V78" s="451">
        <f t="shared" si="2"/>
        <v>2025</v>
      </c>
      <c r="W78" s="452">
        <v>0.56999999999999995</v>
      </c>
      <c r="X78" s="452">
        <v>1.69</v>
      </c>
    </row>
    <row r="79" spans="2:24">
      <c r="B79" s="442">
        <v>45155</v>
      </c>
      <c r="C79">
        <v>892.89318800000001</v>
      </c>
      <c r="V79" s="451">
        <f t="shared" si="2"/>
        <v>2026</v>
      </c>
      <c r="W79" s="452">
        <v>0.59</v>
      </c>
      <c r="X79" s="452">
        <v>1.76</v>
      </c>
    </row>
    <row r="80" spans="2:24">
      <c r="B80" s="442">
        <v>45156</v>
      </c>
      <c r="C80">
        <v>898.48840299999995</v>
      </c>
      <c r="V80" s="451">
        <f t="shared" si="2"/>
        <v>2027</v>
      </c>
      <c r="W80" s="452">
        <v>0.62</v>
      </c>
      <c r="X80" s="452">
        <v>1.83</v>
      </c>
    </row>
    <row r="81" spans="2:24">
      <c r="B81" s="442">
        <v>45159</v>
      </c>
      <c r="C81">
        <v>898.53832999999997</v>
      </c>
      <c r="V81" s="451">
        <f t="shared" si="2"/>
        <v>2028</v>
      </c>
      <c r="W81" s="452">
        <v>0.64</v>
      </c>
      <c r="X81" s="452">
        <v>1.9</v>
      </c>
    </row>
    <row r="82" spans="2:24">
      <c r="B82" s="442">
        <v>45160</v>
      </c>
      <c r="C82">
        <v>905.23266599999999</v>
      </c>
    </row>
    <row r="83" spans="2:24">
      <c r="B83" s="442">
        <v>45161</v>
      </c>
      <c r="C83">
        <v>886.49859600000002</v>
      </c>
    </row>
    <row r="84" spans="2:24">
      <c r="B84" s="442">
        <v>45162</v>
      </c>
      <c r="C84">
        <v>884.050659</v>
      </c>
    </row>
    <row r="85" spans="2:24">
      <c r="B85" s="442">
        <v>45163</v>
      </c>
      <c r="C85">
        <v>873.10986300000002</v>
      </c>
    </row>
    <row r="86" spans="2:24">
      <c r="B86" s="442">
        <v>45166</v>
      </c>
      <c r="C86">
        <v>873.75933799999996</v>
      </c>
    </row>
    <row r="87" spans="2:24">
      <c r="B87" s="442">
        <v>45167</v>
      </c>
      <c r="C87">
        <v>888.19714399999998</v>
      </c>
    </row>
    <row r="88" spans="2:24">
      <c r="B88" s="442">
        <v>45168</v>
      </c>
      <c r="C88">
        <v>899.78729199999998</v>
      </c>
    </row>
    <row r="89" spans="2:24">
      <c r="B89" s="442">
        <v>45169</v>
      </c>
      <c r="C89">
        <v>898.73821999999996</v>
      </c>
    </row>
    <row r="90" spans="2:24">
      <c r="B90" s="442">
        <v>45170</v>
      </c>
      <c r="C90">
        <v>909.67895499999997</v>
      </c>
    </row>
    <row r="91" spans="2:24">
      <c r="B91" s="442">
        <v>45173</v>
      </c>
      <c r="C91">
        <v>922.26824999999997</v>
      </c>
    </row>
    <row r="92" spans="2:24">
      <c r="B92" s="442">
        <v>45174</v>
      </c>
      <c r="C92">
        <v>935.00744599999996</v>
      </c>
    </row>
    <row r="93" spans="2:24">
      <c r="B93" s="442">
        <v>45175</v>
      </c>
      <c r="C93">
        <v>924.71618699999999</v>
      </c>
    </row>
    <row r="94" spans="2:24">
      <c r="B94" s="442">
        <v>45176</v>
      </c>
      <c r="C94">
        <v>919.72039800000005</v>
      </c>
    </row>
    <row r="95" spans="2:24">
      <c r="B95" s="442">
        <v>45177</v>
      </c>
      <c r="C95">
        <v>909.12939500000005</v>
      </c>
    </row>
    <row r="96" spans="2:24">
      <c r="B96" s="442">
        <v>45180</v>
      </c>
      <c r="C96">
        <v>918.82116699999995</v>
      </c>
    </row>
    <row r="97" spans="2:28">
      <c r="B97" s="442">
        <v>45181</v>
      </c>
      <c r="C97">
        <v>919.17089799999997</v>
      </c>
    </row>
    <row r="98" spans="2:28">
      <c r="B98" s="442">
        <v>45182</v>
      </c>
      <c r="C98">
        <v>912.52648899999997</v>
      </c>
    </row>
    <row r="99" spans="2:28">
      <c r="B99" s="442">
        <v>45183</v>
      </c>
      <c r="C99">
        <v>913.62561000000005</v>
      </c>
      <c r="H99" t="s">
        <v>958</v>
      </c>
      <c r="S99" t="s">
        <v>963</v>
      </c>
    </row>
    <row r="100" spans="2:28">
      <c r="B100" s="442">
        <v>45184</v>
      </c>
      <c r="C100">
        <v>914.87451199999998</v>
      </c>
      <c r="I100" s="450">
        <v>2019</v>
      </c>
      <c r="J100" s="450">
        <v>2020</v>
      </c>
      <c r="K100" s="450">
        <v>2021</v>
      </c>
      <c r="L100" s="450">
        <v>2022</v>
      </c>
      <c r="M100" s="450">
        <v>2023</v>
      </c>
      <c r="N100" s="451">
        <v>2024</v>
      </c>
      <c r="O100" s="451">
        <v>2025</v>
      </c>
      <c r="S100" s="450">
        <v>2019</v>
      </c>
      <c r="T100" s="450">
        <f>S100+1</f>
        <v>2020</v>
      </c>
      <c r="U100" s="450">
        <f t="shared" ref="U100:AB100" si="3">T100+1</f>
        <v>2021</v>
      </c>
      <c r="V100" s="450">
        <f t="shared" si="3"/>
        <v>2022</v>
      </c>
      <c r="W100" s="450">
        <f t="shared" si="3"/>
        <v>2023</v>
      </c>
      <c r="X100" s="451">
        <f t="shared" si="3"/>
        <v>2024</v>
      </c>
      <c r="Y100" s="451">
        <f t="shared" si="3"/>
        <v>2025</v>
      </c>
      <c r="Z100" s="451">
        <f t="shared" si="3"/>
        <v>2026</v>
      </c>
      <c r="AA100" s="451">
        <f t="shared" si="3"/>
        <v>2027</v>
      </c>
      <c r="AB100" s="451">
        <f t="shared" si="3"/>
        <v>2028</v>
      </c>
    </row>
    <row r="101" spans="2:28">
      <c r="B101" s="442">
        <v>45187</v>
      </c>
      <c r="C101">
        <v>911.32751499999995</v>
      </c>
      <c r="H101" t="s">
        <v>457</v>
      </c>
      <c r="I101" s="488">
        <v>733.08</v>
      </c>
      <c r="J101" s="488">
        <v>535.61</v>
      </c>
      <c r="K101" s="488">
        <v>815.44999999999993</v>
      </c>
      <c r="L101" s="488">
        <v>1749.9</v>
      </c>
      <c r="M101" s="488">
        <v>3193.9180000000001</v>
      </c>
      <c r="N101" s="488">
        <v>3600</v>
      </c>
      <c r="O101" s="488">
        <v>1500</v>
      </c>
      <c r="R101" t="s">
        <v>36</v>
      </c>
      <c r="S101" s="225">
        <f>'3StatementModel'!D13</f>
        <v>7129.58</v>
      </c>
      <c r="T101" s="225">
        <f>'3StatementModel'!E13</f>
        <v>6450.14</v>
      </c>
      <c r="U101" s="225">
        <f>'3StatementModel'!F13</f>
        <v>8823.2300000000014</v>
      </c>
      <c r="V101" s="225">
        <f>'3StatementModel'!G13</f>
        <v>13173.14</v>
      </c>
      <c r="W101" s="225">
        <f>'3StatementModel'!H13</f>
        <v>16042.581</v>
      </c>
      <c r="X101" s="225">
        <f>'3StatementModel'!I13</f>
        <v>20053.22625</v>
      </c>
      <c r="Y101" s="225">
        <f>'3StatementModel'!J13</f>
        <v>24414.802959375</v>
      </c>
      <c r="Z101" s="225">
        <f>'3StatementModel'!K13</f>
        <v>28931.541506859376</v>
      </c>
      <c r="AA101" s="225">
        <f>'3StatementModel'!L13</f>
        <v>33343.60158665543</v>
      </c>
      <c r="AB101" s="225">
        <f>'3StatementModel'!M13</f>
        <v>37344.833777054082</v>
      </c>
    </row>
    <row r="102" spans="2:28">
      <c r="B102" s="442">
        <v>45189</v>
      </c>
      <c r="C102">
        <v>903.88385000000005</v>
      </c>
      <c r="R102" t="s">
        <v>964</v>
      </c>
      <c r="T102" s="171">
        <f>T101/S101-1</f>
        <v>-9.5298741300329004E-2</v>
      </c>
      <c r="U102" s="171">
        <f t="shared" ref="U102:AB102" si="4">U101/T101-1</f>
        <v>0.36791294452523515</v>
      </c>
      <c r="V102" s="171">
        <f t="shared" si="4"/>
        <v>0.49300652935489575</v>
      </c>
      <c r="W102" s="171">
        <f t="shared" si="4"/>
        <v>0.21782513508548451</v>
      </c>
      <c r="X102" s="171">
        <f t="shared" si="4"/>
        <v>0.25</v>
      </c>
      <c r="Y102" s="171">
        <f t="shared" si="4"/>
        <v>0.21750000000000003</v>
      </c>
      <c r="Z102" s="171">
        <f t="shared" si="4"/>
        <v>0.18500000000000005</v>
      </c>
      <c r="AA102" s="171">
        <f t="shared" si="4"/>
        <v>0.15250000000000008</v>
      </c>
      <c r="AB102" s="171">
        <f t="shared" si="4"/>
        <v>0.12000000000000011</v>
      </c>
    </row>
    <row r="103" spans="2:28">
      <c r="B103" s="442">
        <v>45190</v>
      </c>
      <c r="C103">
        <v>913.72546399999999</v>
      </c>
    </row>
    <row r="104" spans="2:28">
      <c r="B104" s="442">
        <v>45191</v>
      </c>
      <c r="C104">
        <v>917.47229000000004</v>
      </c>
    </row>
    <row r="105" spans="2:28">
      <c r="B105" s="442">
        <v>45194</v>
      </c>
      <c r="C105">
        <v>925.21575900000005</v>
      </c>
    </row>
    <row r="106" spans="2:28">
      <c r="B106" s="442">
        <v>45195</v>
      </c>
      <c r="C106">
        <v>966.73053000000004</v>
      </c>
    </row>
    <row r="107" spans="2:28">
      <c r="B107" s="442">
        <v>45196</v>
      </c>
      <c r="C107">
        <v>966.28094499999997</v>
      </c>
    </row>
    <row r="108" spans="2:28">
      <c r="B108" s="442">
        <v>45197</v>
      </c>
      <c r="C108">
        <v>945.09893799999998</v>
      </c>
    </row>
    <row r="109" spans="2:28">
      <c r="B109" s="442">
        <v>45198</v>
      </c>
      <c r="C109">
        <v>944.89904799999999</v>
      </c>
    </row>
    <row r="110" spans="2:28">
      <c r="B110" s="442">
        <v>45202</v>
      </c>
      <c r="C110">
        <v>927.51379399999996</v>
      </c>
    </row>
    <row r="111" spans="2:28">
      <c r="B111" s="442">
        <v>45203</v>
      </c>
      <c r="C111">
        <v>919.67047100000002</v>
      </c>
    </row>
    <row r="112" spans="2:28">
      <c r="B112" s="442">
        <v>45204</v>
      </c>
      <c r="C112">
        <v>920.319885</v>
      </c>
    </row>
    <row r="113" spans="2:44">
      <c r="B113" s="442">
        <v>45205</v>
      </c>
      <c r="C113">
        <v>926.26483199999996</v>
      </c>
    </row>
    <row r="114" spans="2:44">
      <c r="B114" s="442">
        <v>45208</v>
      </c>
      <c r="C114">
        <v>928.16326900000001</v>
      </c>
    </row>
    <row r="115" spans="2:44">
      <c r="B115" s="442">
        <v>45209</v>
      </c>
      <c r="C115">
        <v>927.16412400000002</v>
      </c>
    </row>
    <row r="116" spans="2:44">
      <c r="B116" s="442">
        <v>45210</v>
      </c>
      <c r="C116">
        <v>916.87286400000005</v>
      </c>
    </row>
    <row r="117" spans="2:44">
      <c r="B117" s="442">
        <v>45211</v>
      </c>
      <c r="C117">
        <v>923.91687000000002</v>
      </c>
    </row>
    <row r="118" spans="2:44">
      <c r="B118" s="442">
        <v>45212</v>
      </c>
      <c r="C118">
        <v>928.71276899999998</v>
      </c>
    </row>
    <row r="119" spans="2:44">
      <c r="B119" s="442">
        <v>45215</v>
      </c>
      <c r="C119">
        <v>921.86859100000004</v>
      </c>
    </row>
    <row r="120" spans="2:44">
      <c r="B120" s="442">
        <v>45216</v>
      </c>
      <c r="C120">
        <v>929.31225600000005</v>
      </c>
    </row>
    <row r="121" spans="2:44">
      <c r="B121" s="442">
        <v>45217</v>
      </c>
      <c r="C121">
        <v>924.566284</v>
      </c>
    </row>
    <row r="122" spans="2:44">
      <c r="B122" s="442">
        <v>45218</v>
      </c>
      <c r="C122">
        <v>933.80847200000005</v>
      </c>
    </row>
    <row r="123" spans="2:44">
      <c r="B123" s="442">
        <v>45219</v>
      </c>
      <c r="C123">
        <v>925.41558799999996</v>
      </c>
    </row>
    <row r="124" spans="2:44">
      <c r="B124" s="442">
        <v>45222</v>
      </c>
      <c r="C124">
        <v>921.96850600000005</v>
      </c>
    </row>
    <row r="125" spans="2:44">
      <c r="B125" s="442">
        <v>45224</v>
      </c>
      <c r="C125">
        <v>883.45117200000004</v>
      </c>
    </row>
    <row r="126" spans="2:44">
      <c r="B126" s="442">
        <v>45225</v>
      </c>
      <c r="C126">
        <v>871.71112100000005</v>
      </c>
      <c r="G126" s="450">
        <v>2019</v>
      </c>
      <c r="H126" s="450">
        <f>G126+1</f>
        <v>2020</v>
      </c>
      <c r="I126" s="450">
        <f t="shared" ref="I126" si="5">H126+1</f>
        <v>2021</v>
      </c>
      <c r="J126" s="450">
        <f t="shared" ref="J126" si="6">I126+1</f>
        <v>2022</v>
      </c>
      <c r="K126" s="450">
        <f t="shared" ref="K126" si="7">J126+1</f>
        <v>2023</v>
      </c>
      <c r="L126" s="451">
        <f t="shared" ref="L126" si="8">K126+1</f>
        <v>2024</v>
      </c>
      <c r="M126" s="451">
        <f t="shared" ref="M126" si="9">L126+1</f>
        <v>2025</v>
      </c>
      <c r="N126" s="451">
        <f t="shared" ref="N126" si="10">M126+1</f>
        <v>2026</v>
      </c>
      <c r="O126" s="451">
        <f t="shared" ref="O126" si="11">N126+1</f>
        <v>2027</v>
      </c>
      <c r="P126" s="451">
        <f t="shared" ref="P126" si="12">O126+1</f>
        <v>2028</v>
      </c>
      <c r="T126" s="450">
        <v>2013</v>
      </c>
      <c r="U126" s="450">
        <v>2014</v>
      </c>
      <c r="V126" s="450">
        <f>U126+1</f>
        <v>2015</v>
      </c>
      <c r="W126" s="450">
        <f t="shared" ref="W126:Y126" si="13">V126+1</f>
        <v>2016</v>
      </c>
      <c r="X126" s="450">
        <f t="shared" si="13"/>
        <v>2017</v>
      </c>
      <c r="Y126" s="450">
        <f t="shared" si="13"/>
        <v>2018</v>
      </c>
      <c r="Z126" s="450">
        <v>2019</v>
      </c>
      <c r="AA126" s="450">
        <f>Z126+1</f>
        <v>2020</v>
      </c>
      <c r="AB126" s="450">
        <f>AA126+1</f>
        <v>2021</v>
      </c>
      <c r="AC126" s="450">
        <f>AB126+1</f>
        <v>2022</v>
      </c>
      <c r="AD126" s="450">
        <f>AC126+1</f>
        <v>2023</v>
      </c>
      <c r="AF126" s="451"/>
      <c r="AH126" s="450">
        <v>2013</v>
      </c>
      <c r="AI126" s="450">
        <v>2014</v>
      </c>
      <c r="AJ126" s="450">
        <f>AI126+1</f>
        <v>2015</v>
      </c>
      <c r="AK126" s="450">
        <f t="shared" ref="AK126:AM126" si="14">AJ126+1</f>
        <v>2016</v>
      </c>
      <c r="AL126" s="450">
        <f t="shared" si="14"/>
        <v>2017</v>
      </c>
      <c r="AM126" s="450">
        <f t="shared" si="14"/>
        <v>2018</v>
      </c>
      <c r="AN126" s="450">
        <v>2019</v>
      </c>
      <c r="AO126" s="450">
        <f>AN126+1</f>
        <v>2020</v>
      </c>
      <c r="AP126" s="450">
        <f t="shared" ref="AP126" si="15">AO126+1</f>
        <v>2021</v>
      </c>
      <c r="AQ126" s="450">
        <f t="shared" ref="AQ126" si="16">AP126+1</f>
        <v>2022</v>
      </c>
      <c r="AR126" s="450">
        <f t="shared" ref="AR126" si="17">AQ126+1</f>
        <v>2023</v>
      </c>
    </row>
    <row r="127" spans="2:44">
      <c r="B127" s="442">
        <v>45226</v>
      </c>
      <c r="C127">
        <v>920.66961700000002</v>
      </c>
      <c r="F127" t="s">
        <v>317</v>
      </c>
      <c r="G127" s="67">
        <v>0.5484404410919016</v>
      </c>
      <c r="H127" s="67">
        <v>0.5714914715029441</v>
      </c>
      <c r="I127" s="67">
        <v>0.54272301640102327</v>
      </c>
      <c r="J127" s="67">
        <v>0.5247032977710705</v>
      </c>
      <c r="K127" s="67">
        <v>0.53842290090353906</v>
      </c>
      <c r="L127" s="67">
        <v>0.54800000000000004</v>
      </c>
      <c r="M127" s="67">
        <v>0.53475000000000006</v>
      </c>
      <c r="N127" s="67">
        <v>0.52150000000000007</v>
      </c>
      <c r="O127" s="67">
        <v>0.50825000000000009</v>
      </c>
      <c r="P127" s="67">
        <v>0.495</v>
      </c>
      <c r="S127" t="s">
        <v>323</v>
      </c>
      <c r="T127">
        <f>'Assumptions working'!D254</f>
        <v>624</v>
      </c>
      <c r="U127">
        <f>'Assumptions working'!E254</f>
        <v>740</v>
      </c>
      <c r="V127">
        <f>'Assumptions working'!F254</f>
        <v>1039</v>
      </c>
      <c r="W127">
        <f>'Assumptions working'!G254</f>
        <v>1324</v>
      </c>
      <c r="X127">
        <f>'Assumptions working'!H254</f>
        <v>1241</v>
      </c>
      <c r="Y127">
        <f>'Assumptions working'!I254</f>
        <v>1845</v>
      </c>
      <c r="Z127" s="85">
        <f>Schedules!D51</f>
        <v>2462.6800000000003</v>
      </c>
      <c r="AA127" s="85">
        <f>Schedules!E51</f>
        <v>2484.6</v>
      </c>
      <c r="AB127" s="85">
        <f>Schedules!F51</f>
        <v>3134.23</v>
      </c>
      <c r="AC127" s="85">
        <f>Schedules!G51</f>
        <v>4124.24</v>
      </c>
      <c r="AD127" s="85">
        <f>Schedules!H51</f>
        <v>5028.6210000000001</v>
      </c>
      <c r="AG127" t="s">
        <v>8</v>
      </c>
      <c r="AH127">
        <f>'Assumptions working'!D339</f>
        <v>246</v>
      </c>
      <c r="AI127">
        <f>'Assumptions working'!E339</f>
        <v>289</v>
      </c>
      <c r="AJ127">
        <f>'Assumptions working'!F339</f>
        <v>425</v>
      </c>
      <c r="AK127">
        <f>'Assumptions working'!G339</f>
        <v>490</v>
      </c>
      <c r="AL127">
        <f>'Assumptions working'!H339</f>
        <v>439</v>
      </c>
      <c r="AM127">
        <f>'Assumptions working'!I339</f>
        <v>578</v>
      </c>
      <c r="AN127">
        <f>'Assumptions working'!J339</f>
        <v>882</v>
      </c>
      <c r="AO127">
        <f>'Assumptions working'!K339</f>
        <v>929</v>
      </c>
      <c r="AP127">
        <f>'Assumptions working'!L339</f>
        <v>1448</v>
      </c>
      <c r="AQ127">
        <f>'Assumptions working'!M339</f>
        <v>1994</v>
      </c>
      <c r="AR127">
        <f>'Assumptions working'!N339</f>
        <v>2151</v>
      </c>
    </row>
    <row r="128" spans="2:44">
      <c r="B128" s="442">
        <v>45229</v>
      </c>
      <c r="C128">
        <v>915.67382799999996</v>
      </c>
      <c r="S128" t="s">
        <v>966</v>
      </c>
      <c r="T128" s="171">
        <f>'Assumptions working'!D286</f>
        <v>0.29503546099290778</v>
      </c>
      <c r="U128" s="171">
        <f>'Assumptions working'!E286</f>
        <v>0.2957633892885691</v>
      </c>
      <c r="V128" s="171">
        <f>'Assumptions working'!F286</f>
        <v>0.30612846199175014</v>
      </c>
      <c r="W128" s="171">
        <f>'Assumptions working'!G286</f>
        <v>0.34291634291634293</v>
      </c>
      <c r="X128" s="171">
        <f>'Assumptions working'!H286</f>
        <v>0.30994005994005996</v>
      </c>
      <c r="Y128" s="171">
        <f>'Assumptions working'!I286</f>
        <v>0.36141038197845249</v>
      </c>
      <c r="Z128" s="171">
        <f>Schedules!D52</f>
        <v>0.34541726160587305</v>
      </c>
      <c r="AA128" s="171">
        <f>Schedules!E52</f>
        <v>0.38520094137491584</v>
      </c>
      <c r="AB128" s="171">
        <f>Schedules!F52</f>
        <v>0.35522478729444878</v>
      </c>
      <c r="AC128" s="171">
        <f>Schedules!G52</f>
        <v>0.31307949357556358</v>
      </c>
      <c r="AD128" s="171">
        <f>Schedules!H52</f>
        <v>0.31345461182337181</v>
      </c>
      <c r="AG128" t="s">
        <v>48</v>
      </c>
      <c r="AH128" s="85">
        <f>'Assumptions working'!D352</f>
        <v>41.159574468085111</v>
      </c>
      <c r="AI128" s="85">
        <f>'Assumptions working'!E352</f>
        <v>39.023780975219822</v>
      </c>
      <c r="AJ128" s="85">
        <f>'Assumptions working'!F352</f>
        <v>38.392751915144373</v>
      </c>
      <c r="AK128" s="85">
        <f>'Assumptions working'!G352</f>
        <v>43.249805749805752</v>
      </c>
      <c r="AL128" s="85">
        <f>'Assumptions working'!H352</f>
        <v>42.343281718281716</v>
      </c>
      <c r="AM128" s="85">
        <f>'Assumptions working'!I352</f>
        <v>36.357002938295786</v>
      </c>
      <c r="AN128" s="85">
        <f>'Assumptions working'!J352</f>
        <v>37.370266479663393</v>
      </c>
      <c r="AO128" s="85">
        <f>'Assumptions working'!K352</f>
        <v>51.241472868217059</v>
      </c>
      <c r="AP128" s="85">
        <f>'Assumptions working'!L352</f>
        <v>49.167233367335378</v>
      </c>
      <c r="AQ128" s="85">
        <f>'Assumptions working'!M352</f>
        <v>47.685796705382224</v>
      </c>
      <c r="AR128" s="85">
        <f>'Assumptions working'!N352</f>
        <v>47.152184753475034</v>
      </c>
    </row>
    <row r="129" spans="2:3">
      <c r="B129" s="442">
        <v>45230</v>
      </c>
      <c r="C129">
        <v>908.03033400000004</v>
      </c>
    </row>
    <row r="130" spans="2:3">
      <c r="B130" s="442">
        <v>45231</v>
      </c>
      <c r="C130">
        <v>917.47229000000004</v>
      </c>
    </row>
    <row r="131" spans="2:3">
      <c r="B131" s="442">
        <v>45232</v>
      </c>
      <c r="C131">
        <v>925.36566200000004</v>
      </c>
    </row>
    <row r="132" spans="2:3">
      <c r="B132" s="442">
        <v>45233</v>
      </c>
      <c r="C132">
        <v>951.04382299999997</v>
      </c>
    </row>
    <row r="133" spans="2:3">
      <c r="B133" s="442">
        <v>45236</v>
      </c>
      <c r="C133">
        <v>944.84912099999997</v>
      </c>
    </row>
    <row r="134" spans="2:3">
      <c r="B134" s="442">
        <v>45237</v>
      </c>
      <c r="C134">
        <v>990.36053500000003</v>
      </c>
    </row>
    <row r="135" spans="2:3">
      <c r="B135" s="442">
        <v>45238</v>
      </c>
      <c r="C135">
        <v>1007.995544</v>
      </c>
    </row>
    <row r="136" spans="2:3">
      <c r="B136" s="442">
        <v>45239</v>
      </c>
      <c r="C136">
        <v>1001.700928</v>
      </c>
    </row>
    <row r="137" spans="2:3">
      <c r="B137" s="442">
        <v>45240</v>
      </c>
      <c r="C137">
        <v>1008.195374</v>
      </c>
    </row>
    <row r="138" spans="2:3">
      <c r="B138" s="442">
        <v>45243</v>
      </c>
      <c r="C138">
        <v>1007.8956910000001</v>
      </c>
    </row>
    <row r="139" spans="2:3">
      <c r="B139" s="442">
        <v>45245</v>
      </c>
      <c r="C139">
        <v>1013.341064</v>
      </c>
    </row>
    <row r="140" spans="2:3">
      <c r="B140" s="442">
        <v>45246</v>
      </c>
      <c r="C140">
        <v>1043.665405</v>
      </c>
    </row>
    <row r="141" spans="2:3">
      <c r="B141" s="442">
        <v>45247</v>
      </c>
      <c r="C141">
        <v>1042.566284</v>
      </c>
    </row>
    <row r="142" spans="2:3">
      <c r="B142" s="442">
        <v>45250</v>
      </c>
      <c r="C142">
        <v>1046.4628909999999</v>
      </c>
    </row>
    <row r="143" spans="2:3">
      <c r="B143" s="442">
        <v>45251</v>
      </c>
      <c r="C143">
        <v>1036.921143</v>
      </c>
    </row>
    <row r="144" spans="2:3">
      <c r="B144" s="442">
        <v>45252</v>
      </c>
      <c r="C144">
        <v>1030.4765629999999</v>
      </c>
    </row>
    <row r="145" spans="2:41">
      <c r="B145" s="442">
        <v>45253</v>
      </c>
      <c r="C145">
        <v>1053.7067870000001</v>
      </c>
    </row>
    <row r="146" spans="2:41">
      <c r="B146" s="442">
        <v>45254</v>
      </c>
      <c r="C146">
        <v>1067.245361</v>
      </c>
    </row>
    <row r="147" spans="2:41">
      <c r="B147" s="442">
        <v>45258</v>
      </c>
      <c r="C147">
        <v>1059.052246</v>
      </c>
    </row>
    <row r="148" spans="2:41">
      <c r="B148" s="442">
        <v>45259</v>
      </c>
      <c r="C148">
        <v>1059.951538</v>
      </c>
    </row>
    <row r="149" spans="2:41">
      <c r="B149" s="442">
        <v>45260</v>
      </c>
      <c r="C149">
        <v>1104.0642089999999</v>
      </c>
    </row>
    <row r="150" spans="2:41">
      <c r="B150" s="442">
        <v>45261</v>
      </c>
      <c r="C150">
        <v>1088.127686</v>
      </c>
    </row>
    <row r="151" spans="2:41">
      <c r="B151" s="442">
        <v>45264</v>
      </c>
      <c r="C151">
        <v>1069.5433350000001</v>
      </c>
    </row>
    <row r="152" spans="2:41">
      <c r="B152" s="442">
        <v>45265</v>
      </c>
      <c r="C152">
        <v>1060.9506839999999</v>
      </c>
      <c r="G152" s="450">
        <v>2013</v>
      </c>
      <c r="H152" s="450">
        <v>2014</v>
      </c>
      <c r="I152" s="450">
        <f>H152+1</f>
        <v>2015</v>
      </c>
      <c r="J152" s="450">
        <f t="shared" ref="J152" si="18">I152+1</f>
        <v>2016</v>
      </c>
      <c r="K152" s="450">
        <f t="shared" ref="K152" si="19">J152+1</f>
        <v>2017</v>
      </c>
      <c r="L152" s="450">
        <f t="shared" ref="L152" si="20">K152+1</f>
        <v>2018</v>
      </c>
      <c r="M152" s="450">
        <v>2019</v>
      </c>
      <c r="N152" s="450">
        <f>M152+1</f>
        <v>2020</v>
      </c>
      <c r="O152" s="450">
        <f t="shared" ref="O152" si="21">N152+1</f>
        <v>2021</v>
      </c>
      <c r="P152" s="450">
        <f t="shared" ref="P152" si="22">O152+1</f>
        <v>2022</v>
      </c>
      <c r="Q152" s="450">
        <f t="shared" ref="Q152" si="23">P152+1</f>
        <v>2023</v>
      </c>
      <c r="T152" s="450">
        <v>2013</v>
      </c>
      <c r="U152" s="450">
        <v>2014</v>
      </c>
      <c r="V152" s="450">
        <f>U152+1</f>
        <v>2015</v>
      </c>
      <c r="W152" s="450">
        <f t="shared" ref="W152" si="24">V152+1</f>
        <v>2016</v>
      </c>
      <c r="X152" s="450">
        <f t="shared" ref="X152" si="25">W152+1</f>
        <v>2017</v>
      </c>
      <c r="Y152" s="450">
        <f t="shared" ref="Y152" si="26">X152+1</f>
        <v>2018</v>
      </c>
      <c r="Z152" s="450">
        <v>2019</v>
      </c>
      <c r="AA152" s="450">
        <f>Z152+1</f>
        <v>2020</v>
      </c>
      <c r="AB152" s="450">
        <f t="shared" ref="AB152" si="27">AA152+1</f>
        <v>2021</v>
      </c>
      <c r="AC152" s="450">
        <f t="shared" ref="AC152" si="28">AB152+1</f>
        <v>2022</v>
      </c>
      <c r="AD152" s="450">
        <f t="shared" ref="AD152" si="29">AC152+1</f>
        <v>2023</v>
      </c>
      <c r="AH152" s="131">
        <v>2016</v>
      </c>
      <c r="AI152" s="131">
        <f>AH152+1</f>
        <v>2017</v>
      </c>
      <c r="AJ152" s="131">
        <f t="shared" ref="AJ152:AO152" si="30">AI152+1</f>
        <v>2018</v>
      </c>
      <c r="AK152" s="131">
        <f t="shared" si="30"/>
        <v>2019</v>
      </c>
      <c r="AL152" s="131">
        <f t="shared" si="30"/>
        <v>2020</v>
      </c>
      <c r="AM152" s="131">
        <f t="shared" si="30"/>
        <v>2021</v>
      </c>
      <c r="AN152" s="131">
        <f t="shared" si="30"/>
        <v>2022</v>
      </c>
      <c r="AO152" s="131">
        <f t="shared" si="30"/>
        <v>2023</v>
      </c>
    </row>
    <row r="153" spans="2:41">
      <c r="B153" s="442">
        <v>45266</v>
      </c>
      <c r="C153">
        <v>1072.6408690000001</v>
      </c>
      <c r="F153" t="s">
        <v>368</v>
      </c>
      <c r="G153">
        <f>'Assumptions working'!D406</f>
        <v>65</v>
      </c>
      <c r="H153">
        <f>'Assumptions working'!E406</f>
        <v>97</v>
      </c>
      <c r="I153">
        <f>'Assumptions working'!F406</f>
        <v>98</v>
      </c>
      <c r="J153">
        <f>'Assumptions working'!G406</f>
        <v>131</v>
      </c>
      <c r="K153">
        <f>'Assumptions working'!H406</f>
        <v>150</v>
      </c>
      <c r="L153">
        <f>'Assumptions working'!I406</f>
        <v>128</v>
      </c>
      <c r="M153">
        <f>'Assumptions working'!J406</f>
        <v>173</v>
      </c>
      <c r="N153">
        <f>'Assumptions working'!K406</f>
        <v>242</v>
      </c>
      <c r="O153">
        <f>'Assumptions working'!L406</f>
        <v>221</v>
      </c>
      <c r="P153">
        <f>'Assumptions working'!M406</f>
        <v>299</v>
      </c>
      <c r="Q153">
        <f>'Assumptions working'!N406</f>
        <v>359</v>
      </c>
      <c r="S153" t="s">
        <v>968</v>
      </c>
      <c r="T153" s="225">
        <f>'Assumptions working'!D649</f>
        <v>139</v>
      </c>
      <c r="U153" s="225">
        <f>'Assumptions working'!E649</f>
        <v>181</v>
      </c>
      <c r="V153" s="225">
        <f>'Assumptions working'!F649</f>
        <v>185</v>
      </c>
      <c r="W153" s="225">
        <f>'Assumptions working'!G649</f>
        <v>275</v>
      </c>
      <c r="X153" s="225">
        <f>'Assumptions working'!H649</f>
        <v>191</v>
      </c>
      <c r="Y153" s="225">
        <f>'Assumptions working'!I649</f>
        <v>317</v>
      </c>
      <c r="Z153" s="225">
        <f>'Assumptions working'!J649</f>
        <v>478</v>
      </c>
      <c r="AA153" s="225">
        <f>'Assumptions working'!K649</f>
        <v>511</v>
      </c>
      <c r="AB153" s="225">
        <f>'Assumptions working'!L649</f>
        <v>712</v>
      </c>
      <c r="AC153" s="225">
        <f>'Assumptions working'!M649</f>
        <v>824</v>
      </c>
      <c r="AD153" s="225">
        <f>'Assumptions working'!N649</f>
        <v>758</v>
      </c>
      <c r="AG153" t="s">
        <v>518</v>
      </c>
      <c r="AH153" s="171">
        <f>'Assumptions working'!C703</f>
        <v>0.74769406378682901</v>
      </c>
      <c r="AI153" s="171">
        <f>'Assumptions working'!D703</f>
        <v>0.82718096188268442</v>
      </c>
      <c r="AJ153" s="171">
        <f>'Assumptions working'!E703</f>
        <v>0.8398205053165545</v>
      </c>
      <c r="AK153" s="171">
        <f>'Assumptions working'!F703</f>
        <v>0.8344924588932624</v>
      </c>
      <c r="AL153" s="171">
        <f>'Assumptions working'!G703</f>
        <v>0.7349674027651959</v>
      </c>
      <c r="AM153" s="171">
        <f>'Assumptions working'!H703</f>
        <v>0.54260450641850444</v>
      </c>
      <c r="AN153" s="171">
        <f>'Assumptions working'!I703</f>
        <v>0.46741781038808489</v>
      </c>
      <c r="AO153" s="171">
        <f>'Assumptions working'!J703</f>
        <v>0.61391998709376094</v>
      </c>
    </row>
    <row r="154" spans="2:41">
      <c r="B154" s="442">
        <v>45267</v>
      </c>
      <c r="C154">
        <v>1076.0878909999999</v>
      </c>
      <c r="F154" t="s">
        <v>967</v>
      </c>
      <c r="G154" s="85">
        <f>'Assumptions working'!D415</f>
        <v>13.460992907801417</v>
      </c>
      <c r="H154" s="85">
        <f>'Assumptions working'!E415</f>
        <v>11.816546762589928</v>
      </c>
      <c r="I154" s="85">
        <f>'Assumptions working'!F415</f>
        <v>10.485415439010019</v>
      </c>
      <c r="J154" s="85">
        <f>'Assumptions working'!G415</f>
        <v>10.824268324268324</v>
      </c>
      <c r="K154" s="85">
        <f>'Assumptions working'!H415</f>
        <v>12.807817182817182</v>
      </c>
      <c r="L154" s="85">
        <f>'Assumptions working'!I415</f>
        <v>9.9382957884427015</v>
      </c>
      <c r="M154" s="85">
        <f>'Assumptions working'!J415</f>
        <v>7.7044179523141656</v>
      </c>
      <c r="N154" s="85">
        <f>'Assumptions working'!K415</f>
        <v>11.742248062015504</v>
      </c>
      <c r="O154" s="85">
        <f>'Assumptions working'!L415</f>
        <v>9.5769579508103817</v>
      </c>
      <c r="P154" s="85">
        <f>'Assumptions working'!M415</f>
        <v>7.2041296591512944</v>
      </c>
      <c r="Q154" s="85">
        <f>'Assumptions working'!N415</f>
        <v>7.4851960356541793</v>
      </c>
      <c r="S154" t="s">
        <v>508</v>
      </c>
      <c r="T154" s="85">
        <f>'Assumptions working'!D656</f>
        <v>42.314428690575475</v>
      </c>
      <c r="U154" s="85">
        <f>'Assumptions working'!E656</f>
        <v>48.012354651162788</v>
      </c>
      <c r="V154" s="85">
        <f>'Assumptions working'!F656</f>
        <v>39.350233100233105</v>
      </c>
      <c r="W154" s="85">
        <f>'Assumptions working'!G656</f>
        <v>57.75316455696202</v>
      </c>
      <c r="X154" s="85">
        <f>'Assumptions working'!H656</f>
        <v>38.516574585635354</v>
      </c>
      <c r="Y154" s="85">
        <f>'Assumptions working'!I656</f>
        <v>51.561942959001783</v>
      </c>
      <c r="Z154" s="85">
        <f>'Assumptions working'!J656</f>
        <v>54.200062131096615</v>
      </c>
      <c r="AA154" s="85">
        <f>'Assumptions working'!K656</f>
        <v>67.480101302460199</v>
      </c>
      <c r="AB154" s="85">
        <f>'Assumptions working'!L656</f>
        <v>64.406443618339523</v>
      </c>
      <c r="AC154" s="85">
        <f>'Assumptions working'!M656</f>
        <v>48.037054783580892</v>
      </c>
      <c r="AD154" s="85">
        <f>'Assumptions working'!N656</f>
        <v>37.36259284267387</v>
      </c>
      <c r="AG154" t="s">
        <v>519</v>
      </c>
      <c r="AH154" s="171">
        <f>'Assumptions working'!C704</f>
        <v>0.25230593621317104</v>
      </c>
      <c r="AI154" s="171">
        <f>'Assumptions working'!D704</f>
        <v>0.17281903811731567</v>
      </c>
      <c r="AJ154" s="171">
        <f>'Assumptions working'!E704</f>
        <v>0.16017949468344553</v>
      </c>
      <c r="AK154" s="171">
        <f>'Assumptions working'!F704</f>
        <v>0.16550754110673754</v>
      </c>
      <c r="AL154" s="171">
        <f>'Assumptions working'!G704</f>
        <v>0.26503259723480405</v>
      </c>
      <c r="AM154" s="171">
        <f>'Assumptions working'!H704</f>
        <v>0.45739549358149556</v>
      </c>
      <c r="AN154" s="171">
        <f>'Assumptions working'!I704</f>
        <v>0.53258218961191506</v>
      </c>
      <c r="AO154" s="171">
        <f>'Assumptions working'!J704</f>
        <v>0.38608001290623895</v>
      </c>
    </row>
    <row r="155" spans="2:41">
      <c r="B155" s="442">
        <v>45268</v>
      </c>
      <c r="C155">
        <v>1066.0463870000001</v>
      </c>
    </row>
    <row r="156" spans="2:41">
      <c r="B156" s="442">
        <v>45271</v>
      </c>
      <c r="C156">
        <v>1103.3148189999999</v>
      </c>
    </row>
    <row r="157" spans="2:41">
      <c r="B157" s="442">
        <v>45272</v>
      </c>
      <c r="C157">
        <v>1079.1851810000001</v>
      </c>
    </row>
    <row r="158" spans="2:41">
      <c r="B158" s="442">
        <v>45273</v>
      </c>
      <c r="C158">
        <v>1091.8245850000001</v>
      </c>
    </row>
    <row r="159" spans="2:41">
      <c r="B159" s="442">
        <v>45274</v>
      </c>
      <c r="C159">
        <v>1103.2647710000001</v>
      </c>
    </row>
    <row r="160" spans="2:41">
      <c r="B160" s="442">
        <v>45275</v>
      </c>
      <c r="C160">
        <v>1098.0692140000001</v>
      </c>
    </row>
    <row r="161" spans="2:3">
      <c r="B161" s="442">
        <v>45278</v>
      </c>
      <c r="C161">
        <v>1131.04126</v>
      </c>
    </row>
    <row r="162" spans="2:3">
      <c r="B162" s="442">
        <v>45279</v>
      </c>
      <c r="C162">
        <v>1170.6577150000001</v>
      </c>
    </row>
    <row r="163" spans="2:3">
      <c r="B163" s="442">
        <v>45280</v>
      </c>
      <c r="C163">
        <v>1252.338501</v>
      </c>
    </row>
    <row r="164" spans="2:3">
      <c r="B164" s="442">
        <v>45281</v>
      </c>
      <c r="C164">
        <v>1290.2064210000001</v>
      </c>
    </row>
    <row r="165" spans="2:3">
      <c r="B165" s="442">
        <v>45282</v>
      </c>
      <c r="C165">
        <v>1237.551025</v>
      </c>
    </row>
    <row r="166" spans="2:3">
      <c r="B166" s="442">
        <v>45286</v>
      </c>
      <c r="C166">
        <v>1248.9913329999999</v>
      </c>
    </row>
    <row r="167" spans="2:3">
      <c r="B167" s="442">
        <v>45287</v>
      </c>
      <c r="C167">
        <v>1236.0023189999999</v>
      </c>
    </row>
    <row r="168" spans="2:3">
      <c r="B168" s="442">
        <v>45288</v>
      </c>
      <c r="C168">
        <v>1236.7517089999999</v>
      </c>
    </row>
    <row r="169" spans="2:3">
      <c r="B169" s="442">
        <v>45289</v>
      </c>
      <c r="C169">
        <v>1235.8524170000001</v>
      </c>
    </row>
    <row r="170" spans="2:3">
      <c r="B170" s="442">
        <v>45292</v>
      </c>
      <c r="C170">
        <v>1241.447754</v>
      </c>
    </row>
    <row r="171" spans="2:3">
      <c r="B171" s="442">
        <v>45293</v>
      </c>
      <c r="C171">
        <v>1235.103149</v>
      </c>
    </row>
    <row r="172" spans="2:3">
      <c r="B172" s="442">
        <v>45294</v>
      </c>
      <c r="C172">
        <v>1224.761841</v>
      </c>
    </row>
    <row r="173" spans="2:3">
      <c r="B173" s="442">
        <v>45295</v>
      </c>
      <c r="C173">
        <v>1258.932861</v>
      </c>
    </row>
    <row r="174" spans="2:3">
      <c r="B174" s="442">
        <v>45296</v>
      </c>
      <c r="C174">
        <v>1278.06665</v>
      </c>
    </row>
    <row r="175" spans="2:3">
      <c r="B175" s="442">
        <v>45299</v>
      </c>
      <c r="C175">
        <v>1268.4248050000001</v>
      </c>
    </row>
    <row r="176" spans="2:3">
      <c r="B176" s="442">
        <v>45300</v>
      </c>
      <c r="C176">
        <v>1296.451172</v>
      </c>
    </row>
    <row r="177" spans="2:3">
      <c r="B177" s="442">
        <v>45301</v>
      </c>
      <c r="C177">
        <v>1267.6254879999999</v>
      </c>
    </row>
    <row r="178" spans="2:3">
      <c r="B178" s="442">
        <v>45302</v>
      </c>
      <c r="C178">
        <v>1277.017578</v>
      </c>
    </row>
    <row r="179" spans="2:3">
      <c r="B179" s="442">
        <v>45303</v>
      </c>
      <c r="C179">
        <v>1263.978638</v>
      </c>
    </row>
    <row r="180" spans="2:3">
      <c r="B180" s="442">
        <v>45306</v>
      </c>
      <c r="C180">
        <v>1270.6229249999999</v>
      </c>
    </row>
    <row r="181" spans="2:3">
      <c r="B181" s="442">
        <v>45307</v>
      </c>
      <c r="C181">
        <v>1265.0277100000001</v>
      </c>
    </row>
    <row r="182" spans="2:3">
      <c r="B182" s="442">
        <v>45308</v>
      </c>
      <c r="C182">
        <v>1247.4426269999999</v>
      </c>
    </row>
    <row r="183" spans="2:3">
      <c r="B183" s="442">
        <v>45309</v>
      </c>
      <c r="C183">
        <v>1229.108154</v>
      </c>
    </row>
    <row r="184" spans="2:3">
      <c r="B184" s="442">
        <v>45310</v>
      </c>
      <c r="C184">
        <v>1266.276611</v>
      </c>
    </row>
    <row r="185" spans="2:3">
      <c r="B185" s="442">
        <v>45314</v>
      </c>
      <c r="C185">
        <v>1270.6729740000001</v>
      </c>
    </row>
    <row r="186" spans="2:3">
      <c r="B186" s="442">
        <v>45315</v>
      </c>
      <c r="C186">
        <v>1265.277466</v>
      </c>
    </row>
    <row r="187" spans="2:3">
      <c r="B187" s="442">
        <v>45316</v>
      </c>
      <c r="C187">
        <v>1256.3350829999999</v>
      </c>
    </row>
    <row r="188" spans="2:3">
      <c r="B188" s="442">
        <v>45320</v>
      </c>
      <c r="C188">
        <v>1268.4748540000001</v>
      </c>
    </row>
    <row r="189" spans="2:3">
      <c r="B189" s="442">
        <v>45321</v>
      </c>
      <c r="C189">
        <v>1250.140259</v>
      </c>
    </row>
    <row r="190" spans="2:3">
      <c r="B190" s="442">
        <v>45322</v>
      </c>
      <c r="C190">
        <v>1279.3156739999999</v>
      </c>
    </row>
    <row r="191" spans="2:3">
      <c r="B191" s="442">
        <v>45323</v>
      </c>
      <c r="C191">
        <v>1283.4121090000001</v>
      </c>
    </row>
    <row r="192" spans="2:3">
      <c r="B192" s="442">
        <v>45324</v>
      </c>
      <c r="C192">
        <v>1284.6610109999999</v>
      </c>
    </row>
    <row r="193" spans="2:3">
      <c r="B193" s="442">
        <v>45327</v>
      </c>
      <c r="C193">
        <v>1301.396851</v>
      </c>
    </row>
    <row r="194" spans="2:3">
      <c r="B194" s="442">
        <v>45328</v>
      </c>
      <c r="C194">
        <v>1346.009033</v>
      </c>
    </row>
    <row r="195" spans="2:3">
      <c r="B195" s="442">
        <v>45329</v>
      </c>
      <c r="C195">
        <v>1344.060669</v>
      </c>
    </row>
    <row r="196" spans="2:3">
      <c r="B196" s="442">
        <v>45330</v>
      </c>
      <c r="C196">
        <v>1374.1851810000001</v>
      </c>
    </row>
    <row r="197" spans="2:3">
      <c r="B197" s="442">
        <v>45331</v>
      </c>
      <c r="C197">
        <v>1368.8397219999999</v>
      </c>
    </row>
    <row r="198" spans="2:3">
      <c r="B198" s="442">
        <v>45334</v>
      </c>
      <c r="C198">
        <v>1388.1733400000001</v>
      </c>
    </row>
    <row r="199" spans="2:3">
      <c r="B199" s="442">
        <v>45335</v>
      </c>
      <c r="C199">
        <v>1393.31897</v>
      </c>
    </row>
    <row r="200" spans="2:3">
      <c r="B200" s="442">
        <v>45336</v>
      </c>
      <c r="C200">
        <v>1429.4882809999999</v>
      </c>
    </row>
    <row r="201" spans="2:3">
      <c r="B201" s="442">
        <v>45337</v>
      </c>
      <c r="C201">
        <v>1424.0928960000001</v>
      </c>
    </row>
    <row r="202" spans="2:3">
      <c r="B202" s="442">
        <v>45338</v>
      </c>
      <c r="C202">
        <v>1421.8448490000001</v>
      </c>
    </row>
    <row r="203" spans="2:3">
      <c r="B203" s="442">
        <v>45341</v>
      </c>
      <c r="C203">
        <v>1437.081909</v>
      </c>
    </row>
    <row r="204" spans="2:3">
      <c r="B204" s="442">
        <v>45342</v>
      </c>
      <c r="C204">
        <v>1436.2825929999999</v>
      </c>
    </row>
    <row r="205" spans="2:3">
      <c r="B205" s="442">
        <v>45343</v>
      </c>
      <c r="C205">
        <v>1462.9598390000001</v>
      </c>
    </row>
    <row r="206" spans="2:3">
      <c r="B206" s="442">
        <v>45344</v>
      </c>
      <c r="C206">
        <v>1495.931885</v>
      </c>
    </row>
    <row r="207" spans="2:3">
      <c r="B207" s="442">
        <v>45345</v>
      </c>
      <c r="C207">
        <v>1513.2172849999999</v>
      </c>
    </row>
    <row r="208" spans="2:3">
      <c r="B208" s="442">
        <v>45348</v>
      </c>
      <c r="C208">
        <v>1534.948975</v>
      </c>
    </row>
    <row r="209" spans="2:3">
      <c r="B209" s="442">
        <v>45349</v>
      </c>
      <c r="C209">
        <v>1465.757568</v>
      </c>
    </row>
    <row r="210" spans="2:3">
      <c r="B210" s="442">
        <v>45350</v>
      </c>
      <c r="C210">
        <v>1396.666138</v>
      </c>
    </row>
    <row r="211" spans="2:3">
      <c r="B211" s="442">
        <v>45351</v>
      </c>
      <c r="C211">
        <v>1407.307129</v>
      </c>
    </row>
    <row r="212" spans="2:3">
      <c r="B212" s="442">
        <v>45352</v>
      </c>
      <c r="C212">
        <v>1416.6491699999999</v>
      </c>
    </row>
    <row r="213" spans="2:3">
      <c r="B213" s="442">
        <v>45355</v>
      </c>
      <c r="C213">
        <v>1432.9354249999999</v>
      </c>
    </row>
    <row r="214" spans="2:3">
      <c r="B214" s="442">
        <v>45356</v>
      </c>
      <c r="C214">
        <v>1378.3817140000001</v>
      </c>
    </row>
    <row r="215" spans="2:3">
      <c r="B215" s="442">
        <v>45357</v>
      </c>
      <c r="C215">
        <v>1432.63562</v>
      </c>
    </row>
    <row r="216" spans="2:3">
      <c r="B216" s="442">
        <v>45358</v>
      </c>
      <c r="C216">
        <v>1422.1445309999999</v>
      </c>
    </row>
    <row r="217" spans="2:3">
      <c r="B217" s="442">
        <v>45362</v>
      </c>
      <c r="C217">
        <v>1413.052246</v>
      </c>
    </row>
    <row r="218" spans="2:3">
      <c r="B218" s="442">
        <v>45363</v>
      </c>
      <c r="C218">
        <v>1421.3452150000001</v>
      </c>
    </row>
    <row r="219" spans="2:3">
      <c r="B219" s="442">
        <v>45364</v>
      </c>
      <c r="C219">
        <v>1392.719482</v>
      </c>
    </row>
    <row r="220" spans="2:3">
      <c r="B220" s="442">
        <v>45365</v>
      </c>
      <c r="C220">
        <v>1416.499268</v>
      </c>
    </row>
    <row r="221" spans="2:3">
      <c r="B221" s="442">
        <v>45366</v>
      </c>
      <c r="C221">
        <v>1432.9853519999999</v>
      </c>
    </row>
    <row r="222" spans="2:3">
      <c r="B222" s="442">
        <v>45369</v>
      </c>
      <c r="C222">
        <v>1435.2333980000001</v>
      </c>
    </row>
    <row r="223" spans="2:3">
      <c r="B223" s="442">
        <v>45370</v>
      </c>
      <c r="C223">
        <v>1397.565308</v>
      </c>
    </row>
    <row r="224" spans="2:3">
      <c r="B224" s="442">
        <v>45371</v>
      </c>
      <c r="C224">
        <v>1398.9642329999999</v>
      </c>
    </row>
    <row r="225" spans="2:3">
      <c r="B225" s="442">
        <v>45372</v>
      </c>
      <c r="C225">
        <v>1399.064087</v>
      </c>
    </row>
    <row r="226" spans="2:3">
      <c r="B226" s="442">
        <v>45373</v>
      </c>
      <c r="C226">
        <v>1401.21228</v>
      </c>
    </row>
    <row r="227" spans="2:3">
      <c r="B227" s="442">
        <v>45377</v>
      </c>
      <c r="C227">
        <v>1400.512817</v>
      </c>
    </row>
    <row r="228" spans="2:3">
      <c r="B228" s="442">
        <v>45378</v>
      </c>
      <c r="C228">
        <v>1382.8278809999999</v>
      </c>
    </row>
    <row r="229" spans="2:3">
      <c r="B229" s="442">
        <v>45379</v>
      </c>
      <c r="C229">
        <v>1397.4155270000001</v>
      </c>
    </row>
    <row r="230" spans="2:3">
      <c r="B230" s="442">
        <v>45383</v>
      </c>
      <c r="C230">
        <v>1396.0166019999999</v>
      </c>
    </row>
    <row r="231" spans="2:3">
      <c r="B231" s="442">
        <v>45384</v>
      </c>
      <c r="C231">
        <v>1408.256226</v>
      </c>
    </row>
    <row r="232" spans="2:3">
      <c r="B232" s="442">
        <v>45385</v>
      </c>
      <c r="C232">
        <v>1474.650024</v>
      </c>
    </row>
    <row r="233" spans="2:3">
      <c r="B233" s="442">
        <v>45386</v>
      </c>
      <c r="C233">
        <v>1514.5500489999999</v>
      </c>
    </row>
    <row r="234" spans="2:3">
      <c r="B234" s="442">
        <v>45387</v>
      </c>
      <c r="C234">
        <v>1493.75</v>
      </c>
    </row>
    <row r="235" spans="2:3">
      <c r="B235" s="442">
        <v>45390</v>
      </c>
      <c r="C235">
        <v>1450.099976</v>
      </c>
    </row>
    <row r="236" spans="2:3">
      <c r="B236" s="442">
        <v>45391</v>
      </c>
      <c r="C236">
        <v>1434.8000489999999</v>
      </c>
    </row>
    <row r="237" spans="2:3">
      <c r="B237" s="442">
        <v>45392</v>
      </c>
      <c r="C237">
        <v>1423.5500489999999</v>
      </c>
    </row>
    <row r="238" spans="2:3">
      <c r="B238" s="442">
        <v>45394</v>
      </c>
      <c r="C238">
        <v>1385.849976</v>
      </c>
    </row>
    <row r="239" spans="2:3">
      <c r="B239" s="442">
        <v>45397</v>
      </c>
      <c r="C239">
        <v>1381.099976</v>
      </c>
    </row>
    <row r="240" spans="2:3">
      <c r="B240" s="442">
        <v>45398</v>
      </c>
      <c r="C240">
        <v>1403.9499510000001</v>
      </c>
    </row>
    <row r="241" spans="2:3">
      <c r="B241" s="442">
        <v>45400</v>
      </c>
      <c r="C241">
        <v>1397.9499510000001</v>
      </c>
    </row>
    <row r="242" spans="2:3">
      <c r="B242" s="442">
        <v>45401</v>
      </c>
      <c r="C242">
        <v>1396.099976</v>
      </c>
    </row>
    <row r="243" spans="2:3">
      <c r="B243" s="442">
        <v>45404</v>
      </c>
      <c r="C243">
        <v>1430.3000489999999</v>
      </c>
    </row>
    <row r="244" spans="2:3">
      <c r="B244" s="442">
        <v>45405</v>
      </c>
      <c r="C244">
        <v>1430.9499510000001</v>
      </c>
    </row>
    <row r="245" spans="2:3">
      <c r="B245" s="442">
        <v>45406</v>
      </c>
      <c r="C245">
        <v>1445.099976</v>
      </c>
    </row>
    <row r="246" spans="2:3">
      <c r="B246" s="442">
        <v>45407</v>
      </c>
      <c r="C246">
        <v>1441.9499510000001</v>
      </c>
    </row>
    <row r="247" spans="2:3">
      <c r="B247" s="442">
        <v>45408</v>
      </c>
      <c r="C247">
        <v>1459.6999510000001</v>
      </c>
    </row>
    <row r="248" spans="2:3">
      <c r="B248" s="442">
        <v>45411</v>
      </c>
      <c r="C248">
        <v>1486.150024</v>
      </c>
    </row>
    <row r="249" spans="2:3">
      <c r="B249" s="442">
        <v>45412</v>
      </c>
      <c r="C249">
        <v>1479.4499510000001</v>
      </c>
    </row>
    <row r="250" spans="2:3">
      <c r="B250" s="442">
        <v>45414</v>
      </c>
      <c r="C250">
        <v>1516.8000489999999</v>
      </c>
    </row>
    <row r="251" spans="2:3">
      <c r="B251" s="442">
        <v>45415</v>
      </c>
      <c r="C251">
        <v>1506.6999510000001</v>
      </c>
    </row>
    <row r="252" spans="2:3">
      <c r="B252" s="442">
        <v>45418</v>
      </c>
      <c r="C252">
        <v>1507.150024</v>
      </c>
    </row>
    <row r="253" spans="2:3">
      <c r="B253" s="442">
        <v>45419</v>
      </c>
      <c r="C253">
        <v>1442.8000489999999</v>
      </c>
    </row>
    <row r="254" spans="2:3">
      <c r="B254" s="442">
        <v>45420</v>
      </c>
      <c r="C254">
        <v>1503.3000489999999</v>
      </c>
    </row>
    <row r="255" spans="2:3">
      <c r="B255" s="442">
        <v>45421</v>
      </c>
      <c r="C255">
        <v>1445.0500489999999</v>
      </c>
    </row>
    <row r="256" spans="2:3">
      <c r="B256" s="442">
        <v>45422</v>
      </c>
      <c r="C256">
        <v>1463.3000489999999</v>
      </c>
    </row>
    <row r="257" spans="2:3">
      <c r="B257" s="442">
        <v>45425</v>
      </c>
      <c r="C257">
        <v>1477.3000489999999</v>
      </c>
    </row>
    <row r="258" spans="2:3">
      <c r="B258" s="442">
        <v>45426</v>
      </c>
      <c r="C258">
        <v>1489.0500489999999</v>
      </c>
    </row>
    <row r="259" spans="2:3">
      <c r="B259" s="442">
        <v>45427</v>
      </c>
      <c r="C259">
        <v>1499.400024</v>
      </c>
    </row>
    <row r="260" spans="2:3">
      <c r="B260" s="442">
        <v>45428</v>
      </c>
      <c r="C260">
        <v>1493.25</v>
      </c>
    </row>
    <row r="261" spans="2:3">
      <c r="B261" s="442">
        <v>45429</v>
      </c>
      <c r="C261">
        <v>1515.5</v>
      </c>
    </row>
    <row r="262" spans="2:3">
      <c r="B262" s="442">
        <v>45433</v>
      </c>
      <c r="C262">
        <v>1511.5</v>
      </c>
    </row>
    <row r="263" spans="2:3">
      <c r="B263" s="442">
        <v>45434</v>
      </c>
      <c r="C263">
        <v>1514.099976</v>
      </c>
    </row>
    <row r="264" spans="2:3">
      <c r="B264" s="442">
        <v>45435</v>
      </c>
      <c r="C264">
        <v>1502.349976</v>
      </c>
    </row>
    <row r="265" spans="2:3">
      <c r="B265" s="442">
        <v>45436</v>
      </c>
      <c r="C265">
        <v>1498.3000489999999</v>
      </c>
    </row>
    <row r="266" spans="2:3">
      <c r="B266" s="442">
        <v>45439</v>
      </c>
      <c r="C266">
        <v>1496.5500489999999</v>
      </c>
    </row>
    <row r="267" spans="2:3">
      <c r="B267" s="442">
        <v>45440</v>
      </c>
      <c r="C267">
        <v>1470.0500489999999</v>
      </c>
    </row>
    <row r="268" spans="2:3">
      <c r="B268" s="442">
        <v>45441</v>
      </c>
      <c r="C268">
        <v>1430.3000489999999</v>
      </c>
    </row>
    <row r="269" spans="2:3">
      <c r="B269" s="442">
        <v>45442</v>
      </c>
      <c r="C269">
        <v>1430.3000489999999</v>
      </c>
    </row>
    <row r="270" spans="2:3">
      <c r="B270" s="442">
        <v>45443</v>
      </c>
      <c r="C270">
        <v>1426.8000489999999</v>
      </c>
    </row>
  </sheetData>
  <pageMargins left="0.7" right="0.7" top="0.75" bottom="0.75" header="0.3" footer="0.3"/>
  <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43273-E490-417A-AB60-64590F13D3C3}">
  <dimension ref="B2:O160"/>
  <sheetViews>
    <sheetView showGridLines="0" workbookViewId="0">
      <selection activeCell="B27" sqref="B27"/>
    </sheetView>
  </sheetViews>
  <sheetFormatPr defaultRowHeight="14.4"/>
  <cols>
    <col min="2" max="2" width="27.21875" bestFit="1" customWidth="1"/>
    <col min="3" max="3" width="22.88671875" bestFit="1" customWidth="1"/>
    <col min="4" max="4" width="13.77734375" bestFit="1" customWidth="1"/>
    <col min="5" max="5" width="24.33203125" bestFit="1" customWidth="1"/>
    <col min="6" max="6" width="10" customWidth="1"/>
  </cols>
  <sheetData>
    <row r="2" spans="2:15">
      <c r="B2" t="s">
        <v>771</v>
      </c>
      <c r="G2" t="s">
        <v>772</v>
      </c>
    </row>
    <row r="3" spans="2:15">
      <c r="B3" s="328" t="s">
        <v>578</v>
      </c>
      <c r="C3" s="328" t="s">
        <v>579</v>
      </c>
      <c r="D3" s="328" t="s">
        <v>580</v>
      </c>
      <c r="E3" s="328" t="s">
        <v>581</v>
      </c>
      <c r="G3" s="334" t="s">
        <v>773</v>
      </c>
      <c r="H3" s="335"/>
      <c r="I3" s="335"/>
      <c r="J3" s="335"/>
      <c r="L3" s="342" t="s">
        <v>794</v>
      </c>
      <c r="M3" s="343"/>
      <c r="N3" s="343"/>
      <c r="O3" s="343"/>
    </row>
    <row r="4" spans="2:15">
      <c r="B4" t="s">
        <v>674</v>
      </c>
      <c r="C4" t="s">
        <v>611</v>
      </c>
      <c r="D4" t="s">
        <v>675</v>
      </c>
      <c r="E4" s="167">
        <v>2.35E-2</v>
      </c>
      <c r="G4" s="336" t="s">
        <v>774</v>
      </c>
      <c r="H4" s="336"/>
      <c r="I4" s="337"/>
      <c r="J4" s="337"/>
      <c r="L4" s="571" t="s">
        <v>774</v>
      </c>
      <c r="M4" s="572"/>
      <c r="N4" s="339"/>
      <c r="O4" s="339"/>
    </row>
    <row r="5" spans="2:15">
      <c r="B5" t="s">
        <v>761</v>
      </c>
      <c r="C5" t="s">
        <v>589</v>
      </c>
      <c r="D5" t="s">
        <v>617</v>
      </c>
      <c r="E5" s="167">
        <v>6.4000000000000003E-3</v>
      </c>
      <c r="G5" s="338" t="s">
        <v>775</v>
      </c>
      <c r="H5" s="338" t="s">
        <v>776</v>
      </c>
      <c r="I5" s="338" t="s">
        <v>777</v>
      </c>
      <c r="J5" s="338" t="s">
        <v>778</v>
      </c>
      <c r="L5" s="339" t="s">
        <v>795</v>
      </c>
      <c r="M5" s="339" t="s">
        <v>776</v>
      </c>
      <c r="N5" s="339" t="s">
        <v>777</v>
      </c>
      <c r="O5" s="339" t="s">
        <v>778</v>
      </c>
    </row>
    <row r="6" spans="2:15" ht="15.6">
      <c r="B6" t="s">
        <v>762</v>
      </c>
      <c r="C6" t="s">
        <v>635</v>
      </c>
      <c r="D6" t="s">
        <v>602</v>
      </c>
      <c r="E6" s="167">
        <v>0</v>
      </c>
      <c r="G6" s="339">
        <v>-100000</v>
      </c>
      <c r="H6" s="339">
        <v>0.19999900000000001</v>
      </c>
      <c r="I6" s="339" t="s">
        <v>779</v>
      </c>
      <c r="J6" s="340">
        <v>0.2</v>
      </c>
      <c r="L6" s="339">
        <v>-100000</v>
      </c>
      <c r="M6" s="339">
        <v>0.49999900000000003</v>
      </c>
      <c r="N6" s="339" t="s">
        <v>779</v>
      </c>
      <c r="O6" s="340">
        <v>0.2</v>
      </c>
    </row>
    <row r="7" spans="2:15" ht="15.6">
      <c r="B7" t="s">
        <v>582</v>
      </c>
      <c r="C7" t="s">
        <v>583</v>
      </c>
      <c r="D7" t="s">
        <v>584</v>
      </c>
      <c r="E7" s="167">
        <v>5.3E-3</v>
      </c>
      <c r="G7" s="339">
        <v>0.2</v>
      </c>
      <c r="H7" s="339">
        <v>0.64999899999999999</v>
      </c>
      <c r="I7" s="339" t="s">
        <v>780</v>
      </c>
      <c r="J7" s="340">
        <v>0.17</v>
      </c>
      <c r="L7" s="339">
        <v>0.5</v>
      </c>
      <c r="M7" s="339">
        <v>0.79999900000000002</v>
      </c>
      <c r="N7" s="339" t="s">
        <v>780</v>
      </c>
      <c r="O7" s="340">
        <v>0.17</v>
      </c>
    </row>
    <row r="8" spans="2:15" ht="15.6">
      <c r="B8" t="s">
        <v>585</v>
      </c>
      <c r="C8" t="s">
        <v>586</v>
      </c>
      <c r="D8" t="s">
        <v>587</v>
      </c>
      <c r="E8" s="167">
        <v>4.82E-2</v>
      </c>
      <c r="G8" s="339">
        <v>0.65</v>
      </c>
      <c r="H8" s="339">
        <v>0.79999900000000002</v>
      </c>
      <c r="I8" s="339" t="s">
        <v>781</v>
      </c>
      <c r="J8" s="340">
        <v>0.1178</v>
      </c>
      <c r="L8" s="339">
        <v>0.8</v>
      </c>
      <c r="M8" s="339">
        <v>1.2499990000000001</v>
      </c>
      <c r="N8" s="339" t="s">
        <v>781</v>
      </c>
      <c r="O8" s="340">
        <v>0.1178</v>
      </c>
    </row>
    <row r="9" spans="2:15" ht="15.6">
      <c r="B9" t="s">
        <v>588</v>
      </c>
      <c r="C9" t="s">
        <v>589</v>
      </c>
      <c r="D9" t="s">
        <v>590</v>
      </c>
      <c r="E9" s="167">
        <v>2.0400000000000001E-2</v>
      </c>
      <c r="G9" s="339">
        <v>0.8</v>
      </c>
      <c r="H9" s="339">
        <v>1.2499990000000001</v>
      </c>
      <c r="I9" s="339" t="s">
        <v>782</v>
      </c>
      <c r="J9" s="340">
        <v>8.5099999999999995E-2</v>
      </c>
      <c r="L9" s="339">
        <v>1.25</v>
      </c>
      <c r="M9" s="339">
        <v>1.4999990000000001</v>
      </c>
      <c r="N9" s="339" t="s">
        <v>782</v>
      </c>
      <c r="O9" s="340">
        <v>8.5099999999999995E-2</v>
      </c>
    </row>
    <row r="10" spans="2:15" ht="15.6">
      <c r="B10" t="s">
        <v>591</v>
      </c>
      <c r="C10" t="s">
        <v>579</v>
      </c>
      <c r="D10" t="s">
        <v>592</v>
      </c>
      <c r="E10" s="167">
        <v>6.9500000000000006E-2</v>
      </c>
      <c r="G10" s="339">
        <v>1.25</v>
      </c>
      <c r="H10" s="339">
        <v>1.4999990000000001</v>
      </c>
      <c r="I10" s="339" t="s">
        <v>783</v>
      </c>
      <c r="J10" s="340">
        <v>5.2400000000000002E-2</v>
      </c>
      <c r="L10" s="339">
        <v>1.5</v>
      </c>
      <c r="M10" s="339">
        <v>1.9999990000000001</v>
      </c>
      <c r="N10" s="339" t="s">
        <v>783</v>
      </c>
      <c r="O10" s="340">
        <v>5.2400000000000002E-2</v>
      </c>
    </row>
    <row r="11" spans="2:15" ht="15.6">
      <c r="B11" t="s">
        <v>593</v>
      </c>
      <c r="C11" t="s">
        <v>594</v>
      </c>
      <c r="D11" t="s">
        <v>595</v>
      </c>
      <c r="E11" s="167">
        <v>0.12839999999999999</v>
      </c>
      <c r="G11" s="339">
        <v>1.5</v>
      </c>
      <c r="H11" s="339">
        <v>1.7499990000000001</v>
      </c>
      <c r="I11" s="339" t="s">
        <v>784</v>
      </c>
      <c r="J11" s="340">
        <v>3.61E-2</v>
      </c>
      <c r="L11" s="339">
        <v>2</v>
      </c>
      <c r="M11" s="339">
        <v>2.4999989999999999</v>
      </c>
      <c r="N11" s="339" t="s">
        <v>784</v>
      </c>
      <c r="O11" s="340">
        <v>3.61E-2</v>
      </c>
    </row>
    <row r="12" spans="2:15" ht="15.6">
      <c r="B12" t="s">
        <v>596</v>
      </c>
      <c r="C12" t="s">
        <v>586</v>
      </c>
      <c r="D12" t="s">
        <v>597</v>
      </c>
      <c r="E12" s="167">
        <v>3.85E-2</v>
      </c>
      <c r="G12" s="339">
        <v>1.75</v>
      </c>
      <c r="H12" s="339">
        <v>1.9999990000000001</v>
      </c>
      <c r="I12" s="339" t="s">
        <v>785</v>
      </c>
      <c r="J12" s="340">
        <v>3.1399999999999997E-2</v>
      </c>
      <c r="L12" s="339">
        <v>2.5</v>
      </c>
      <c r="M12" s="339">
        <v>2.9999989999999999</v>
      </c>
      <c r="N12" s="339" t="s">
        <v>785</v>
      </c>
      <c r="O12" s="340">
        <v>3.1399999999999997E-2</v>
      </c>
    </row>
    <row r="13" spans="2:15" ht="15.6">
      <c r="B13" t="s">
        <v>598</v>
      </c>
      <c r="C13" t="s">
        <v>599</v>
      </c>
      <c r="D13" t="s">
        <v>590</v>
      </c>
      <c r="E13" s="167">
        <v>2.0400000000000001E-2</v>
      </c>
      <c r="G13" s="339">
        <v>2</v>
      </c>
      <c r="H13" s="339">
        <v>2.2499999000000002</v>
      </c>
      <c r="I13" s="339" t="s">
        <v>786</v>
      </c>
      <c r="J13" s="340">
        <v>2.2100000000000002E-2</v>
      </c>
      <c r="L13" s="339">
        <v>3</v>
      </c>
      <c r="M13" s="339">
        <v>3.4999989999999999</v>
      </c>
      <c r="N13" s="339" t="s">
        <v>786</v>
      </c>
      <c r="O13" s="340">
        <v>2.2100000000000002E-2</v>
      </c>
    </row>
    <row r="14" spans="2:15" ht="15.6">
      <c r="B14" t="s">
        <v>600</v>
      </c>
      <c r="C14" t="s">
        <v>601</v>
      </c>
      <c r="D14" t="s">
        <v>602</v>
      </c>
      <c r="E14" s="167">
        <v>0</v>
      </c>
      <c r="G14" s="339">
        <v>2.25</v>
      </c>
      <c r="H14" s="339">
        <v>2.4999899999999999</v>
      </c>
      <c r="I14" s="339" t="s">
        <v>787</v>
      </c>
      <c r="J14" s="340">
        <v>1.7399999999999999E-2</v>
      </c>
      <c r="L14" s="339">
        <v>3.5</v>
      </c>
      <c r="M14" s="339">
        <v>3.9999999000000002</v>
      </c>
      <c r="N14" s="339" t="s">
        <v>787</v>
      </c>
      <c r="O14" s="340">
        <v>1.7399999999999999E-2</v>
      </c>
    </row>
    <row r="15" spans="2:15" ht="15.6">
      <c r="B15" t="s">
        <v>603</v>
      </c>
      <c r="C15" t="s">
        <v>589</v>
      </c>
      <c r="D15" t="s">
        <v>604</v>
      </c>
      <c r="E15" s="167">
        <v>4.3E-3</v>
      </c>
      <c r="G15" s="339">
        <v>2.5</v>
      </c>
      <c r="H15" s="339">
        <v>2.9999989999999999</v>
      </c>
      <c r="I15" s="339" t="s">
        <v>788</v>
      </c>
      <c r="J15" s="340">
        <v>1.47E-2</v>
      </c>
      <c r="L15" s="339">
        <v>4</v>
      </c>
      <c r="M15" s="339">
        <v>4.4999989999999999</v>
      </c>
      <c r="N15" s="339" t="s">
        <v>788</v>
      </c>
      <c r="O15" s="340">
        <v>1.47E-2</v>
      </c>
    </row>
    <row r="16" spans="2:15" ht="15.6">
      <c r="B16" t="s">
        <v>605</v>
      </c>
      <c r="C16" t="s">
        <v>586</v>
      </c>
      <c r="D16" t="s">
        <v>606</v>
      </c>
      <c r="E16" s="167">
        <v>2.6800000000000001E-2</v>
      </c>
      <c r="G16" s="339">
        <v>3</v>
      </c>
      <c r="H16" s="339">
        <v>4.2499989999999999</v>
      </c>
      <c r="I16" s="339" t="s">
        <v>789</v>
      </c>
      <c r="J16" s="340">
        <v>1.21E-2</v>
      </c>
      <c r="L16" s="339">
        <v>4.5</v>
      </c>
      <c r="M16" s="339">
        <v>5.9999989999999999</v>
      </c>
      <c r="N16" s="339" t="s">
        <v>789</v>
      </c>
      <c r="O16" s="340">
        <v>1.21E-2</v>
      </c>
    </row>
    <row r="17" spans="2:15" ht="15.6">
      <c r="B17" t="s">
        <v>607</v>
      </c>
      <c r="C17" t="s">
        <v>599</v>
      </c>
      <c r="D17" t="s">
        <v>587</v>
      </c>
      <c r="E17" s="167">
        <v>4.82E-2</v>
      </c>
      <c r="G17" s="339">
        <v>4.25</v>
      </c>
      <c r="H17" s="339">
        <v>5.4999989999999999</v>
      </c>
      <c r="I17" s="339" t="s">
        <v>790</v>
      </c>
      <c r="J17" s="340">
        <v>1.0699999999999999E-2</v>
      </c>
      <c r="L17" s="339">
        <v>6</v>
      </c>
      <c r="M17" s="339">
        <v>7.4999989999999999</v>
      </c>
      <c r="N17" s="339" t="s">
        <v>790</v>
      </c>
      <c r="O17" s="340">
        <v>1.0699999999999999E-2</v>
      </c>
    </row>
    <row r="18" spans="2:15" ht="15.6">
      <c r="B18" t="s">
        <v>608</v>
      </c>
      <c r="C18" t="s">
        <v>583</v>
      </c>
      <c r="D18" t="s">
        <v>609</v>
      </c>
      <c r="E18" s="167">
        <v>5.8799999999999998E-2</v>
      </c>
      <c r="G18" s="339">
        <v>5.5</v>
      </c>
      <c r="H18" s="339">
        <v>6.4999989999999999</v>
      </c>
      <c r="I18" s="339" t="s">
        <v>791</v>
      </c>
      <c r="J18" s="340">
        <v>9.1999999999999998E-3</v>
      </c>
      <c r="L18" s="339">
        <v>7.5</v>
      </c>
      <c r="M18" s="339">
        <v>9.4999990000000007</v>
      </c>
      <c r="N18" s="339" t="s">
        <v>791</v>
      </c>
      <c r="O18" s="340">
        <v>9.1999999999999998E-3</v>
      </c>
    </row>
    <row r="19" spans="2:15" ht="15.6">
      <c r="B19" t="s">
        <v>610</v>
      </c>
      <c r="C19" t="s">
        <v>611</v>
      </c>
      <c r="D19" t="s">
        <v>587</v>
      </c>
      <c r="E19" s="167">
        <v>4.82E-2</v>
      </c>
      <c r="G19" s="339">
        <v>6.5</v>
      </c>
      <c r="H19" s="339">
        <v>8.4999990000000007</v>
      </c>
      <c r="I19" s="339" t="s">
        <v>792</v>
      </c>
      <c r="J19" s="340">
        <v>7.0000000000000001E-3</v>
      </c>
      <c r="L19" s="339">
        <v>9.5</v>
      </c>
      <c r="M19" s="339">
        <v>12.499999000000001</v>
      </c>
      <c r="N19" s="339" t="s">
        <v>792</v>
      </c>
      <c r="O19" s="340">
        <v>7.0000000000000001E-3</v>
      </c>
    </row>
    <row r="20" spans="2:15" ht="15.6">
      <c r="B20" t="s">
        <v>612</v>
      </c>
      <c r="C20" t="s">
        <v>599</v>
      </c>
      <c r="D20" t="s">
        <v>613</v>
      </c>
      <c r="E20" s="167">
        <v>8.0199999999999994E-2</v>
      </c>
      <c r="G20" s="341">
        <v>8.5</v>
      </c>
      <c r="H20" s="339">
        <v>100000</v>
      </c>
      <c r="I20" s="339" t="s">
        <v>793</v>
      </c>
      <c r="J20" s="340">
        <v>5.8999999999999999E-3</v>
      </c>
      <c r="L20" s="339">
        <v>12.5</v>
      </c>
      <c r="M20" s="339">
        <v>100000</v>
      </c>
      <c r="N20" s="339" t="s">
        <v>793</v>
      </c>
      <c r="O20" s="340">
        <v>5.8999999999999999E-3</v>
      </c>
    </row>
    <row r="21" spans="2:15">
      <c r="B21" t="s">
        <v>614</v>
      </c>
      <c r="C21" t="s">
        <v>586</v>
      </c>
      <c r="D21" t="s">
        <v>615</v>
      </c>
      <c r="E21" s="167">
        <v>0.17499999999999999</v>
      </c>
    </row>
    <row r="22" spans="2:15">
      <c r="B22" t="s">
        <v>616</v>
      </c>
      <c r="C22" t="s">
        <v>589</v>
      </c>
      <c r="D22" t="s">
        <v>617</v>
      </c>
      <c r="E22" s="167">
        <v>6.4000000000000003E-3</v>
      </c>
    </row>
    <row r="23" spans="2:15">
      <c r="B23" t="s">
        <v>618</v>
      </c>
      <c r="C23" t="s">
        <v>594</v>
      </c>
      <c r="D23" t="s">
        <v>619</v>
      </c>
      <c r="E23" s="167">
        <v>9.6299999999999997E-2</v>
      </c>
    </row>
    <row r="24" spans="2:15">
      <c r="B24" t="s">
        <v>620</v>
      </c>
      <c r="C24" t="s">
        <v>579</v>
      </c>
      <c r="D24" t="s">
        <v>587</v>
      </c>
      <c r="E24" s="167">
        <v>4.82E-2</v>
      </c>
    </row>
    <row r="25" spans="2:15">
      <c r="B25" t="s">
        <v>621</v>
      </c>
      <c r="C25" t="s">
        <v>599</v>
      </c>
      <c r="D25" t="s">
        <v>622</v>
      </c>
      <c r="E25" s="167">
        <v>9.1000000000000004E-3</v>
      </c>
    </row>
    <row r="26" spans="2:15">
      <c r="B26" t="s">
        <v>623</v>
      </c>
      <c r="C26" t="s">
        <v>594</v>
      </c>
      <c r="D26" t="s">
        <v>613</v>
      </c>
      <c r="E26" s="167">
        <v>8.0199999999999994E-2</v>
      </c>
    </row>
    <row r="27" spans="2:15">
      <c r="B27" t="s">
        <v>624</v>
      </c>
      <c r="C27" t="s">
        <v>586</v>
      </c>
      <c r="D27" t="s">
        <v>592</v>
      </c>
      <c r="E27" s="167">
        <v>6.9500000000000006E-2</v>
      </c>
    </row>
    <row r="28" spans="2:15">
      <c r="B28" t="s">
        <v>625</v>
      </c>
      <c r="C28" t="s">
        <v>579</v>
      </c>
      <c r="D28" t="s">
        <v>626</v>
      </c>
      <c r="E28" s="167">
        <v>1.2800000000000001E-2</v>
      </c>
    </row>
    <row r="29" spans="2:15">
      <c r="B29" t="s">
        <v>627</v>
      </c>
      <c r="C29" t="s">
        <v>594</v>
      </c>
      <c r="D29" t="s">
        <v>628</v>
      </c>
      <c r="E29" s="167">
        <v>3.2199999999999999E-2</v>
      </c>
    </row>
    <row r="30" spans="2:15">
      <c r="B30" t="s">
        <v>629</v>
      </c>
      <c r="C30" t="s">
        <v>586</v>
      </c>
      <c r="D30" t="s">
        <v>630</v>
      </c>
      <c r="E30" s="167">
        <v>1.7100000000000001E-2</v>
      </c>
    </row>
    <row r="31" spans="2:15">
      <c r="B31" t="s">
        <v>631</v>
      </c>
      <c r="C31" t="s">
        <v>579</v>
      </c>
      <c r="D31" t="s">
        <v>613</v>
      </c>
      <c r="E31" s="167">
        <v>8.0199999999999994E-2</v>
      </c>
    </row>
    <row r="32" spans="2:15">
      <c r="B32" t="s">
        <v>632</v>
      </c>
      <c r="C32" t="s">
        <v>611</v>
      </c>
      <c r="D32" t="s">
        <v>609</v>
      </c>
      <c r="E32" s="167">
        <v>5.8799999999999998E-2</v>
      </c>
    </row>
    <row r="33" spans="2:5">
      <c r="B33" t="s">
        <v>633</v>
      </c>
      <c r="C33" t="s">
        <v>579</v>
      </c>
      <c r="D33" t="s">
        <v>609</v>
      </c>
      <c r="E33" s="167">
        <v>5.8799999999999998E-2</v>
      </c>
    </row>
    <row r="34" spans="2:5">
      <c r="B34" t="s">
        <v>634</v>
      </c>
      <c r="C34" t="s">
        <v>635</v>
      </c>
      <c r="D34" t="s">
        <v>602</v>
      </c>
      <c r="E34" s="167">
        <v>0</v>
      </c>
    </row>
    <row r="35" spans="2:5">
      <c r="B35" t="s">
        <v>636</v>
      </c>
      <c r="C35" t="s">
        <v>579</v>
      </c>
      <c r="D35" t="s">
        <v>592</v>
      </c>
      <c r="E35" s="167">
        <v>6.9500000000000006E-2</v>
      </c>
    </row>
    <row r="36" spans="2:5">
      <c r="B36" t="s">
        <v>637</v>
      </c>
      <c r="C36" t="s">
        <v>599</v>
      </c>
      <c r="D36" t="s">
        <v>617</v>
      </c>
      <c r="E36" s="167">
        <v>6.4000000000000003E-3</v>
      </c>
    </row>
    <row r="37" spans="2:5">
      <c r="B37" t="s">
        <v>638</v>
      </c>
      <c r="C37" t="s">
        <v>594</v>
      </c>
      <c r="D37" t="s">
        <v>622</v>
      </c>
      <c r="E37" s="167">
        <v>9.1000000000000004E-3</v>
      </c>
    </row>
    <row r="38" spans="2:5">
      <c r="B38" t="s">
        <v>639</v>
      </c>
      <c r="C38" t="s">
        <v>611</v>
      </c>
      <c r="D38" t="s">
        <v>640</v>
      </c>
      <c r="E38" s="167">
        <v>7.4999999999999997E-3</v>
      </c>
    </row>
    <row r="39" spans="2:5">
      <c r="B39" t="s">
        <v>641</v>
      </c>
      <c r="C39" t="s">
        <v>594</v>
      </c>
      <c r="D39" t="s">
        <v>590</v>
      </c>
      <c r="E39" s="167">
        <v>2.0400000000000001E-2</v>
      </c>
    </row>
    <row r="40" spans="2:5">
      <c r="B40" t="s">
        <v>642</v>
      </c>
      <c r="C40" t="s">
        <v>579</v>
      </c>
      <c r="D40" t="s">
        <v>592</v>
      </c>
      <c r="E40" s="167">
        <v>6.9500000000000006E-2</v>
      </c>
    </row>
    <row r="41" spans="2:5">
      <c r="B41" t="s">
        <v>643</v>
      </c>
      <c r="C41" t="s">
        <v>579</v>
      </c>
      <c r="D41" t="s">
        <v>619</v>
      </c>
      <c r="E41" s="167">
        <v>9.6299999999999997E-2</v>
      </c>
    </row>
    <row r="42" spans="2:5">
      <c r="B42" t="s">
        <v>644</v>
      </c>
      <c r="C42" t="s">
        <v>601</v>
      </c>
      <c r="D42" t="s">
        <v>609</v>
      </c>
      <c r="E42" s="167">
        <v>5.8799999999999998E-2</v>
      </c>
    </row>
    <row r="43" spans="2:5">
      <c r="B43" t="s">
        <v>645</v>
      </c>
      <c r="C43" t="s">
        <v>594</v>
      </c>
      <c r="D43" t="s">
        <v>609</v>
      </c>
      <c r="E43" s="167">
        <v>5.8799999999999998E-2</v>
      </c>
    </row>
    <row r="44" spans="2:5">
      <c r="B44" t="s">
        <v>646</v>
      </c>
      <c r="C44" t="s">
        <v>579</v>
      </c>
      <c r="D44" t="s">
        <v>597</v>
      </c>
      <c r="E44" s="167">
        <v>3.85E-2</v>
      </c>
    </row>
    <row r="45" spans="2:5">
      <c r="B45" t="s">
        <v>647</v>
      </c>
      <c r="C45" t="s">
        <v>586</v>
      </c>
      <c r="D45" t="s">
        <v>590</v>
      </c>
      <c r="E45" s="167">
        <v>2.0400000000000001E-2</v>
      </c>
    </row>
    <row r="46" spans="2:5">
      <c r="B46" t="s">
        <v>648</v>
      </c>
      <c r="C46" t="s">
        <v>599</v>
      </c>
      <c r="D46" t="s">
        <v>595</v>
      </c>
      <c r="E46" s="167">
        <v>0.12839999999999999</v>
      </c>
    </row>
    <row r="47" spans="2:5">
      <c r="B47" t="s">
        <v>649</v>
      </c>
      <c r="C47" t="s">
        <v>599</v>
      </c>
      <c r="D47" t="s">
        <v>590</v>
      </c>
      <c r="E47" s="167">
        <v>2.0400000000000001E-2</v>
      </c>
    </row>
    <row r="48" spans="2:5">
      <c r="B48" t="s">
        <v>650</v>
      </c>
      <c r="C48" t="s">
        <v>589</v>
      </c>
      <c r="D48" t="s">
        <v>606</v>
      </c>
      <c r="E48" s="167">
        <v>2.6800000000000001E-2</v>
      </c>
    </row>
    <row r="49" spans="2:5">
      <c r="B49" t="s">
        <v>651</v>
      </c>
      <c r="C49" t="s">
        <v>586</v>
      </c>
      <c r="D49" t="s">
        <v>617</v>
      </c>
      <c r="E49" s="167">
        <v>6.4000000000000003E-3</v>
      </c>
    </row>
    <row r="50" spans="2:5">
      <c r="B50" t="s">
        <v>652</v>
      </c>
      <c r="C50" t="s">
        <v>589</v>
      </c>
      <c r="D50" t="s">
        <v>602</v>
      </c>
      <c r="E50" s="167">
        <v>0</v>
      </c>
    </row>
    <row r="51" spans="2:5">
      <c r="B51" t="s">
        <v>653</v>
      </c>
      <c r="C51" t="s">
        <v>599</v>
      </c>
      <c r="D51" t="s">
        <v>597</v>
      </c>
      <c r="E51" s="167">
        <v>3.85E-2</v>
      </c>
    </row>
    <row r="52" spans="2:5">
      <c r="B52" t="s">
        <v>654</v>
      </c>
      <c r="C52" t="s">
        <v>594</v>
      </c>
      <c r="D52" t="s">
        <v>655</v>
      </c>
      <c r="E52" s="167">
        <v>0.107</v>
      </c>
    </row>
    <row r="53" spans="2:5">
      <c r="B53" t="s">
        <v>656</v>
      </c>
      <c r="C53" t="s">
        <v>579</v>
      </c>
      <c r="D53" t="s">
        <v>592</v>
      </c>
      <c r="E53" s="167">
        <v>6.9500000000000006E-2</v>
      </c>
    </row>
    <row r="54" spans="2:5">
      <c r="B54" t="s">
        <v>657</v>
      </c>
      <c r="C54" t="s">
        <v>594</v>
      </c>
      <c r="D54" t="s">
        <v>655</v>
      </c>
      <c r="E54" s="167">
        <v>0.107</v>
      </c>
    </row>
    <row r="55" spans="2:5">
      <c r="B55" t="s">
        <v>658</v>
      </c>
      <c r="C55" t="s">
        <v>586</v>
      </c>
      <c r="D55" t="s">
        <v>640</v>
      </c>
      <c r="E55" s="167">
        <v>7.4999999999999997E-3</v>
      </c>
    </row>
    <row r="56" spans="2:5">
      <c r="B56" t="s">
        <v>659</v>
      </c>
      <c r="C56" t="s">
        <v>579</v>
      </c>
      <c r="D56" t="s">
        <v>619</v>
      </c>
      <c r="E56" s="167">
        <v>9.6299999999999997E-2</v>
      </c>
    </row>
    <row r="57" spans="2:5">
      <c r="B57" t="s">
        <v>660</v>
      </c>
      <c r="C57" t="s">
        <v>611</v>
      </c>
      <c r="D57" t="s">
        <v>587</v>
      </c>
      <c r="E57" s="167">
        <v>4.82E-2</v>
      </c>
    </row>
    <row r="58" spans="2:5">
      <c r="B58" t="s">
        <v>661</v>
      </c>
      <c r="C58" t="s">
        <v>589</v>
      </c>
      <c r="D58" t="s">
        <v>604</v>
      </c>
      <c r="E58" s="167">
        <v>4.3E-3</v>
      </c>
    </row>
    <row r="59" spans="2:5">
      <c r="B59" t="s">
        <v>662</v>
      </c>
      <c r="C59" t="s">
        <v>589</v>
      </c>
      <c r="D59" t="s">
        <v>584</v>
      </c>
      <c r="E59" s="167">
        <v>5.3E-3</v>
      </c>
    </row>
    <row r="60" spans="2:5">
      <c r="B60" t="s">
        <v>663</v>
      </c>
      <c r="C60" t="s">
        <v>579</v>
      </c>
      <c r="D60" t="s">
        <v>613</v>
      </c>
      <c r="E60" s="167">
        <v>8.0199999999999994E-2</v>
      </c>
    </row>
    <row r="61" spans="2:5">
      <c r="B61" t="s">
        <v>664</v>
      </c>
      <c r="C61" t="s">
        <v>586</v>
      </c>
      <c r="D61" t="s">
        <v>628</v>
      </c>
      <c r="E61" s="167">
        <v>3.2199999999999999E-2</v>
      </c>
    </row>
    <row r="62" spans="2:5">
      <c r="B62" t="s">
        <v>665</v>
      </c>
      <c r="C62" t="s">
        <v>589</v>
      </c>
      <c r="D62" t="s">
        <v>602</v>
      </c>
      <c r="E62" s="167">
        <v>0</v>
      </c>
    </row>
    <row r="63" spans="2:5">
      <c r="B63" t="s">
        <v>666</v>
      </c>
      <c r="C63" t="s">
        <v>579</v>
      </c>
      <c r="D63" t="s">
        <v>595</v>
      </c>
      <c r="E63" s="167">
        <v>0.12839999999999999</v>
      </c>
    </row>
    <row r="64" spans="2:5">
      <c r="B64" t="s">
        <v>667</v>
      </c>
      <c r="C64" t="s">
        <v>589</v>
      </c>
      <c r="D64" t="s">
        <v>597</v>
      </c>
      <c r="E64" s="167">
        <v>3.85E-2</v>
      </c>
    </row>
    <row r="65" spans="2:5">
      <c r="B65" t="s">
        <v>668</v>
      </c>
      <c r="C65" t="s">
        <v>594</v>
      </c>
      <c r="D65" t="s">
        <v>606</v>
      </c>
      <c r="E65" s="167">
        <v>2.6800000000000001E-2</v>
      </c>
    </row>
    <row r="66" spans="2:5">
      <c r="B66" t="s">
        <v>669</v>
      </c>
      <c r="C66" t="s">
        <v>589</v>
      </c>
      <c r="D66" t="s">
        <v>584</v>
      </c>
      <c r="E66" s="167">
        <v>5.3E-3</v>
      </c>
    </row>
    <row r="67" spans="2:5">
      <c r="B67" t="s">
        <v>670</v>
      </c>
      <c r="C67" t="s">
        <v>594</v>
      </c>
      <c r="D67" t="s">
        <v>587</v>
      </c>
      <c r="E67" s="167">
        <v>4.82E-2</v>
      </c>
    </row>
    <row r="68" spans="2:5">
      <c r="B68" t="s">
        <v>671</v>
      </c>
      <c r="C68" t="s">
        <v>611</v>
      </c>
      <c r="D68" t="s">
        <v>617</v>
      </c>
      <c r="E68" s="167">
        <v>6.4000000000000003E-3</v>
      </c>
    </row>
    <row r="69" spans="2:5">
      <c r="B69" t="s">
        <v>672</v>
      </c>
      <c r="C69" t="s">
        <v>586</v>
      </c>
      <c r="D69" t="s">
        <v>590</v>
      </c>
      <c r="E69" s="167">
        <v>2.0400000000000001E-2</v>
      </c>
    </row>
    <row r="70" spans="2:5">
      <c r="B70" t="s">
        <v>673</v>
      </c>
      <c r="C70" t="s">
        <v>589</v>
      </c>
      <c r="D70" t="s">
        <v>622</v>
      </c>
      <c r="E70" s="167">
        <v>9.1000000000000004E-3</v>
      </c>
    </row>
    <row r="71" spans="2:5">
      <c r="B71" t="s">
        <v>676</v>
      </c>
      <c r="C71" t="s">
        <v>611</v>
      </c>
      <c r="D71" t="s">
        <v>590</v>
      </c>
      <c r="E71" s="167">
        <v>2.0400000000000001E-2</v>
      </c>
    </row>
    <row r="72" spans="2:5">
      <c r="B72" t="s">
        <v>677</v>
      </c>
      <c r="C72" t="s">
        <v>583</v>
      </c>
      <c r="D72" t="s">
        <v>613</v>
      </c>
      <c r="E72" s="167">
        <v>8.0199999999999994E-2</v>
      </c>
    </row>
    <row r="73" spans="2:5">
      <c r="B73" t="s">
        <v>678</v>
      </c>
      <c r="C73" t="s">
        <v>589</v>
      </c>
      <c r="D73" t="s">
        <v>617</v>
      </c>
      <c r="E73" s="167">
        <v>6.4000000000000003E-3</v>
      </c>
    </row>
    <row r="74" spans="2:5">
      <c r="B74" t="s">
        <v>679</v>
      </c>
      <c r="C74" t="s">
        <v>589</v>
      </c>
      <c r="D74" t="s">
        <v>617</v>
      </c>
      <c r="E74" s="167">
        <v>6.4000000000000003E-3</v>
      </c>
    </row>
    <row r="75" spans="2:5">
      <c r="B75" t="s">
        <v>680</v>
      </c>
      <c r="C75" t="s">
        <v>583</v>
      </c>
      <c r="D75" t="s">
        <v>640</v>
      </c>
      <c r="E75" s="167">
        <v>7.4999999999999997E-3</v>
      </c>
    </row>
    <row r="76" spans="2:5">
      <c r="B76" t="s">
        <v>681</v>
      </c>
      <c r="C76" t="s">
        <v>589</v>
      </c>
      <c r="D76" t="s">
        <v>675</v>
      </c>
      <c r="E76" s="167">
        <v>2.35E-2</v>
      </c>
    </row>
    <row r="77" spans="2:5">
      <c r="B77" t="s">
        <v>682</v>
      </c>
      <c r="C77" t="s">
        <v>599</v>
      </c>
      <c r="D77" t="s">
        <v>609</v>
      </c>
      <c r="E77" s="167">
        <v>5.8799999999999998E-2</v>
      </c>
    </row>
    <row r="78" spans="2:5">
      <c r="B78" t="s">
        <v>683</v>
      </c>
      <c r="C78" t="s">
        <v>611</v>
      </c>
      <c r="D78" t="s">
        <v>640</v>
      </c>
      <c r="E78" s="167">
        <v>7.4999999999999997E-3</v>
      </c>
    </row>
    <row r="79" spans="2:5">
      <c r="B79" t="s">
        <v>684</v>
      </c>
      <c r="C79" t="s">
        <v>589</v>
      </c>
      <c r="D79" t="s">
        <v>617</v>
      </c>
      <c r="E79" s="167">
        <v>6.4000000000000003E-3</v>
      </c>
    </row>
    <row r="80" spans="2:5">
      <c r="B80" t="s">
        <v>685</v>
      </c>
      <c r="C80" t="s">
        <v>583</v>
      </c>
      <c r="D80" t="s">
        <v>587</v>
      </c>
      <c r="E80" s="167">
        <v>4.82E-2</v>
      </c>
    </row>
    <row r="81" spans="2:5">
      <c r="B81" t="s">
        <v>686</v>
      </c>
      <c r="C81" t="s">
        <v>586</v>
      </c>
      <c r="D81" t="s">
        <v>590</v>
      </c>
      <c r="E81" s="167">
        <v>2.0400000000000001E-2</v>
      </c>
    </row>
    <row r="82" spans="2:5">
      <c r="B82" t="s">
        <v>687</v>
      </c>
      <c r="C82" t="s">
        <v>579</v>
      </c>
      <c r="D82" t="s">
        <v>592</v>
      </c>
      <c r="E82" s="167">
        <v>6.9500000000000006E-2</v>
      </c>
    </row>
    <row r="83" spans="2:5">
      <c r="B83" t="s">
        <v>688</v>
      </c>
      <c r="C83" t="s">
        <v>611</v>
      </c>
      <c r="D83" t="s">
        <v>584</v>
      </c>
      <c r="E83" s="167">
        <v>5.3E-3</v>
      </c>
    </row>
    <row r="84" spans="2:5">
      <c r="B84" t="s">
        <v>689</v>
      </c>
      <c r="C84" t="s">
        <v>583</v>
      </c>
      <c r="D84" t="s">
        <v>640</v>
      </c>
      <c r="E84" s="167">
        <v>7.4999999999999997E-3</v>
      </c>
    </row>
    <row r="85" spans="2:5">
      <c r="B85" t="s">
        <v>690</v>
      </c>
      <c r="C85" t="s">
        <v>586</v>
      </c>
      <c r="D85" t="s">
        <v>592</v>
      </c>
      <c r="E85" s="167">
        <v>6.9500000000000006E-2</v>
      </c>
    </row>
    <row r="86" spans="2:5">
      <c r="B86" t="s">
        <v>691</v>
      </c>
      <c r="C86" t="s">
        <v>611</v>
      </c>
      <c r="D86" t="s">
        <v>655</v>
      </c>
      <c r="E86" s="167">
        <v>0.107</v>
      </c>
    </row>
    <row r="87" spans="2:5">
      <c r="B87" t="s">
        <v>692</v>
      </c>
      <c r="C87" t="s">
        <v>586</v>
      </c>
      <c r="D87" t="s">
        <v>626</v>
      </c>
      <c r="E87" s="167">
        <v>1.2800000000000001E-2</v>
      </c>
    </row>
    <row r="88" spans="2:5">
      <c r="B88" t="s">
        <v>693</v>
      </c>
      <c r="C88" t="s">
        <v>583</v>
      </c>
      <c r="D88" t="s">
        <v>615</v>
      </c>
      <c r="E88" s="167">
        <v>0.17499999999999999</v>
      </c>
    </row>
    <row r="89" spans="2:5">
      <c r="B89" t="s">
        <v>694</v>
      </c>
      <c r="C89" t="s">
        <v>589</v>
      </c>
      <c r="D89" t="s">
        <v>602</v>
      </c>
      <c r="E89" s="167">
        <v>0</v>
      </c>
    </row>
    <row r="90" spans="2:5">
      <c r="B90" t="s">
        <v>695</v>
      </c>
      <c r="C90" t="s">
        <v>586</v>
      </c>
      <c r="D90" t="s">
        <v>622</v>
      </c>
      <c r="E90" s="167">
        <v>9.1000000000000004E-3</v>
      </c>
    </row>
    <row r="91" spans="2:5">
      <c r="B91" t="s">
        <v>696</v>
      </c>
      <c r="C91" t="s">
        <v>589</v>
      </c>
      <c r="D91" t="s">
        <v>602</v>
      </c>
      <c r="E91" s="167">
        <v>0</v>
      </c>
    </row>
    <row r="92" spans="2:5">
      <c r="B92" t="s">
        <v>697</v>
      </c>
      <c r="C92" t="s">
        <v>611</v>
      </c>
      <c r="D92" t="s">
        <v>617</v>
      </c>
      <c r="E92" s="167">
        <v>6.4000000000000003E-3</v>
      </c>
    </row>
    <row r="93" spans="2:5">
      <c r="B93" t="s">
        <v>698</v>
      </c>
      <c r="C93" t="s">
        <v>586</v>
      </c>
      <c r="D93" t="s">
        <v>597</v>
      </c>
      <c r="E93" s="167">
        <v>3.85E-2</v>
      </c>
    </row>
    <row r="94" spans="2:5">
      <c r="B94" t="s">
        <v>699</v>
      </c>
      <c r="C94" t="s">
        <v>611</v>
      </c>
      <c r="D94" t="s">
        <v>626</v>
      </c>
      <c r="E94" s="167">
        <v>1.2800000000000001E-2</v>
      </c>
    </row>
    <row r="95" spans="2:5">
      <c r="B95" t="s">
        <v>700</v>
      </c>
      <c r="C95" t="s">
        <v>611</v>
      </c>
      <c r="D95" t="s">
        <v>613</v>
      </c>
      <c r="E95" s="167">
        <v>8.0199999999999994E-2</v>
      </c>
    </row>
    <row r="96" spans="2:5">
      <c r="B96" t="s">
        <v>701</v>
      </c>
      <c r="C96" t="s">
        <v>579</v>
      </c>
      <c r="D96" t="s">
        <v>619</v>
      </c>
      <c r="E96" s="167">
        <v>9.6299999999999997E-2</v>
      </c>
    </row>
    <row r="97" spans="2:5">
      <c r="B97" t="s">
        <v>702</v>
      </c>
      <c r="C97" t="s">
        <v>589</v>
      </c>
      <c r="D97" t="s">
        <v>622</v>
      </c>
      <c r="E97" s="167">
        <v>9.1000000000000004E-3</v>
      </c>
    </row>
    <row r="98" spans="2:5">
      <c r="B98" t="s">
        <v>703</v>
      </c>
      <c r="C98" t="s">
        <v>579</v>
      </c>
      <c r="D98" t="s">
        <v>675</v>
      </c>
      <c r="E98" s="167">
        <v>2.35E-2</v>
      </c>
    </row>
    <row r="99" spans="2:5">
      <c r="B99" t="s">
        <v>704</v>
      </c>
      <c r="C99" t="s">
        <v>594</v>
      </c>
      <c r="D99" t="s">
        <v>590</v>
      </c>
      <c r="E99" s="167">
        <v>2.0400000000000001E-2</v>
      </c>
    </row>
    <row r="100" spans="2:5">
      <c r="B100" t="s">
        <v>705</v>
      </c>
      <c r="C100" t="s">
        <v>586</v>
      </c>
      <c r="D100" t="s">
        <v>592</v>
      </c>
      <c r="E100" s="167">
        <v>6.9500000000000006E-2</v>
      </c>
    </row>
    <row r="101" spans="2:5">
      <c r="B101" t="s">
        <v>706</v>
      </c>
      <c r="C101" t="s">
        <v>611</v>
      </c>
      <c r="D101" t="s">
        <v>592</v>
      </c>
      <c r="E101" s="167">
        <v>6.9500000000000006E-2</v>
      </c>
    </row>
    <row r="102" spans="2:5">
      <c r="B102" t="s">
        <v>707</v>
      </c>
      <c r="C102" t="s">
        <v>586</v>
      </c>
      <c r="D102" t="s">
        <v>587</v>
      </c>
      <c r="E102" s="167">
        <v>4.82E-2</v>
      </c>
    </row>
    <row r="103" spans="2:5">
      <c r="B103" t="s">
        <v>708</v>
      </c>
      <c r="C103" t="s">
        <v>599</v>
      </c>
      <c r="D103" t="s">
        <v>675</v>
      </c>
      <c r="E103" s="167">
        <v>2.35E-2</v>
      </c>
    </row>
    <row r="104" spans="2:5">
      <c r="B104" t="s">
        <v>709</v>
      </c>
      <c r="C104" t="s">
        <v>579</v>
      </c>
      <c r="D104" t="s">
        <v>606</v>
      </c>
      <c r="E104" s="167">
        <v>2.6800000000000001E-2</v>
      </c>
    </row>
    <row r="105" spans="2:5">
      <c r="B105" t="s">
        <v>710</v>
      </c>
      <c r="C105" t="s">
        <v>579</v>
      </c>
      <c r="D105" t="s">
        <v>619</v>
      </c>
      <c r="E105" s="167">
        <v>9.6299999999999997E-2</v>
      </c>
    </row>
    <row r="106" spans="2:5">
      <c r="B106" t="s">
        <v>711</v>
      </c>
      <c r="C106" t="s">
        <v>579</v>
      </c>
      <c r="D106" t="s">
        <v>587</v>
      </c>
      <c r="E106" s="167">
        <v>4.82E-2</v>
      </c>
    </row>
    <row r="107" spans="2:5">
      <c r="B107" t="s">
        <v>712</v>
      </c>
      <c r="C107" t="s">
        <v>589</v>
      </c>
      <c r="D107" t="s">
        <v>602</v>
      </c>
      <c r="E107" s="167">
        <v>0</v>
      </c>
    </row>
    <row r="108" spans="2:5">
      <c r="B108" t="s">
        <v>713</v>
      </c>
      <c r="C108" t="s">
        <v>601</v>
      </c>
      <c r="D108" t="s">
        <v>602</v>
      </c>
      <c r="E108" s="167">
        <v>0</v>
      </c>
    </row>
    <row r="109" spans="2:5">
      <c r="B109" t="s">
        <v>714</v>
      </c>
      <c r="C109" t="s">
        <v>594</v>
      </c>
      <c r="D109" t="s">
        <v>592</v>
      </c>
      <c r="E109" s="167">
        <v>6.9500000000000006E-2</v>
      </c>
    </row>
    <row r="110" spans="2:5">
      <c r="B110" t="s">
        <v>715</v>
      </c>
      <c r="C110" t="s">
        <v>579</v>
      </c>
      <c r="D110" t="s">
        <v>592</v>
      </c>
      <c r="E110" s="167">
        <v>6.9500000000000006E-2</v>
      </c>
    </row>
    <row r="111" spans="2:5">
      <c r="B111" t="s">
        <v>716</v>
      </c>
      <c r="C111" t="s">
        <v>579</v>
      </c>
      <c r="D111" t="s">
        <v>613</v>
      </c>
      <c r="E111" s="167">
        <v>8.0199999999999994E-2</v>
      </c>
    </row>
    <row r="112" spans="2:5">
      <c r="B112" t="s">
        <v>717</v>
      </c>
      <c r="C112" t="s">
        <v>589</v>
      </c>
      <c r="D112" t="s">
        <v>602</v>
      </c>
      <c r="E112" s="167">
        <v>0</v>
      </c>
    </row>
    <row r="113" spans="2:5">
      <c r="B113" t="s">
        <v>718</v>
      </c>
      <c r="C113" t="s">
        <v>583</v>
      </c>
      <c r="D113" t="s">
        <v>628</v>
      </c>
      <c r="E113" s="167">
        <v>3.2199999999999999E-2</v>
      </c>
    </row>
    <row r="114" spans="2:5">
      <c r="B114" t="s">
        <v>719</v>
      </c>
      <c r="C114" t="s">
        <v>611</v>
      </c>
      <c r="D114" t="s">
        <v>655</v>
      </c>
      <c r="E114" s="167">
        <v>0.107</v>
      </c>
    </row>
    <row r="115" spans="2:5">
      <c r="B115" t="s">
        <v>720</v>
      </c>
      <c r="C115" t="s">
        <v>594</v>
      </c>
      <c r="D115" t="s">
        <v>590</v>
      </c>
      <c r="E115" s="167">
        <v>2.0400000000000001E-2</v>
      </c>
    </row>
    <row r="116" spans="2:5">
      <c r="B116" t="s">
        <v>721</v>
      </c>
      <c r="C116" t="s">
        <v>611</v>
      </c>
      <c r="D116" t="s">
        <v>609</v>
      </c>
      <c r="E116" s="167">
        <v>5.8799999999999998E-2</v>
      </c>
    </row>
    <row r="117" spans="2:5">
      <c r="B117" t="s">
        <v>722</v>
      </c>
      <c r="C117" t="s">
        <v>594</v>
      </c>
      <c r="D117" t="s">
        <v>606</v>
      </c>
      <c r="E117" s="167">
        <v>2.6800000000000001E-2</v>
      </c>
    </row>
    <row r="118" spans="2:5">
      <c r="B118" t="s">
        <v>723</v>
      </c>
      <c r="C118" t="s">
        <v>594</v>
      </c>
      <c r="D118" t="s">
        <v>630</v>
      </c>
      <c r="E118" s="167">
        <v>1.7100000000000001E-2</v>
      </c>
    </row>
    <row r="119" spans="2:5">
      <c r="B119" t="s">
        <v>724</v>
      </c>
      <c r="C119" t="s">
        <v>611</v>
      </c>
      <c r="D119" t="s">
        <v>590</v>
      </c>
      <c r="E119" s="167">
        <v>2.0400000000000001E-2</v>
      </c>
    </row>
    <row r="120" spans="2:5">
      <c r="B120" t="s">
        <v>725</v>
      </c>
      <c r="C120" t="s">
        <v>586</v>
      </c>
      <c r="D120" t="s">
        <v>622</v>
      </c>
      <c r="E120" s="167">
        <v>9.1000000000000004E-3</v>
      </c>
    </row>
    <row r="121" spans="2:5">
      <c r="B121" t="s">
        <v>726</v>
      </c>
      <c r="C121" t="s">
        <v>589</v>
      </c>
      <c r="D121" t="s">
        <v>590</v>
      </c>
      <c r="E121" s="167">
        <v>2.0400000000000001E-2</v>
      </c>
    </row>
    <row r="122" spans="2:5">
      <c r="B122" t="s">
        <v>727</v>
      </c>
      <c r="C122" t="s">
        <v>583</v>
      </c>
      <c r="D122" t="s">
        <v>617</v>
      </c>
      <c r="E122" s="167">
        <v>6.4000000000000003E-3</v>
      </c>
    </row>
    <row r="123" spans="2:5">
      <c r="B123" t="s">
        <v>728</v>
      </c>
      <c r="C123" t="s">
        <v>583</v>
      </c>
      <c r="D123" t="s">
        <v>626</v>
      </c>
      <c r="E123" s="167">
        <v>1.2800000000000001E-2</v>
      </c>
    </row>
    <row r="124" spans="2:5">
      <c r="B124" t="s">
        <v>729</v>
      </c>
      <c r="C124" t="s">
        <v>586</v>
      </c>
      <c r="D124" t="s">
        <v>675</v>
      </c>
      <c r="E124" s="167">
        <v>2.35E-2</v>
      </c>
    </row>
    <row r="125" spans="2:5">
      <c r="B125" t="s">
        <v>730</v>
      </c>
      <c r="C125" t="s">
        <v>586</v>
      </c>
      <c r="D125" t="s">
        <v>595</v>
      </c>
      <c r="E125" s="167">
        <v>0.12839999999999999</v>
      </c>
    </row>
    <row r="126" spans="2:5">
      <c r="B126" t="s">
        <v>731</v>
      </c>
      <c r="C126" t="s">
        <v>579</v>
      </c>
      <c r="D126" t="s">
        <v>609</v>
      </c>
      <c r="E126" s="167">
        <v>5.8799999999999998E-2</v>
      </c>
    </row>
    <row r="127" spans="2:5">
      <c r="B127" t="s">
        <v>732</v>
      </c>
      <c r="C127" t="s">
        <v>583</v>
      </c>
      <c r="D127" t="s">
        <v>640</v>
      </c>
      <c r="E127" s="167">
        <v>7.4999999999999997E-3</v>
      </c>
    </row>
    <row r="128" spans="2:5">
      <c r="B128" t="s">
        <v>733</v>
      </c>
      <c r="C128" t="s">
        <v>579</v>
      </c>
      <c r="D128" t="s">
        <v>597</v>
      </c>
      <c r="E128" s="167">
        <v>3.85E-2</v>
      </c>
    </row>
    <row r="129" spans="2:5">
      <c r="B129" t="s">
        <v>734</v>
      </c>
      <c r="C129" t="s">
        <v>586</v>
      </c>
      <c r="D129" t="s">
        <v>628</v>
      </c>
      <c r="E129" s="167">
        <v>3.2199999999999999E-2</v>
      </c>
    </row>
    <row r="130" spans="2:5">
      <c r="B130" t="s">
        <v>735</v>
      </c>
      <c r="C130" t="s">
        <v>583</v>
      </c>
      <c r="D130" t="s">
        <v>606</v>
      </c>
      <c r="E130" s="167">
        <v>2.6800000000000001E-2</v>
      </c>
    </row>
    <row r="131" spans="2:5">
      <c r="B131" t="s">
        <v>736</v>
      </c>
      <c r="C131" t="s">
        <v>611</v>
      </c>
      <c r="D131" t="s">
        <v>602</v>
      </c>
      <c r="E131" s="167">
        <v>0</v>
      </c>
    </row>
    <row r="132" spans="2:5">
      <c r="B132" t="s">
        <v>737</v>
      </c>
      <c r="C132" t="s">
        <v>586</v>
      </c>
      <c r="D132" t="s">
        <v>622</v>
      </c>
      <c r="E132" s="167">
        <v>9.1000000000000004E-3</v>
      </c>
    </row>
    <row r="133" spans="2:5">
      <c r="B133" t="s">
        <v>738</v>
      </c>
      <c r="C133" t="s">
        <v>586</v>
      </c>
      <c r="D133" t="s">
        <v>626</v>
      </c>
      <c r="E133" s="167">
        <v>1.2800000000000001E-2</v>
      </c>
    </row>
    <row r="134" spans="2:5">
      <c r="B134" t="s">
        <v>739</v>
      </c>
      <c r="C134" t="s">
        <v>611</v>
      </c>
      <c r="D134" t="s">
        <v>613</v>
      </c>
      <c r="E134" s="167">
        <v>8.0199999999999994E-2</v>
      </c>
    </row>
    <row r="135" spans="2:5">
      <c r="B135" t="s">
        <v>740</v>
      </c>
      <c r="C135" t="s">
        <v>579</v>
      </c>
      <c r="D135" t="s">
        <v>628</v>
      </c>
      <c r="E135" s="167">
        <v>3.2199999999999999E-2</v>
      </c>
    </row>
    <row r="136" spans="2:5">
      <c r="B136" t="s">
        <v>741</v>
      </c>
      <c r="C136" t="s">
        <v>589</v>
      </c>
      <c r="D136" t="s">
        <v>630</v>
      </c>
      <c r="E136" s="167">
        <v>1.7100000000000001E-2</v>
      </c>
    </row>
    <row r="137" spans="2:5">
      <c r="B137" t="s">
        <v>742</v>
      </c>
      <c r="C137" t="s">
        <v>611</v>
      </c>
      <c r="D137" t="s">
        <v>595</v>
      </c>
      <c r="E137" s="167">
        <v>0.12839999999999999</v>
      </c>
    </row>
    <row r="138" spans="2:5">
      <c r="B138" t="s">
        <v>743</v>
      </c>
      <c r="C138" t="s">
        <v>599</v>
      </c>
      <c r="D138" t="s">
        <v>628</v>
      </c>
      <c r="E138" s="167">
        <v>3.2199999999999999E-2</v>
      </c>
    </row>
    <row r="139" spans="2:5">
      <c r="B139" t="s">
        <v>744</v>
      </c>
      <c r="C139" t="s">
        <v>599</v>
      </c>
      <c r="D139" t="s">
        <v>592</v>
      </c>
      <c r="E139" s="167">
        <v>6.9500000000000006E-2</v>
      </c>
    </row>
    <row r="140" spans="2:5">
      <c r="B140" t="s">
        <v>745</v>
      </c>
      <c r="C140" t="s">
        <v>594</v>
      </c>
      <c r="D140" t="s">
        <v>655</v>
      </c>
      <c r="E140" s="167">
        <v>0.107</v>
      </c>
    </row>
    <row r="141" spans="2:5">
      <c r="B141" t="s">
        <v>746</v>
      </c>
      <c r="C141" t="s">
        <v>579</v>
      </c>
      <c r="D141" t="s">
        <v>592</v>
      </c>
      <c r="E141" s="167">
        <v>6.9500000000000006E-2</v>
      </c>
    </row>
    <row r="142" spans="2:5">
      <c r="B142" t="s">
        <v>747</v>
      </c>
      <c r="C142" t="s">
        <v>589</v>
      </c>
      <c r="D142" t="s">
        <v>602</v>
      </c>
      <c r="E142" s="167">
        <v>0</v>
      </c>
    </row>
    <row r="143" spans="2:5">
      <c r="B143" t="s">
        <v>748</v>
      </c>
      <c r="C143" t="s">
        <v>589</v>
      </c>
      <c r="D143" t="s">
        <v>602</v>
      </c>
      <c r="E143" s="167">
        <v>0</v>
      </c>
    </row>
    <row r="144" spans="2:5">
      <c r="B144" t="s">
        <v>749</v>
      </c>
      <c r="C144" t="s">
        <v>611</v>
      </c>
      <c r="D144" t="s">
        <v>617</v>
      </c>
      <c r="E144" s="167">
        <v>6.4000000000000003E-3</v>
      </c>
    </row>
    <row r="145" spans="2:5">
      <c r="B145" t="s">
        <v>750</v>
      </c>
      <c r="C145" t="s">
        <v>586</v>
      </c>
      <c r="D145" t="s">
        <v>592</v>
      </c>
      <c r="E145" s="167">
        <v>6.9500000000000006E-2</v>
      </c>
    </row>
    <row r="146" spans="2:5">
      <c r="B146" t="s">
        <v>751</v>
      </c>
      <c r="C146" t="s">
        <v>579</v>
      </c>
      <c r="D146" t="s">
        <v>609</v>
      </c>
      <c r="E146" s="167">
        <v>5.8799999999999998E-2</v>
      </c>
    </row>
    <row r="147" spans="2:5">
      <c r="B147" t="s">
        <v>752</v>
      </c>
      <c r="C147" t="s">
        <v>611</v>
      </c>
      <c r="D147" t="s">
        <v>630</v>
      </c>
      <c r="E147" s="167">
        <v>1.7100000000000001E-2</v>
      </c>
    </row>
    <row r="148" spans="2:5">
      <c r="B148" t="s">
        <v>753</v>
      </c>
      <c r="C148" t="s">
        <v>579</v>
      </c>
      <c r="D148" t="s">
        <v>592</v>
      </c>
      <c r="E148" s="167">
        <v>6.9500000000000006E-2</v>
      </c>
    </row>
    <row r="149" spans="2:5">
      <c r="B149" t="s">
        <v>754</v>
      </c>
      <c r="C149" t="s">
        <v>599</v>
      </c>
      <c r="D149" t="s">
        <v>628</v>
      </c>
      <c r="E149" s="167">
        <v>3.2199999999999999E-2</v>
      </c>
    </row>
    <row r="150" spans="2:5">
      <c r="B150" t="s">
        <v>755</v>
      </c>
      <c r="C150" t="s">
        <v>579</v>
      </c>
      <c r="D150" t="s">
        <v>619</v>
      </c>
      <c r="E150" s="167">
        <v>9.6299999999999997E-2</v>
      </c>
    </row>
    <row r="151" spans="2:5">
      <c r="B151" t="s">
        <v>756</v>
      </c>
      <c r="C151" t="s">
        <v>589</v>
      </c>
      <c r="D151" t="s">
        <v>592</v>
      </c>
      <c r="E151" s="167">
        <v>6.9500000000000006E-2</v>
      </c>
    </row>
    <row r="152" spans="2:5">
      <c r="B152" t="s">
        <v>757</v>
      </c>
      <c r="C152" t="s">
        <v>599</v>
      </c>
      <c r="D152" t="s">
        <v>630</v>
      </c>
      <c r="E152" s="167">
        <v>1.7100000000000001E-2</v>
      </c>
    </row>
    <row r="153" spans="2:5">
      <c r="B153" t="s">
        <v>758</v>
      </c>
      <c r="C153" t="s">
        <v>579</v>
      </c>
      <c r="D153" t="s">
        <v>609</v>
      </c>
      <c r="E153" s="167">
        <v>5.8799999999999998E-2</v>
      </c>
    </row>
    <row r="154" spans="2:5">
      <c r="B154" t="s">
        <v>759</v>
      </c>
      <c r="C154" t="s">
        <v>586</v>
      </c>
      <c r="D154" t="s">
        <v>595</v>
      </c>
      <c r="E154" s="167">
        <v>0.12839999999999999</v>
      </c>
    </row>
    <row r="155" spans="2:5">
      <c r="B155" t="s">
        <v>760</v>
      </c>
      <c r="C155" t="s">
        <v>583</v>
      </c>
      <c r="D155" t="s">
        <v>584</v>
      </c>
      <c r="E155" s="167">
        <v>5.3E-3</v>
      </c>
    </row>
    <row r="156" spans="2:5">
      <c r="B156" t="s">
        <v>763</v>
      </c>
      <c r="C156" t="s">
        <v>594</v>
      </c>
      <c r="D156" t="s">
        <v>590</v>
      </c>
      <c r="E156" s="167">
        <v>2.0400000000000001E-2</v>
      </c>
    </row>
    <row r="157" spans="2:5">
      <c r="B157" t="s">
        <v>764</v>
      </c>
      <c r="C157" t="s">
        <v>586</v>
      </c>
      <c r="D157" t="s">
        <v>597</v>
      </c>
      <c r="E157" s="167">
        <v>3.85E-2</v>
      </c>
    </row>
    <row r="158" spans="2:5">
      <c r="B158" t="s">
        <v>765</v>
      </c>
      <c r="C158" t="s">
        <v>594</v>
      </c>
      <c r="D158" t="s">
        <v>615</v>
      </c>
      <c r="E158" s="167">
        <v>0.17499999999999999</v>
      </c>
    </row>
    <row r="159" spans="2:5">
      <c r="B159" t="s">
        <v>766</v>
      </c>
      <c r="C159" t="s">
        <v>611</v>
      </c>
      <c r="D159" t="s">
        <v>628</v>
      </c>
      <c r="E159" s="167">
        <v>3.2199999999999999E-2</v>
      </c>
    </row>
    <row r="160" spans="2:5">
      <c r="B160" t="s">
        <v>767</v>
      </c>
      <c r="C160" t="s">
        <v>579</v>
      </c>
      <c r="D160" t="s">
        <v>595</v>
      </c>
      <c r="E160" s="167">
        <v>0.12839999999999999</v>
      </c>
    </row>
  </sheetData>
  <mergeCells count="1">
    <mergeCell ref="L4:M4"/>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7E034-6EF3-4656-B617-99BA03307A4D}">
  <sheetPr>
    <tabColor rgb="FFFF0000"/>
  </sheetPr>
  <dimension ref="A1"/>
  <sheetViews>
    <sheetView workbookViewId="0"/>
  </sheetViews>
  <sheetFormatPr defaultRowHeight="14.4"/>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B8ADE1-51D5-4356-8F28-D36D7FE8B85F}">
  <dimension ref="B2:Q53"/>
  <sheetViews>
    <sheetView showGridLines="0" zoomScale="96" workbookViewId="0">
      <pane ySplit="3" topLeftCell="A16" activePane="bottomLeft" state="frozen"/>
      <selection pane="bottomLeft" activeCell="K35" sqref="K35"/>
    </sheetView>
  </sheetViews>
  <sheetFormatPr defaultColWidth="8.88671875" defaultRowHeight="14.4"/>
  <cols>
    <col min="1" max="1" width="8.88671875" style="128"/>
    <col min="2" max="2" width="39.5546875" style="128" customWidth="1"/>
    <col min="3" max="3" width="14.88671875" style="128" customWidth="1"/>
    <col min="4" max="4" width="10" style="128" customWidth="1"/>
    <col min="5" max="5" width="10.44140625" style="128" customWidth="1"/>
    <col min="6" max="6" width="9.88671875" style="128" customWidth="1"/>
    <col min="7" max="9" width="7.88671875" style="128" bestFit="1" customWidth="1"/>
    <col min="10" max="16384" width="8.88671875" style="128"/>
  </cols>
  <sheetData>
    <row r="2" spans="2:14" ht="13.95" customHeight="1">
      <c r="B2" s="126" t="s">
        <v>952</v>
      </c>
      <c r="C2" s="126"/>
      <c r="D2" s="126"/>
      <c r="E2" s="126"/>
      <c r="F2" s="126"/>
      <c r="G2" s="126"/>
      <c r="H2" s="126"/>
      <c r="I2" s="126"/>
      <c r="J2" s="126"/>
      <c r="K2" s="127"/>
      <c r="L2" s="126"/>
    </row>
    <row r="3" spans="2:14">
      <c r="B3" s="129" t="s">
        <v>147</v>
      </c>
      <c r="C3" s="130"/>
      <c r="D3" s="131">
        <v>2016</v>
      </c>
      <c r="E3" s="131">
        <f>D3+1</f>
        <v>2017</v>
      </c>
      <c r="F3" s="131">
        <f t="shared" ref="F3:K3" si="0">E3+1</f>
        <v>2018</v>
      </c>
      <c r="G3" s="131">
        <f t="shared" si="0"/>
        <v>2019</v>
      </c>
      <c r="H3" s="131">
        <f t="shared" si="0"/>
        <v>2020</v>
      </c>
      <c r="I3" s="131">
        <f t="shared" si="0"/>
        <v>2021</v>
      </c>
      <c r="J3" s="131">
        <f t="shared" si="0"/>
        <v>2022</v>
      </c>
      <c r="K3" s="131">
        <f t="shared" si="0"/>
        <v>2023</v>
      </c>
    </row>
    <row r="4" spans="2:14">
      <c r="B4" s="132" t="s">
        <v>261</v>
      </c>
      <c r="C4" s="132"/>
      <c r="D4" s="127">
        <v>4531.46</v>
      </c>
      <c r="E4" s="127">
        <v>4516.38</v>
      </c>
      <c r="F4" s="127">
        <v>5228.13</v>
      </c>
      <c r="G4" s="127">
        <v>7248.46</v>
      </c>
      <c r="H4" s="127">
        <v>6555.79</v>
      </c>
      <c r="I4" s="127">
        <v>8958.2900000000009</v>
      </c>
      <c r="J4" s="127">
        <v>13390.56</v>
      </c>
      <c r="K4" s="127">
        <v>16321.063</v>
      </c>
    </row>
    <row r="5" spans="2:14">
      <c r="B5" s="132" t="s">
        <v>148</v>
      </c>
      <c r="C5" s="132"/>
      <c r="D5" s="127">
        <v>-670.28</v>
      </c>
      <c r="E5" s="127">
        <v>-512.84</v>
      </c>
      <c r="F5" s="127">
        <v>-122.87</v>
      </c>
      <c r="G5" s="127">
        <v>-118.88</v>
      </c>
      <c r="H5" s="127">
        <v>-105.65</v>
      </c>
      <c r="I5" s="127">
        <v>-135.06</v>
      </c>
      <c r="J5" s="127">
        <v>-217.42</v>
      </c>
      <c r="K5" s="127">
        <v>-278.48200000000003</v>
      </c>
    </row>
    <row r="6" spans="2:14" ht="15" thickBot="1">
      <c r="B6" s="133" t="s">
        <v>149</v>
      </c>
      <c r="C6" s="133"/>
      <c r="D6" s="134">
        <f>SUM(D4:D5)</f>
        <v>3861.1800000000003</v>
      </c>
      <c r="E6" s="134">
        <f t="shared" ref="E6:K6" si="1">SUM(E4:E5)</f>
        <v>4003.54</v>
      </c>
      <c r="F6" s="134">
        <f t="shared" si="1"/>
        <v>5105.26</v>
      </c>
      <c r="G6" s="134">
        <f t="shared" si="1"/>
        <v>7129.58</v>
      </c>
      <c r="H6" s="134">
        <f t="shared" si="1"/>
        <v>6450.14</v>
      </c>
      <c r="I6" s="134">
        <f t="shared" si="1"/>
        <v>8823.2300000000014</v>
      </c>
      <c r="J6" s="134">
        <f t="shared" si="1"/>
        <v>13173.14</v>
      </c>
      <c r="K6" s="134">
        <f t="shared" si="1"/>
        <v>16042.581</v>
      </c>
    </row>
    <row r="7" spans="2:14">
      <c r="B7" s="135"/>
      <c r="C7" s="135"/>
      <c r="D7" s="136"/>
      <c r="E7" s="136"/>
      <c r="F7" s="136"/>
      <c r="G7" s="136"/>
      <c r="H7" s="136"/>
      <c r="I7" s="136"/>
      <c r="J7" s="136"/>
      <c r="K7" s="136"/>
    </row>
    <row r="8" spans="2:14">
      <c r="B8" s="137" t="s">
        <v>150</v>
      </c>
      <c r="C8" s="137"/>
      <c r="D8" s="138">
        <f>D6/3394-1</f>
        <v>0.13764879198585755</v>
      </c>
      <c r="E8" s="138">
        <f>E6/D6-1</f>
        <v>3.6869558010763415E-2</v>
      </c>
      <c r="F8" s="138">
        <f t="shared" ref="F8:K8" si="2">F6/E6-1</f>
        <v>0.27518645998291524</v>
      </c>
      <c r="G8" s="138">
        <f t="shared" si="2"/>
        <v>0.39651653392775277</v>
      </c>
      <c r="H8" s="138">
        <f t="shared" si="2"/>
        <v>-9.5298741300329004E-2</v>
      </c>
      <c r="I8" s="138">
        <f t="shared" si="2"/>
        <v>0.36791294452523515</v>
      </c>
      <c r="J8" s="138">
        <f t="shared" si="2"/>
        <v>0.49300652935489575</v>
      </c>
      <c r="K8" s="138">
        <f t="shared" si="2"/>
        <v>0.21782513508548451</v>
      </c>
    </row>
    <row r="9" spans="2:14">
      <c r="B9" s="132"/>
      <c r="C9" s="132"/>
      <c r="D9" s="139"/>
      <c r="E9" s="139"/>
      <c r="F9" s="139"/>
      <c r="G9" s="139"/>
      <c r="H9" s="139"/>
      <c r="I9" s="139"/>
      <c r="J9" s="139"/>
      <c r="K9" s="139"/>
    </row>
    <row r="10" spans="2:14">
      <c r="B10" s="135" t="s">
        <v>151</v>
      </c>
      <c r="C10" s="135"/>
    </row>
    <row r="11" spans="2:14">
      <c r="B11" s="135"/>
      <c r="C11" s="135"/>
    </row>
    <row r="12" spans="2:14">
      <c r="B12" s="135" t="s">
        <v>152</v>
      </c>
      <c r="C12" s="135"/>
    </row>
    <row r="13" spans="2:14">
      <c r="B13" s="132" t="s">
        <v>153</v>
      </c>
      <c r="C13" s="132"/>
      <c r="D13" s="127">
        <v>-1676.9</v>
      </c>
      <c r="E13" s="127">
        <v>-1855.51</v>
      </c>
      <c r="F13" s="127">
        <v>-2112.2800000000002</v>
      </c>
      <c r="G13" s="127">
        <v>-2939.56</v>
      </c>
      <c r="H13" s="127">
        <v>-2688.51</v>
      </c>
      <c r="I13" s="127">
        <v>-3968.91</v>
      </c>
      <c r="J13" s="127">
        <v>-6417.09</v>
      </c>
      <c r="K13" s="127">
        <v>-7026.4610000000002</v>
      </c>
      <c r="N13" s="128">
        <v>-1</v>
      </c>
    </row>
    <row r="14" spans="2:14">
      <c r="B14" s="132" t="s">
        <v>154</v>
      </c>
      <c r="C14" s="132"/>
      <c r="D14" s="127">
        <v>-92.84</v>
      </c>
      <c r="E14" s="127">
        <v>-27.77</v>
      </c>
      <c r="F14" s="127">
        <v>-194.22</v>
      </c>
      <c r="G14" s="127">
        <v>-423.73</v>
      </c>
      <c r="H14" s="127">
        <v>-92.59</v>
      </c>
      <c r="I14" s="127">
        <v>-165.47</v>
      </c>
      <c r="J14" s="127">
        <v>-188.57</v>
      </c>
      <c r="K14" s="127">
        <v>-462.69600000000003</v>
      </c>
    </row>
    <row r="15" spans="2:14">
      <c r="B15" s="132" t="s">
        <v>77</v>
      </c>
      <c r="C15" s="132"/>
      <c r="D15" s="127">
        <v>31.86</v>
      </c>
      <c r="E15" s="127">
        <v>73.22</v>
      </c>
      <c r="F15" s="127">
        <v>62.4</v>
      </c>
      <c r="G15" s="127">
        <v>143.86000000000001</v>
      </c>
      <c r="H15" s="127">
        <v>17.16</v>
      </c>
      <c r="I15" s="127">
        <v>99.72</v>
      </c>
      <c r="J15" s="127">
        <v>344.51</v>
      </c>
      <c r="K15" s="127">
        <v>84.269000000000005</v>
      </c>
    </row>
    <row r="16" spans="2:14">
      <c r="B16" s="140" t="s">
        <v>155</v>
      </c>
      <c r="C16" s="140"/>
      <c r="D16" s="141">
        <f>SUM(D13:D15)</f>
        <v>-1737.88</v>
      </c>
      <c r="E16" s="141">
        <f t="shared" ref="E16:K16" si="3">SUM(E13:E15)</f>
        <v>-1810.06</v>
      </c>
      <c r="F16" s="141">
        <f t="shared" si="3"/>
        <v>-2244.1</v>
      </c>
      <c r="G16" s="141">
        <f t="shared" si="3"/>
        <v>-3219.43</v>
      </c>
      <c r="H16" s="141">
        <f t="shared" si="3"/>
        <v>-2763.9400000000005</v>
      </c>
      <c r="I16" s="141">
        <f t="shared" si="3"/>
        <v>-4034.6600000000003</v>
      </c>
      <c r="J16" s="141">
        <f t="shared" si="3"/>
        <v>-6261.15</v>
      </c>
      <c r="K16" s="141">
        <f t="shared" si="3"/>
        <v>-7404.8879999999999</v>
      </c>
    </row>
    <row r="17" spans="2:17">
      <c r="B17" s="135"/>
      <c r="C17" s="135"/>
      <c r="D17" s="127"/>
      <c r="E17" s="127"/>
      <c r="F17" s="127"/>
      <c r="G17" s="127"/>
      <c r="H17" s="127"/>
      <c r="I17" s="127"/>
      <c r="J17" s="127"/>
      <c r="K17" s="127"/>
    </row>
    <row r="18" spans="2:17">
      <c r="B18" s="176" t="s">
        <v>313</v>
      </c>
      <c r="C18" s="176"/>
      <c r="D18" s="177">
        <f>(D16/D6)*-1</f>
        <v>0.45009038687655067</v>
      </c>
      <c r="E18" s="177">
        <f t="shared" ref="E18:K18" si="4">(E16/E6)*-1</f>
        <v>0.45211487833267555</v>
      </c>
      <c r="F18" s="177">
        <f t="shared" si="4"/>
        <v>0.43956625127809351</v>
      </c>
      <c r="G18" s="177">
        <f t="shared" si="4"/>
        <v>0.45155955890809835</v>
      </c>
      <c r="H18" s="177">
        <f t="shared" si="4"/>
        <v>0.42850852849705595</v>
      </c>
      <c r="I18" s="177">
        <f t="shared" si="4"/>
        <v>0.45727698359897678</v>
      </c>
      <c r="J18" s="177">
        <f t="shared" si="4"/>
        <v>0.47529670222892945</v>
      </c>
      <c r="K18" s="177">
        <f t="shared" si="4"/>
        <v>0.46157709909646083</v>
      </c>
    </row>
    <row r="19" spans="2:17">
      <c r="B19" s="176" t="s">
        <v>95</v>
      </c>
      <c r="C19" s="176"/>
      <c r="D19" s="177">
        <f>(1-D18)</f>
        <v>0.54990961312344933</v>
      </c>
      <c r="E19" s="177">
        <f t="shared" ref="E19:K19" si="5">(1-E18)</f>
        <v>0.54788512166732439</v>
      </c>
      <c r="F19" s="177">
        <f t="shared" si="5"/>
        <v>0.56043374872190643</v>
      </c>
      <c r="G19" s="177">
        <f t="shared" si="5"/>
        <v>0.54844044109190171</v>
      </c>
      <c r="H19" s="177">
        <f t="shared" si="5"/>
        <v>0.57149147150294399</v>
      </c>
      <c r="I19" s="177">
        <f t="shared" si="5"/>
        <v>0.54272301640102327</v>
      </c>
      <c r="J19" s="177">
        <f t="shared" si="5"/>
        <v>0.52470329777107061</v>
      </c>
      <c r="K19" s="177">
        <f t="shared" si="5"/>
        <v>0.53842290090353917</v>
      </c>
    </row>
    <row r="20" spans="2:17">
      <c r="B20" s="176"/>
      <c r="C20" s="176"/>
      <c r="D20" s="177"/>
      <c r="E20" s="177"/>
      <c r="F20" s="177"/>
      <c r="G20" s="177"/>
      <c r="H20" s="177"/>
      <c r="I20" s="177"/>
      <c r="J20" s="177"/>
      <c r="K20" s="177"/>
    </row>
    <row r="21" spans="2:17">
      <c r="B21" s="179" t="s">
        <v>425</v>
      </c>
      <c r="C21" s="176"/>
      <c r="D21" s="177">
        <f>((D13/D16)*-1)*-1</f>
        <v>0.96491127120399567</v>
      </c>
      <c r="E21" s="177">
        <f t="shared" ref="E21:K21" si="6">((E13/E16)*-1)*-1</f>
        <v>1.0251096648729876</v>
      </c>
      <c r="F21" s="177">
        <f t="shared" si="6"/>
        <v>0.94125930217013509</v>
      </c>
      <c r="G21" s="177">
        <f t="shared" si="6"/>
        <v>0.91306846242968476</v>
      </c>
      <c r="H21" s="177">
        <f t="shared" si="6"/>
        <v>0.97270924839178841</v>
      </c>
      <c r="I21" s="177">
        <f t="shared" si="6"/>
        <v>0.98370370737559043</v>
      </c>
      <c r="J21" s="177">
        <f t="shared" si="6"/>
        <v>1.0249059677535277</v>
      </c>
      <c r="K21" s="177">
        <f t="shared" si="6"/>
        <v>0.94889497315827065</v>
      </c>
    </row>
    <row r="22" spans="2:17">
      <c r="B22" s="179" t="s">
        <v>314</v>
      </c>
      <c r="C22" s="176"/>
      <c r="D22" s="177">
        <f t="shared" ref="D22:K22" si="7">(D13/D6)*-1</f>
        <v>0.43429728735775075</v>
      </c>
      <c r="E22" s="177">
        <f t="shared" si="7"/>
        <v>0.46346733141170066</v>
      </c>
      <c r="F22" s="177">
        <f t="shared" si="7"/>
        <v>0.41374582293556061</v>
      </c>
      <c r="G22" s="177">
        <f t="shared" si="7"/>
        <v>0.41230479214764404</v>
      </c>
      <c r="H22" s="177">
        <f t="shared" si="7"/>
        <v>0.41681420868384256</v>
      </c>
      <c r="I22" s="177">
        <f t="shared" si="7"/>
        <v>0.44982506406384049</v>
      </c>
      <c r="J22" s="177">
        <f t="shared" si="7"/>
        <v>0.48713442656800127</v>
      </c>
      <c r="K22" s="177">
        <f t="shared" si="7"/>
        <v>0.43798818905760861</v>
      </c>
    </row>
    <row r="23" spans="2:17">
      <c r="B23" s="179" t="s">
        <v>315</v>
      </c>
      <c r="C23" s="176"/>
      <c r="D23" s="177">
        <f t="shared" ref="D23:K23" si="8">(D14/D6)*-1</f>
        <v>2.4044463091593759E-2</v>
      </c>
      <c r="E23" s="177">
        <f t="shared" si="8"/>
        <v>6.936361320231595E-3</v>
      </c>
      <c r="F23" s="177">
        <f t="shared" si="8"/>
        <v>3.8043116315329681E-2</v>
      </c>
      <c r="G23" s="177">
        <f t="shared" si="8"/>
        <v>5.9432673453415213E-2</v>
      </c>
      <c r="H23" s="177">
        <f t="shared" si="8"/>
        <v>1.4354727184216156E-2</v>
      </c>
      <c r="I23" s="177">
        <f t="shared" si="8"/>
        <v>1.8753903049110131E-2</v>
      </c>
      <c r="J23" s="177">
        <f t="shared" si="8"/>
        <v>1.4314734376162404E-2</v>
      </c>
      <c r="K23" s="177">
        <f t="shared" si="8"/>
        <v>2.8841743108543445E-2</v>
      </c>
    </row>
    <row r="24" spans="2:17">
      <c r="B24" s="179" t="s">
        <v>316</v>
      </c>
      <c r="C24" s="176"/>
      <c r="D24" s="178">
        <f t="shared" ref="D24:K24" si="9">D15/D6</f>
        <v>8.2513635727938083E-3</v>
      </c>
      <c r="E24" s="178">
        <f t="shared" si="9"/>
        <v>1.8288814399256659E-2</v>
      </c>
      <c r="F24" s="178">
        <f t="shared" si="9"/>
        <v>1.2222687972796683E-2</v>
      </c>
      <c r="G24" s="178">
        <f t="shared" si="9"/>
        <v>2.0177906692960879E-2</v>
      </c>
      <c r="H24" s="178">
        <f t="shared" si="9"/>
        <v>2.6604073710027997E-3</v>
      </c>
      <c r="I24" s="178">
        <f t="shared" si="9"/>
        <v>1.1301983513973905E-2</v>
      </c>
      <c r="J24" s="178">
        <f t="shared" si="9"/>
        <v>2.6152458715234181E-2</v>
      </c>
      <c r="K24" s="178">
        <f t="shared" si="9"/>
        <v>5.2528330696912174E-3</v>
      </c>
    </row>
    <row r="25" spans="2:17">
      <c r="B25" s="135"/>
      <c r="C25" s="135"/>
      <c r="D25" s="127"/>
      <c r="E25" s="127"/>
      <c r="F25" s="127"/>
      <c r="G25" s="127"/>
      <c r="H25" s="127"/>
      <c r="I25" s="127"/>
      <c r="J25" s="127"/>
      <c r="K25" s="127"/>
    </row>
    <row r="26" spans="2:17">
      <c r="B26" s="135" t="s">
        <v>1</v>
      </c>
      <c r="C26" s="135"/>
      <c r="D26" s="136">
        <f t="shared" ref="D26:K26" si="10">D6+D16</f>
        <v>2123.3000000000002</v>
      </c>
      <c r="E26" s="136">
        <f t="shared" si="10"/>
        <v>2193.48</v>
      </c>
      <c r="F26" s="136">
        <f t="shared" si="10"/>
        <v>2861.1600000000003</v>
      </c>
      <c r="G26" s="136">
        <f t="shared" si="10"/>
        <v>3910.15</v>
      </c>
      <c r="H26" s="136">
        <f t="shared" si="10"/>
        <v>3686.2</v>
      </c>
      <c r="I26" s="136">
        <f t="shared" si="10"/>
        <v>4788.5700000000015</v>
      </c>
      <c r="J26" s="136">
        <f t="shared" si="10"/>
        <v>6911.99</v>
      </c>
      <c r="K26" s="136">
        <f t="shared" si="10"/>
        <v>8637.6929999999993</v>
      </c>
    </row>
    <row r="27" spans="2:17">
      <c r="B27" s="135"/>
      <c r="C27" s="135"/>
      <c r="D27" s="127"/>
      <c r="E27" s="127"/>
      <c r="F27" s="127"/>
      <c r="G27" s="127"/>
      <c r="H27" s="127"/>
      <c r="I27" s="127"/>
      <c r="J27" s="127"/>
      <c r="K27" s="127"/>
    </row>
    <row r="28" spans="2:17">
      <c r="B28" s="135" t="s">
        <v>156</v>
      </c>
      <c r="C28" s="135"/>
      <c r="D28" s="127"/>
      <c r="E28" s="127"/>
      <c r="F28" s="127"/>
      <c r="G28" s="127"/>
      <c r="H28" s="127"/>
      <c r="I28" s="127"/>
      <c r="J28" s="127"/>
      <c r="K28" s="127"/>
    </row>
    <row r="29" spans="2:17">
      <c r="B29" s="132" t="s">
        <v>157</v>
      </c>
      <c r="C29" s="132"/>
      <c r="D29" s="127">
        <v>-421.03</v>
      </c>
      <c r="E29" s="127">
        <v>-462.84</v>
      </c>
      <c r="F29" s="127">
        <v>-582.95000000000005</v>
      </c>
      <c r="G29" s="127">
        <v>-810.82</v>
      </c>
      <c r="H29" s="127">
        <v>-889.74</v>
      </c>
      <c r="I29" s="127">
        <v>-1007.7</v>
      </c>
      <c r="J29" s="127">
        <v>-1216.6400000000001</v>
      </c>
      <c r="K29" s="127">
        <v>-1446.587</v>
      </c>
    </row>
    <row r="30" spans="2:17">
      <c r="B30" s="132" t="s">
        <v>158</v>
      </c>
      <c r="C30" s="132"/>
      <c r="D30" s="127">
        <v>-906.3</v>
      </c>
      <c r="E30" s="127">
        <v>-894.73</v>
      </c>
      <c r="F30" s="127">
        <v>-1271.6199999999999</v>
      </c>
      <c r="G30" s="127">
        <v>-1651.68</v>
      </c>
      <c r="H30" s="127">
        <v>-1594.6</v>
      </c>
      <c r="I30" s="127">
        <v>-2126.23</v>
      </c>
      <c r="J30" s="127">
        <v>-2907.24</v>
      </c>
      <c r="K30" s="127">
        <v>-3581.6210000000001</v>
      </c>
    </row>
    <row r="31" spans="2:17">
      <c r="B31" s="140" t="s">
        <v>3</v>
      </c>
      <c r="C31" s="140"/>
      <c r="D31" s="141">
        <f>SUM(D29:D30)</f>
        <v>-1327.33</v>
      </c>
      <c r="E31" s="141">
        <f t="shared" ref="E31:K31" si="11">SUM(E28:E30)</f>
        <v>-1357.57</v>
      </c>
      <c r="F31" s="141">
        <f t="shared" si="11"/>
        <v>-1854.57</v>
      </c>
      <c r="G31" s="141">
        <f t="shared" si="11"/>
        <v>-2462.5</v>
      </c>
      <c r="H31" s="141">
        <f t="shared" si="11"/>
        <v>-2484.34</v>
      </c>
      <c r="I31" s="141">
        <f t="shared" si="11"/>
        <v>-3133.9300000000003</v>
      </c>
      <c r="J31" s="141">
        <f t="shared" si="11"/>
        <v>-4123.88</v>
      </c>
      <c r="K31" s="141">
        <f t="shared" si="11"/>
        <v>-5028.2080000000005</v>
      </c>
      <c r="M31" s="143"/>
      <c r="N31" s="143"/>
      <c r="O31" s="143"/>
      <c r="P31" s="143"/>
      <c r="Q31" s="143"/>
    </row>
    <row r="32" spans="2:17">
      <c r="B32" s="132"/>
      <c r="C32" s="132"/>
      <c r="D32" s="127"/>
      <c r="E32" s="127"/>
      <c r="F32" s="127"/>
      <c r="G32" s="127"/>
      <c r="H32" s="127"/>
      <c r="I32" s="127"/>
      <c r="J32" s="127"/>
      <c r="K32" s="127"/>
    </row>
    <row r="33" spans="2:11">
      <c r="B33" s="135" t="s">
        <v>159</v>
      </c>
      <c r="C33" s="135"/>
      <c r="D33" s="136">
        <f>D26+D31</f>
        <v>795.97000000000025</v>
      </c>
      <c r="E33" s="136">
        <f t="shared" ref="E33:K33" si="12">E26+E31</f>
        <v>835.91000000000008</v>
      </c>
      <c r="F33" s="136">
        <f t="shared" si="12"/>
        <v>1006.5900000000004</v>
      </c>
      <c r="G33" s="136">
        <f t="shared" si="12"/>
        <v>1447.65</v>
      </c>
      <c r="H33" s="136">
        <f t="shared" si="12"/>
        <v>1201.8599999999997</v>
      </c>
      <c r="I33" s="136">
        <f t="shared" si="12"/>
        <v>1654.6400000000012</v>
      </c>
      <c r="J33" s="136">
        <f t="shared" si="12"/>
        <v>2788.1099999999997</v>
      </c>
      <c r="K33" s="136">
        <f t="shared" si="12"/>
        <v>3609.4849999999988</v>
      </c>
    </row>
    <row r="34" spans="2:11">
      <c r="B34" s="135"/>
      <c r="C34" s="135"/>
      <c r="D34" s="127"/>
      <c r="E34" s="127"/>
      <c r="F34" s="127"/>
      <c r="G34" s="127"/>
      <c r="H34" s="127"/>
      <c r="I34" s="127"/>
      <c r="J34" s="127"/>
      <c r="K34" s="127"/>
    </row>
    <row r="35" spans="2:11">
      <c r="B35" s="132" t="s">
        <v>160</v>
      </c>
      <c r="C35" s="132"/>
      <c r="D35" s="127">
        <v>-322.20999999999998</v>
      </c>
      <c r="E35" s="127">
        <v>-346.64</v>
      </c>
      <c r="F35" s="127">
        <v>-385.07</v>
      </c>
      <c r="G35" s="127">
        <v>-488.63</v>
      </c>
      <c r="H35" s="127">
        <v>-528.70000000000005</v>
      </c>
      <c r="I35" s="127">
        <v>-531.26</v>
      </c>
      <c r="J35" s="127">
        <v>-617.19000000000005</v>
      </c>
      <c r="K35" s="127">
        <v>-680.90599999999995</v>
      </c>
    </row>
    <row r="36" spans="2:11">
      <c r="B36" s="135" t="s">
        <v>161</v>
      </c>
      <c r="C36" s="132"/>
      <c r="D36" s="136">
        <f>D33+D35</f>
        <v>473.76000000000028</v>
      </c>
      <c r="E36" s="136">
        <f t="shared" ref="E36:J36" si="13">E33+E35</f>
        <v>489.2700000000001</v>
      </c>
      <c r="F36" s="136">
        <f t="shared" si="13"/>
        <v>621.52000000000044</v>
      </c>
      <c r="G36" s="136">
        <f t="shared" si="13"/>
        <v>959.0200000000001</v>
      </c>
      <c r="H36" s="136">
        <f t="shared" si="13"/>
        <v>673.15999999999963</v>
      </c>
      <c r="I36" s="136">
        <f t="shared" si="13"/>
        <v>1123.3800000000012</v>
      </c>
      <c r="J36" s="136">
        <f t="shared" si="13"/>
        <v>2170.9199999999996</v>
      </c>
      <c r="K36" s="136">
        <f>K33+K35</f>
        <v>2928.5789999999988</v>
      </c>
    </row>
    <row r="37" spans="2:11">
      <c r="B37" s="132"/>
      <c r="C37" s="132"/>
      <c r="D37" s="127"/>
      <c r="E37" s="127"/>
      <c r="F37" s="127"/>
      <c r="G37" s="127"/>
      <c r="H37" s="127"/>
      <c r="I37" s="127"/>
      <c r="J37" s="127"/>
      <c r="K37" s="127"/>
    </row>
    <row r="38" spans="2:11">
      <c r="B38" s="132" t="s">
        <v>162</v>
      </c>
      <c r="C38" s="132"/>
      <c r="D38" s="127">
        <v>-432.54</v>
      </c>
      <c r="E38" s="127">
        <v>-212.18</v>
      </c>
      <c r="F38" s="127">
        <v>-212.56</v>
      </c>
      <c r="G38" s="127">
        <v>-309.64</v>
      </c>
      <c r="H38" s="127">
        <v>-281.10000000000002</v>
      </c>
      <c r="I38" s="127">
        <v>-184.7</v>
      </c>
      <c r="J38" s="127">
        <v>-186.12</v>
      </c>
      <c r="K38" s="127">
        <v>-268.09899999999999</v>
      </c>
    </row>
    <row r="39" spans="2:11">
      <c r="B39" s="132" t="s">
        <v>163</v>
      </c>
      <c r="D39" s="127">
        <v>38.11</v>
      </c>
      <c r="E39" s="127">
        <v>12.51</v>
      </c>
      <c r="F39" s="127">
        <v>21.82</v>
      </c>
      <c r="G39" s="127">
        <v>42.53</v>
      </c>
      <c r="H39" s="127">
        <v>36.97</v>
      </c>
      <c r="I39" s="127">
        <v>67.930000000000007</v>
      </c>
      <c r="J39" s="127">
        <v>38.85</v>
      </c>
      <c r="K39" s="127">
        <v>79.358999999999995</v>
      </c>
    </row>
    <row r="41" spans="2:11">
      <c r="B41" s="135" t="s">
        <v>164</v>
      </c>
      <c r="C41" s="135"/>
      <c r="D41" s="136">
        <f>SUM(D36,D38,D39)</f>
        <v>79.330000000000254</v>
      </c>
      <c r="E41" s="136">
        <f t="shared" ref="E41:K41" si="14">SUM(E36,E38,E39)</f>
        <v>289.60000000000008</v>
      </c>
      <c r="F41" s="136">
        <f t="shared" si="14"/>
        <v>430.78000000000043</v>
      </c>
      <c r="G41" s="136">
        <f t="shared" si="14"/>
        <v>691.91000000000008</v>
      </c>
      <c r="H41" s="136">
        <f t="shared" si="14"/>
        <v>429.02999999999963</v>
      </c>
      <c r="I41" s="136">
        <f t="shared" si="14"/>
        <v>1006.6100000000013</v>
      </c>
      <c r="J41" s="136">
        <f t="shared" si="14"/>
        <v>2023.6499999999996</v>
      </c>
      <c r="K41" s="136">
        <f t="shared" si="14"/>
        <v>2739.8389999999986</v>
      </c>
    </row>
    <row r="42" spans="2:11">
      <c r="B42" s="132" t="s">
        <v>165</v>
      </c>
      <c r="C42" s="132"/>
      <c r="D42" s="127">
        <v>-2.38</v>
      </c>
      <c r="E42" s="127">
        <v>1.35</v>
      </c>
      <c r="F42" s="127">
        <v>3.02</v>
      </c>
      <c r="G42" s="127">
        <v>4.3600000000000003</v>
      </c>
      <c r="H42" s="127">
        <v>0</v>
      </c>
      <c r="I42" s="127">
        <v>0</v>
      </c>
      <c r="J42" s="127">
        <v>-0.01</v>
      </c>
      <c r="K42" s="127">
        <v>-0.47899999999999998</v>
      </c>
    </row>
    <row r="43" spans="2:11">
      <c r="B43" s="132" t="s">
        <v>166</v>
      </c>
      <c r="C43" s="132"/>
      <c r="D43" s="127">
        <v>0</v>
      </c>
      <c r="E43" s="127">
        <v>0</v>
      </c>
      <c r="F43" s="127">
        <v>0</v>
      </c>
      <c r="G43" s="127">
        <v>0</v>
      </c>
      <c r="H43" s="127">
        <v>-66.53</v>
      </c>
      <c r="I43" s="127">
        <v>0</v>
      </c>
      <c r="J43" s="127">
        <v>0</v>
      </c>
      <c r="K43" s="127"/>
    </row>
    <row r="44" spans="2:11">
      <c r="B44" s="132"/>
      <c r="C44" s="132"/>
      <c r="D44" s="127"/>
      <c r="E44" s="127"/>
      <c r="F44" s="127"/>
      <c r="G44" s="127"/>
      <c r="H44" s="127"/>
      <c r="I44" s="127"/>
      <c r="J44" s="127"/>
      <c r="K44" s="127"/>
    </row>
    <row r="45" spans="2:11">
      <c r="B45" s="135" t="s">
        <v>167</v>
      </c>
      <c r="C45" s="132"/>
      <c r="D45" s="136">
        <f>SUM(D41:D43)</f>
        <v>76.950000000000259</v>
      </c>
      <c r="E45" s="136">
        <f t="shared" ref="E45:K45" si="15">SUM(E41:E43)</f>
        <v>290.9500000000001</v>
      </c>
      <c r="F45" s="136">
        <f t="shared" si="15"/>
        <v>433.80000000000041</v>
      </c>
      <c r="G45" s="136">
        <f t="shared" si="15"/>
        <v>696.2700000000001</v>
      </c>
      <c r="H45" s="136">
        <f t="shared" si="15"/>
        <v>362.49999999999966</v>
      </c>
      <c r="I45" s="136">
        <f t="shared" si="15"/>
        <v>1006.6100000000013</v>
      </c>
      <c r="J45" s="136">
        <f t="shared" si="15"/>
        <v>2023.6399999999996</v>
      </c>
      <c r="K45" s="136">
        <f t="shared" si="15"/>
        <v>2739.3599999999988</v>
      </c>
    </row>
    <row r="46" spans="2:11">
      <c r="B46" s="132" t="s">
        <v>40</v>
      </c>
      <c r="D46" s="127">
        <v>-31.3</v>
      </c>
      <c r="E46" s="127">
        <v>-76.900000000000006</v>
      </c>
      <c r="F46" s="127">
        <v>-133.94</v>
      </c>
      <c r="G46" s="127">
        <v>-224.07</v>
      </c>
      <c r="H46" s="127">
        <v>-5.23</v>
      </c>
      <c r="I46" s="127">
        <v>-260.56</v>
      </c>
      <c r="J46" s="127">
        <v>-473.52</v>
      </c>
      <c r="K46" s="127">
        <v>-637.54700000000003</v>
      </c>
    </row>
    <row r="47" spans="2:11" ht="15" thickBot="1">
      <c r="B47" s="133" t="s">
        <v>168</v>
      </c>
      <c r="C47" s="142"/>
      <c r="D47" s="134">
        <f>SUM(D45:D46)</f>
        <v>45.650000000000261</v>
      </c>
      <c r="E47" s="134">
        <f t="shared" ref="E47:K47" si="16">SUM(E45:E46)</f>
        <v>214.0500000000001</v>
      </c>
      <c r="F47" s="134">
        <f t="shared" si="16"/>
        <v>299.86000000000041</v>
      </c>
      <c r="G47" s="134">
        <f t="shared" si="16"/>
        <v>472.2000000000001</v>
      </c>
      <c r="H47" s="134">
        <f t="shared" si="16"/>
        <v>357.26999999999964</v>
      </c>
      <c r="I47" s="134">
        <f t="shared" si="16"/>
        <v>746.05000000000132</v>
      </c>
      <c r="J47" s="134">
        <f t="shared" si="16"/>
        <v>1550.1199999999997</v>
      </c>
      <c r="K47" s="134">
        <f t="shared" si="16"/>
        <v>2101.8129999999987</v>
      </c>
    </row>
    <row r="48" spans="2:11">
      <c r="B48" s="132"/>
      <c r="C48" s="132"/>
      <c r="D48" s="127"/>
      <c r="E48" s="127"/>
      <c r="F48" s="127"/>
      <c r="G48" s="127"/>
      <c r="H48" s="127"/>
      <c r="I48" s="127"/>
      <c r="J48" s="127"/>
      <c r="K48" s="127"/>
    </row>
    <row r="49" spans="2:11">
      <c r="B49" s="132"/>
      <c r="C49" s="132"/>
      <c r="D49" s="127"/>
      <c r="E49" s="127"/>
      <c r="F49" s="127"/>
      <c r="G49" s="127"/>
      <c r="H49" s="127"/>
      <c r="I49" s="127"/>
      <c r="J49" s="127"/>
      <c r="K49" s="127"/>
    </row>
    <row r="50" spans="2:11">
      <c r="B50" s="132" t="s">
        <v>169</v>
      </c>
      <c r="C50" s="132"/>
      <c r="D50" s="127">
        <v>-5.66</v>
      </c>
      <c r="E50" s="127">
        <v>-3.91</v>
      </c>
      <c r="F50" s="127">
        <v>-7.02</v>
      </c>
      <c r="G50" s="127">
        <v>-3.23</v>
      </c>
      <c r="H50" s="127">
        <v>-28.28</v>
      </c>
      <c r="I50" s="127">
        <v>-52</v>
      </c>
      <c r="J50" s="127">
        <v>-52.68</v>
      </c>
      <c r="K50" s="127">
        <v>-45.890999999999998</v>
      </c>
    </row>
    <row r="51" spans="2:11">
      <c r="B51" s="132" t="s">
        <v>170</v>
      </c>
      <c r="C51" s="132"/>
      <c r="D51" s="127">
        <v>42.38</v>
      </c>
      <c r="E51" s="127">
        <v>210.15</v>
      </c>
      <c r="F51" s="127">
        <v>292.83999999999997</v>
      </c>
      <c r="G51" s="127">
        <v>468.98</v>
      </c>
      <c r="H51" s="127">
        <v>329</v>
      </c>
      <c r="I51" s="127">
        <v>694.05</v>
      </c>
      <c r="J51" s="127">
        <v>1497.43</v>
      </c>
      <c r="K51" s="127">
        <v>2055.922</v>
      </c>
    </row>
    <row r="52" spans="2:11">
      <c r="B52" s="132" t="s">
        <v>171</v>
      </c>
      <c r="C52" s="132"/>
      <c r="D52" s="127">
        <v>2.92</v>
      </c>
      <c r="E52" s="127">
        <v>11.52</v>
      </c>
      <c r="F52" s="127">
        <v>10.69</v>
      </c>
      <c r="G52" s="127">
        <v>16.829999999999998</v>
      </c>
      <c r="H52" s="127">
        <v>7.6</v>
      </c>
      <c r="I52" s="127">
        <v>10.69</v>
      </c>
      <c r="J52" s="127">
        <v>23.05</v>
      </c>
      <c r="K52" s="127"/>
    </row>
    <row r="53" spans="2:11">
      <c r="B53" s="132" t="s">
        <v>172</v>
      </c>
      <c r="C53" s="132"/>
      <c r="D53" s="127">
        <v>0</v>
      </c>
      <c r="E53" s="127">
        <v>45.63</v>
      </c>
      <c r="F53" s="127">
        <v>45.6</v>
      </c>
      <c r="G53" s="127">
        <v>68.5</v>
      </c>
      <c r="H53" s="127">
        <v>72.17</v>
      </c>
      <c r="I53" s="127">
        <v>108.26</v>
      </c>
      <c r="J53" s="127">
        <v>227.34</v>
      </c>
      <c r="K53" s="127">
        <v>324.80700000000002</v>
      </c>
    </row>
  </sheetData>
  <pageMargins left="0.75" right="0.75" top="1" bottom="1" header="0.5" footer="0.5"/>
  <pageSetup orientation="portrait" r:id="rId1"/>
  <ignoredErrors>
    <ignoredError sqref="D6" formulaRange="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B6FE4-0178-4420-BD53-BC8F0C059FF8}">
  <dimension ref="B2:O75"/>
  <sheetViews>
    <sheetView showGridLines="0" zoomScale="119" workbookViewId="0">
      <pane ySplit="3" topLeftCell="A28" activePane="bottomLeft" state="frozen"/>
      <selection pane="bottomLeft" activeCell="M6" sqref="M6"/>
    </sheetView>
  </sheetViews>
  <sheetFormatPr defaultColWidth="8.88671875" defaultRowHeight="14.4"/>
  <cols>
    <col min="1" max="1" width="8.88671875" style="128"/>
    <col min="2" max="2" width="45.6640625" style="128" customWidth="1"/>
    <col min="3" max="3" width="5.5546875" style="128" bestFit="1" customWidth="1"/>
    <col min="4" max="4" width="6.44140625" style="128" customWidth="1"/>
    <col min="5" max="5" width="7.6640625" style="128" customWidth="1"/>
    <col min="6" max="8" width="7.88671875" style="128" bestFit="1" customWidth="1"/>
    <col min="9" max="16384" width="8.88671875" style="128"/>
  </cols>
  <sheetData>
    <row r="2" spans="2:15" ht="13.95" customHeight="1">
      <c r="B2" s="126" t="s">
        <v>953</v>
      </c>
      <c r="C2" s="126"/>
      <c r="D2" s="126"/>
      <c r="E2" s="126"/>
      <c r="F2" s="126"/>
      <c r="G2" s="126"/>
      <c r="H2" s="126"/>
      <c r="I2" s="126"/>
      <c r="J2" s="126"/>
      <c r="K2" s="126"/>
    </row>
    <row r="3" spans="2:15">
      <c r="B3" s="129" t="s">
        <v>147</v>
      </c>
      <c r="C3" s="131">
        <v>2016</v>
      </c>
      <c r="D3" s="131">
        <f>C3+1</f>
        <v>2017</v>
      </c>
      <c r="E3" s="131">
        <f t="shared" ref="E3:J3" si="0">D3+1</f>
        <v>2018</v>
      </c>
      <c r="F3" s="131">
        <f t="shared" si="0"/>
        <v>2019</v>
      </c>
      <c r="G3" s="131">
        <f t="shared" si="0"/>
        <v>2020</v>
      </c>
      <c r="H3" s="131">
        <f t="shared" si="0"/>
        <v>2021</v>
      </c>
      <c r="I3" s="131">
        <f t="shared" si="0"/>
        <v>2022</v>
      </c>
      <c r="J3" s="131">
        <f t="shared" si="0"/>
        <v>2023</v>
      </c>
    </row>
    <row r="4" spans="2:15">
      <c r="B4" s="135" t="s">
        <v>173</v>
      </c>
    </row>
    <row r="5" spans="2:15">
      <c r="B5" s="135" t="s">
        <v>174</v>
      </c>
      <c r="C5" s="136">
        <f>SUM(C6:C11)</f>
        <v>3812.34</v>
      </c>
      <c r="D5" s="136">
        <f t="shared" ref="D5:J5" si="1">SUM(D6:D11)</f>
        <v>4134.1899999999996</v>
      </c>
      <c r="E5" s="136">
        <f t="shared" si="1"/>
        <v>4750.579999999999</v>
      </c>
      <c r="F5" s="136">
        <f t="shared" si="1"/>
        <v>6542.8599999999988</v>
      </c>
      <c r="G5" s="136">
        <f t="shared" si="1"/>
        <v>6475.4399999999987</v>
      </c>
      <c r="H5" s="136">
        <f t="shared" si="1"/>
        <v>6807.378999999999</v>
      </c>
      <c r="I5" s="136">
        <f t="shared" si="1"/>
        <v>7538.8530000000001</v>
      </c>
      <c r="J5" s="136">
        <f t="shared" si="1"/>
        <v>10349.323</v>
      </c>
      <c r="M5" s="143"/>
    </row>
    <row r="6" spans="2:15">
      <c r="B6" s="132" t="s">
        <v>175</v>
      </c>
      <c r="C6" s="127">
        <v>3355.85</v>
      </c>
      <c r="D6" s="127">
        <v>3541.17</v>
      </c>
      <c r="E6" s="127">
        <v>3860.18</v>
      </c>
      <c r="F6" s="127">
        <v>5892.5</v>
      </c>
      <c r="G6" s="127">
        <v>5827.19</v>
      </c>
      <c r="H6" s="127">
        <v>5155.17</v>
      </c>
      <c r="I6" s="127">
        <v>5441.5780000000004</v>
      </c>
      <c r="J6" s="127">
        <v>6803.1319999999996</v>
      </c>
      <c r="K6" s="265"/>
      <c r="M6" s="143"/>
      <c r="N6"/>
      <c r="O6" s="531"/>
    </row>
    <row r="7" spans="2:15">
      <c r="B7" s="132" t="s">
        <v>176</v>
      </c>
      <c r="C7" s="127">
        <v>95.58</v>
      </c>
      <c r="D7" s="127">
        <v>145.44</v>
      </c>
      <c r="E7" s="127">
        <v>352.36</v>
      </c>
      <c r="F7" s="127">
        <v>63.82</v>
      </c>
      <c r="G7" s="127">
        <v>66.819999999999993</v>
      </c>
      <c r="H7" s="127">
        <v>496.61</v>
      </c>
      <c r="I7" s="127">
        <v>606.63</v>
      </c>
      <c r="J7" s="127">
        <v>1922.222</v>
      </c>
      <c r="K7" s="143"/>
      <c r="L7" s="143"/>
      <c r="M7" s="143"/>
      <c r="N7"/>
      <c r="O7" s="531"/>
    </row>
    <row r="8" spans="2:15">
      <c r="B8" s="132" t="s">
        <v>177</v>
      </c>
      <c r="C8" s="127">
        <v>0</v>
      </c>
      <c r="D8" s="127">
        <v>0</v>
      </c>
      <c r="E8" s="127">
        <v>0</v>
      </c>
      <c r="F8" s="127">
        <v>0</v>
      </c>
      <c r="G8" s="127">
        <v>0</v>
      </c>
      <c r="H8" s="127">
        <v>572.79899999999998</v>
      </c>
      <c r="I8" s="127">
        <v>915.50099999999998</v>
      </c>
      <c r="J8" s="127">
        <v>1034.7070000000001</v>
      </c>
      <c r="K8" s="265"/>
      <c r="N8"/>
      <c r="O8" s="532"/>
    </row>
    <row r="9" spans="2:15">
      <c r="B9" s="132" t="s">
        <v>179</v>
      </c>
      <c r="C9" s="127">
        <v>359.65</v>
      </c>
      <c r="D9" s="127">
        <v>437.42</v>
      </c>
      <c r="E9" s="127">
        <v>524.8599999999999</v>
      </c>
      <c r="F9" s="127">
        <v>562.30999999999995</v>
      </c>
      <c r="G9" s="127">
        <v>557.19999999999993</v>
      </c>
      <c r="H9" s="127">
        <v>558.56999999999994</v>
      </c>
      <c r="I9" s="127">
        <v>550.91</v>
      </c>
      <c r="J9" s="127">
        <v>547.1</v>
      </c>
      <c r="K9" s="127"/>
      <c r="L9" s="143"/>
      <c r="M9" s="143"/>
      <c r="O9" s="532"/>
    </row>
    <row r="10" spans="2:15">
      <c r="B10" s="132" t="s">
        <v>470</v>
      </c>
      <c r="C10" s="85">
        <v>0</v>
      </c>
      <c r="D10" s="85">
        <v>1.94</v>
      </c>
      <c r="E10" s="85">
        <v>1.94</v>
      </c>
      <c r="F10" s="85">
        <v>24.23</v>
      </c>
      <c r="G10" s="85">
        <v>24.23</v>
      </c>
      <c r="H10" s="85">
        <v>24.23</v>
      </c>
      <c r="I10" s="85">
        <v>24.23</v>
      </c>
      <c r="J10" s="85">
        <v>24.23</v>
      </c>
      <c r="K10" s="127"/>
      <c r="L10" s="143"/>
      <c r="M10" s="143"/>
    </row>
    <row r="11" spans="2:15">
      <c r="B11" s="132" t="s">
        <v>180</v>
      </c>
      <c r="C11" s="127">
        <v>1.26</v>
      </c>
      <c r="D11" s="127">
        <v>8.2200000000000006</v>
      </c>
      <c r="E11" s="127">
        <v>11.24</v>
      </c>
      <c r="F11" s="127">
        <v>0</v>
      </c>
      <c r="G11" s="127">
        <v>0</v>
      </c>
      <c r="H11" s="127">
        <v>0</v>
      </c>
      <c r="I11" s="127">
        <v>4.0000000000000001E-3</v>
      </c>
      <c r="J11" s="127">
        <v>17.931999999999999</v>
      </c>
    </row>
    <row r="12" spans="2:15">
      <c r="B12" s="132"/>
      <c r="C12" s="127"/>
      <c r="D12" s="127"/>
      <c r="E12" s="127"/>
      <c r="F12" s="127"/>
      <c r="G12" s="127"/>
      <c r="H12" s="127"/>
      <c r="I12" s="127"/>
      <c r="J12" s="127"/>
    </row>
    <row r="13" spans="2:15">
      <c r="B13" s="135" t="s">
        <v>181</v>
      </c>
      <c r="C13" s="136">
        <f t="shared" ref="C13:J13" si="2">SUM(C14:C16)</f>
        <v>22.790000000000003</v>
      </c>
      <c r="D13" s="136">
        <f t="shared" si="2"/>
        <v>20.22</v>
      </c>
      <c r="E13" s="136">
        <f t="shared" si="2"/>
        <v>20.919999999999998</v>
      </c>
      <c r="F13" s="136">
        <f t="shared" si="2"/>
        <v>45.44</v>
      </c>
      <c r="G13" s="136">
        <f t="shared" si="2"/>
        <v>41.91</v>
      </c>
      <c r="H13" s="136">
        <f t="shared" si="2"/>
        <v>42.06</v>
      </c>
      <c r="I13" s="136">
        <f t="shared" si="2"/>
        <v>48.68</v>
      </c>
      <c r="J13" s="136">
        <f t="shared" si="2"/>
        <v>65.418000000000006</v>
      </c>
    </row>
    <row r="14" spans="2:15">
      <c r="B14" s="132" t="s">
        <v>182</v>
      </c>
      <c r="C14" s="127">
        <v>5.62</v>
      </c>
      <c r="D14" s="127">
        <v>0</v>
      </c>
      <c r="E14" s="127">
        <v>0</v>
      </c>
      <c r="F14" s="127">
        <v>0</v>
      </c>
      <c r="G14" s="127">
        <v>0</v>
      </c>
      <c r="H14" s="127">
        <v>0</v>
      </c>
      <c r="I14" s="127">
        <v>0</v>
      </c>
      <c r="J14" s="127">
        <v>3.1509999999999998</v>
      </c>
    </row>
    <row r="15" spans="2:15">
      <c r="B15" s="132" t="s">
        <v>183</v>
      </c>
      <c r="C15" s="127">
        <v>16.32</v>
      </c>
      <c r="D15" s="127">
        <v>19.32</v>
      </c>
      <c r="E15" s="127">
        <v>20.09</v>
      </c>
      <c r="F15" s="127">
        <v>44.55</v>
      </c>
      <c r="G15" s="127">
        <v>41.79</v>
      </c>
      <c r="H15" s="127">
        <v>0</v>
      </c>
      <c r="I15" s="127">
        <v>0</v>
      </c>
      <c r="J15" s="127">
        <v>0</v>
      </c>
    </row>
    <row r="16" spans="2:15">
      <c r="B16" s="132" t="s">
        <v>184</v>
      </c>
      <c r="C16" s="127">
        <v>0.85</v>
      </c>
      <c r="D16" s="127">
        <v>0.9</v>
      </c>
      <c r="E16" s="127">
        <v>0.83</v>
      </c>
      <c r="F16" s="127">
        <v>0.89</v>
      </c>
      <c r="G16" s="127">
        <v>0.12</v>
      </c>
      <c r="H16" s="127">
        <v>42.06</v>
      </c>
      <c r="I16" s="127">
        <v>48.68</v>
      </c>
      <c r="J16" s="127">
        <v>62.267000000000003</v>
      </c>
    </row>
    <row r="17" spans="2:12">
      <c r="B17" s="132"/>
      <c r="C17" s="127"/>
      <c r="D17" s="127"/>
      <c r="E17" s="127"/>
      <c r="F17" s="127"/>
      <c r="G17" s="127"/>
      <c r="H17" s="127"/>
      <c r="I17" s="127"/>
      <c r="J17" s="127"/>
    </row>
    <row r="18" spans="2:12">
      <c r="B18" s="132" t="s">
        <v>185</v>
      </c>
      <c r="C18" s="127">
        <v>136.75</v>
      </c>
      <c r="D18" s="127">
        <v>152.59</v>
      </c>
      <c r="E18" s="127">
        <v>85.76</v>
      </c>
      <c r="F18" s="127">
        <v>115.4</v>
      </c>
      <c r="G18" s="127">
        <v>130.34</v>
      </c>
      <c r="H18" s="127">
        <v>183.92</v>
      </c>
      <c r="I18" s="127">
        <v>626.67999999999995</v>
      </c>
      <c r="J18" s="127">
        <v>536.81200000000001</v>
      </c>
    </row>
    <row r="19" spans="2:12">
      <c r="B19" s="132" t="s">
        <v>186</v>
      </c>
      <c r="C19" s="127">
        <v>6.84</v>
      </c>
      <c r="D19" s="127">
        <v>8</v>
      </c>
      <c r="E19" s="127">
        <v>33.4</v>
      </c>
      <c r="F19" s="127">
        <v>12.85</v>
      </c>
      <c r="G19" s="127">
        <v>11.02</v>
      </c>
      <c r="H19" s="127">
        <v>2.41</v>
      </c>
      <c r="I19" s="127">
        <v>0</v>
      </c>
      <c r="J19" s="127">
        <v>0</v>
      </c>
    </row>
    <row r="20" spans="2:12">
      <c r="B20" s="140" t="s">
        <v>187</v>
      </c>
      <c r="C20" s="144">
        <f>SUM(C5,C13,C18:C19)</f>
        <v>3978.7200000000003</v>
      </c>
      <c r="D20" s="144">
        <f t="shared" ref="D20:J20" si="3">SUM(D5,D13,D18:D19)</f>
        <v>4315</v>
      </c>
      <c r="E20" s="144">
        <f t="shared" si="3"/>
        <v>4890.6599999999989</v>
      </c>
      <c r="F20" s="144">
        <f t="shared" si="3"/>
        <v>6716.5499999999984</v>
      </c>
      <c r="G20" s="144">
        <f t="shared" si="3"/>
        <v>6658.7099999999991</v>
      </c>
      <c r="H20" s="144">
        <f t="shared" si="3"/>
        <v>7035.7689999999993</v>
      </c>
      <c r="I20" s="144">
        <f t="shared" si="3"/>
        <v>8214.2129999999997</v>
      </c>
      <c r="J20" s="144">
        <f t="shared" si="3"/>
        <v>10951.553</v>
      </c>
    </row>
    <row r="21" spans="2:12">
      <c r="B21" s="132"/>
      <c r="C21" s="127"/>
      <c r="D21" s="127"/>
      <c r="E21" s="127"/>
      <c r="F21" s="127"/>
      <c r="G21" s="127"/>
      <c r="H21" s="127"/>
      <c r="I21" s="127"/>
      <c r="J21" s="127"/>
    </row>
    <row r="22" spans="2:12">
      <c r="B22" s="135" t="s">
        <v>188</v>
      </c>
      <c r="C22" s="127"/>
      <c r="D22" s="127"/>
      <c r="E22" s="127"/>
      <c r="F22" s="127"/>
      <c r="G22" s="127"/>
      <c r="H22" s="127"/>
      <c r="I22" s="127"/>
      <c r="J22" s="127"/>
    </row>
    <row r="23" spans="2:12">
      <c r="B23" s="145" t="s">
        <v>189</v>
      </c>
      <c r="C23" s="127">
        <v>489.93</v>
      </c>
      <c r="D23" s="127">
        <v>438.89</v>
      </c>
      <c r="E23" s="127">
        <v>578.4</v>
      </c>
      <c r="F23" s="127">
        <v>881.51</v>
      </c>
      <c r="G23" s="127">
        <v>928.8</v>
      </c>
      <c r="H23" s="127">
        <v>1448.09</v>
      </c>
      <c r="I23" s="127">
        <v>1993.89</v>
      </c>
      <c r="J23" s="127">
        <v>2150.5329999999999</v>
      </c>
    </row>
    <row r="24" spans="2:12">
      <c r="B24" s="145" t="s">
        <v>190</v>
      </c>
      <c r="C24" s="127">
        <v>131.35</v>
      </c>
      <c r="D24" s="127">
        <v>150.25</v>
      </c>
      <c r="E24" s="127">
        <v>128.03</v>
      </c>
      <c r="F24" s="127">
        <v>172.56</v>
      </c>
      <c r="G24" s="127">
        <v>241.8</v>
      </c>
      <c r="H24" s="127">
        <v>221.25</v>
      </c>
      <c r="I24" s="127">
        <v>299.33999999999997</v>
      </c>
      <c r="J24" s="127">
        <v>359.38499999999999</v>
      </c>
    </row>
    <row r="25" spans="2:12">
      <c r="B25" s="135" t="s">
        <v>10</v>
      </c>
      <c r="C25" s="136">
        <f>SUM(C26:C30)</f>
        <v>165.6</v>
      </c>
      <c r="D25" s="136">
        <f t="shared" ref="D25:I25" si="4">SUM(D26:D30)</f>
        <v>285.02999999999997</v>
      </c>
      <c r="E25" s="136">
        <f t="shared" si="4"/>
        <v>340.84000000000003</v>
      </c>
      <c r="F25" s="136">
        <f t="shared" si="4"/>
        <v>446.74</v>
      </c>
      <c r="G25" s="136">
        <f t="shared" si="4"/>
        <v>439.03</v>
      </c>
      <c r="H25" s="136">
        <f t="shared" si="4"/>
        <v>540.16000000000008</v>
      </c>
      <c r="I25" s="136">
        <f t="shared" si="4"/>
        <v>825.54</v>
      </c>
      <c r="J25" s="136">
        <f>SUM(J26:J30)</f>
        <v>1265.8499999999999</v>
      </c>
      <c r="L25" s="146"/>
    </row>
    <row r="26" spans="2:12">
      <c r="B26" s="145" t="s">
        <v>191</v>
      </c>
      <c r="C26" s="127">
        <v>0</v>
      </c>
      <c r="D26" s="127">
        <v>0.03</v>
      </c>
      <c r="E26" s="127">
        <v>1.55</v>
      </c>
      <c r="F26" s="127">
        <v>6.94</v>
      </c>
      <c r="G26" s="127">
        <v>10.02</v>
      </c>
      <c r="H26" s="127">
        <v>0</v>
      </c>
      <c r="I26" s="127">
        <v>0</v>
      </c>
      <c r="J26" s="127">
        <v>0</v>
      </c>
    </row>
    <row r="27" spans="2:12">
      <c r="B27" s="145" t="s">
        <v>192</v>
      </c>
      <c r="C27" s="127">
        <v>20.45</v>
      </c>
      <c r="D27" s="127">
        <v>93.24</v>
      </c>
      <c r="E27" s="127">
        <v>140.47999999999999</v>
      </c>
      <c r="F27" s="127">
        <v>218.98</v>
      </c>
      <c r="G27" s="127">
        <v>167</v>
      </c>
      <c r="H27" s="127">
        <v>245.56</v>
      </c>
      <c r="I27" s="127">
        <v>397.71</v>
      </c>
      <c r="J27" s="127">
        <v>738.82299999999998</v>
      </c>
    </row>
    <row r="28" spans="2:12">
      <c r="B28" s="145" t="s">
        <v>193</v>
      </c>
      <c r="C28" s="127">
        <v>0.01</v>
      </c>
      <c r="D28" s="127">
        <v>0.01</v>
      </c>
      <c r="E28" s="127">
        <v>0.41</v>
      </c>
      <c r="F28" s="127">
        <v>1.02</v>
      </c>
      <c r="G28" s="127">
        <v>10.220000000000001</v>
      </c>
      <c r="H28" s="127">
        <v>1.1100000000000001</v>
      </c>
      <c r="I28" s="127">
        <v>0</v>
      </c>
      <c r="J28" s="127">
        <v>0.311</v>
      </c>
    </row>
    <row r="29" spans="2:12">
      <c r="B29" s="145" t="s">
        <v>194</v>
      </c>
      <c r="C29" s="127">
        <v>145.13999999999999</v>
      </c>
      <c r="D29" s="127">
        <v>153.25</v>
      </c>
      <c r="E29" s="127">
        <v>198.4</v>
      </c>
      <c r="F29" s="127">
        <v>219.8</v>
      </c>
      <c r="G29" s="127">
        <v>251.79</v>
      </c>
      <c r="H29" s="127">
        <v>293.49</v>
      </c>
      <c r="I29" s="127">
        <v>427.83</v>
      </c>
      <c r="J29" s="127">
        <v>526.71600000000001</v>
      </c>
    </row>
    <row r="30" spans="2:12">
      <c r="B30" s="145" t="s">
        <v>195</v>
      </c>
      <c r="C30" s="127">
        <v>0</v>
      </c>
      <c r="D30" s="127">
        <v>38.5</v>
      </c>
      <c r="E30" s="127">
        <v>0</v>
      </c>
      <c r="F30" s="127">
        <v>0</v>
      </c>
      <c r="G30" s="127">
        <v>0</v>
      </c>
      <c r="H30" s="127">
        <v>0</v>
      </c>
      <c r="I30" s="127">
        <v>0</v>
      </c>
      <c r="J30" s="127">
        <v>0</v>
      </c>
    </row>
    <row r="31" spans="2:12">
      <c r="B31" s="132" t="s">
        <v>196</v>
      </c>
      <c r="C31" s="127">
        <v>32.5</v>
      </c>
      <c r="D31" s="127">
        <v>64.95</v>
      </c>
      <c r="E31" s="127">
        <v>42.94</v>
      </c>
      <c r="F31" s="127">
        <v>137.97</v>
      </c>
      <c r="G31" s="127">
        <v>104.56</v>
      </c>
      <c r="H31" s="127">
        <v>150.75</v>
      </c>
      <c r="I31" s="127">
        <v>154.33000000000001</v>
      </c>
      <c r="J31" s="127">
        <v>242.21199999999999</v>
      </c>
    </row>
    <row r="32" spans="2:12">
      <c r="B32" s="132" t="s">
        <v>197</v>
      </c>
      <c r="C32" s="127">
        <v>33.200000000000003</v>
      </c>
      <c r="D32" s="127">
        <v>29.51</v>
      </c>
      <c r="E32" s="127">
        <v>50.54</v>
      </c>
      <c r="F32" s="127">
        <v>33.11</v>
      </c>
      <c r="G32" s="127">
        <v>85.49</v>
      </c>
      <c r="H32" s="127">
        <v>185.87</v>
      </c>
      <c r="I32" s="127">
        <v>130.94</v>
      </c>
      <c r="J32" s="127">
        <v>217.65</v>
      </c>
    </row>
    <row r="33" spans="2:10">
      <c r="B33" s="147" t="s">
        <v>11</v>
      </c>
      <c r="C33" s="148">
        <f>SUM(C23,C24,C25,C31,C32)</f>
        <v>852.58</v>
      </c>
      <c r="D33" s="148">
        <f t="shared" ref="D33:J33" si="5">SUM(D23,D24,D25,D31,D32)</f>
        <v>968.63</v>
      </c>
      <c r="E33" s="148">
        <f t="shared" si="5"/>
        <v>1140.75</v>
      </c>
      <c r="F33" s="148">
        <f t="shared" si="5"/>
        <v>1671.8899999999999</v>
      </c>
      <c r="G33" s="148">
        <f t="shared" si="5"/>
        <v>1799.6799999999998</v>
      </c>
      <c r="H33" s="148">
        <f t="shared" si="5"/>
        <v>2546.12</v>
      </c>
      <c r="I33" s="148">
        <f t="shared" si="5"/>
        <v>3404.04</v>
      </c>
      <c r="J33" s="148">
        <f t="shared" si="5"/>
        <v>4235.6299999999992</v>
      </c>
    </row>
    <row r="35" spans="2:10" ht="15" thickBot="1">
      <c r="B35" s="149" t="s">
        <v>13</v>
      </c>
      <c r="C35" s="150">
        <f>SUM(C20,C33)</f>
        <v>4831.3</v>
      </c>
      <c r="D35" s="150">
        <f t="shared" ref="D35:J35" si="6">SUM(D20,D33)</f>
        <v>5283.63</v>
      </c>
      <c r="E35" s="150">
        <f t="shared" si="6"/>
        <v>6031.4099999999989</v>
      </c>
      <c r="F35" s="150">
        <f t="shared" si="6"/>
        <v>8388.4399999999987</v>
      </c>
      <c r="G35" s="150">
        <f t="shared" si="6"/>
        <v>8458.39</v>
      </c>
      <c r="H35" s="150">
        <f t="shared" si="6"/>
        <v>9581.8889999999992</v>
      </c>
      <c r="I35" s="150">
        <f t="shared" si="6"/>
        <v>11618.253000000001</v>
      </c>
      <c r="J35" s="150">
        <f t="shared" si="6"/>
        <v>15187.182999999999</v>
      </c>
    </row>
    <row r="37" spans="2:10">
      <c r="B37" s="151" t="s">
        <v>198</v>
      </c>
    </row>
    <row r="38" spans="2:10">
      <c r="B38" s="152"/>
      <c r="C38" s="153"/>
      <c r="D38" s="153"/>
      <c r="E38" s="153"/>
      <c r="F38" s="153"/>
      <c r="G38" s="153"/>
      <c r="H38" s="153"/>
      <c r="I38" s="153"/>
      <c r="J38" s="153"/>
    </row>
    <row r="39" spans="2:10">
      <c r="B39" s="154" t="s">
        <v>199</v>
      </c>
      <c r="C39" s="153">
        <v>182.31</v>
      </c>
      <c r="D39" s="153">
        <v>182.59</v>
      </c>
      <c r="E39" s="153">
        <v>182.64</v>
      </c>
      <c r="F39" s="153">
        <v>288.69</v>
      </c>
      <c r="G39" s="153">
        <v>288.69</v>
      </c>
      <c r="H39" s="153">
        <v>433.03</v>
      </c>
      <c r="I39" s="153">
        <v>649.54999999999995</v>
      </c>
      <c r="J39" s="153">
        <v>649.60699999999997</v>
      </c>
    </row>
    <row r="40" spans="2:10">
      <c r="B40" s="154" t="s">
        <v>200</v>
      </c>
      <c r="C40" s="153">
        <v>1511.28</v>
      </c>
      <c r="D40" s="153">
        <v>1586.84</v>
      </c>
      <c r="E40" s="153">
        <v>1815.86</v>
      </c>
      <c r="F40" s="153">
        <v>3039.73</v>
      </c>
      <c r="G40" s="153">
        <v>3235.31</v>
      </c>
      <c r="H40" s="153">
        <v>3646.88</v>
      </c>
      <c r="I40" s="153">
        <v>4452.83</v>
      </c>
      <c r="J40" s="153">
        <v>6286.8909999999996</v>
      </c>
    </row>
    <row r="41" spans="2:10">
      <c r="B41" s="155" t="s">
        <v>201</v>
      </c>
      <c r="C41" s="156">
        <f>SUM(C39:C40)</f>
        <v>1693.59</v>
      </c>
      <c r="D41" s="156">
        <f t="shared" ref="D41:J41" si="7">SUM(D39:D40)</f>
        <v>1769.4299999999998</v>
      </c>
      <c r="E41" s="156">
        <f t="shared" si="7"/>
        <v>1998.5</v>
      </c>
      <c r="F41" s="156">
        <f t="shared" si="7"/>
        <v>3328.42</v>
      </c>
      <c r="G41" s="156">
        <f t="shared" si="7"/>
        <v>3524</v>
      </c>
      <c r="H41" s="156">
        <f t="shared" si="7"/>
        <v>4079.91</v>
      </c>
      <c r="I41" s="156">
        <f t="shared" si="7"/>
        <v>5102.38</v>
      </c>
      <c r="J41" s="156">
        <f t="shared" si="7"/>
        <v>6936.4979999999996</v>
      </c>
    </row>
    <row r="42" spans="2:10">
      <c r="B42" s="157"/>
      <c r="C42" s="158"/>
      <c r="D42" s="158"/>
      <c r="E42" s="158"/>
      <c r="F42" s="158"/>
      <c r="G42" s="158"/>
      <c r="H42" s="158"/>
      <c r="I42" s="158"/>
      <c r="J42" s="158"/>
    </row>
    <row r="43" spans="2:10">
      <c r="B43" s="154" t="s">
        <v>202</v>
      </c>
      <c r="C43" s="153">
        <v>-12.91</v>
      </c>
      <c r="D43" s="153">
        <v>-1.43</v>
      </c>
      <c r="E43" s="153">
        <v>7.77</v>
      </c>
      <c r="F43" s="153">
        <v>30.68</v>
      </c>
      <c r="G43" s="153">
        <v>64.790000000000006</v>
      </c>
      <c r="H43" s="153">
        <v>116.79</v>
      </c>
      <c r="I43" s="153">
        <v>113.11</v>
      </c>
      <c r="J43" s="153">
        <v>148.155</v>
      </c>
    </row>
    <row r="44" spans="2:10">
      <c r="B44" s="155" t="s">
        <v>90</v>
      </c>
      <c r="C44" s="156">
        <f>SUM(C41,C43)</f>
        <v>1680.6799999999998</v>
      </c>
      <c r="D44" s="156">
        <f t="shared" ref="D44:J44" si="8">SUM(D41,D43)</f>
        <v>1767.9999999999998</v>
      </c>
      <c r="E44" s="156">
        <f t="shared" si="8"/>
        <v>2006.27</v>
      </c>
      <c r="F44" s="156">
        <f t="shared" si="8"/>
        <v>3359.1</v>
      </c>
      <c r="G44" s="156">
        <f t="shared" si="8"/>
        <v>3588.79</v>
      </c>
      <c r="H44" s="156">
        <f t="shared" si="8"/>
        <v>4196.7</v>
      </c>
      <c r="I44" s="156">
        <f t="shared" si="8"/>
        <v>5215.49</v>
      </c>
      <c r="J44" s="156">
        <f t="shared" si="8"/>
        <v>7084.6529999999993</v>
      </c>
    </row>
    <row r="45" spans="2:10">
      <c r="B45" s="157"/>
      <c r="C45" s="158"/>
      <c r="D45" s="158"/>
      <c r="E45" s="158"/>
      <c r="F45" s="158"/>
      <c r="G45" s="158"/>
      <c r="H45" s="158"/>
      <c r="I45" s="158"/>
      <c r="J45" s="158"/>
    </row>
    <row r="46" spans="2:10">
      <c r="B46" s="157" t="s">
        <v>203</v>
      </c>
      <c r="C46" s="153"/>
      <c r="D46" s="153"/>
      <c r="E46" s="153"/>
      <c r="F46" s="153"/>
      <c r="G46" s="153"/>
      <c r="H46" s="153"/>
      <c r="I46" s="153"/>
      <c r="J46" s="153"/>
    </row>
    <row r="47" spans="2:10">
      <c r="B47" s="154" t="s">
        <v>204</v>
      </c>
      <c r="C47" s="153">
        <v>1218.3599999999999</v>
      </c>
      <c r="D47" s="153">
        <v>1691.37</v>
      </c>
      <c r="E47" s="153">
        <v>1980.07</v>
      </c>
      <c r="F47" s="153">
        <v>2355.38</v>
      </c>
      <c r="G47" s="153">
        <v>1979.62</v>
      </c>
      <c r="H47" s="153">
        <v>1813.33</v>
      </c>
      <c r="I47" s="153">
        <v>1727.02</v>
      </c>
      <c r="J47" s="153">
        <v>3188.9380000000001</v>
      </c>
    </row>
    <row r="48" spans="2:10">
      <c r="B48" s="154" t="s">
        <v>205</v>
      </c>
      <c r="C48" s="153">
        <v>0</v>
      </c>
      <c r="D48" s="153">
        <v>0</v>
      </c>
      <c r="E48" s="153">
        <v>0</v>
      </c>
      <c r="F48" s="153">
        <v>0</v>
      </c>
      <c r="G48" s="153">
        <v>0</v>
      </c>
      <c r="H48" s="153">
        <v>31.3</v>
      </c>
      <c r="I48" s="153">
        <v>165.42500000000001</v>
      </c>
      <c r="J48" s="153">
        <v>197.88499999999999</v>
      </c>
    </row>
    <row r="49" spans="2:12">
      <c r="B49" s="154" t="s">
        <v>206</v>
      </c>
      <c r="C49" s="153">
        <v>1.22</v>
      </c>
      <c r="D49" s="153">
        <v>0</v>
      </c>
      <c r="E49" s="153">
        <v>0</v>
      </c>
      <c r="F49" s="153">
        <v>0</v>
      </c>
      <c r="G49" s="153">
        <v>24.44</v>
      </c>
      <c r="H49" s="153">
        <v>0</v>
      </c>
      <c r="I49" s="153">
        <v>0</v>
      </c>
      <c r="J49" s="153">
        <v>0</v>
      </c>
    </row>
    <row r="50" spans="2:12">
      <c r="B50" s="154" t="s">
        <v>207</v>
      </c>
      <c r="C50" s="153">
        <v>60.59</v>
      </c>
      <c r="D50" s="153">
        <v>73.260000000000005</v>
      </c>
      <c r="E50" s="153">
        <v>105.26</v>
      </c>
      <c r="F50" s="153">
        <v>170.34</v>
      </c>
      <c r="G50" s="153">
        <v>203.91</v>
      </c>
      <c r="H50" s="153">
        <v>208.54</v>
      </c>
      <c r="I50" s="153">
        <v>204.11</v>
      </c>
      <c r="J50" s="153">
        <v>212.64400000000001</v>
      </c>
    </row>
    <row r="51" spans="2:12">
      <c r="B51" s="154" t="s">
        <v>208</v>
      </c>
      <c r="C51" s="153">
        <v>128.63999999999999</v>
      </c>
      <c r="D51" s="153">
        <v>150.15</v>
      </c>
      <c r="E51" s="153">
        <v>192.17</v>
      </c>
      <c r="F51" s="153">
        <v>282.51</v>
      </c>
      <c r="G51" s="153">
        <v>225.94</v>
      </c>
      <c r="H51" s="153">
        <v>311.14</v>
      </c>
      <c r="I51" s="153">
        <v>336.85</v>
      </c>
      <c r="J51" s="153">
        <v>343.01100000000002</v>
      </c>
    </row>
    <row r="52" spans="2:12">
      <c r="B52" s="154" t="s">
        <v>209</v>
      </c>
      <c r="C52" s="153">
        <v>14.22</v>
      </c>
      <c r="D52" s="153">
        <v>11.98</v>
      </c>
      <c r="E52" s="153">
        <v>6.78</v>
      </c>
      <c r="F52" s="153">
        <v>0.82</v>
      </c>
      <c r="G52" s="153">
        <v>0.73</v>
      </c>
      <c r="H52" s="153">
        <v>0.67</v>
      </c>
      <c r="I52" s="153">
        <v>0.59</v>
      </c>
      <c r="J52" s="153">
        <v>6.84</v>
      </c>
    </row>
    <row r="53" spans="2:12">
      <c r="B53" s="157" t="s">
        <v>210</v>
      </c>
      <c r="C53" s="158">
        <f>SUM(C47:C52)</f>
        <v>1423.03</v>
      </c>
      <c r="D53" s="158">
        <f t="shared" ref="D53:I53" si="9">SUM(D47:D52)</f>
        <v>1926.76</v>
      </c>
      <c r="E53" s="158">
        <f t="shared" si="9"/>
        <v>2284.2800000000002</v>
      </c>
      <c r="F53" s="158">
        <f t="shared" si="9"/>
        <v>2809.0500000000006</v>
      </c>
      <c r="G53" s="158">
        <f t="shared" si="9"/>
        <v>2434.64</v>
      </c>
      <c r="H53" s="158">
        <f t="shared" si="9"/>
        <v>2364.98</v>
      </c>
      <c r="I53" s="158">
        <f t="shared" si="9"/>
        <v>2433.9949999999999</v>
      </c>
      <c r="J53" s="158">
        <f>SUM(J47:J52)</f>
        <v>3949.3180000000007</v>
      </c>
    </row>
    <row r="54" spans="2:12">
      <c r="B54" s="157"/>
      <c r="C54" s="158"/>
      <c r="D54" s="158"/>
      <c r="E54" s="158"/>
      <c r="F54" s="158"/>
      <c r="G54" s="158"/>
      <c r="H54" s="158"/>
      <c r="I54" s="158"/>
      <c r="J54" s="158"/>
    </row>
    <row r="55" spans="2:12">
      <c r="B55" s="157" t="s">
        <v>211</v>
      </c>
      <c r="C55" s="153"/>
      <c r="D55" s="153"/>
      <c r="E55" s="153"/>
      <c r="F55" s="153"/>
      <c r="G55" s="153"/>
      <c r="H55" s="153"/>
      <c r="I55" s="153"/>
      <c r="J55" s="153"/>
    </row>
    <row r="56" spans="2:12">
      <c r="B56" s="154" t="s">
        <v>212</v>
      </c>
      <c r="C56" s="153">
        <v>274.58999999999997</v>
      </c>
      <c r="D56" s="153">
        <v>190.95</v>
      </c>
      <c r="E56" s="153">
        <v>316.8</v>
      </c>
      <c r="F56" s="153">
        <v>477.66</v>
      </c>
      <c r="G56" s="153">
        <v>511.39</v>
      </c>
      <c r="H56" s="153">
        <v>711.75</v>
      </c>
      <c r="I56" s="153">
        <v>824.26</v>
      </c>
      <c r="J56" s="153">
        <v>758.24800000000005</v>
      </c>
      <c r="K56" s="153"/>
      <c r="L56" s="143"/>
    </row>
    <row r="57" spans="2:12">
      <c r="B57" s="154" t="s">
        <v>213</v>
      </c>
      <c r="C57" s="158">
        <f>SUM(C58:C63)</f>
        <v>1452.9399999999998</v>
      </c>
      <c r="D57" s="158">
        <f t="shared" ref="D57:J57" si="10">SUM(D58:D63)</f>
        <v>1397.9099999999999</v>
      </c>
      <c r="E57" s="158">
        <f t="shared" si="10"/>
        <v>1424.0800000000002</v>
      </c>
      <c r="F57" s="158">
        <f t="shared" si="10"/>
        <v>1742.63</v>
      </c>
      <c r="G57" s="158">
        <f t="shared" si="10"/>
        <v>1923.5600000000002</v>
      </c>
      <c r="H57" s="158">
        <f t="shared" si="10"/>
        <v>2308.5</v>
      </c>
      <c r="I57" s="158">
        <f t="shared" si="10"/>
        <v>3144.4970000000003</v>
      </c>
      <c r="J57" s="158">
        <f t="shared" si="10"/>
        <v>3394.9639999999999</v>
      </c>
    </row>
    <row r="58" spans="2:12">
      <c r="B58" s="159" t="s">
        <v>214</v>
      </c>
      <c r="C58" s="153">
        <v>411.13</v>
      </c>
      <c r="D58" s="153">
        <v>353.37</v>
      </c>
      <c r="E58" s="153">
        <v>377.66</v>
      </c>
      <c r="F58" s="153">
        <v>467.15</v>
      </c>
      <c r="G58" s="153">
        <v>713.86</v>
      </c>
      <c r="H58" s="153">
        <v>1528.57</v>
      </c>
      <c r="I58" s="153">
        <v>1967.79</v>
      </c>
      <c r="J58" s="153">
        <v>2005.4490000000001</v>
      </c>
    </row>
    <row r="59" spans="2:12">
      <c r="B59" s="159" t="s">
        <v>205</v>
      </c>
      <c r="C59" s="153">
        <v>0</v>
      </c>
      <c r="D59" s="153">
        <v>0</v>
      </c>
      <c r="E59" s="153">
        <v>0</v>
      </c>
      <c r="F59" s="153">
        <v>0</v>
      </c>
      <c r="G59" s="153">
        <v>0</v>
      </c>
      <c r="H59" s="153">
        <v>13.6</v>
      </c>
      <c r="I59" s="153">
        <v>23.577000000000002</v>
      </c>
      <c r="J59" s="153">
        <v>39.037999999999997</v>
      </c>
    </row>
    <row r="60" spans="2:12" ht="13.2" customHeight="1">
      <c r="B60" s="159" t="s">
        <v>215</v>
      </c>
      <c r="C60" s="153">
        <v>834.47</v>
      </c>
      <c r="D60" s="153">
        <v>873.64</v>
      </c>
      <c r="E60" s="153">
        <v>851.24</v>
      </c>
      <c r="F60" s="153">
        <v>1025.81</v>
      </c>
      <c r="G60" s="153">
        <v>854.35</v>
      </c>
      <c r="H60" s="153">
        <v>392.97</v>
      </c>
      <c r="I60" s="153">
        <v>559.39</v>
      </c>
      <c r="J60" s="153">
        <v>763.83900000000006</v>
      </c>
    </row>
    <row r="61" spans="2:12">
      <c r="B61" s="159" t="s">
        <v>216</v>
      </c>
      <c r="C61" s="153">
        <v>8.99</v>
      </c>
      <c r="D61" s="153">
        <v>6.84</v>
      </c>
      <c r="E61" s="153">
        <v>32.5</v>
      </c>
      <c r="F61" s="153">
        <v>15.2</v>
      </c>
      <c r="G61" s="153">
        <v>3.89</v>
      </c>
      <c r="H61" s="153">
        <v>13.94</v>
      </c>
      <c r="I61" s="153">
        <v>75.569999999999993</v>
      </c>
      <c r="J61" s="153">
        <v>39.002000000000002</v>
      </c>
    </row>
    <row r="62" spans="2:12">
      <c r="B62" s="159" t="s">
        <v>217</v>
      </c>
      <c r="C62" s="153">
        <v>13.52</v>
      </c>
      <c r="D62" s="153">
        <v>16.75</v>
      </c>
      <c r="E62" s="153">
        <v>16.02</v>
      </c>
      <c r="F62" s="153">
        <v>29.98</v>
      </c>
      <c r="G62" s="153">
        <v>33.17</v>
      </c>
      <c r="H62" s="153">
        <v>49.74</v>
      </c>
      <c r="I62" s="153">
        <v>29.19</v>
      </c>
      <c r="J62" s="153">
        <v>82.543000000000006</v>
      </c>
    </row>
    <row r="63" spans="2:12">
      <c r="B63" s="159" t="s">
        <v>213</v>
      </c>
      <c r="C63" s="153">
        <v>184.83</v>
      </c>
      <c r="D63" s="153">
        <v>147.31</v>
      </c>
      <c r="E63" s="153">
        <v>146.66</v>
      </c>
      <c r="F63" s="153">
        <v>204.49</v>
      </c>
      <c r="G63" s="153">
        <v>318.29000000000002</v>
      </c>
      <c r="H63" s="153">
        <v>309.68</v>
      </c>
      <c r="I63" s="153">
        <v>488.98</v>
      </c>
      <c r="J63" s="153">
        <v>465.09300000000002</v>
      </c>
    </row>
    <row r="64" spans="2:12">
      <c r="B64" s="157" t="s">
        <v>15</v>
      </c>
      <c r="C64" s="158">
        <f>SUM(C56,C57)</f>
        <v>1727.5299999999997</v>
      </c>
      <c r="D64" s="158">
        <f t="shared" ref="D64:J64" si="11">SUM(D56,D57)</f>
        <v>1588.86</v>
      </c>
      <c r="E64" s="158">
        <f t="shared" si="11"/>
        <v>1740.88</v>
      </c>
      <c r="F64" s="158">
        <f t="shared" si="11"/>
        <v>2220.29</v>
      </c>
      <c r="G64" s="158">
        <f t="shared" si="11"/>
        <v>2434.9500000000003</v>
      </c>
      <c r="H64" s="158">
        <f t="shared" si="11"/>
        <v>3020.25</v>
      </c>
      <c r="I64" s="158">
        <f t="shared" si="11"/>
        <v>3968.7570000000005</v>
      </c>
      <c r="J64" s="158">
        <f t="shared" si="11"/>
        <v>4153.2119999999995</v>
      </c>
    </row>
    <row r="65" spans="2:10">
      <c r="B65" s="157"/>
      <c r="C65" s="158"/>
      <c r="D65" s="158"/>
      <c r="E65" s="158"/>
      <c r="F65" s="158"/>
      <c r="G65" s="158"/>
      <c r="H65" s="158"/>
      <c r="I65" s="158"/>
      <c r="J65" s="158"/>
    </row>
    <row r="66" spans="2:10" ht="15" thickBot="1">
      <c r="B66" s="160" t="s">
        <v>218</v>
      </c>
      <c r="C66" s="161">
        <f>SUM(C44,C53,C64)</f>
        <v>4831.24</v>
      </c>
      <c r="D66" s="161">
        <f t="shared" ref="D66:J66" si="12">SUM(D44,D53,D64)</f>
        <v>5283.62</v>
      </c>
      <c r="E66" s="161">
        <f t="shared" si="12"/>
        <v>6031.43</v>
      </c>
      <c r="F66" s="161">
        <f t="shared" si="12"/>
        <v>8388.44</v>
      </c>
      <c r="G66" s="161">
        <f t="shared" si="12"/>
        <v>8458.380000000001</v>
      </c>
      <c r="H66" s="161">
        <f t="shared" si="12"/>
        <v>9581.93</v>
      </c>
      <c r="I66" s="161">
        <f t="shared" si="12"/>
        <v>11618.242</v>
      </c>
      <c r="J66" s="161">
        <f t="shared" si="12"/>
        <v>15187.182999999999</v>
      </c>
    </row>
    <row r="67" spans="2:10">
      <c r="B67" s="157"/>
      <c r="C67" s="158"/>
      <c r="D67" s="158"/>
      <c r="E67" s="158"/>
      <c r="F67" s="158"/>
      <c r="G67" s="158"/>
      <c r="H67" s="158"/>
      <c r="I67" s="158"/>
      <c r="J67" s="158"/>
    </row>
    <row r="68" spans="2:10">
      <c r="B68" s="154" t="s">
        <v>67</v>
      </c>
      <c r="C68" s="158">
        <f>C35-C66</f>
        <v>6.0000000000400178E-2</v>
      </c>
      <c r="D68" s="158">
        <f t="shared" ref="D68:J68" si="13">D35-D66</f>
        <v>1.0000000000218279E-2</v>
      </c>
      <c r="E68" s="158">
        <f t="shared" si="13"/>
        <v>-2.0000000001346052E-2</v>
      </c>
      <c r="F68" s="158">
        <f t="shared" si="13"/>
        <v>0</v>
      </c>
      <c r="G68" s="158">
        <f t="shared" si="13"/>
        <v>9.9999999983992893E-3</v>
      </c>
      <c r="H68" s="158">
        <f t="shared" si="13"/>
        <v>-4.1000000001076842E-2</v>
      </c>
      <c r="I68" s="158">
        <f t="shared" si="13"/>
        <v>1.1000000000422006E-2</v>
      </c>
      <c r="J68" s="158">
        <f t="shared" si="13"/>
        <v>0</v>
      </c>
    </row>
    <row r="69" spans="2:10">
      <c r="B69" s="157"/>
      <c r="C69" s="158"/>
      <c r="D69" s="158"/>
      <c r="E69" s="158"/>
      <c r="F69" s="158"/>
      <c r="G69" s="158"/>
      <c r="H69" s="158"/>
      <c r="I69" s="158"/>
    </row>
    <row r="70" spans="2:10">
      <c r="B70" s="157"/>
      <c r="C70" s="158"/>
      <c r="D70" s="158"/>
      <c r="E70" s="158"/>
      <c r="F70" s="158"/>
      <c r="G70" s="158"/>
      <c r="H70" s="158"/>
      <c r="I70" s="158"/>
    </row>
    <row r="71" spans="2:10" ht="16.2" customHeight="1">
      <c r="B71" s="154"/>
      <c r="C71" s="153"/>
      <c r="D71" s="153"/>
      <c r="E71" s="153"/>
      <c r="F71" s="153"/>
      <c r="G71" s="153"/>
      <c r="H71" s="153"/>
      <c r="I71" s="153"/>
    </row>
    <row r="72" spans="2:10">
      <c r="B72" s="154"/>
      <c r="C72" s="153"/>
      <c r="D72" s="153"/>
      <c r="E72" s="153"/>
      <c r="F72" s="153"/>
      <c r="G72" s="153"/>
      <c r="H72" s="153"/>
      <c r="I72" s="153"/>
    </row>
    <row r="73" spans="2:10">
      <c r="B73" s="154"/>
      <c r="C73" s="153"/>
      <c r="D73" s="153"/>
      <c r="E73" s="153"/>
      <c r="F73" s="153"/>
      <c r="G73" s="153"/>
      <c r="H73" s="153"/>
      <c r="I73" s="153"/>
    </row>
    <row r="74" spans="2:10">
      <c r="B74" s="154"/>
      <c r="C74" s="153"/>
      <c r="D74" s="153"/>
      <c r="E74" s="153"/>
      <c r="F74" s="153"/>
      <c r="G74" s="153"/>
      <c r="H74" s="153"/>
      <c r="I74" s="153"/>
    </row>
    <row r="75" spans="2:10">
      <c r="B75" s="154"/>
      <c r="C75" s="154"/>
    </row>
  </sheetData>
  <pageMargins left="0.75" right="0.75" top="1" bottom="1" header="0.5" footer="0.5"/>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16E4CB-AC87-4FF1-AF31-190869CC74A7}">
  <dimension ref="A2:O65"/>
  <sheetViews>
    <sheetView showGridLines="0" zoomScale="91" zoomScaleNormal="70" workbookViewId="0">
      <pane ySplit="3" topLeftCell="A4" activePane="bottomLeft" state="frozen"/>
      <selection pane="bottomLeft" activeCell="B3" sqref="B3"/>
    </sheetView>
  </sheetViews>
  <sheetFormatPr defaultColWidth="8.88671875" defaultRowHeight="14.4"/>
  <cols>
    <col min="1" max="1" width="8.88671875" style="128"/>
    <col min="2" max="2" width="39.33203125" style="128" customWidth="1"/>
    <col min="3" max="3" width="8.44140625" style="128" hidden="1" customWidth="1"/>
    <col min="4" max="4" width="7.5546875" style="128" hidden="1" customWidth="1"/>
    <col min="5" max="5" width="7.88671875" style="128" hidden="1" customWidth="1"/>
    <col min="6" max="7" width="8.5546875" style="128" bestFit="1" customWidth="1"/>
    <col min="8" max="8" width="8.44140625" style="128" bestFit="1" customWidth="1"/>
    <col min="9" max="9" width="8.5546875" style="128" bestFit="1" customWidth="1"/>
    <col min="10" max="10" width="9.109375" style="128" bestFit="1" customWidth="1"/>
    <col min="11" max="16384" width="8.88671875" style="128"/>
  </cols>
  <sheetData>
    <row r="2" spans="1:12" ht="13.95" customHeight="1">
      <c r="B2" s="126" t="s">
        <v>69</v>
      </c>
      <c r="C2" s="126"/>
      <c r="D2" s="126"/>
      <c r="E2" s="126"/>
      <c r="F2" s="126"/>
      <c r="G2" s="126"/>
      <c r="H2" s="126"/>
    </row>
    <row r="3" spans="1:12">
      <c r="B3" s="129" t="s">
        <v>147</v>
      </c>
      <c r="C3" s="131">
        <v>2016</v>
      </c>
      <c r="D3" s="131">
        <f>C3+1</f>
        <v>2017</v>
      </c>
      <c r="E3" s="131">
        <f t="shared" ref="E3:J3" si="0">D3+1</f>
        <v>2018</v>
      </c>
      <c r="F3" s="131">
        <f t="shared" si="0"/>
        <v>2019</v>
      </c>
      <c r="G3" s="131">
        <f t="shared" si="0"/>
        <v>2020</v>
      </c>
      <c r="H3" s="131">
        <f t="shared" si="0"/>
        <v>2021</v>
      </c>
      <c r="I3" s="131">
        <f t="shared" si="0"/>
        <v>2022</v>
      </c>
      <c r="J3" s="131">
        <f t="shared" si="0"/>
        <v>2023</v>
      </c>
    </row>
    <row r="4" spans="1:12">
      <c r="B4" s="132"/>
    </row>
    <row r="5" spans="1:12">
      <c r="B5" s="132" t="s">
        <v>219</v>
      </c>
      <c r="C5" s="127">
        <v>24.29</v>
      </c>
      <c r="D5" s="127">
        <v>32.5</v>
      </c>
      <c r="E5" s="127">
        <v>64.95</v>
      </c>
      <c r="F5" s="127">
        <v>42.94</v>
      </c>
      <c r="G5" s="127">
        <v>137.97</v>
      </c>
      <c r="H5" s="127">
        <v>104.56</v>
      </c>
      <c r="I5" s="127">
        <v>150.75</v>
      </c>
      <c r="J5" s="354">
        <v>154.33199999999999</v>
      </c>
    </row>
    <row r="6" spans="1:12">
      <c r="B6" s="132"/>
      <c r="C6" s="127"/>
      <c r="D6" s="127"/>
      <c r="E6" s="127"/>
      <c r="F6" s="127"/>
      <c r="G6" s="127"/>
      <c r="H6" s="127"/>
      <c r="I6" s="127"/>
      <c r="J6" s="354"/>
    </row>
    <row r="7" spans="1:12">
      <c r="A7" s="162" t="s">
        <v>220</v>
      </c>
      <c r="B7" s="140" t="s">
        <v>221</v>
      </c>
      <c r="C7" s="144">
        <f>C28</f>
        <v>825.78</v>
      </c>
      <c r="D7" s="144">
        <f t="shared" ref="D7:J7" si="1">D28</f>
        <v>619.76</v>
      </c>
      <c r="E7" s="144">
        <f t="shared" si="1"/>
        <v>999.7800000000002</v>
      </c>
      <c r="F7" s="144">
        <f t="shared" si="1"/>
        <v>1307.5900000000001</v>
      </c>
      <c r="G7" s="144">
        <f t="shared" si="1"/>
        <v>1011.9900000000002</v>
      </c>
      <c r="H7" s="144">
        <f t="shared" si="1"/>
        <v>1231.42</v>
      </c>
      <c r="I7" s="144">
        <f t="shared" si="1"/>
        <v>1790.0300000000002</v>
      </c>
      <c r="J7" s="355">
        <f t="shared" si="1"/>
        <v>2391.1259999999997</v>
      </c>
    </row>
    <row r="8" spans="1:12">
      <c r="B8" s="132"/>
      <c r="C8" s="127"/>
      <c r="D8" s="127"/>
      <c r="E8" s="127"/>
      <c r="F8" s="127"/>
      <c r="G8" s="127"/>
      <c r="H8" s="127"/>
      <c r="I8" s="127"/>
      <c r="J8" s="354"/>
    </row>
    <row r="9" spans="1:12">
      <c r="B9" s="135" t="s">
        <v>222</v>
      </c>
      <c r="C9" s="136">
        <v>76.959999999999994</v>
      </c>
      <c r="D9" s="136">
        <v>289.60000000000002</v>
      </c>
      <c r="E9" s="136">
        <v>430.78</v>
      </c>
      <c r="F9" s="136">
        <v>691.91</v>
      </c>
      <c r="G9" s="136">
        <v>362.51</v>
      </c>
      <c r="H9" s="136">
        <v>1006.61</v>
      </c>
      <c r="I9" s="136">
        <v>2023.64</v>
      </c>
      <c r="J9" s="136">
        <v>2739.8389999999999</v>
      </c>
    </row>
    <row r="10" spans="1:12">
      <c r="B10" s="132"/>
      <c r="C10" s="127"/>
      <c r="D10" s="127"/>
      <c r="E10" s="127"/>
      <c r="F10" s="127"/>
      <c r="G10" s="127"/>
      <c r="H10" s="127"/>
      <c r="I10" s="127"/>
      <c r="J10" s="127"/>
    </row>
    <row r="11" spans="1:12">
      <c r="B11" s="132" t="s">
        <v>2</v>
      </c>
      <c r="C11" s="127">
        <v>322.20999999999998</v>
      </c>
      <c r="D11" s="127">
        <v>346.64</v>
      </c>
      <c r="E11" s="127">
        <v>385.07</v>
      </c>
      <c r="F11" s="127">
        <v>488.63</v>
      </c>
      <c r="G11" s="127">
        <v>528.70000000000005</v>
      </c>
      <c r="H11" s="127">
        <v>531.26</v>
      </c>
      <c r="I11" s="127">
        <v>617.19000000000005</v>
      </c>
      <c r="J11" s="127">
        <v>680.90599999999995</v>
      </c>
      <c r="K11" s="127"/>
      <c r="L11" s="143"/>
    </row>
    <row r="12" spans="1:12">
      <c r="B12" s="132" t="s">
        <v>223</v>
      </c>
      <c r="C12" s="127">
        <v>416.62</v>
      </c>
      <c r="D12" s="127">
        <v>197.21</v>
      </c>
      <c r="E12" s="127">
        <v>198.59</v>
      </c>
      <c r="F12" s="127">
        <v>297.19</v>
      </c>
      <c r="G12" s="127">
        <v>264.10000000000002</v>
      </c>
      <c r="H12" s="127">
        <v>170.52</v>
      </c>
      <c r="I12" s="127">
        <v>162.62</v>
      </c>
      <c r="J12" s="127">
        <v>245.29900000000001</v>
      </c>
      <c r="K12" s="127"/>
      <c r="L12" s="143"/>
    </row>
    <row r="13" spans="1:12">
      <c r="B13" s="132" t="s">
        <v>224</v>
      </c>
      <c r="C13" s="127">
        <v>0</v>
      </c>
      <c r="D13" s="127">
        <v>0</v>
      </c>
      <c r="E13" s="127">
        <v>0</v>
      </c>
      <c r="F13" s="127">
        <v>-0.02</v>
      </c>
      <c r="G13" s="127">
        <v>0</v>
      </c>
      <c r="H13" s="127">
        <v>0</v>
      </c>
      <c r="I13" s="127">
        <v>0</v>
      </c>
      <c r="J13" s="127"/>
    </row>
    <row r="14" spans="1:12">
      <c r="B14" s="132" t="s">
        <v>225</v>
      </c>
      <c r="C14" s="127">
        <v>11.33</v>
      </c>
      <c r="D14" s="127">
        <v>-2.19</v>
      </c>
      <c r="E14" s="127">
        <v>18.97</v>
      </c>
      <c r="F14" s="127">
        <v>-1.61</v>
      </c>
      <c r="G14" s="127">
        <v>1.44</v>
      </c>
      <c r="H14" s="127">
        <v>25.87</v>
      </c>
      <c r="I14" s="127">
        <v>62.33</v>
      </c>
      <c r="J14" s="127">
        <v>84.364000000000004</v>
      </c>
    </row>
    <row r="15" spans="1:12">
      <c r="B15" s="132" t="s">
        <v>226</v>
      </c>
      <c r="C15" s="127">
        <v>-0.1</v>
      </c>
      <c r="D15" s="127">
        <v>-0.04</v>
      </c>
      <c r="E15" s="127">
        <v>0</v>
      </c>
      <c r="F15" s="127">
        <v>-0.14000000000000001</v>
      </c>
      <c r="G15" s="127">
        <v>0</v>
      </c>
      <c r="H15" s="127">
        <v>-7.0000000000000007E-2</v>
      </c>
      <c r="I15" s="127">
        <v>-0.37</v>
      </c>
      <c r="J15" s="127">
        <v>-0.35099999999999998</v>
      </c>
    </row>
    <row r="16" spans="1:12">
      <c r="B16" s="132" t="s">
        <v>227</v>
      </c>
      <c r="C16" s="127">
        <v>-3.64</v>
      </c>
      <c r="D16" s="127">
        <v>31.5</v>
      </c>
      <c r="E16" s="127">
        <v>26.61</v>
      </c>
      <c r="F16" s="127">
        <v>4.05</v>
      </c>
      <c r="G16" s="127">
        <v>6.5</v>
      </c>
      <c r="H16" s="127">
        <v>0.05</v>
      </c>
      <c r="I16" s="127">
        <v>9</v>
      </c>
      <c r="J16" s="127"/>
    </row>
    <row r="17" spans="1:15">
      <c r="B17" s="132" t="s">
        <v>228</v>
      </c>
      <c r="C17" s="127">
        <v>-11.52</v>
      </c>
      <c r="D17" s="127">
        <v>7.64</v>
      </c>
      <c r="E17" s="127">
        <v>63.11</v>
      </c>
      <c r="F17" s="127">
        <v>48.62</v>
      </c>
      <c r="G17" s="127">
        <v>-29.42</v>
      </c>
      <c r="H17" s="127">
        <v>-109.85</v>
      </c>
      <c r="I17" s="127">
        <v>-128.77000000000001</v>
      </c>
      <c r="J17" s="127">
        <v>-0.32600000000000001</v>
      </c>
    </row>
    <row r="18" spans="1:15">
      <c r="B18" s="132" t="s">
        <v>229</v>
      </c>
      <c r="C18" s="127">
        <v>8.33</v>
      </c>
      <c r="D18" s="127">
        <v>3.05</v>
      </c>
      <c r="E18" s="127">
        <v>0</v>
      </c>
      <c r="F18" s="127">
        <v>-15.81</v>
      </c>
      <c r="G18" s="127">
        <v>66.53</v>
      </c>
      <c r="H18" s="127">
        <v>0</v>
      </c>
      <c r="I18" s="127">
        <v>2.91</v>
      </c>
      <c r="J18" s="127">
        <v>-17.184999999999999</v>
      </c>
      <c r="K18" s="127"/>
      <c r="L18" s="127"/>
      <c r="M18" s="127"/>
      <c r="N18" s="127"/>
      <c r="O18" s="143"/>
    </row>
    <row r="19" spans="1:15">
      <c r="B19" s="135" t="s">
        <v>230</v>
      </c>
      <c r="C19" s="136">
        <f>SUM(C11:C18)</f>
        <v>743.23</v>
      </c>
      <c r="D19" s="136">
        <f t="shared" ref="D19:J19" si="2">SUM(D11:D18)</f>
        <v>583.80999999999995</v>
      </c>
      <c r="E19" s="136">
        <f t="shared" si="2"/>
        <v>692.35</v>
      </c>
      <c r="F19" s="136">
        <f t="shared" si="2"/>
        <v>820.91</v>
      </c>
      <c r="G19" s="136">
        <f t="shared" si="2"/>
        <v>837.85000000000014</v>
      </c>
      <c r="H19" s="136">
        <f t="shared" si="2"/>
        <v>617.77999999999986</v>
      </c>
      <c r="I19" s="136">
        <f t="shared" si="2"/>
        <v>724.91000000000008</v>
      </c>
      <c r="J19" s="136">
        <f t="shared" si="2"/>
        <v>992.70699999999999</v>
      </c>
    </row>
    <row r="20" spans="1:15">
      <c r="B20" s="132"/>
      <c r="C20" s="127"/>
      <c r="D20" s="127"/>
      <c r="E20" s="127"/>
      <c r="F20" s="127"/>
      <c r="G20" s="127"/>
      <c r="H20" s="127"/>
      <c r="I20" s="127"/>
      <c r="J20" s="127"/>
    </row>
    <row r="21" spans="1:15">
      <c r="B21" s="132" t="s">
        <v>231</v>
      </c>
      <c r="C21" s="127">
        <f>SUM(C19,C9)</f>
        <v>820.19</v>
      </c>
      <c r="D21" s="127">
        <f t="shared" ref="D21:J21" si="3">SUM(D19,D9)</f>
        <v>873.41</v>
      </c>
      <c r="E21" s="127">
        <f t="shared" si="3"/>
        <v>1123.1300000000001</v>
      </c>
      <c r="F21" s="127">
        <f t="shared" si="3"/>
        <v>1512.82</v>
      </c>
      <c r="G21" s="127">
        <f t="shared" si="3"/>
        <v>1200.3600000000001</v>
      </c>
      <c r="H21" s="127">
        <f t="shared" si="3"/>
        <v>1624.3899999999999</v>
      </c>
      <c r="I21" s="127">
        <f t="shared" si="3"/>
        <v>2748.55</v>
      </c>
      <c r="J21" s="127">
        <f t="shared" si="3"/>
        <v>3732.5459999999998</v>
      </c>
    </row>
    <row r="22" spans="1:15">
      <c r="B22" s="132" t="s">
        <v>232</v>
      </c>
      <c r="C22" s="127">
        <v>7.49</v>
      </c>
      <c r="D22" s="127">
        <v>-34.43</v>
      </c>
      <c r="E22" s="127">
        <v>-13</v>
      </c>
      <c r="F22" s="127">
        <v>-32.21</v>
      </c>
      <c r="G22" s="127">
        <v>-75.75</v>
      </c>
      <c r="H22" s="127">
        <v>14.66</v>
      </c>
      <c r="I22" s="127">
        <v>-123.38</v>
      </c>
      <c r="J22" s="127">
        <v>-73.018000000000001</v>
      </c>
    </row>
    <row r="23" spans="1:15">
      <c r="B23" s="132" t="s">
        <v>233</v>
      </c>
      <c r="C23" s="127">
        <v>-39.22</v>
      </c>
      <c r="D23" s="127">
        <v>45</v>
      </c>
      <c r="E23" s="127">
        <v>-151.47</v>
      </c>
      <c r="F23" s="127">
        <v>-184.55</v>
      </c>
      <c r="G23" s="127">
        <v>-47.29</v>
      </c>
      <c r="H23" s="127">
        <v>-519.28</v>
      </c>
      <c r="I23" s="127">
        <v>-556.83000000000004</v>
      </c>
      <c r="J23" s="127">
        <v>-160.173</v>
      </c>
    </row>
    <row r="24" spans="1:15">
      <c r="B24" s="132" t="s">
        <v>229</v>
      </c>
      <c r="C24" s="127">
        <v>95.38</v>
      </c>
      <c r="D24" s="127">
        <v>-207.11</v>
      </c>
      <c r="E24" s="127">
        <v>114.41</v>
      </c>
      <c r="F24" s="127">
        <v>131.65</v>
      </c>
      <c r="G24" s="127">
        <v>12.19</v>
      </c>
      <c r="H24" s="127">
        <v>235.88</v>
      </c>
      <c r="I24" s="127">
        <v>95.02</v>
      </c>
      <c r="J24" s="127">
        <v>-440.29</v>
      </c>
      <c r="K24" s="127"/>
      <c r="L24" s="143"/>
    </row>
    <row r="25" spans="1:15">
      <c r="B25" s="135" t="s">
        <v>234</v>
      </c>
      <c r="C25" s="136">
        <f>SUM(C21:C24)</f>
        <v>883.84</v>
      </c>
      <c r="D25" s="136">
        <f t="shared" ref="D25:J25" si="4">SUM(D21:D24)</f>
        <v>676.87</v>
      </c>
      <c r="E25" s="136">
        <f t="shared" si="4"/>
        <v>1073.0700000000002</v>
      </c>
      <c r="F25" s="136">
        <f t="shared" si="4"/>
        <v>1427.71</v>
      </c>
      <c r="G25" s="136">
        <f t="shared" si="4"/>
        <v>1089.5100000000002</v>
      </c>
      <c r="H25" s="136">
        <f t="shared" si="4"/>
        <v>1355.65</v>
      </c>
      <c r="I25" s="136">
        <f t="shared" si="4"/>
        <v>2163.36</v>
      </c>
      <c r="J25" s="136">
        <f t="shared" si="4"/>
        <v>3059.0649999999996</v>
      </c>
    </row>
    <row r="26" spans="1:15">
      <c r="B26" s="132"/>
      <c r="C26" s="127"/>
      <c r="D26" s="127"/>
      <c r="E26" s="127"/>
      <c r="F26" s="127"/>
      <c r="G26" s="127"/>
      <c r="H26" s="127"/>
      <c r="I26" s="127"/>
      <c r="J26" s="127"/>
    </row>
    <row r="27" spans="1:15">
      <c r="B27" s="132" t="s">
        <v>235</v>
      </c>
      <c r="C27" s="127">
        <v>-58.06</v>
      </c>
      <c r="D27" s="127">
        <v>-57.11</v>
      </c>
      <c r="E27" s="127">
        <v>-73.290000000000006</v>
      </c>
      <c r="F27" s="127">
        <v>-120.12</v>
      </c>
      <c r="G27" s="127">
        <v>-77.52</v>
      </c>
      <c r="H27" s="127">
        <v>-124.23</v>
      </c>
      <c r="I27" s="127">
        <v>-373.33</v>
      </c>
      <c r="J27" s="127">
        <v>-667.93899999999996</v>
      </c>
    </row>
    <row r="28" spans="1:15">
      <c r="B28" s="135" t="s">
        <v>236</v>
      </c>
      <c r="C28" s="136">
        <f>SUM(C25,C27)</f>
        <v>825.78</v>
      </c>
      <c r="D28" s="136">
        <f t="shared" ref="D28:I28" si="5">SUM(D25,D27)</f>
        <v>619.76</v>
      </c>
      <c r="E28" s="136">
        <f t="shared" si="5"/>
        <v>999.7800000000002</v>
      </c>
      <c r="F28" s="136">
        <f t="shared" si="5"/>
        <v>1307.5900000000001</v>
      </c>
      <c r="G28" s="136">
        <f t="shared" si="5"/>
        <v>1011.9900000000002</v>
      </c>
      <c r="H28" s="136">
        <f t="shared" si="5"/>
        <v>1231.42</v>
      </c>
      <c r="I28" s="136">
        <f t="shared" si="5"/>
        <v>1790.0300000000002</v>
      </c>
      <c r="J28" s="136">
        <f>SUM(J25,J27)</f>
        <v>2391.1259999999997</v>
      </c>
    </row>
    <row r="29" spans="1:15">
      <c r="B29" s="135"/>
      <c r="C29" s="136"/>
      <c r="D29" s="136"/>
      <c r="E29" s="136"/>
      <c r="F29" s="136"/>
      <c r="G29" s="136"/>
      <c r="H29" s="136"/>
      <c r="I29" s="136"/>
      <c r="J29" s="136"/>
    </row>
    <row r="30" spans="1:15">
      <c r="A30" s="162" t="s">
        <v>220</v>
      </c>
      <c r="B30" s="140" t="s">
        <v>237</v>
      </c>
      <c r="C30" s="144">
        <f>SUM(C32:C38)</f>
        <v>-1047.7999999999997</v>
      </c>
      <c r="D30" s="144">
        <f t="shared" ref="D30:I30" si="6">SUM(D32:D38)</f>
        <v>-745.95</v>
      </c>
      <c r="E30" s="144">
        <f t="shared" si="6"/>
        <v>-937.41000000000008</v>
      </c>
      <c r="F30" s="144">
        <f t="shared" si="6"/>
        <v>-2319.9300000000003</v>
      </c>
      <c r="G30" s="144">
        <f t="shared" si="6"/>
        <v>-471.66999999999996</v>
      </c>
      <c r="H30" s="144">
        <f t="shared" si="6"/>
        <v>-1007.5499999999998</v>
      </c>
      <c r="I30" s="144">
        <f t="shared" si="6"/>
        <v>-1768.5000000000002</v>
      </c>
      <c r="J30" s="144">
        <f>SUM(J32:J38)</f>
        <v>-3288.1079999999997</v>
      </c>
    </row>
    <row r="31" spans="1:15">
      <c r="A31" s="162"/>
      <c r="B31" s="135"/>
      <c r="C31" s="136"/>
      <c r="D31" s="136"/>
      <c r="E31" s="136"/>
      <c r="F31" s="136"/>
      <c r="G31" s="136"/>
      <c r="H31" s="136"/>
      <c r="I31" s="136"/>
      <c r="J31" s="136"/>
    </row>
    <row r="32" spans="1:15">
      <c r="A32" s="162"/>
      <c r="B32" s="132" t="s">
        <v>238</v>
      </c>
      <c r="C32" s="127">
        <v>-792.4</v>
      </c>
      <c r="D32" s="127">
        <v>-532.99</v>
      </c>
      <c r="E32" s="127">
        <v>-858.65</v>
      </c>
      <c r="F32" s="127">
        <v>-753.63</v>
      </c>
      <c r="G32" s="127">
        <v>-559.66999999999996</v>
      </c>
      <c r="H32" s="127">
        <v>-834.8</v>
      </c>
      <c r="I32" s="127">
        <v>-1800.99</v>
      </c>
      <c r="J32" s="127">
        <v>-3264.049</v>
      </c>
    </row>
    <row r="33" spans="1:10">
      <c r="B33" s="132" t="s">
        <v>239</v>
      </c>
      <c r="C33" s="127">
        <v>12.09</v>
      </c>
      <c r="D33" s="127">
        <v>16.510000000000002</v>
      </c>
      <c r="E33" s="127">
        <v>49.88</v>
      </c>
      <c r="F33" s="127">
        <v>20.55</v>
      </c>
      <c r="G33" s="127">
        <v>24.06</v>
      </c>
      <c r="H33" s="127">
        <v>19.350000000000001</v>
      </c>
      <c r="I33" s="127">
        <v>51.09</v>
      </c>
      <c r="J33" s="127">
        <v>70.131</v>
      </c>
    </row>
    <row r="34" spans="1:10">
      <c r="B34" s="132" t="s">
        <v>240</v>
      </c>
      <c r="C34" s="127">
        <v>-35</v>
      </c>
      <c r="D34" s="127">
        <v>-35</v>
      </c>
      <c r="E34" s="127">
        <v>0</v>
      </c>
      <c r="F34" s="127">
        <v>-73</v>
      </c>
      <c r="G34" s="127">
        <v>0</v>
      </c>
      <c r="H34" s="127">
        <v>0</v>
      </c>
      <c r="I34" s="127">
        <v>0</v>
      </c>
      <c r="J34" s="127">
        <v>-21.556999999999999</v>
      </c>
    </row>
    <row r="35" spans="1:10">
      <c r="B35" s="132" t="s">
        <v>241</v>
      </c>
      <c r="C35" s="127">
        <v>35.020000000000003</v>
      </c>
      <c r="D35" s="127">
        <v>35.04</v>
      </c>
      <c r="E35" s="127">
        <v>0</v>
      </c>
      <c r="F35" s="127">
        <v>73.14</v>
      </c>
      <c r="G35" s="127">
        <v>0</v>
      </c>
      <c r="H35" s="127">
        <v>7.0000000000000007E-2</v>
      </c>
      <c r="I35" s="127">
        <v>0.37</v>
      </c>
      <c r="J35" s="127">
        <v>0.35099999999999998</v>
      </c>
    </row>
    <row r="36" spans="1:10">
      <c r="B36" s="132" t="s">
        <v>242</v>
      </c>
      <c r="C36" s="127">
        <v>8.4700000000000006</v>
      </c>
      <c r="D36" s="127">
        <v>5.31</v>
      </c>
      <c r="E36" s="127">
        <v>5.55</v>
      </c>
      <c r="F36" s="127">
        <v>4.62</v>
      </c>
      <c r="G36" s="127">
        <v>8.69</v>
      </c>
      <c r="H36" s="127">
        <v>13.25</v>
      </c>
      <c r="I36" s="127">
        <v>23.24</v>
      </c>
      <c r="J36" s="127">
        <v>22.015999999999998</v>
      </c>
    </row>
    <row r="37" spans="1:10">
      <c r="B37" s="132" t="s">
        <v>243</v>
      </c>
      <c r="C37" s="127">
        <v>-275.86</v>
      </c>
      <c r="D37" s="127">
        <v>-211.72</v>
      </c>
      <c r="E37" s="127">
        <v>0</v>
      </c>
      <c r="F37" s="127">
        <v>-8.34</v>
      </c>
      <c r="G37" s="127">
        <v>0</v>
      </c>
      <c r="H37" s="127">
        <v>0</v>
      </c>
      <c r="I37" s="127">
        <v>0</v>
      </c>
      <c r="J37" s="127">
        <v>-10</v>
      </c>
    </row>
    <row r="38" spans="1:10">
      <c r="B38" s="132" t="s">
        <v>229</v>
      </c>
      <c r="C38" s="127">
        <v>-0.12</v>
      </c>
      <c r="D38" s="127">
        <v>-23.1</v>
      </c>
      <c r="E38" s="127">
        <v>-134.19</v>
      </c>
      <c r="F38" s="127">
        <v>-1583.27</v>
      </c>
      <c r="G38" s="127">
        <v>55.25</v>
      </c>
      <c r="H38" s="127">
        <v>-205.42</v>
      </c>
      <c r="I38" s="127">
        <v>-42.21</v>
      </c>
      <c r="J38" s="127">
        <v>-85</v>
      </c>
    </row>
    <row r="39" spans="1:10">
      <c r="B39" s="132"/>
      <c r="C39" s="127"/>
      <c r="D39" s="127"/>
      <c r="E39" s="127"/>
      <c r="F39" s="127"/>
      <c r="G39" s="127"/>
      <c r="H39" s="127"/>
      <c r="I39" s="127"/>
      <c r="J39" s="127"/>
    </row>
    <row r="40" spans="1:10">
      <c r="A40" s="162" t="s">
        <v>220</v>
      </c>
      <c r="B40" s="140" t="s">
        <v>244</v>
      </c>
      <c r="C40" s="144">
        <f>SUM(C41:C53)</f>
        <v>230.23999999999995</v>
      </c>
      <c r="D40" s="144">
        <f t="shared" ref="D40:J40" si="7">SUM(D41:D53)</f>
        <v>158.63000000000002</v>
      </c>
      <c r="E40" s="144">
        <f t="shared" si="7"/>
        <v>-84.390000000000128</v>
      </c>
      <c r="F40" s="144">
        <f t="shared" si="7"/>
        <v>1107.3399999999999</v>
      </c>
      <c r="G40" s="144">
        <f t="shared" si="7"/>
        <v>-573.73</v>
      </c>
      <c r="H40" s="144">
        <f t="shared" si="7"/>
        <v>-177.69000000000011</v>
      </c>
      <c r="I40" s="144">
        <f t="shared" si="7"/>
        <v>-17.949999999999875</v>
      </c>
      <c r="J40" s="144">
        <f t="shared" si="7"/>
        <v>984.9000000000002</v>
      </c>
    </row>
    <row r="41" spans="1:10">
      <c r="B41" s="132" t="s">
        <v>245</v>
      </c>
      <c r="C41" s="127">
        <v>701.36</v>
      </c>
      <c r="D41" s="127">
        <v>4.0999999999999996</v>
      </c>
      <c r="E41" s="127">
        <v>0.72</v>
      </c>
      <c r="F41" s="127">
        <v>900.18</v>
      </c>
      <c r="G41" s="127">
        <v>0</v>
      </c>
      <c r="H41" s="127">
        <v>0</v>
      </c>
      <c r="I41" s="127">
        <v>0</v>
      </c>
      <c r="J41" s="127">
        <v>0</v>
      </c>
    </row>
    <row r="42" spans="1:10">
      <c r="B42" s="132" t="s">
        <v>246</v>
      </c>
      <c r="C42" s="127">
        <v>180</v>
      </c>
      <c r="D42" s="127">
        <v>300</v>
      </c>
      <c r="E42" s="127">
        <v>0</v>
      </c>
      <c r="F42" s="127">
        <v>0</v>
      </c>
      <c r="G42" s="127">
        <v>0</v>
      </c>
      <c r="H42" s="127">
        <v>0</v>
      </c>
      <c r="I42" s="127">
        <v>0</v>
      </c>
      <c r="J42" s="127">
        <v>0</v>
      </c>
    </row>
    <row r="43" spans="1:10">
      <c r="B43" s="132" t="s">
        <v>247</v>
      </c>
      <c r="C43" s="127">
        <v>0</v>
      </c>
      <c r="D43" s="127">
        <v>0</v>
      </c>
      <c r="E43" s="127">
        <v>1375.85</v>
      </c>
      <c r="F43" s="127">
        <v>1869.58</v>
      </c>
      <c r="G43" s="127">
        <v>773.48</v>
      </c>
      <c r="H43" s="127">
        <v>854.81</v>
      </c>
      <c r="I43" s="127">
        <v>1477.72</v>
      </c>
      <c r="J43" s="127">
        <v>2401.6610000000001</v>
      </c>
    </row>
    <row r="44" spans="1:10">
      <c r="B44" s="132" t="s">
        <v>248</v>
      </c>
      <c r="C44" s="127">
        <v>0</v>
      </c>
      <c r="D44" s="127">
        <v>0</v>
      </c>
      <c r="E44" s="127">
        <v>0</v>
      </c>
      <c r="F44" s="127">
        <v>0</v>
      </c>
      <c r="G44" s="127">
        <v>0</v>
      </c>
      <c r="H44" s="127">
        <v>0</v>
      </c>
      <c r="I44" s="127">
        <v>0</v>
      </c>
      <c r="J44" s="127">
        <v>0</v>
      </c>
    </row>
    <row r="45" spans="1:10">
      <c r="B45" s="132" t="s">
        <v>249</v>
      </c>
      <c r="C45" s="127">
        <v>0</v>
      </c>
      <c r="D45" s="127">
        <v>0</v>
      </c>
      <c r="E45" s="127">
        <v>24.29</v>
      </c>
      <c r="F45" s="127">
        <v>88.86</v>
      </c>
      <c r="G45" s="127">
        <v>246.7</v>
      </c>
      <c r="H45" s="127">
        <v>0</v>
      </c>
      <c r="I45" s="127">
        <v>0</v>
      </c>
      <c r="J45" s="127">
        <v>0</v>
      </c>
    </row>
    <row r="46" spans="1:10">
      <c r="B46" s="132" t="s">
        <v>250</v>
      </c>
      <c r="C46" s="127">
        <v>-20.59</v>
      </c>
      <c r="D46" s="127">
        <v>0.11</v>
      </c>
      <c r="E46" s="127">
        <v>0</v>
      </c>
      <c r="F46" s="127">
        <v>0</v>
      </c>
      <c r="G46" s="127">
        <v>0</v>
      </c>
      <c r="H46" s="127">
        <v>0</v>
      </c>
      <c r="I46" s="127">
        <v>0</v>
      </c>
      <c r="J46" s="127">
        <v>0</v>
      </c>
    </row>
    <row r="47" spans="1:10">
      <c r="B47" s="132" t="s">
        <v>251</v>
      </c>
      <c r="C47" s="127">
        <v>-500</v>
      </c>
      <c r="D47" s="127">
        <v>0</v>
      </c>
      <c r="E47" s="127">
        <v>-300</v>
      </c>
      <c r="F47" s="127">
        <v>0</v>
      </c>
      <c r="G47" s="127">
        <v>0</v>
      </c>
      <c r="H47" s="127">
        <v>0</v>
      </c>
      <c r="I47" s="127">
        <v>0</v>
      </c>
      <c r="J47" s="127">
        <v>0</v>
      </c>
    </row>
    <row r="48" spans="1:10">
      <c r="B48" s="132" t="s">
        <v>252</v>
      </c>
      <c r="C48" s="127">
        <v>0</v>
      </c>
      <c r="D48" s="127">
        <v>0</v>
      </c>
      <c r="E48" s="127">
        <v>-643.51</v>
      </c>
      <c r="F48" s="127">
        <v>-1309.78</v>
      </c>
      <c r="G48" s="127">
        <v>-1233.23</v>
      </c>
      <c r="H48" s="127">
        <v>-640.85</v>
      </c>
      <c r="I48" s="127">
        <v>-1137.3599999999999</v>
      </c>
      <c r="J48" s="127">
        <v>-1276.5219999999999</v>
      </c>
    </row>
    <row r="49" spans="2:12">
      <c r="B49" s="132" t="s">
        <v>253</v>
      </c>
      <c r="C49" s="127">
        <v>71.209999999999994</v>
      </c>
      <c r="D49" s="127">
        <v>-57.3</v>
      </c>
      <c r="E49" s="127">
        <v>0</v>
      </c>
      <c r="F49" s="127">
        <v>0</v>
      </c>
      <c r="G49" s="127">
        <v>0</v>
      </c>
      <c r="H49" s="127">
        <v>-85.37</v>
      </c>
      <c r="I49" s="127">
        <v>-0.8</v>
      </c>
      <c r="J49" s="127">
        <v>381.26600000000002</v>
      </c>
    </row>
    <row r="50" spans="2:12">
      <c r="B50" s="132" t="s">
        <v>254</v>
      </c>
      <c r="C50" s="127">
        <v>0</v>
      </c>
      <c r="D50" s="127">
        <v>0</v>
      </c>
      <c r="E50" s="127">
        <v>0</v>
      </c>
      <c r="F50" s="127">
        <v>0</v>
      </c>
      <c r="G50" s="127">
        <v>-11.16</v>
      </c>
      <c r="H50" s="127">
        <v>-18.87</v>
      </c>
      <c r="I50" s="127">
        <v>-23.44</v>
      </c>
      <c r="J50" s="127">
        <v>-29.507000000000001</v>
      </c>
      <c r="K50" s="127"/>
      <c r="L50" s="127"/>
    </row>
    <row r="51" spans="2:12">
      <c r="B51" s="132" t="s">
        <v>255</v>
      </c>
      <c r="C51" s="127">
        <v>0</v>
      </c>
      <c r="D51" s="127">
        <v>-45.63</v>
      </c>
      <c r="E51" s="127">
        <v>-45.6</v>
      </c>
      <c r="F51" s="127">
        <v>-69.010000000000005</v>
      </c>
      <c r="G51" s="127">
        <v>-72.17</v>
      </c>
      <c r="H51" s="127">
        <v>-108.26</v>
      </c>
      <c r="I51" s="127">
        <v>-162.38999999999999</v>
      </c>
      <c r="J51" s="127">
        <v>-227.34800000000001</v>
      </c>
    </row>
    <row r="52" spans="2:12">
      <c r="B52" s="132" t="s">
        <v>256</v>
      </c>
      <c r="C52" s="127">
        <v>-218.57</v>
      </c>
      <c r="D52" s="127">
        <v>-155.65</v>
      </c>
      <c r="E52" s="127">
        <v>-188.6</v>
      </c>
      <c r="F52" s="127">
        <v>-303.49</v>
      </c>
      <c r="G52" s="127">
        <v>-277.35000000000002</v>
      </c>
      <c r="H52" s="127">
        <v>-179.15</v>
      </c>
      <c r="I52" s="127">
        <v>-171.68</v>
      </c>
      <c r="J52" s="127">
        <v>-269.44200000000001</v>
      </c>
    </row>
    <row r="53" spans="2:12">
      <c r="B53" s="132" t="s">
        <v>229</v>
      </c>
      <c r="C53" s="127">
        <v>16.829999999999998</v>
      </c>
      <c r="D53" s="127">
        <v>113</v>
      </c>
      <c r="E53" s="127">
        <v>-307.54000000000002</v>
      </c>
      <c r="F53" s="127">
        <v>-69</v>
      </c>
      <c r="G53" s="127">
        <v>0</v>
      </c>
      <c r="H53" s="127">
        <v>0</v>
      </c>
      <c r="I53" s="127">
        <v>0</v>
      </c>
      <c r="J53" s="127">
        <v>4.7919999999999998</v>
      </c>
    </row>
    <row r="54" spans="2:12">
      <c r="B54" s="132"/>
      <c r="C54" s="127"/>
      <c r="D54" s="127"/>
      <c r="E54" s="127"/>
      <c r="F54" s="127"/>
      <c r="G54" s="127"/>
      <c r="H54" s="127"/>
      <c r="I54" s="127"/>
      <c r="J54" s="127"/>
    </row>
    <row r="55" spans="2:12">
      <c r="B55" s="135" t="s">
        <v>257</v>
      </c>
      <c r="C55" s="136">
        <f>SUM(C7,C30,C40)</f>
        <v>8.2200000000001978</v>
      </c>
      <c r="D55" s="136">
        <f t="shared" ref="D55:I55" si="8">SUM(D7,D30,D40)</f>
        <v>32.439999999999969</v>
      </c>
      <c r="E55" s="136">
        <f t="shared" si="8"/>
        <v>-22.02000000000001</v>
      </c>
      <c r="F55" s="136">
        <f t="shared" si="8"/>
        <v>94.999999999999773</v>
      </c>
      <c r="G55" s="136">
        <f t="shared" si="8"/>
        <v>-33.409999999999741</v>
      </c>
      <c r="H55" s="136">
        <f t="shared" si="8"/>
        <v>46.180000000000121</v>
      </c>
      <c r="I55" s="136">
        <f t="shared" si="8"/>
        <v>3.5800000000000978</v>
      </c>
      <c r="J55" s="136">
        <f>SUM(J7,J30,J40)</f>
        <v>87.918000000000234</v>
      </c>
    </row>
    <row r="56" spans="2:12">
      <c r="B56" s="132"/>
      <c r="C56" s="127"/>
      <c r="D56" s="127"/>
      <c r="E56" s="127"/>
      <c r="F56" s="127"/>
      <c r="G56" s="127"/>
      <c r="H56" s="127"/>
      <c r="I56" s="127"/>
      <c r="J56" s="127"/>
    </row>
    <row r="57" spans="2:12">
      <c r="B57" s="135" t="s">
        <v>258</v>
      </c>
      <c r="C57" s="136">
        <f>SUM(C5,C55)</f>
        <v>32.510000000000197</v>
      </c>
      <c r="D57" s="136">
        <f t="shared" ref="D57:I57" si="9">SUM(D5,D55)</f>
        <v>64.939999999999969</v>
      </c>
      <c r="E57" s="136">
        <f t="shared" si="9"/>
        <v>42.929999999999993</v>
      </c>
      <c r="F57" s="136">
        <f t="shared" si="9"/>
        <v>137.93999999999977</v>
      </c>
      <c r="G57" s="136">
        <f t="shared" si="9"/>
        <v>104.56000000000026</v>
      </c>
      <c r="H57" s="136">
        <f t="shared" si="9"/>
        <v>150.74000000000012</v>
      </c>
      <c r="I57" s="136">
        <f t="shared" si="9"/>
        <v>154.3300000000001</v>
      </c>
      <c r="J57" s="136">
        <f>SUM(J5,J55:J56)</f>
        <v>242.25000000000023</v>
      </c>
    </row>
    <row r="58" spans="2:12">
      <c r="B58" s="132"/>
      <c r="C58" s="127"/>
      <c r="D58" s="127"/>
      <c r="E58" s="127"/>
      <c r="F58" s="127"/>
      <c r="G58" s="127"/>
      <c r="H58" s="127"/>
      <c r="I58" s="127"/>
      <c r="J58" s="143"/>
    </row>
    <row r="59" spans="2:12">
      <c r="B59" s="132"/>
      <c r="C59" s="127"/>
      <c r="D59" s="127"/>
      <c r="E59" s="127"/>
      <c r="F59" s="127"/>
      <c r="G59" s="127"/>
      <c r="H59" s="127"/>
      <c r="I59" s="127"/>
      <c r="J59" s="143"/>
    </row>
    <row r="60" spans="2:12">
      <c r="J60" s="143"/>
    </row>
    <row r="61" spans="2:12">
      <c r="J61" s="143"/>
    </row>
    <row r="62" spans="2:12">
      <c r="J62" s="143"/>
    </row>
    <row r="63" spans="2:12">
      <c r="J63" s="143"/>
    </row>
    <row r="64" spans="2:12">
      <c r="J64" s="143"/>
    </row>
    <row r="65" spans="10:10">
      <c r="J65" s="143"/>
    </row>
  </sheetData>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Input Sheet</vt:lpstr>
      <vt:lpstr>ControlSheet</vt:lpstr>
      <vt:lpstr>Schedules</vt:lpstr>
      <vt:lpstr>3StatementModel</vt:lpstr>
      <vt:lpstr>Common Size Statement</vt:lpstr>
      <vt:lpstr>Ratios</vt:lpstr>
      <vt:lpstr>DCF&gt;</vt:lpstr>
      <vt:lpstr>WACC</vt:lpstr>
      <vt:lpstr>DCF-Valn</vt:lpstr>
      <vt:lpstr>Relative&gt;</vt:lpstr>
      <vt:lpstr>Comps_Description</vt:lpstr>
      <vt:lpstr>Benchmarking</vt:lpstr>
      <vt:lpstr>Relative_Val</vt:lpstr>
      <vt:lpstr>Workings&gt;</vt:lpstr>
      <vt:lpstr>Option value</vt:lpstr>
      <vt:lpstr>Assumptions working</vt:lpstr>
      <vt:lpstr>Report</vt:lpstr>
      <vt:lpstr>Damodaran data</vt:lpstr>
      <vt:lpstr>Data&gt;</vt:lpstr>
      <vt:lpstr>IncomeStatement</vt:lpstr>
      <vt:lpstr>BalanceSheet</vt:lpstr>
      <vt:lpstr>CashFlowStatement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Parth Verma</dc:creator>
  <cp:lastModifiedBy>Ishan Gupta</cp:lastModifiedBy>
  <cp:lastPrinted>2024-05-27T11:25:58Z</cp:lastPrinted>
  <dcterms:created xsi:type="dcterms:W3CDTF">2023-09-22T06:48:58Z</dcterms:created>
  <dcterms:modified xsi:type="dcterms:W3CDTF">2024-07-03T09:07:15Z</dcterms:modified>
</cp:coreProperties>
</file>