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rateek kumar yadav\Desktop\"/>
    </mc:Choice>
  </mc:AlternateContent>
  <xr:revisionPtr revIDLastSave="0" documentId="13_ncr:1_{E0063240-2EAA-42BD-90CB-FF25D8A5ADA8}" xr6:coauthVersionLast="47" xr6:coauthVersionMax="47" xr10:uidLastSave="{00000000-0000-0000-0000-000000000000}"/>
  <bookViews>
    <workbookView xWindow="-108" yWindow="-108" windowWidth="23256" windowHeight="12576" xr2:uid="{090F9EC2-0D03-4A2C-862E-E072B5CD1886}"/>
  </bookViews>
  <sheets>
    <sheet name="Market Estimation" sheetId="1" r:id="rId1"/>
    <sheet name="Sheet2" sheetId="6" state="hidden" r:id="rId2"/>
    <sheet name="Market Forecasting by Segments" sheetId="5" r:id="rId3"/>
    <sheet name="Sheet4" sheetId="4" state="hidden" r:id="rId4"/>
    <sheet name="Sheet3" sheetId="3" state="hidden" r:id="rId5"/>
    <sheet name="Demand-supply analysis" sheetId="7" r:id="rId6"/>
    <sheet name="Parexcel Revenue Estimation"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 i="7" l="1"/>
  <c r="H6" i="7"/>
  <c r="I6" i="7"/>
  <c r="J6" i="7"/>
  <c r="L6" i="7" s="1"/>
  <c r="K6" i="7"/>
  <c r="M6" i="7"/>
  <c r="O6" i="7" s="1"/>
  <c r="N6" i="7"/>
  <c r="P6" i="7"/>
  <c r="Q6" i="7"/>
  <c r="R6" i="7"/>
  <c r="S6" i="7"/>
  <c r="T6" i="7"/>
  <c r="U6" i="7"/>
  <c r="V6" i="7"/>
  <c r="X6" i="7" s="1"/>
  <c r="W6" i="7"/>
  <c r="G7" i="7"/>
  <c r="I7" i="7" s="1"/>
  <c r="H7" i="7"/>
  <c r="J7" i="7"/>
  <c r="L7" i="7" s="1"/>
  <c r="K7" i="7"/>
  <c r="M7" i="7"/>
  <c r="N7" i="7"/>
  <c r="O7" i="7"/>
  <c r="P7" i="7"/>
  <c r="Q7" i="7"/>
  <c r="R7" i="7"/>
  <c r="S7" i="7"/>
  <c r="U7" i="7" s="1"/>
  <c r="T7" i="7"/>
  <c r="V7" i="7"/>
  <c r="X7" i="7" s="1"/>
  <c r="W7" i="7"/>
  <c r="G8" i="7"/>
  <c r="H8" i="7"/>
  <c r="I8" i="7"/>
  <c r="J8" i="7"/>
  <c r="K8" i="7"/>
  <c r="L8" i="7"/>
  <c r="M8" i="7"/>
  <c r="O8" i="7" s="1"/>
  <c r="N8" i="7"/>
  <c r="P8" i="7"/>
  <c r="R8" i="7" s="1"/>
  <c r="Q8" i="7"/>
  <c r="S8" i="7"/>
  <c r="T8" i="7"/>
  <c r="U8" i="7"/>
  <c r="V8" i="7"/>
  <c r="W8" i="7"/>
  <c r="X8" i="7"/>
  <c r="G9" i="7"/>
  <c r="I9" i="7" s="1"/>
  <c r="H9" i="7"/>
  <c r="J9" i="7"/>
  <c r="L9" i="7" s="1"/>
  <c r="K9" i="7"/>
  <c r="M9" i="7"/>
  <c r="N9" i="7"/>
  <c r="O9" i="7"/>
  <c r="P9" i="7"/>
  <c r="Q9" i="7"/>
  <c r="R9" i="7"/>
  <c r="S9" i="7"/>
  <c r="U9" i="7" s="1"/>
  <c r="T9" i="7"/>
  <c r="V9" i="7"/>
  <c r="X9" i="7" s="1"/>
  <c r="W9" i="7"/>
  <c r="G10" i="7"/>
  <c r="H10" i="7"/>
  <c r="I10" i="7"/>
  <c r="J10" i="7"/>
  <c r="K10" i="7"/>
  <c r="L10" i="7"/>
  <c r="M10" i="7"/>
  <c r="O10" i="7" s="1"/>
  <c r="N10" i="7"/>
  <c r="P10" i="7"/>
  <c r="R10" i="7" s="1"/>
  <c r="Q10" i="7"/>
  <c r="S10" i="7"/>
  <c r="T10" i="7"/>
  <c r="U10" i="7"/>
  <c r="V10" i="7"/>
  <c r="W10" i="7"/>
  <c r="X10" i="7"/>
  <c r="G11" i="7"/>
  <c r="I11" i="7" s="1"/>
  <c r="H11" i="7"/>
  <c r="J11" i="7"/>
  <c r="L11" i="7" s="1"/>
  <c r="K11" i="7"/>
  <c r="M11" i="7"/>
  <c r="N11" i="7"/>
  <c r="O11" i="7"/>
  <c r="P11" i="7"/>
  <c r="Q11" i="7"/>
  <c r="R11" i="7"/>
  <c r="S11" i="7"/>
  <c r="U11" i="7" s="1"/>
  <c r="T11" i="7"/>
  <c r="V11" i="7"/>
  <c r="X11" i="7" s="1"/>
  <c r="W11" i="7"/>
  <c r="G12" i="7"/>
  <c r="H12" i="7"/>
  <c r="I12" i="7"/>
  <c r="J12" i="7"/>
  <c r="K12" i="7"/>
  <c r="L12" i="7"/>
  <c r="M12" i="7"/>
  <c r="O12" i="7" s="1"/>
  <c r="N12" i="7"/>
  <c r="P12" i="7"/>
  <c r="R12" i="7" s="1"/>
  <c r="Q12" i="7"/>
  <c r="S12" i="7"/>
  <c r="T12" i="7"/>
  <c r="U12" i="7"/>
  <c r="V12" i="7"/>
  <c r="W12" i="7"/>
  <c r="X12" i="7"/>
  <c r="G13" i="7"/>
  <c r="I13" i="7" s="1"/>
  <c r="H13" i="7"/>
  <c r="J13" i="7"/>
  <c r="L13" i="7" s="1"/>
  <c r="K13" i="7"/>
  <c r="M13" i="7"/>
  <c r="N13" i="7"/>
  <c r="O13" i="7"/>
  <c r="P13" i="7"/>
  <c r="Q13" i="7"/>
  <c r="R13" i="7"/>
  <c r="S13" i="7"/>
  <c r="U13" i="7" s="1"/>
  <c r="T13" i="7"/>
  <c r="V13" i="7"/>
  <c r="X13" i="7" s="1"/>
  <c r="W13" i="7"/>
  <c r="G14" i="7"/>
  <c r="H14" i="7"/>
  <c r="I14" i="7"/>
  <c r="J14" i="7"/>
  <c r="K14" i="7"/>
  <c r="L14" i="7"/>
  <c r="M14" i="7"/>
  <c r="O14" i="7" s="1"/>
  <c r="N14" i="7"/>
  <c r="P14" i="7"/>
  <c r="R14" i="7" s="1"/>
  <c r="Q14" i="7"/>
  <c r="S14" i="7"/>
  <c r="T14" i="7"/>
  <c r="U14" i="7"/>
  <c r="V14" i="7"/>
  <c r="W14" i="7"/>
  <c r="X14" i="7"/>
  <c r="G15" i="7"/>
  <c r="I15" i="7" s="1"/>
  <c r="H15" i="7"/>
  <c r="J15" i="7"/>
  <c r="L15" i="7" s="1"/>
  <c r="K15" i="7"/>
  <c r="M15" i="7"/>
  <c r="N15" i="7"/>
  <c r="O15" i="7"/>
  <c r="P15" i="7"/>
  <c r="Q15" i="7"/>
  <c r="R15" i="7"/>
  <c r="S15" i="7"/>
  <c r="U15" i="7" s="1"/>
  <c r="T15" i="7"/>
  <c r="V15" i="7"/>
  <c r="X15" i="7" s="1"/>
  <c r="W15" i="7"/>
  <c r="G16" i="7"/>
  <c r="H16" i="7"/>
  <c r="I16" i="7"/>
  <c r="J16" i="7"/>
  <c r="K16" i="7"/>
  <c r="L16" i="7"/>
  <c r="M16" i="7"/>
  <c r="O16" i="7" s="1"/>
  <c r="N16" i="7"/>
  <c r="P16" i="7"/>
  <c r="R16" i="7" s="1"/>
  <c r="Q16" i="7"/>
  <c r="S16" i="7"/>
  <c r="T16" i="7"/>
  <c r="U16" i="7"/>
  <c r="V16" i="7"/>
  <c r="W16" i="7"/>
  <c r="X16" i="7"/>
  <c r="G17" i="7"/>
  <c r="I17" i="7" s="1"/>
  <c r="H17" i="7"/>
  <c r="J17" i="7"/>
  <c r="L17" i="7" s="1"/>
  <c r="K17" i="7"/>
  <c r="M17" i="7"/>
  <c r="N17" i="7"/>
  <c r="O17" i="7"/>
  <c r="P17" i="7"/>
  <c r="Q17" i="7"/>
  <c r="R17" i="7"/>
  <c r="S17" i="7"/>
  <c r="U17" i="7" s="1"/>
  <c r="T17" i="7"/>
  <c r="V17" i="7"/>
  <c r="X17" i="7" s="1"/>
  <c r="W17" i="7"/>
  <c r="G18" i="7"/>
  <c r="H18" i="7"/>
  <c r="I18" i="7"/>
  <c r="J18" i="7"/>
  <c r="K18" i="7"/>
  <c r="L18" i="7"/>
  <c r="M18" i="7"/>
  <c r="O18" i="7" s="1"/>
  <c r="N18" i="7"/>
  <c r="P18" i="7"/>
  <c r="R18" i="7" s="1"/>
  <c r="Q18" i="7"/>
  <c r="S18" i="7"/>
  <c r="T18" i="7"/>
  <c r="U18" i="7"/>
  <c r="V18" i="7"/>
  <c r="W18" i="7"/>
  <c r="X18" i="7"/>
  <c r="G19" i="7"/>
  <c r="I19" i="7" s="1"/>
  <c r="H19" i="7"/>
  <c r="J19" i="7"/>
  <c r="L19" i="7" s="1"/>
  <c r="K19" i="7"/>
  <c r="M19" i="7"/>
  <c r="N19" i="7"/>
  <c r="O19" i="7"/>
  <c r="P19" i="7"/>
  <c r="Q19" i="7"/>
  <c r="R19" i="7"/>
  <c r="S19" i="7"/>
  <c r="U19" i="7" s="1"/>
  <c r="T19" i="7"/>
  <c r="V19" i="7"/>
  <c r="X19" i="7" s="1"/>
  <c r="W19" i="7"/>
  <c r="G20" i="7"/>
  <c r="H20" i="7"/>
  <c r="I20" i="7"/>
  <c r="J20" i="7"/>
  <c r="K20" i="7"/>
  <c r="L20" i="7"/>
  <c r="M20" i="7"/>
  <c r="O20" i="7" s="1"/>
  <c r="N20" i="7"/>
  <c r="P20" i="7"/>
  <c r="R20" i="7" s="1"/>
  <c r="Q20" i="7"/>
  <c r="S20" i="7"/>
  <c r="T20" i="7"/>
  <c r="U20" i="7"/>
  <c r="V20" i="7"/>
  <c r="W20" i="7"/>
  <c r="X20" i="7"/>
  <c r="G21" i="7"/>
  <c r="I21" i="7" s="1"/>
  <c r="H21" i="7"/>
  <c r="J21" i="7"/>
  <c r="L21" i="7" s="1"/>
  <c r="K21" i="7"/>
  <c r="M21" i="7"/>
  <c r="N21" i="7"/>
  <c r="O21" i="7"/>
  <c r="P21" i="7"/>
  <c r="Q21" i="7"/>
  <c r="R21" i="7"/>
  <c r="S21" i="7"/>
  <c r="U21" i="7" s="1"/>
  <c r="T21" i="7"/>
  <c r="V21" i="7"/>
  <c r="X21" i="7" s="1"/>
  <c r="W21" i="7"/>
  <c r="G22" i="7"/>
  <c r="H22" i="7"/>
  <c r="I22" i="7"/>
  <c r="J22" i="7"/>
  <c r="K22" i="7"/>
  <c r="L22" i="7"/>
  <c r="M22" i="7"/>
  <c r="O22" i="7" s="1"/>
  <c r="N22" i="7"/>
  <c r="P22" i="7"/>
  <c r="R22" i="7" s="1"/>
  <c r="Q22" i="7"/>
  <c r="S22" i="7"/>
  <c r="T22" i="7"/>
  <c r="U22" i="7"/>
  <c r="V22" i="7"/>
  <c r="W22" i="7"/>
  <c r="X22" i="7"/>
  <c r="X5" i="7"/>
  <c r="U5" i="7"/>
  <c r="R5" i="7"/>
  <c r="O5" i="7"/>
  <c r="L5" i="7"/>
  <c r="I5" i="7"/>
  <c r="W5" i="7"/>
  <c r="V5" i="7"/>
  <c r="T5" i="7"/>
  <c r="S5" i="7"/>
  <c r="Q5" i="7"/>
  <c r="P5" i="7"/>
  <c r="N5" i="7"/>
  <c r="M5" i="7"/>
  <c r="K5" i="7"/>
  <c r="J5" i="7"/>
  <c r="H5" i="7"/>
  <c r="G5" i="7"/>
  <c r="C19" i="7"/>
  <c r="C20" i="7" s="1"/>
  <c r="E18" i="7"/>
  <c r="D18" i="7"/>
  <c r="E17" i="7"/>
  <c r="D17" i="7"/>
  <c r="E16" i="7"/>
  <c r="D16" i="7"/>
  <c r="E15" i="7"/>
  <c r="D15" i="7"/>
  <c r="E14" i="7"/>
  <c r="D14" i="7"/>
  <c r="E13" i="7"/>
  <c r="D13" i="7"/>
  <c r="E12" i="7"/>
  <c r="D12" i="7"/>
  <c r="E11" i="7"/>
  <c r="D11" i="7"/>
  <c r="E10" i="7"/>
  <c r="D10" i="7"/>
  <c r="E9" i="7"/>
  <c r="D9" i="7"/>
  <c r="E8" i="7"/>
  <c r="D8" i="7"/>
  <c r="E7" i="7"/>
  <c r="D7" i="7"/>
  <c r="E6" i="7"/>
  <c r="D6" i="7"/>
  <c r="E5" i="7"/>
  <c r="D5" i="7"/>
  <c r="Q42" i="6"/>
  <c r="S42" i="6" s="1"/>
  <c r="R42" i="6"/>
  <c r="T42" i="6"/>
  <c r="V42" i="6" s="1"/>
  <c r="U42" i="6"/>
  <c r="W42" i="6"/>
  <c r="X42" i="6"/>
  <c r="Y42" i="6"/>
  <c r="Z42" i="6"/>
  <c r="AA42" i="6"/>
  <c r="AB42" i="6"/>
  <c r="AC42" i="6"/>
  <c r="AE42" i="6" s="1"/>
  <c r="AD42" i="6"/>
  <c r="AF42" i="6"/>
  <c r="AH42" i="6" s="1"/>
  <c r="AG42" i="6"/>
  <c r="Q43" i="6"/>
  <c r="R43" i="6"/>
  <c r="S43" i="6"/>
  <c r="T43" i="6"/>
  <c r="V43" i="6" s="1"/>
  <c r="U43" i="6"/>
  <c r="W43" i="6"/>
  <c r="Y43" i="6" s="1"/>
  <c r="X43" i="6"/>
  <c r="Z43" i="6"/>
  <c r="AA43" i="6"/>
  <c r="AB43" i="6" s="1"/>
  <c r="AC43" i="6"/>
  <c r="AD43" i="6"/>
  <c r="AE43" i="6"/>
  <c r="AF43" i="6"/>
  <c r="AG43" i="6"/>
  <c r="Q44" i="6"/>
  <c r="R44" i="6"/>
  <c r="S44" i="6"/>
  <c r="T44" i="6"/>
  <c r="U44" i="6"/>
  <c r="V44" i="6"/>
  <c r="W44" i="6"/>
  <c r="Y44" i="6" s="1"/>
  <c r="X44" i="6"/>
  <c r="Z44" i="6"/>
  <c r="AB44" i="6" s="1"/>
  <c r="AA44" i="6"/>
  <c r="AC44" i="6"/>
  <c r="AD44" i="6"/>
  <c r="AE44" i="6"/>
  <c r="AF44" i="6"/>
  <c r="AG44" i="6"/>
  <c r="Q45" i="6"/>
  <c r="S45" i="6" s="1"/>
  <c r="R45" i="6"/>
  <c r="T45" i="6"/>
  <c r="U45" i="6"/>
  <c r="V45" i="6" s="1"/>
  <c r="W45" i="6"/>
  <c r="X45" i="6"/>
  <c r="Y45" i="6"/>
  <c r="Z45" i="6"/>
  <c r="AB45" i="6" s="1"/>
  <c r="AA45" i="6"/>
  <c r="AC45" i="6"/>
  <c r="AE45" i="6" s="1"/>
  <c r="AD45" i="6"/>
  <c r="AF45" i="6"/>
  <c r="AG45" i="6"/>
  <c r="Q46" i="6"/>
  <c r="S46" i="6" s="1"/>
  <c r="R46" i="6"/>
  <c r="T46" i="6"/>
  <c r="V46" i="6" s="1"/>
  <c r="U46" i="6"/>
  <c r="W46" i="6"/>
  <c r="X46" i="6"/>
  <c r="Y46" i="6"/>
  <c r="Z46" i="6"/>
  <c r="AA46" i="6"/>
  <c r="AB46" i="6"/>
  <c r="AC46" i="6"/>
  <c r="AE46" i="6" s="1"/>
  <c r="AD46" i="6"/>
  <c r="AF46" i="6"/>
  <c r="AH46" i="6" s="1"/>
  <c r="AG46" i="6"/>
  <c r="Q47" i="6"/>
  <c r="R47" i="6"/>
  <c r="S47" i="6"/>
  <c r="T47" i="6"/>
  <c r="V47" i="6" s="1"/>
  <c r="U47" i="6"/>
  <c r="W47" i="6"/>
  <c r="Y47" i="6" s="1"/>
  <c r="X47" i="6"/>
  <c r="Z47" i="6"/>
  <c r="AA47" i="6"/>
  <c r="AB47" i="6" s="1"/>
  <c r="AC47" i="6"/>
  <c r="AD47" i="6"/>
  <c r="AE47" i="6"/>
  <c r="AF47" i="6"/>
  <c r="AG47" i="6"/>
  <c r="Q48" i="6"/>
  <c r="R48" i="6"/>
  <c r="S48" i="6"/>
  <c r="T48" i="6"/>
  <c r="U48" i="6"/>
  <c r="V48" i="6"/>
  <c r="W48" i="6"/>
  <c r="Y48" i="6" s="1"/>
  <c r="X48" i="6"/>
  <c r="Z48" i="6"/>
  <c r="AB48" i="6" s="1"/>
  <c r="AA48" i="6"/>
  <c r="AC48" i="6"/>
  <c r="AD48" i="6"/>
  <c r="AE48" i="6"/>
  <c r="AF48" i="6"/>
  <c r="AG48" i="6"/>
  <c r="Q49" i="6"/>
  <c r="S49" i="6" s="1"/>
  <c r="R49" i="6"/>
  <c r="T49" i="6"/>
  <c r="U49" i="6"/>
  <c r="V49" i="6" s="1"/>
  <c r="W49" i="6"/>
  <c r="X49" i="6"/>
  <c r="Y49" i="6"/>
  <c r="Z49" i="6"/>
  <c r="AB49" i="6" s="1"/>
  <c r="AA49" i="6"/>
  <c r="AC49" i="6"/>
  <c r="AE49" i="6" s="1"/>
  <c r="AD49" i="6"/>
  <c r="AF49" i="6"/>
  <c r="AG49" i="6"/>
  <c r="Q50" i="6"/>
  <c r="S50" i="6" s="1"/>
  <c r="R50" i="6"/>
  <c r="T50" i="6"/>
  <c r="V50" i="6" s="1"/>
  <c r="U50" i="6"/>
  <c r="W50" i="6"/>
  <c r="X50" i="6"/>
  <c r="Y50" i="6"/>
  <c r="Z50" i="6"/>
  <c r="AA50" i="6"/>
  <c r="AB50" i="6"/>
  <c r="AC50" i="6"/>
  <c r="AE50" i="6" s="1"/>
  <c r="AD50" i="6"/>
  <c r="AF50" i="6"/>
  <c r="AH50" i="6" s="1"/>
  <c r="AG50" i="6"/>
  <c r="Q51" i="6"/>
  <c r="R51" i="6"/>
  <c r="S51" i="6"/>
  <c r="T51" i="6"/>
  <c r="V51" i="6" s="1"/>
  <c r="U51" i="6"/>
  <c r="W51" i="6"/>
  <c r="Y51" i="6" s="1"/>
  <c r="X51" i="6"/>
  <c r="Z51" i="6"/>
  <c r="AA51" i="6"/>
  <c r="AB51" i="6" s="1"/>
  <c r="AC51" i="6"/>
  <c r="AD51" i="6"/>
  <c r="AE51" i="6"/>
  <c r="AF51" i="6"/>
  <c r="AG51" i="6"/>
  <c r="Q52" i="6"/>
  <c r="R52" i="6"/>
  <c r="S52" i="6"/>
  <c r="T52" i="6"/>
  <c r="U52" i="6"/>
  <c r="V52" i="6"/>
  <c r="W52" i="6"/>
  <c r="Y52" i="6" s="1"/>
  <c r="X52" i="6"/>
  <c r="Z52" i="6"/>
  <c r="AB52" i="6" s="1"/>
  <c r="AA52" i="6"/>
  <c r="AC52" i="6"/>
  <c r="AD52" i="6"/>
  <c r="AE52" i="6"/>
  <c r="AF52" i="6"/>
  <c r="AG52" i="6"/>
  <c r="Q53" i="6"/>
  <c r="S53" i="6" s="1"/>
  <c r="R53" i="6"/>
  <c r="T53" i="6"/>
  <c r="U53" i="6"/>
  <c r="V53" i="6" s="1"/>
  <c r="W53" i="6"/>
  <c r="X53" i="6"/>
  <c r="Y53" i="6"/>
  <c r="Z53" i="6"/>
  <c r="AB53" i="6" s="1"/>
  <c r="AA53" i="6"/>
  <c r="AC53" i="6"/>
  <c r="AE53" i="6" s="1"/>
  <c r="AD53" i="6"/>
  <c r="AF53" i="6"/>
  <c r="AG53" i="6"/>
  <c r="Q54" i="6"/>
  <c r="S54" i="6" s="1"/>
  <c r="R54" i="6"/>
  <c r="T54" i="6"/>
  <c r="V54" i="6" s="1"/>
  <c r="U54" i="6"/>
  <c r="W54" i="6"/>
  <c r="X54" i="6"/>
  <c r="Y54" i="6"/>
  <c r="Z54" i="6"/>
  <c r="AA54" i="6"/>
  <c r="AB54" i="6"/>
  <c r="AC54" i="6"/>
  <c r="AE54" i="6" s="1"/>
  <c r="AD54" i="6"/>
  <c r="AF54" i="6"/>
  <c r="AH54" i="6" s="1"/>
  <c r="AG54" i="6"/>
  <c r="Q55" i="6"/>
  <c r="R55" i="6"/>
  <c r="S55" i="6"/>
  <c r="T55" i="6"/>
  <c r="V55" i="6" s="1"/>
  <c r="U55" i="6"/>
  <c r="W55" i="6"/>
  <c r="Y55" i="6" s="1"/>
  <c r="X55" i="6"/>
  <c r="Z55" i="6"/>
  <c r="AA55" i="6"/>
  <c r="AB55" i="6" s="1"/>
  <c r="AC55" i="6"/>
  <c r="AD55" i="6"/>
  <c r="AE55" i="6"/>
  <c r="AF55" i="6"/>
  <c r="AG55" i="6"/>
  <c r="Q56" i="6"/>
  <c r="R56" i="6"/>
  <c r="S56" i="6"/>
  <c r="T56" i="6"/>
  <c r="U56" i="6"/>
  <c r="V56" i="6"/>
  <c r="W56" i="6"/>
  <c r="Y56" i="6" s="1"/>
  <c r="X56" i="6"/>
  <c r="Z56" i="6"/>
  <c r="AB56" i="6" s="1"/>
  <c r="AA56" i="6"/>
  <c r="AC56" i="6"/>
  <c r="AD56" i="6"/>
  <c r="AE56" i="6"/>
  <c r="AF56" i="6"/>
  <c r="AG56" i="6"/>
  <c r="Q57" i="6"/>
  <c r="S57" i="6" s="1"/>
  <c r="R57" i="6"/>
  <c r="T57" i="6"/>
  <c r="U57" i="6"/>
  <c r="V57" i="6" s="1"/>
  <c r="W57" i="6"/>
  <c r="X57" i="6"/>
  <c r="Y57" i="6"/>
  <c r="Z57" i="6"/>
  <c r="AB57" i="6" s="1"/>
  <c r="AA57" i="6"/>
  <c r="AC57" i="6"/>
  <c r="AE57" i="6" s="1"/>
  <c r="AD57" i="6"/>
  <c r="AF57" i="6"/>
  <c r="AG57" i="6"/>
  <c r="Q58" i="6"/>
  <c r="S58" i="6" s="1"/>
  <c r="R58" i="6"/>
  <c r="T58" i="6"/>
  <c r="V58" i="6" s="1"/>
  <c r="U58" i="6"/>
  <c r="W58" i="6"/>
  <c r="X58" i="6"/>
  <c r="Y58" i="6"/>
  <c r="Z58" i="6"/>
  <c r="AA58" i="6"/>
  <c r="AB58" i="6"/>
  <c r="AC58" i="6"/>
  <c r="AE58" i="6" s="1"/>
  <c r="AD58" i="6"/>
  <c r="AF58" i="6"/>
  <c r="AH58" i="6" s="1"/>
  <c r="AG58" i="6"/>
  <c r="AE41" i="6"/>
  <c r="Y41" i="6"/>
  <c r="S41" i="6"/>
  <c r="AH43" i="6"/>
  <c r="AH44" i="6"/>
  <c r="AH45" i="6"/>
  <c r="AH47" i="6"/>
  <c r="AH48" i="6"/>
  <c r="AH49" i="6"/>
  <c r="AH51" i="6"/>
  <c r="AH52" i="6"/>
  <c r="AH53" i="6"/>
  <c r="AH55" i="6"/>
  <c r="AH56" i="6"/>
  <c r="AH57" i="6"/>
  <c r="AG41" i="6"/>
  <c r="AF41" i="6"/>
  <c r="AD41" i="6"/>
  <c r="AC41" i="6"/>
  <c r="AA41" i="6"/>
  <c r="Z41" i="6"/>
  <c r="X41" i="6"/>
  <c r="W41" i="6"/>
  <c r="U41" i="6"/>
  <c r="T41" i="6"/>
  <c r="R41" i="6"/>
  <c r="Q41" i="6"/>
  <c r="AH41" i="6"/>
  <c r="AB41" i="6"/>
  <c r="V41" i="6"/>
  <c r="K55" i="6"/>
  <c r="M54" i="6"/>
  <c r="P54" i="6" s="1"/>
  <c r="L54" i="6"/>
  <c r="O54" i="6" s="1"/>
  <c r="M53" i="6"/>
  <c r="P53" i="6" s="1"/>
  <c r="L53" i="6"/>
  <c r="O53" i="6" s="1"/>
  <c r="M52" i="6"/>
  <c r="P52" i="6" s="1"/>
  <c r="L52" i="6"/>
  <c r="O52" i="6" s="1"/>
  <c r="M51" i="6"/>
  <c r="P51" i="6" s="1"/>
  <c r="L51" i="6"/>
  <c r="O51" i="6" s="1"/>
  <c r="M50" i="6"/>
  <c r="P50" i="6" s="1"/>
  <c r="L50" i="6"/>
  <c r="O50" i="6" s="1"/>
  <c r="M49" i="6"/>
  <c r="P49" i="6" s="1"/>
  <c r="L49" i="6"/>
  <c r="O49" i="6" s="1"/>
  <c r="M48" i="6"/>
  <c r="P48" i="6" s="1"/>
  <c r="L48" i="6"/>
  <c r="O48" i="6" s="1"/>
  <c r="M47" i="6"/>
  <c r="P47" i="6" s="1"/>
  <c r="L47" i="6"/>
  <c r="O47" i="6" s="1"/>
  <c r="M46" i="6"/>
  <c r="P46" i="6" s="1"/>
  <c r="L46" i="6"/>
  <c r="O46" i="6" s="1"/>
  <c r="M45" i="6"/>
  <c r="P45" i="6" s="1"/>
  <c r="L45" i="6"/>
  <c r="O45" i="6" s="1"/>
  <c r="M44" i="6"/>
  <c r="P44" i="6" s="1"/>
  <c r="L44" i="6"/>
  <c r="O44" i="6" s="1"/>
  <c r="M43" i="6"/>
  <c r="P43" i="6" s="1"/>
  <c r="L43" i="6"/>
  <c r="O43" i="6" s="1"/>
  <c r="M42" i="6"/>
  <c r="P42" i="6" s="1"/>
  <c r="L42" i="6"/>
  <c r="O42" i="6" s="1"/>
  <c r="M41" i="6"/>
  <c r="P41" i="6" s="1"/>
  <c r="L41" i="6"/>
  <c r="O41" i="6" s="1"/>
  <c r="X16" i="6"/>
  <c r="Y16" i="6"/>
  <c r="Z16" i="6"/>
  <c r="AA16" i="6"/>
  <c r="AC16" i="6" s="1"/>
  <c r="X17" i="6"/>
  <c r="Y17" i="6"/>
  <c r="AC17" i="6" s="1"/>
  <c r="Z17" i="6"/>
  <c r="AA17" i="6"/>
  <c r="X18" i="6"/>
  <c r="Y18" i="6"/>
  <c r="AC18" i="6" s="1"/>
  <c r="Z18" i="6"/>
  <c r="AA18" i="6"/>
  <c r="X19" i="6"/>
  <c r="AC19" i="6" s="1"/>
  <c r="Y19" i="6"/>
  <c r="Z19" i="6"/>
  <c r="AA19" i="6"/>
  <c r="L16" i="6"/>
  <c r="M16" i="6"/>
  <c r="O16" i="6"/>
  <c r="P16" i="6"/>
  <c r="Q16" i="6" s="1"/>
  <c r="L17" i="6"/>
  <c r="M17" i="6"/>
  <c r="O17" i="6"/>
  <c r="Q17" i="6" s="1"/>
  <c r="P17" i="6"/>
  <c r="L18" i="6"/>
  <c r="M18" i="6"/>
  <c r="P18" i="6" s="1"/>
  <c r="O18" i="6"/>
  <c r="Q18" i="6" s="1"/>
  <c r="L19" i="6"/>
  <c r="O19" i="6" s="1"/>
  <c r="Q19" i="6" s="1"/>
  <c r="M19" i="6"/>
  <c r="P19" i="6" s="1"/>
  <c r="K17" i="6"/>
  <c r="K18" i="6" s="1"/>
  <c r="K16" i="6"/>
  <c r="AC3" i="6"/>
  <c r="AC4" i="6"/>
  <c r="AC5" i="6"/>
  <c r="AC6" i="6"/>
  <c r="AC7" i="6"/>
  <c r="AC8" i="6"/>
  <c r="AC9" i="6"/>
  <c r="AC10" i="6"/>
  <c r="AC11" i="6"/>
  <c r="AC12" i="6"/>
  <c r="AC13" i="6"/>
  <c r="AC14" i="6"/>
  <c r="AC15" i="6"/>
  <c r="AC2" i="6"/>
  <c r="X3" i="6"/>
  <c r="Y3" i="6"/>
  <c r="Z3" i="6"/>
  <c r="AA3" i="6"/>
  <c r="X4" i="6"/>
  <c r="Y4" i="6"/>
  <c r="Z4" i="6"/>
  <c r="AA4" i="6"/>
  <c r="X5" i="6"/>
  <c r="Y5" i="6"/>
  <c r="Z5" i="6"/>
  <c r="AA5" i="6"/>
  <c r="X6" i="6"/>
  <c r="Y6" i="6"/>
  <c r="Z6" i="6"/>
  <c r="AA6" i="6"/>
  <c r="X7" i="6"/>
  <c r="Y7" i="6"/>
  <c r="Z7" i="6"/>
  <c r="AA7" i="6"/>
  <c r="X8" i="6"/>
  <c r="Y8" i="6"/>
  <c r="Z8" i="6"/>
  <c r="AA8" i="6"/>
  <c r="X9" i="6"/>
  <c r="Y9" i="6"/>
  <c r="Z9" i="6"/>
  <c r="AA9" i="6"/>
  <c r="X10" i="6"/>
  <c r="Y10" i="6"/>
  <c r="Z10" i="6"/>
  <c r="AA10" i="6"/>
  <c r="X11" i="6"/>
  <c r="Y11" i="6"/>
  <c r="Z11" i="6"/>
  <c r="AA11" i="6"/>
  <c r="X12" i="6"/>
  <c r="Y12" i="6"/>
  <c r="Z12" i="6"/>
  <c r="AA12" i="6"/>
  <c r="X13" i="6"/>
  <c r="Y13" i="6"/>
  <c r="Z13" i="6"/>
  <c r="AA13" i="6"/>
  <c r="X14" i="6"/>
  <c r="Y14" i="6"/>
  <c r="Z14" i="6"/>
  <c r="AA14" i="6"/>
  <c r="X15" i="6"/>
  <c r="Y15" i="6"/>
  <c r="Z15" i="6"/>
  <c r="AA15" i="6"/>
  <c r="AA2" i="6"/>
  <c r="Z2" i="6"/>
  <c r="Y2" i="6"/>
  <c r="X2" i="6"/>
  <c r="U2" i="6"/>
  <c r="V2" i="6"/>
  <c r="L2" i="6"/>
  <c r="O2" i="6" s="1"/>
  <c r="M2" i="6"/>
  <c r="O3" i="6"/>
  <c r="Q3" i="6" s="1"/>
  <c r="P3" i="6"/>
  <c r="O4" i="6"/>
  <c r="P4" i="6"/>
  <c r="Q4" i="6"/>
  <c r="O5" i="6"/>
  <c r="P5" i="6"/>
  <c r="Q5" i="6"/>
  <c r="O6" i="6"/>
  <c r="Q6" i="6" s="1"/>
  <c r="P6" i="6"/>
  <c r="O7" i="6"/>
  <c r="Q7" i="6" s="1"/>
  <c r="P7" i="6"/>
  <c r="O8" i="6"/>
  <c r="P8" i="6"/>
  <c r="Q8" i="6"/>
  <c r="O9" i="6"/>
  <c r="P9" i="6"/>
  <c r="Q9" i="6"/>
  <c r="O10" i="6"/>
  <c r="Q10" i="6" s="1"/>
  <c r="P10" i="6"/>
  <c r="O11" i="6"/>
  <c r="Q11" i="6" s="1"/>
  <c r="P11" i="6"/>
  <c r="O12" i="6"/>
  <c r="P12" i="6"/>
  <c r="Q12" i="6"/>
  <c r="O13" i="6"/>
  <c r="P13" i="6"/>
  <c r="Q13" i="6"/>
  <c r="O14" i="6"/>
  <c r="Q14" i="6" s="1"/>
  <c r="P14" i="6"/>
  <c r="O15" i="6"/>
  <c r="Q15" i="6" s="1"/>
  <c r="P15" i="6"/>
  <c r="L3" i="6"/>
  <c r="M3" i="6"/>
  <c r="L4" i="6"/>
  <c r="M4" i="6"/>
  <c r="L5" i="6"/>
  <c r="M5" i="6"/>
  <c r="L6" i="6"/>
  <c r="M6" i="6"/>
  <c r="L7" i="6"/>
  <c r="M7" i="6"/>
  <c r="L8" i="6"/>
  <c r="M8" i="6"/>
  <c r="L9" i="6"/>
  <c r="M9" i="6"/>
  <c r="L10" i="6"/>
  <c r="M10" i="6"/>
  <c r="L11" i="6"/>
  <c r="M11" i="6"/>
  <c r="L12" i="6"/>
  <c r="M12" i="6"/>
  <c r="L13" i="6"/>
  <c r="M13" i="6"/>
  <c r="L14" i="6"/>
  <c r="M14" i="6"/>
  <c r="L15" i="6"/>
  <c r="M15" i="6"/>
  <c r="P2" i="6"/>
  <c r="G3" i="6"/>
  <c r="G4" i="6"/>
  <c r="G5" i="6"/>
  <c r="G6" i="6"/>
  <c r="G7" i="6"/>
  <c r="G8" i="6"/>
  <c r="G9" i="6"/>
  <c r="G10" i="6"/>
  <c r="G11" i="6"/>
  <c r="G12" i="6"/>
  <c r="G13" i="6"/>
  <c r="G14" i="6"/>
  <c r="G15" i="6"/>
  <c r="G16" i="6"/>
  <c r="G17" i="6"/>
  <c r="G18" i="6"/>
  <c r="G20" i="6"/>
  <c r="G2" i="6"/>
  <c r="F18" i="6"/>
  <c r="F19" i="6" s="1"/>
  <c r="F20" i="6" s="1"/>
  <c r="F21" i="6" s="1"/>
  <c r="G21" i="6" s="1"/>
  <c r="I9" i="5"/>
  <c r="C25" i="1"/>
  <c r="C26" i="1"/>
  <c r="C27" i="1"/>
  <c r="D7" i="5" s="1"/>
  <c r="C28" i="1"/>
  <c r="E6" i="4"/>
  <c r="E7" i="4"/>
  <c r="E5" i="4"/>
  <c r="W22" i="3"/>
  <c r="V22" i="3"/>
  <c r="U22" i="3"/>
  <c r="T22" i="3"/>
  <c r="S22" i="3"/>
  <c r="R22" i="3"/>
  <c r="Q22" i="3"/>
  <c r="N22" i="3"/>
  <c r="M22" i="3"/>
  <c r="L22" i="3"/>
  <c r="K22" i="3"/>
  <c r="H22" i="3"/>
  <c r="G22" i="3"/>
  <c r="F22" i="3"/>
  <c r="W21" i="3"/>
  <c r="V21" i="3"/>
  <c r="U21" i="3"/>
  <c r="T21" i="3"/>
  <c r="S21" i="3"/>
  <c r="R21" i="3"/>
  <c r="Q21" i="3"/>
  <c r="N21" i="3"/>
  <c r="M21" i="3"/>
  <c r="L21" i="3"/>
  <c r="K21" i="3"/>
  <c r="H21" i="3"/>
  <c r="G21" i="3"/>
  <c r="F21" i="3"/>
  <c r="W20" i="3"/>
  <c r="V20" i="3"/>
  <c r="U20" i="3"/>
  <c r="T20" i="3"/>
  <c r="S20" i="3"/>
  <c r="R20" i="3"/>
  <c r="Q20" i="3"/>
  <c r="N20" i="3"/>
  <c r="M20" i="3"/>
  <c r="L20" i="3"/>
  <c r="K20" i="3"/>
  <c r="H20" i="3"/>
  <c r="G20" i="3"/>
  <c r="F20" i="3"/>
  <c r="I11" i="3"/>
  <c r="M5" i="3" s="1"/>
  <c r="F11" i="3"/>
  <c r="M6" i="3" s="1"/>
  <c r="C11" i="3"/>
  <c r="I10" i="3"/>
  <c r="I12" i="3" s="1"/>
  <c r="F10" i="3"/>
  <c r="F12" i="3" s="1"/>
  <c r="C10" i="3"/>
  <c r="C12" i="3" s="1"/>
  <c r="C23" i="3" s="1"/>
  <c r="M7" i="3"/>
  <c r="C10" i="1"/>
  <c r="C15" i="1"/>
  <c r="C16" i="1"/>
  <c r="M6" i="1" s="1"/>
  <c r="C11" i="1"/>
  <c r="M5" i="1" s="1"/>
  <c r="C10" i="2"/>
  <c r="C9" i="2"/>
  <c r="C11" i="2" s="1"/>
  <c r="C21" i="1"/>
  <c r="M7" i="1" s="1"/>
  <c r="E20" i="7" l="1"/>
  <c r="D20" i="7"/>
  <c r="E19" i="7"/>
  <c r="D19" i="7"/>
  <c r="C21" i="7"/>
  <c r="AJ57" i="6"/>
  <c r="AJ49" i="6"/>
  <c r="AJ55" i="6"/>
  <c r="AJ47" i="6"/>
  <c r="AJ42" i="6"/>
  <c r="AJ43" i="6"/>
  <c r="AJ53" i="6"/>
  <c r="AJ52" i="6"/>
  <c r="AJ51" i="6"/>
  <c r="AJ45" i="6"/>
  <c r="AJ44" i="6"/>
  <c r="AJ41" i="6"/>
  <c r="AJ56" i="6"/>
  <c r="AJ50" i="6"/>
  <c r="AJ48" i="6"/>
  <c r="AJ58" i="6"/>
  <c r="AJ54" i="6"/>
  <c r="AJ46" i="6"/>
  <c r="L55" i="6"/>
  <c r="O55" i="6" s="1"/>
  <c r="M55" i="6"/>
  <c r="P55" i="6" s="1"/>
  <c r="K56" i="6"/>
  <c r="K57" i="6" s="1"/>
  <c r="K19" i="6"/>
  <c r="Q2" i="6"/>
  <c r="G19" i="6"/>
  <c r="C29" i="1"/>
  <c r="C30" i="1" s="1"/>
  <c r="C31" i="1" s="1"/>
  <c r="C12" i="1"/>
  <c r="C17" i="1"/>
  <c r="V23" i="3"/>
  <c r="R23" i="3"/>
  <c r="L23" i="3"/>
  <c r="F23" i="3"/>
  <c r="S23" i="3"/>
  <c r="G23" i="3"/>
  <c r="U23" i="3"/>
  <c r="Q23" i="3"/>
  <c r="K23" i="3"/>
  <c r="C24" i="3"/>
  <c r="T23" i="3"/>
  <c r="N23" i="3"/>
  <c r="H23" i="3"/>
  <c r="W23" i="3"/>
  <c r="M23" i="3"/>
  <c r="C20" i="1"/>
  <c r="Z15" i="7" l="1"/>
  <c r="Z14" i="7"/>
  <c r="Z8" i="7"/>
  <c r="Z5" i="7"/>
  <c r="Z11" i="7"/>
  <c r="Z18" i="7"/>
  <c r="Z6" i="7"/>
  <c r="Z9" i="7"/>
  <c r="E21" i="7"/>
  <c r="D21" i="7"/>
  <c r="Z13" i="7"/>
  <c r="C22" i="7"/>
  <c r="L57" i="6"/>
  <c r="O57" i="6" s="1"/>
  <c r="M57" i="6"/>
  <c r="P57" i="6" s="1"/>
  <c r="M56" i="6"/>
  <c r="P56" i="6" s="1"/>
  <c r="L56" i="6"/>
  <c r="O56" i="6" s="1"/>
  <c r="K58" i="6"/>
  <c r="C32" i="1"/>
  <c r="C25" i="3"/>
  <c r="W24" i="3"/>
  <c r="S24" i="3"/>
  <c r="M24" i="3"/>
  <c r="G24" i="3"/>
  <c r="T24" i="3"/>
  <c r="H24" i="3"/>
  <c r="V24" i="3"/>
  <c r="R24" i="3"/>
  <c r="L24" i="3"/>
  <c r="F24" i="3"/>
  <c r="U24" i="3"/>
  <c r="Q24" i="3"/>
  <c r="K24" i="3"/>
  <c r="N24" i="3"/>
  <c r="C26" i="3"/>
  <c r="C22" i="1"/>
  <c r="Z7" i="7" l="1"/>
  <c r="Z10" i="7"/>
  <c r="Z12" i="7"/>
  <c r="Z17" i="7"/>
  <c r="Z16" i="7"/>
  <c r="Z19" i="7"/>
  <c r="E22" i="7"/>
  <c r="D22" i="7"/>
  <c r="L58" i="6"/>
  <c r="O58" i="6" s="1"/>
  <c r="M58" i="6"/>
  <c r="P58" i="6" s="1"/>
  <c r="S7" i="5"/>
  <c r="O7" i="5"/>
  <c r="I7" i="5"/>
  <c r="T7" i="5"/>
  <c r="R7" i="5"/>
  <c r="L7" i="5"/>
  <c r="F7" i="5"/>
  <c r="U7" i="5"/>
  <c r="Q7" i="5"/>
  <c r="K7" i="5"/>
  <c r="E7" i="5"/>
  <c r="P7" i="5"/>
  <c r="J7" i="5"/>
  <c r="U26" i="3"/>
  <c r="Q26" i="3"/>
  <c r="K26" i="3"/>
  <c r="R26" i="3"/>
  <c r="F26" i="3"/>
  <c r="T26" i="3"/>
  <c r="N26" i="3"/>
  <c r="H26" i="3"/>
  <c r="W26" i="3"/>
  <c r="S26" i="3"/>
  <c r="M26" i="3"/>
  <c r="G26" i="3"/>
  <c r="V26" i="3"/>
  <c r="L26" i="3"/>
  <c r="T25" i="3"/>
  <c r="N25" i="3"/>
  <c r="H25" i="3"/>
  <c r="Q25" i="3"/>
  <c r="W25" i="3"/>
  <c r="S25" i="3"/>
  <c r="M25" i="3"/>
  <c r="G25" i="3"/>
  <c r="V25" i="3"/>
  <c r="R25" i="3"/>
  <c r="L25" i="3"/>
  <c r="F25" i="3"/>
  <c r="U25" i="3"/>
  <c r="K25" i="3"/>
  <c r="C27" i="3"/>
  <c r="Z20" i="7" l="1"/>
  <c r="T8" i="5"/>
  <c r="P8" i="5"/>
  <c r="J8" i="5"/>
  <c r="D8" i="5"/>
  <c r="Q8" i="5"/>
  <c r="S8" i="5"/>
  <c r="O8" i="5"/>
  <c r="I8" i="5"/>
  <c r="R8" i="5"/>
  <c r="L8" i="5"/>
  <c r="F8" i="5"/>
  <c r="U8" i="5"/>
  <c r="K8" i="5"/>
  <c r="E8" i="5"/>
  <c r="V27" i="3"/>
  <c r="R27" i="3"/>
  <c r="L27" i="3"/>
  <c r="F27" i="3"/>
  <c r="W27" i="3"/>
  <c r="G27" i="3"/>
  <c r="U27" i="3"/>
  <c r="Q27" i="3"/>
  <c r="K27" i="3"/>
  <c r="T27" i="3"/>
  <c r="N27" i="3"/>
  <c r="H27" i="3"/>
  <c r="S27" i="3"/>
  <c r="M27" i="3"/>
  <c r="C28" i="3"/>
  <c r="Z21" i="7" l="1"/>
  <c r="U9" i="5"/>
  <c r="Q9" i="5"/>
  <c r="K9" i="5"/>
  <c r="E9" i="5"/>
  <c r="O9" i="5"/>
  <c r="T9" i="5"/>
  <c r="P9" i="5"/>
  <c r="J9" i="5"/>
  <c r="D9" i="5"/>
  <c r="S9" i="5"/>
  <c r="R9" i="5"/>
  <c r="L9" i="5"/>
  <c r="F9" i="5"/>
  <c r="W28" i="3"/>
  <c r="S28" i="3"/>
  <c r="M28" i="3"/>
  <c r="G28" i="3"/>
  <c r="N28" i="3"/>
  <c r="V28" i="3"/>
  <c r="R28" i="3"/>
  <c r="L28" i="3"/>
  <c r="F28" i="3"/>
  <c r="H28" i="3"/>
  <c r="U28" i="3"/>
  <c r="Q28" i="3"/>
  <c r="K28" i="3"/>
  <c r="T28" i="3"/>
  <c r="Z22" i="7" l="1"/>
  <c r="S10" i="5"/>
  <c r="O10" i="5"/>
  <c r="I10" i="5"/>
  <c r="R10" i="5"/>
  <c r="L10" i="5"/>
  <c r="F10" i="5"/>
  <c r="T10" i="5"/>
  <c r="D10" i="5"/>
  <c r="U10" i="5"/>
  <c r="Q10" i="5"/>
  <c r="K10" i="5"/>
  <c r="E10" i="5"/>
  <c r="P10" i="5"/>
  <c r="J10" i="5"/>
  <c r="U12" i="5" l="1"/>
  <c r="Q12" i="5"/>
  <c r="K12" i="5"/>
  <c r="E12" i="5"/>
  <c r="T12" i="5"/>
  <c r="P12" i="5"/>
  <c r="J12" i="5"/>
  <c r="D12" i="5"/>
  <c r="R12" i="5"/>
  <c r="S12" i="5"/>
  <c r="O12" i="5"/>
  <c r="I12" i="5"/>
  <c r="L12" i="5"/>
  <c r="F12" i="5"/>
  <c r="T11" i="5"/>
  <c r="P11" i="5"/>
  <c r="J11" i="5"/>
  <c r="D11" i="5"/>
  <c r="S11" i="5"/>
  <c r="O11" i="5"/>
  <c r="I11" i="5"/>
  <c r="U11" i="5"/>
  <c r="K11" i="5"/>
  <c r="R11" i="5"/>
  <c r="L11" i="5"/>
  <c r="F11" i="5"/>
  <c r="Q11" i="5"/>
  <c r="E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PRATEEK YADAV</author>
  </authors>
  <commentList>
    <comment ref="C3" authorId="0" shapeId="0" xr:uid="{443648A4-76EE-4F39-AF87-E43D79EF4EA2}">
      <text>
        <r>
          <rPr>
            <b/>
            <sz val="9"/>
            <color indexed="81"/>
            <rFont val="Tahoma"/>
            <family val="2"/>
          </rPr>
          <t>PRATEEK YADAV:</t>
        </r>
        <r>
          <rPr>
            <sz val="9"/>
            <color indexed="81"/>
            <rFont val="Tahoma"/>
            <family val="2"/>
          </rPr>
          <t xml:space="preserve">
https://credevo.com/articles/2020/06/15/contract-research-organizations-for-your-clinical-trials-top-10-cros-and-more-part-i/</t>
        </r>
      </text>
    </comment>
    <comment ref="C4" authorId="0" shapeId="0" xr:uid="{7B6029D4-C382-4567-93B8-B30908711BBB}">
      <text>
        <r>
          <rPr>
            <b/>
            <sz val="9"/>
            <color indexed="81"/>
            <rFont val="Tahoma"/>
            <family val="2"/>
          </rPr>
          <t>PRATEEK YADAV:</t>
        </r>
        <r>
          <rPr>
            <sz val="9"/>
            <color indexed="81"/>
            <rFont val="Tahoma"/>
            <family val="2"/>
          </rPr>
          <t xml:space="preserve">
https://ir.labcorp.com/static-files/67cf4ad9-d031-4d75-a92d-667f238b4748
2018- https://ir.labcorp.com/news-releases/news-release-details/labcorp-announces-2019-fourth-quarter-and-full-year-results-and</t>
        </r>
      </text>
    </comment>
    <comment ref="D4" authorId="0" shapeId="0" xr:uid="{D78275FF-757F-464C-AB6A-B01EAB609555}">
      <text>
        <r>
          <rPr>
            <b/>
            <sz val="9"/>
            <color indexed="81"/>
            <rFont val="Tahoma"/>
            <family val="2"/>
          </rPr>
          <t>PRATEEK YADAV:</t>
        </r>
        <r>
          <rPr>
            <sz val="9"/>
            <color indexed="81"/>
            <rFont val="Tahoma"/>
            <family val="2"/>
          </rPr>
          <t xml:space="preserve">
https://s24.q4cdn.com/326377938/files/doc_financials/2020/ar/IQV-2020.12.31-10K-Final-(with-exhibits).pdf</t>
        </r>
      </text>
    </comment>
    <comment ref="E4" authorId="0" shapeId="0" xr:uid="{E3DA35BC-D093-4CE6-8B0B-9C0774E5A6E2}">
      <text>
        <r>
          <rPr>
            <b/>
            <sz val="9"/>
            <color indexed="81"/>
            <rFont val="Tahoma"/>
            <family val="2"/>
          </rPr>
          <t>PRATEEK YADAV:</t>
        </r>
        <r>
          <rPr>
            <sz val="9"/>
            <color indexed="81"/>
            <rFont val="Tahoma"/>
            <family val="2"/>
          </rPr>
          <t xml:space="preserve">
https://www.macrotrends.net/stocks/charts/PPD/ppd/revenue</t>
        </r>
      </text>
    </comment>
    <comment ref="F4" authorId="0" shapeId="0" xr:uid="{D42C25C5-4E73-4D88-8515-CF5A21CDD4C7}">
      <text>
        <r>
          <rPr>
            <b/>
            <sz val="9"/>
            <color indexed="81"/>
            <rFont val="Tahoma"/>
            <family val="2"/>
          </rPr>
          <t>PRATEEK YADAV:</t>
        </r>
        <r>
          <rPr>
            <sz val="9"/>
            <color indexed="81"/>
            <rFont val="Tahoma"/>
            <family val="2"/>
          </rPr>
          <t xml:space="preserve">
https://www.macrotrends.net/stocks/charts/SYNH/syneos-health/revenue</t>
        </r>
      </text>
    </comment>
    <comment ref="G4" authorId="0" shapeId="0" xr:uid="{53E292D7-6234-4768-978F-8AF7723760E9}">
      <text>
        <r>
          <rPr>
            <b/>
            <sz val="9"/>
            <color indexed="81"/>
            <rFont val="Tahoma"/>
            <family val="2"/>
          </rPr>
          <t>PRATEEK YADAV:</t>
        </r>
        <r>
          <rPr>
            <sz val="9"/>
            <color indexed="81"/>
            <rFont val="Tahoma"/>
            <family val="2"/>
          </rPr>
          <t xml:space="preserve">
https://www.globenewswire.com/news-release/2020/02/20/1988226/34591/en/PRA-Health-Sciences-Inc-Reports-Fourth-Quarter-and-Full-Year-2019-Results-and-Provides-First-Quarter-and-Full-Year-2020-Guidance.html</t>
        </r>
      </text>
    </comment>
    <comment ref="H4" authorId="0" shapeId="0" xr:uid="{2DE39842-43A2-47BA-857B-03A2DDE0D58E}">
      <text>
        <r>
          <rPr>
            <b/>
            <sz val="9"/>
            <color indexed="81"/>
            <rFont val="Tahoma"/>
            <family val="2"/>
          </rPr>
          <t>PRATEEK YADAV:</t>
        </r>
        <r>
          <rPr>
            <sz val="9"/>
            <color indexed="81"/>
            <rFont val="Tahoma"/>
            <family val="2"/>
          </rPr>
          <t xml:space="preserve">
https://www.macrotrends.net/stocks/charts/CRL/charles-river-laboratories/revenue</t>
        </r>
      </text>
    </comment>
    <comment ref="I4" authorId="0" shapeId="0" xr:uid="{60DECF1C-5DDA-4597-A6AF-11117465DA72}">
      <text>
        <r>
          <rPr>
            <b/>
            <sz val="9"/>
            <color indexed="81"/>
            <rFont val="Tahoma"/>
            <family val="2"/>
          </rPr>
          <t>PRATEEK YADAV:</t>
        </r>
        <r>
          <rPr>
            <sz val="9"/>
            <color indexed="81"/>
            <rFont val="Tahoma"/>
            <family val="2"/>
          </rPr>
          <t xml:space="preserve">
https://www.businesswire.com/news/home/20210224005487/en/ICON-Reports-Fourth-Quarter-and-Full-Year-2020-Results
2018-https://www.iconplc.com/news-events/press-releases/icon-reports-fourth-quart/</t>
        </r>
      </text>
    </comment>
    <comment ref="J4" authorId="0" shapeId="0" xr:uid="{6931F50B-163E-47E6-BAFF-9C50B9D55084}">
      <text>
        <r>
          <rPr>
            <b/>
            <sz val="9"/>
            <color indexed="81"/>
            <rFont val="Tahoma"/>
            <family val="2"/>
          </rPr>
          <t>PRATEEK YADAV:</t>
        </r>
        <r>
          <rPr>
            <sz val="9"/>
            <color indexed="81"/>
            <rFont val="Tahoma"/>
            <family val="2"/>
          </rPr>
          <t xml:space="preserve">
https://www.dnb.com/business-directory/company-profiles.wuxi_apptec_co_ltd.2b3351bf60a5e90a512ae2315bf2df51.html</t>
        </r>
      </text>
    </comment>
    <comment ref="K4" authorId="0" shapeId="0" xr:uid="{F3111860-C433-457D-9AB9-99D0F9FF064B}">
      <text>
        <r>
          <rPr>
            <b/>
            <sz val="9"/>
            <color indexed="81"/>
            <rFont val="Tahoma"/>
            <family val="2"/>
          </rPr>
          <t>PRATEEK YADAV:</t>
        </r>
        <r>
          <rPr>
            <sz val="9"/>
            <color indexed="81"/>
            <rFont val="Tahoma"/>
            <family val="2"/>
          </rPr>
          <t xml:space="preserve">
https://www.sec.gov/Archives/edgar/data/799729/000079972915000026/a201510-kdoc.htm
https://www.parexel.com/application/files_previous/2114/9428/3911/3Q17_Earnings_Release_FINAL_5-3-2017.pdf</t>
        </r>
      </text>
    </comment>
    <comment ref="L4" authorId="0" shapeId="0" xr:uid="{25DC6C9A-7508-47A9-B900-C0806C0F0590}">
      <text>
        <r>
          <rPr>
            <b/>
            <sz val="9"/>
            <color indexed="81"/>
            <rFont val="Tahoma"/>
            <family val="2"/>
          </rPr>
          <t>PRATEEK YADAV:</t>
        </r>
        <r>
          <rPr>
            <sz val="9"/>
            <color indexed="81"/>
            <rFont val="Tahoma"/>
            <family val="2"/>
          </rPr>
          <t xml:space="preserve">
https://www.macrotrends.net/stocks/charts/MEDP/medpace-holdings/revenue</t>
        </r>
      </text>
    </comment>
    <comment ref="B25" authorId="0" shapeId="0" xr:uid="{6BBFC937-2333-40B3-9285-32AF265B98DB}">
      <text>
        <r>
          <rPr>
            <b/>
            <sz val="9"/>
            <color indexed="81"/>
            <rFont val="Tahoma"/>
            <family val="2"/>
          </rPr>
          <t>PRATEEK YADAV:</t>
        </r>
        <r>
          <rPr>
            <sz val="9"/>
            <color indexed="81"/>
            <rFont val="Tahoma"/>
            <family val="2"/>
          </rPr>
          <t xml:space="preserve">
https://credevo.com/articles/2020/06/15/contract-research-organizations-for-your-clinical-trials-top-10-cros-and-more-part-i/</t>
        </r>
      </text>
    </comment>
    <comment ref="B26" authorId="0" shapeId="0" xr:uid="{4FBFE9A3-4A87-4AFA-92B0-37C2C687ABED}">
      <text>
        <r>
          <rPr>
            <b/>
            <sz val="9"/>
            <color indexed="81"/>
            <rFont val="Tahoma"/>
            <family val="2"/>
          </rPr>
          <t>PRATEEK YADAV:</t>
        </r>
        <r>
          <rPr>
            <sz val="9"/>
            <color indexed="81"/>
            <rFont val="Tahoma"/>
            <family val="2"/>
          </rPr>
          <t xml:space="preserve">
https://www.statista.com/statistics/1085601/global-pharmaceutical-cro-market-size-by-segment/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PRATEEK YADAV</author>
  </authors>
  <commentList>
    <comment ref="C6" authorId="0" shapeId="0" xr:uid="{4D3EAB3C-08DE-4F91-BB9D-A65600838A4D}">
      <text>
        <r>
          <rPr>
            <b/>
            <sz val="9"/>
            <color indexed="81"/>
            <rFont val="Tahoma"/>
            <family val="2"/>
          </rPr>
          <t>PRATEEK YADAV:</t>
        </r>
        <r>
          <rPr>
            <sz val="9"/>
            <color indexed="81"/>
            <rFont val="Tahoma"/>
            <family val="2"/>
          </rPr>
          <t xml:space="preserve">
https://www.statista.com/statistics/1085601/global-pharmaceutical-cro-market-size-by-segment/</t>
        </r>
      </text>
    </comment>
    <comment ref="H6" authorId="0" shapeId="0" xr:uid="{479F087D-2E84-4F87-9E5A-794A3716DAE4}">
      <text>
        <r>
          <rPr>
            <b/>
            <sz val="9"/>
            <color indexed="81"/>
            <rFont val="Tahoma"/>
            <family val="2"/>
          </rPr>
          <t>PRATEEK YADAV:</t>
        </r>
        <r>
          <rPr>
            <sz val="9"/>
            <color indexed="81"/>
            <rFont val="Tahoma"/>
            <family val="2"/>
          </rPr>
          <t xml:space="preserve">
https://www.clinicalleader.com/doc/surveying-the-clinical-cro-market-outsourcing-landscape-0001</t>
        </r>
      </text>
    </comment>
    <comment ref="N6" authorId="0" shapeId="0" xr:uid="{ACE0F0E6-870D-4A04-B571-9F175B4D7ABA}">
      <text>
        <r>
          <rPr>
            <b/>
            <sz val="9"/>
            <color indexed="81"/>
            <rFont val="Tahoma"/>
            <family val="2"/>
          </rPr>
          <t>PRATEEK YADAV:</t>
        </r>
        <r>
          <rPr>
            <sz val="9"/>
            <color indexed="81"/>
            <rFont val="Tahoma"/>
            <family val="2"/>
          </rPr>
          <t xml:space="preserve">
https://www.clinicalleader.com/doc/an-overview-of-top-clinical-cros-0001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PRATEEK YADAV</author>
  </authors>
  <commentList>
    <comment ref="C3" authorId="0" shapeId="0" xr:uid="{514EC137-AEED-46B9-BEB8-5EB72D4D477E}">
      <text>
        <r>
          <rPr>
            <b/>
            <sz val="9"/>
            <color indexed="81"/>
            <rFont val="Tahoma"/>
            <family val="2"/>
          </rPr>
          <t>PRATEEK YADAV:</t>
        </r>
        <r>
          <rPr>
            <sz val="9"/>
            <color indexed="81"/>
            <rFont val="Tahoma"/>
            <family val="2"/>
          </rPr>
          <t xml:space="preserve">
https://credevo.com/articles/2020/06/15/contract-research-organizations-for-your-clinical-trials-top-10-cros-and-more-part-i/</t>
        </r>
      </text>
    </comment>
    <comment ref="C4" authorId="0" shapeId="0" xr:uid="{D6819BB1-C0FE-4A50-A363-93AA43F4F95C}">
      <text>
        <r>
          <rPr>
            <b/>
            <sz val="9"/>
            <color indexed="81"/>
            <rFont val="Tahoma"/>
            <family val="2"/>
          </rPr>
          <t>PRATEEK YADAV:</t>
        </r>
        <r>
          <rPr>
            <sz val="9"/>
            <color indexed="81"/>
            <rFont val="Tahoma"/>
            <family val="2"/>
          </rPr>
          <t xml:space="preserve">
https://ir.labcorp.com/static-files/67cf4ad9-d031-4d75-a92d-667f238b4748
2018- https://ir.labcorp.com/news-releases/news-release-details/labcorp-announces-2019-fourth-quarter-and-full-year-results-and</t>
        </r>
      </text>
    </comment>
    <comment ref="D4" authorId="0" shapeId="0" xr:uid="{DA3DD67C-2D67-4570-B62D-59F16726BC19}">
      <text>
        <r>
          <rPr>
            <b/>
            <sz val="9"/>
            <color indexed="81"/>
            <rFont val="Tahoma"/>
            <family val="2"/>
          </rPr>
          <t>PRATEEK YADAV:</t>
        </r>
        <r>
          <rPr>
            <sz val="9"/>
            <color indexed="81"/>
            <rFont val="Tahoma"/>
            <family val="2"/>
          </rPr>
          <t xml:space="preserve">
https://s24.q4cdn.com/326377938/files/doc_financials/2020/ar/IQV-2020.12.31-10K-Final-(with-exhibits).pdf</t>
        </r>
      </text>
    </comment>
    <comment ref="E4" authorId="0" shapeId="0" xr:uid="{BE996B49-05E8-4C40-9B04-4066DCB652F3}">
      <text>
        <r>
          <rPr>
            <b/>
            <sz val="9"/>
            <color indexed="81"/>
            <rFont val="Tahoma"/>
            <family val="2"/>
          </rPr>
          <t>PRATEEK YADAV:</t>
        </r>
        <r>
          <rPr>
            <sz val="9"/>
            <color indexed="81"/>
            <rFont val="Tahoma"/>
            <family val="2"/>
          </rPr>
          <t xml:space="preserve">
https://www.macrotrends.net/stocks/charts/PPD/ppd/revenue</t>
        </r>
      </text>
    </comment>
    <comment ref="F4" authorId="0" shapeId="0" xr:uid="{D4DFC0D4-5468-423D-A19D-AF93B5E152EC}">
      <text>
        <r>
          <rPr>
            <b/>
            <sz val="9"/>
            <color indexed="81"/>
            <rFont val="Tahoma"/>
            <family val="2"/>
          </rPr>
          <t>PRATEEK YADAV:</t>
        </r>
        <r>
          <rPr>
            <sz val="9"/>
            <color indexed="81"/>
            <rFont val="Tahoma"/>
            <family val="2"/>
          </rPr>
          <t xml:space="preserve">
https://www.macrotrends.net/stocks/charts/SYNH/syneos-health/revenue</t>
        </r>
      </text>
    </comment>
    <comment ref="G4" authorId="0" shapeId="0" xr:uid="{3CE7620A-D883-42F5-AB32-AF27D2D3F844}">
      <text>
        <r>
          <rPr>
            <b/>
            <sz val="9"/>
            <color indexed="81"/>
            <rFont val="Tahoma"/>
            <family val="2"/>
          </rPr>
          <t>PRATEEK YADAV:</t>
        </r>
        <r>
          <rPr>
            <sz val="9"/>
            <color indexed="81"/>
            <rFont val="Tahoma"/>
            <family val="2"/>
          </rPr>
          <t xml:space="preserve">
https://www.globenewswire.com/news-release/2020/02/20/1988226/34591/en/PRA-Health-Sciences-Inc-Reports-Fourth-Quarter-and-Full-Year-2019-Results-and-Provides-First-Quarter-and-Full-Year-2020-Guidance.html</t>
        </r>
      </text>
    </comment>
    <comment ref="H4" authorId="0" shapeId="0" xr:uid="{A817CEDC-8382-4C85-9D8B-BB8C36C1584B}">
      <text>
        <r>
          <rPr>
            <b/>
            <sz val="9"/>
            <color indexed="81"/>
            <rFont val="Tahoma"/>
            <family val="2"/>
          </rPr>
          <t>PRATEEK YADAV:</t>
        </r>
        <r>
          <rPr>
            <sz val="9"/>
            <color indexed="81"/>
            <rFont val="Tahoma"/>
            <family val="2"/>
          </rPr>
          <t xml:space="preserve">
https://www.macrotrends.net/stocks/charts/CRL/charles-river-laboratories/revenue</t>
        </r>
      </text>
    </comment>
    <comment ref="I4" authorId="0" shapeId="0" xr:uid="{B6BC8568-C3B6-4FFB-B2AB-017BF30EEAFC}">
      <text>
        <r>
          <rPr>
            <b/>
            <sz val="9"/>
            <color indexed="81"/>
            <rFont val="Tahoma"/>
            <family val="2"/>
          </rPr>
          <t>PRATEEK YADAV:</t>
        </r>
        <r>
          <rPr>
            <sz val="9"/>
            <color indexed="81"/>
            <rFont val="Tahoma"/>
            <family val="2"/>
          </rPr>
          <t xml:space="preserve">
https://www.businesswire.com/news/home/20210224005487/en/ICON-Reports-Fourth-Quarter-and-Full-Year-2020-Results
2018-https://www.iconplc.com/news-events/press-releases/icon-reports-fourth-quart/</t>
        </r>
      </text>
    </comment>
    <comment ref="J4" authorId="0" shapeId="0" xr:uid="{EC2791A2-A62C-41F7-A7AD-5AEDA425BC75}">
      <text>
        <r>
          <rPr>
            <b/>
            <sz val="9"/>
            <color indexed="81"/>
            <rFont val="Tahoma"/>
            <family val="2"/>
          </rPr>
          <t>PRATEEK YADAV:</t>
        </r>
        <r>
          <rPr>
            <sz val="9"/>
            <color indexed="81"/>
            <rFont val="Tahoma"/>
            <family val="2"/>
          </rPr>
          <t xml:space="preserve">
https://www.dnb.com/business-directory/company-profiles.wuxi_apptec_co_ltd.2b3351bf60a5e90a512ae2315bf2df51.html</t>
        </r>
      </text>
    </comment>
    <comment ref="K4" authorId="0" shapeId="0" xr:uid="{B43C2CBF-EDB3-4B12-AB7A-C8DEB69BED9E}">
      <text>
        <r>
          <rPr>
            <b/>
            <sz val="9"/>
            <color indexed="81"/>
            <rFont val="Tahoma"/>
            <family val="2"/>
          </rPr>
          <t>PRATEEK YADAV:</t>
        </r>
        <r>
          <rPr>
            <sz val="9"/>
            <color indexed="81"/>
            <rFont val="Tahoma"/>
            <family val="2"/>
          </rPr>
          <t xml:space="preserve">
https://www.sec.gov/Archives/edgar/data/799729/000079972915000026/a201510-kdoc.htm
https://www.parexel.com/application/files_previous/2114/9428/3911/3Q17_Earnings_Release_FINAL_5-3-2017.pdf</t>
        </r>
      </text>
    </comment>
    <comment ref="L4" authorId="0" shapeId="0" xr:uid="{2935EF7C-9B68-4F45-A762-8D01536E465B}">
      <text>
        <r>
          <rPr>
            <b/>
            <sz val="9"/>
            <color indexed="81"/>
            <rFont val="Tahoma"/>
            <family val="2"/>
          </rPr>
          <t>PRATEEK YADAV:</t>
        </r>
        <r>
          <rPr>
            <sz val="9"/>
            <color indexed="81"/>
            <rFont val="Tahoma"/>
            <family val="2"/>
          </rPr>
          <t xml:space="preserve">
https://www.macrotrends.net/stocks/charts/MEDP/medpace-holdings/revenue</t>
        </r>
      </text>
    </comment>
    <comment ref="E19" authorId="0" shapeId="0" xr:uid="{3BA2DED3-F8DD-4793-AF5D-33A807361F86}">
      <text>
        <r>
          <rPr>
            <b/>
            <sz val="9"/>
            <color indexed="81"/>
            <rFont val="Tahoma"/>
            <family val="2"/>
          </rPr>
          <t>PRATEEK YADAV:</t>
        </r>
        <r>
          <rPr>
            <sz val="9"/>
            <color indexed="81"/>
            <rFont val="Tahoma"/>
            <family val="2"/>
          </rPr>
          <t xml:space="preserve">
https://www.statista.com/statistics/1085601/global-pharmaceutical-cro-market-size-by-segment/</t>
        </r>
      </text>
    </comment>
    <comment ref="J19" authorId="0" shapeId="0" xr:uid="{A22D1B59-6FC0-446B-9CB7-0D1275081B64}">
      <text>
        <r>
          <rPr>
            <b/>
            <sz val="9"/>
            <color indexed="81"/>
            <rFont val="Tahoma"/>
            <family val="2"/>
          </rPr>
          <t>PRATEEK YADAV:</t>
        </r>
        <r>
          <rPr>
            <sz val="9"/>
            <color indexed="81"/>
            <rFont val="Tahoma"/>
            <family val="2"/>
          </rPr>
          <t xml:space="preserve">
https://www.clinicalleader.com/doc/surveying-the-clinical-cro-market-outsourcing-landscape-0001</t>
        </r>
      </text>
    </comment>
    <comment ref="P19" authorId="0" shapeId="0" xr:uid="{6077FC66-74F1-440C-A505-F35003A6B282}">
      <text>
        <r>
          <rPr>
            <b/>
            <sz val="9"/>
            <color indexed="81"/>
            <rFont val="Tahoma"/>
            <family val="2"/>
          </rPr>
          <t>PRATEEK YADAV:</t>
        </r>
        <r>
          <rPr>
            <sz val="9"/>
            <color indexed="81"/>
            <rFont val="Tahoma"/>
            <family val="2"/>
          </rPr>
          <t xml:space="preserve">
https://www.clinicalleader.com/doc/an-overview-of-top-clinical-cros-0001</t>
        </r>
      </text>
    </comment>
    <comment ref="B20" authorId="0" shapeId="0" xr:uid="{086FDB1B-50BC-4AC5-A546-D004B6D7984F}">
      <text>
        <r>
          <rPr>
            <b/>
            <sz val="9"/>
            <color indexed="81"/>
            <rFont val="Tahoma"/>
            <family val="2"/>
          </rPr>
          <t>PRATEEK YADAV:</t>
        </r>
        <r>
          <rPr>
            <sz val="9"/>
            <color indexed="81"/>
            <rFont val="Tahoma"/>
            <family val="2"/>
          </rPr>
          <t xml:space="preserve">
https://www.statista.com/statistics/1085601/global-pharmaceutical-cro-market-size-by-segment/</t>
        </r>
      </text>
    </comment>
    <comment ref="B22" authorId="0" shapeId="0" xr:uid="{68733D8E-9D85-499E-87F7-B14F585A3B94}">
      <text>
        <r>
          <rPr>
            <b/>
            <sz val="9"/>
            <color indexed="81"/>
            <rFont val="Tahoma"/>
            <family val="2"/>
          </rPr>
          <t>PRATEEK YADAV:</t>
        </r>
        <r>
          <rPr>
            <sz val="9"/>
            <color indexed="81"/>
            <rFont val="Tahoma"/>
            <family val="2"/>
          </rPr>
          <t xml:space="preserve">
https://credevo.com/articles/2020/06/15/contract-research-organizations-for-your-clinical-trials-top-10-cros-and-more-part-i/</t>
        </r>
      </text>
    </comment>
  </commentList>
</comments>
</file>

<file path=xl/sharedStrings.xml><?xml version="1.0" encoding="utf-8"?>
<sst xmlns="http://schemas.openxmlformats.org/spreadsheetml/2006/main" count="190" uniqueCount="79">
  <si>
    <t>Covance</t>
  </si>
  <si>
    <t>IQVIA</t>
  </si>
  <si>
    <t>PPD</t>
  </si>
  <si>
    <t>Syneo Health</t>
  </si>
  <si>
    <t>PRA Health</t>
  </si>
  <si>
    <t>Charles River</t>
  </si>
  <si>
    <t>Icon Public</t>
  </si>
  <si>
    <t>Wuxi Apptec</t>
  </si>
  <si>
    <t>Medpace Holdings</t>
  </si>
  <si>
    <t>Market Share by Top 10 Companies (56%)</t>
  </si>
  <si>
    <t>Market share by other companies (44%)</t>
  </si>
  <si>
    <t>Other CROs</t>
  </si>
  <si>
    <t>Top 10 CROs world wide (Revenue)</t>
  </si>
  <si>
    <t>Companies</t>
  </si>
  <si>
    <t>Market Size (Forecasting)</t>
  </si>
  <si>
    <t>Global CROs Market size in 2020 (in Billion USD)</t>
  </si>
  <si>
    <t>Revenue in 2020 (in Million USD)</t>
  </si>
  <si>
    <t>Pre-Clinical</t>
  </si>
  <si>
    <t>Drug Discovery</t>
  </si>
  <si>
    <t>Europe</t>
  </si>
  <si>
    <t>Asia</t>
  </si>
  <si>
    <t>Latin America</t>
  </si>
  <si>
    <t>Phase I</t>
  </si>
  <si>
    <t>Central Labs</t>
  </si>
  <si>
    <t xml:space="preserve">Phase II </t>
  </si>
  <si>
    <t xml:space="preserve">Phase III </t>
  </si>
  <si>
    <t xml:space="preserve">Phase IV </t>
  </si>
  <si>
    <t xml:space="preserve">Others </t>
  </si>
  <si>
    <t xml:space="preserve">North America </t>
  </si>
  <si>
    <t xml:space="preserve">Clinical </t>
  </si>
  <si>
    <t xml:space="preserve">Pre-Clinical </t>
  </si>
  <si>
    <t>% Division</t>
  </si>
  <si>
    <t>Market Size by differnet segments, and Region</t>
  </si>
  <si>
    <t>Based on Industrial Segment</t>
  </si>
  <si>
    <t>Based on Region</t>
  </si>
  <si>
    <t>Based on Phases</t>
  </si>
  <si>
    <t>Higher rmarket size in comparison to earlier estimation (before 2018) due to the fact of sudden pandemic contraction and increased funding, and demands of clinical trials for various drugs and vaccines</t>
  </si>
  <si>
    <t>Revenue in 2018 (in Million USD)</t>
  </si>
  <si>
    <t>Revenue in 2019 (in Million USD)</t>
  </si>
  <si>
    <t>Parexel International</t>
  </si>
  <si>
    <t>ROW</t>
  </si>
  <si>
    <t>Year</t>
  </si>
  <si>
    <t>Revenue</t>
  </si>
  <si>
    <t>Parexcel International</t>
  </si>
  <si>
    <t>CAGR - 8.54%</t>
  </si>
  <si>
    <t>america</t>
  </si>
  <si>
    <t>Europe and Africa</t>
  </si>
  <si>
    <t>Asia - Pacific</t>
  </si>
  <si>
    <t>Market Size by various Segments, and Region</t>
  </si>
  <si>
    <t>Evaluation of 2018 Market Size</t>
  </si>
  <si>
    <t>Evaluation of 2019 Market Size</t>
  </si>
  <si>
    <t>Evaluation of 2020 Market Size</t>
  </si>
  <si>
    <t>Registered Studies by End of Year</t>
  </si>
  <si>
    <t>Cost of clinical trials (in billions)</t>
  </si>
  <si>
    <r>
      <t>2008 </t>
    </r>
    <r>
      <rPr>
        <b/>
        <sz val="7"/>
        <color rgb="FF0000FF"/>
        <rFont val="Source Sans Pro"/>
        <family val="2"/>
      </rPr>
      <t>†</t>
    </r>
  </si>
  <si>
    <t>Number of trials in USA</t>
  </si>
  <si>
    <t>Non - USA</t>
  </si>
  <si>
    <t>Cost in USA</t>
  </si>
  <si>
    <t>Cost in Non-USA</t>
  </si>
  <si>
    <t>Total cost in billions</t>
  </si>
  <si>
    <t>1-1000</t>
  </si>
  <si>
    <t>101-1000</t>
  </si>
  <si>
    <t>1001 onwards</t>
  </si>
  <si>
    <t>Cost in Non- USA</t>
  </si>
  <si>
    <t>1-100</t>
  </si>
  <si>
    <t>&gt;100</t>
  </si>
  <si>
    <t>Number of trials in Non - USA</t>
  </si>
  <si>
    <t>Total Cost</t>
  </si>
  <si>
    <t>Phase 1 (7%)</t>
  </si>
  <si>
    <t>Phase 2 (14%)</t>
  </si>
  <si>
    <t>Phase 3 (37%)</t>
  </si>
  <si>
    <t>Subjects with 1-100 costs 1/3 of the mean cost
In USA, out of the total only 32% of Trials are perfomed
Cost of Trials in Non-USA countries are 60% of the mean cost 
For Phase 1, 2, and 3 the cost per study are 3.4, 8.6, and 21.4 millions resepectively</t>
  </si>
  <si>
    <t>Number of Trials</t>
  </si>
  <si>
    <t>Total Cost in billions</t>
  </si>
  <si>
    <t>Phase 1 (35%)</t>
  </si>
  <si>
    <t>Phase 2 (39%)</t>
  </si>
  <si>
    <t>Phase 3 (26%)</t>
  </si>
  <si>
    <t>Labcorp</t>
  </si>
  <si>
    <t>Studies with subjects ranging from 1 to 100, cost one-third of the mean cost of Trial
In the USA, out of the total, only 32% of Trials are initiated each year
The cost of Trials in Non-USA countries is only 60% of the mean cost of Trial
For Phase 1, 2, and 3 the cost per study are 1.4, 7, and 11.5 million respectively
Out of the total numbers of Trials conducted each year, Phase I, II, and III are 35%, 39%, and 26%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</si>
</sst>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tint="-0.249977111117893"/>
      <name val="Calibri"/>
      <family val="2"/>
      <scheme val="minor"/>
    </font>
    <font>
      <b/>
      <sz val="14"/>
      <color theme="1"/>
      <name val="Calibri"/>
      <family val="2"/>
      <scheme val="minor"/>
    </font>
    <font>
      <sz val="11"/>
      <color theme="1"/>
      <name val="Calibri"/>
      <family val="2"/>
      <scheme val="minor"/>
    </font>
    <font>
      <sz val="9"/>
      <color rgb="FF000000"/>
      <name val="Source Sans Pro"/>
      <family val="2"/>
    </font>
    <font>
      <b/>
      <sz val="7"/>
      <color rgb="FF0000FF"/>
      <name val="Source Sans Pro"/>
      <family val="2"/>
    </font>
    <font>
      <b/>
      <sz val="8"/>
      <color rgb="FF222222"/>
      <name val="Source Sans Pro"/>
      <family val="2"/>
    </font>
    <font>
      <sz val="10"/>
      <color rgb="FF000000"/>
      <name val="Times New Roman"/>
      <family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FF"/>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9" fontId="6" fillId="0" borderId="0" applyFont="0" applyFill="0" applyBorder="0" applyAlignment="0" applyProtection="0"/>
  </cellStyleXfs>
  <cellXfs count="10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0" fillId="0" borderId="7" xfId="0" applyBorder="1" applyAlignment="1">
      <alignment wrapText="1"/>
    </xf>
    <xf numFmtId="0" fontId="1" fillId="0" borderId="9" xfId="0" applyFont="1" applyBorder="1" applyAlignment="1">
      <alignment wrapText="1"/>
    </xf>
    <xf numFmtId="0" fontId="0" fillId="0" borderId="9" xfId="0" applyBorder="1" applyAlignment="1">
      <alignment wrapText="1"/>
    </xf>
    <xf numFmtId="0" fontId="0" fillId="0" borderId="9" xfId="0" applyBorder="1" applyAlignment="1">
      <alignment horizontal="center" vertical="center" wrapText="1"/>
    </xf>
    <xf numFmtId="1" fontId="0" fillId="0" borderId="9" xfId="0" applyNumberFormat="1" applyBorder="1" applyAlignment="1">
      <alignment horizontal="center" vertical="center" wrapText="1"/>
    </xf>
    <xf numFmtId="0" fontId="0" fillId="0" borderId="9" xfId="0" applyBorder="1" applyAlignment="1">
      <alignment horizontal="center" wrapText="1"/>
    </xf>
    <xf numFmtId="1" fontId="0" fillId="0" borderId="9" xfId="0" applyNumberFormat="1" applyBorder="1" applyAlignment="1">
      <alignment horizontal="center" wrapText="1"/>
    </xf>
    <xf numFmtId="1" fontId="0" fillId="2" borderId="9" xfId="0" applyNumberFormat="1" applyFill="1" applyBorder="1" applyAlignment="1">
      <alignment horizontal="center" vertical="center" wrapText="1"/>
    </xf>
    <xf numFmtId="0" fontId="1" fillId="0" borderId="9" xfId="0" applyFont="1" applyBorder="1" applyAlignment="1">
      <alignment horizontal="center" vertical="center" wrapText="1"/>
    </xf>
    <xf numFmtId="9" fontId="4" fillId="0" borderId="9" xfId="0" applyNumberFormat="1" applyFont="1" applyBorder="1" applyAlignment="1">
      <alignment horizontal="center" vertical="center" wrapText="1"/>
    </xf>
    <xf numFmtId="164" fontId="0" fillId="2" borderId="9" xfId="0" applyNumberFormat="1" applyFill="1" applyBorder="1" applyAlignment="1">
      <alignment horizontal="center" vertical="center" wrapText="1"/>
    </xf>
    <xf numFmtId="9" fontId="4" fillId="0" borderId="9" xfId="0" applyNumberFormat="1" applyFont="1" applyBorder="1" applyAlignment="1">
      <alignment horizontal="center" wrapText="1"/>
    </xf>
    <xf numFmtId="164" fontId="0" fillId="2" borderId="9" xfId="0" applyNumberFormat="1" applyFill="1"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5" xfId="0" applyBorder="1" applyAlignment="1">
      <alignment wrapText="1"/>
    </xf>
    <xf numFmtId="0" fontId="1" fillId="0" borderId="11" xfId="0" applyFont="1" applyBorder="1" applyAlignment="1">
      <alignment horizontal="center" vertical="center" wrapText="1"/>
    </xf>
    <xf numFmtId="0" fontId="0" fillId="0" borderId="10" xfId="0" applyBorder="1" applyAlignment="1">
      <alignment horizontal="center" vertical="center" wrapText="1"/>
    </xf>
    <xf numFmtId="9" fontId="4" fillId="0" borderId="11" xfId="0" applyNumberFormat="1" applyFont="1" applyBorder="1" applyAlignment="1">
      <alignment horizontal="center" wrapText="1"/>
    </xf>
    <xf numFmtId="0" fontId="0" fillId="0" borderId="10" xfId="0" applyBorder="1" applyAlignment="1">
      <alignment horizontal="center" wrapText="1"/>
    </xf>
    <xf numFmtId="164" fontId="0" fillId="2" borderId="11" xfId="0" applyNumberFormat="1" applyFill="1" applyBorder="1" applyAlignment="1">
      <alignment wrapText="1"/>
    </xf>
    <xf numFmtId="0" fontId="0" fillId="0" borderId="12" xfId="0" applyBorder="1" applyAlignment="1">
      <alignment horizontal="center" vertical="center" wrapText="1"/>
    </xf>
    <xf numFmtId="0" fontId="0" fillId="0" borderId="6" xfId="0" applyBorder="1" applyAlignment="1">
      <alignment wrapText="1"/>
    </xf>
    <xf numFmtId="0" fontId="0" fillId="2" borderId="9" xfId="0" applyFill="1" applyBorder="1" applyAlignment="1">
      <alignment horizontal="center" wrapText="1"/>
    </xf>
    <xf numFmtId="1" fontId="0" fillId="2" borderId="9" xfId="0" applyNumberFormat="1" applyFill="1" applyBorder="1" applyAlignment="1">
      <alignment horizontal="center" wrapText="1"/>
    </xf>
    <xf numFmtId="1" fontId="1" fillId="2" borderId="9" xfId="0" applyNumberFormat="1" applyFont="1" applyFill="1" applyBorder="1" applyAlignment="1">
      <alignment horizontal="center" wrapText="1"/>
    </xf>
    <xf numFmtId="0" fontId="1" fillId="0" borderId="9" xfId="0" applyFont="1" applyBorder="1" applyAlignment="1">
      <alignment horizontal="center" wrapText="1"/>
    </xf>
    <xf numFmtId="0" fontId="1" fillId="0" borderId="13" xfId="0" applyFont="1" applyBorder="1" applyAlignment="1">
      <alignment horizontal="center" vertical="center" wrapText="1"/>
    </xf>
    <xf numFmtId="164" fontId="0" fillId="2" borderId="13" xfId="0" applyNumberFormat="1" applyFill="1" applyBorder="1" applyAlignment="1">
      <alignment horizontal="center" vertical="center" wrapText="1"/>
    </xf>
    <xf numFmtId="164" fontId="0" fillId="2" borderId="13" xfId="0" applyNumberFormat="1" applyFill="1" applyBorder="1" applyAlignment="1">
      <alignment wrapText="1"/>
    </xf>
    <xf numFmtId="164" fontId="0" fillId="2" borderId="14" xfId="0" applyNumberFormat="1" applyFill="1" applyBorder="1" applyAlignment="1">
      <alignment wrapText="1"/>
    </xf>
    <xf numFmtId="0" fontId="0" fillId="0" borderId="9" xfId="0" applyFont="1" applyBorder="1" applyAlignment="1">
      <alignment horizontal="center" wrapText="1"/>
    </xf>
    <xf numFmtId="1" fontId="0" fillId="0" borderId="9" xfId="0" applyNumberFormat="1" applyFont="1" applyBorder="1" applyAlignment="1">
      <alignment horizontal="center" wrapText="1"/>
    </xf>
    <xf numFmtId="0" fontId="1" fillId="0" borderId="9" xfId="0" applyFont="1" applyBorder="1" applyAlignment="1">
      <alignment horizontal="center" vertical="center"/>
    </xf>
    <xf numFmtId="1" fontId="0" fillId="2" borderId="9" xfId="0" applyNumberFormat="1" applyFill="1" applyBorder="1" applyAlignment="1">
      <alignment horizontal="center" vertical="center"/>
    </xf>
    <xf numFmtId="0" fontId="1" fillId="0" borderId="0" xfId="0" applyFont="1" applyFill="1" applyBorder="1" applyAlignment="1">
      <alignment wrapText="1"/>
    </xf>
    <xf numFmtId="1" fontId="1" fillId="0" borderId="0" xfId="0" applyNumberFormat="1" applyFont="1" applyFill="1" applyBorder="1" applyAlignment="1">
      <alignment horizontal="center" wrapText="1"/>
    </xf>
    <xf numFmtId="0" fontId="0" fillId="0" borderId="0" xfId="0" applyFill="1" applyAlignment="1">
      <alignment wrapText="1"/>
    </xf>
    <xf numFmtId="9" fontId="0" fillId="0" borderId="0" xfId="1" applyFont="1"/>
    <xf numFmtId="0" fontId="1" fillId="0" borderId="9" xfId="0" applyFont="1" applyBorder="1" applyAlignment="1">
      <alignment horizontal="center" vertical="center" wrapText="1"/>
    </xf>
    <xf numFmtId="1" fontId="0" fillId="0" borderId="0" xfId="0" applyNumberFormat="1" applyAlignment="1">
      <alignment wrapText="1"/>
    </xf>
    <xf numFmtId="0" fontId="0" fillId="0" borderId="0" xfId="0" applyBorder="1" applyAlignment="1">
      <alignment horizontal="center" vertical="center"/>
    </xf>
    <xf numFmtId="0" fontId="0" fillId="0" borderId="0" xfId="0" applyAlignment="1">
      <alignment horizontal="center" vertical="center"/>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1" fillId="2" borderId="0" xfId="0" applyFont="1" applyFill="1" applyAlignment="1">
      <alignment wrapText="1"/>
    </xf>
    <xf numFmtId="0" fontId="7" fillId="4" borderId="18" xfId="0" applyFont="1" applyFill="1" applyBorder="1" applyAlignment="1">
      <alignment vertical="center" wrapText="1"/>
    </xf>
    <xf numFmtId="3" fontId="7" fillId="4" borderId="19" xfId="0" applyNumberFormat="1" applyFont="1" applyFill="1" applyBorder="1" applyAlignment="1">
      <alignment vertical="center" wrapText="1"/>
    </xf>
    <xf numFmtId="0" fontId="7" fillId="4" borderId="20" xfId="0" applyFont="1" applyFill="1" applyBorder="1" applyAlignment="1">
      <alignment vertical="center" wrapText="1"/>
    </xf>
    <xf numFmtId="1" fontId="0" fillId="0" borderId="0" xfId="0" applyNumberFormat="1"/>
    <xf numFmtId="1" fontId="0" fillId="2" borderId="0" xfId="0" applyNumberFormat="1" applyFill="1"/>
    <xf numFmtId="0" fontId="9" fillId="0" borderId="0" xfId="0" applyFont="1" applyAlignment="1">
      <alignment vertical="center" wrapText="1"/>
    </xf>
    <xf numFmtId="164" fontId="0" fillId="0" borderId="0" xfId="0" applyNumberFormat="1"/>
    <xf numFmtId="0" fontId="7" fillId="4" borderId="21" xfId="0" applyFont="1" applyFill="1" applyBorder="1" applyAlignment="1">
      <alignment vertical="center" wrapText="1"/>
    </xf>
    <xf numFmtId="10" fontId="0" fillId="0" borderId="0" xfId="0" applyNumberFormat="1"/>
    <xf numFmtId="165" fontId="0" fillId="0" borderId="0" xfId="0" applyNumberFormat="1"/>
    <xf numFmtId="9" fontId="0" fillId="0" borderId="0" xfId="1" applyFont="1" applyAlignment="1">
      <alignment horizontal="center" vertical="center"/>
    </xf>
    <xf numFmtId="0" fontId="0" fillId="0" borderId="9" xfId="0" applyBorder="1" applyAlignment="1">
      <alignment horizontal="left" vertical="top" wrapText="1"/>
    </xf>
    <xf numFmtId="0" fontId="0" fillId="0" borderId="9" xfId="0" applyBorder="1"/>
    <xf numFmtId="0" fontId="1" fillId="0" borderId="9" xfId="0" applyFont="1" applyBorder="1" applyAlignment="1">
      <alignment horizontal="left" vertical="top" wrapText="1"/>
    </xf>
    <xf numFmtId="0" fontId="0" fillId="0" borderId="9" xfId="0" applyBorder="1" applyAlignment="1">
      <alignment horizontal="center"/>
    </xf>
    <xf numFmtId="1" fontId="0" fillId="2" borderId="9" xfId="0" applyNumberFormat="1" applyFill="1" applyBorder="1" applyAlignment="1">
      <alignment horizontal="center"/>
    </xf>
    <xf numFmtId="0" fontId="1" fillId="0" borderId="2" xfId="0" applyFont="1" applyBorder="1"/>
    <xf numFmtId="0" fontId="1" fillId="0" borderId="3" xfId="0" applyFont="1" applyBorder="1"/>
    <xf numFmtId="0" fontId="1" fillId="0" borderId="0" xfId="0" applyFont="1" applyBorder="1"/>
    <xf numFmtId="0" fontId="1" fillId="0" borderId="5" xfId="0" applyFont="1" applyBorder="1"/>
    <xf numFmtId="0" fontId="1" fillId="0" borderId="10" xfId="0" applyFont="1" applyBorder="1" applyAlignment="1">
      <alignment horizontal="left" vertical="top" wrapText="1"/>
    </xf>
    <xf numFmtId="164" fontId="0" fillId="2" borderId="4" xfId="0" applyNumberFormat="1" applyFill="1" applyBorder="1" applyAlignment="1">
      <alignment horizontal="center"/>
    </xf>
    <xf numFmtId="164" fontId="0" fillId="2" borderId="0" xfId="0" applyNumberFormat="1" applyFill="1" applyBorder="1" applyAlignment="1">
      <alignment horizontal="center"/>
    </xf>
    <xf numFmtId="0" fontId="0" fillId="0" borderId="0" xfId="0" applyBorder="1" applyAlignment="1">
      <alignment horizontal="center"/>
    </xf>
    <xf numFmtId="164" fontId="0" fillId="2" borderId="5" xfId="0" applyNumberFormat="1" applyFill="1" applyBorder="1" applyAlignment="1">
      <alignment horizontal="center"/>
    </xf>
    <xf numFmtId="0" fontId="0" fillId="0" borderId="7" xfId="0" applyBorder="1" applyAlignment="1">
      <alignment horizontal="center"/>
    </xf>
    <xf numFmtId="164" fontId="0" fillId="2" borderId="8" xfId="0" applyNumberFormat="1" applyFill="1" applyBorder="1" applyAlignment="1">
      <alignment horizontal="center"/>
    </xf>
    <xf numFmtId="3" fontId="10" fillId="0" borderId="0" xfId="0" applyNumberFormat="1" applyFont="1"/>
    <xf numFmtId="0" fontId="1" fillId="0" borderId="9" xfId="0" applyFont="1" applyBorder="1" applyAlignment="1">
      <alignment horizontal="center" wrapText="1"/>
    </xf>
    <xf numFmtId="0" fontId="1" fillId="0" borderId="9" xfId="0" applyFont="1"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top" wrapText="1"/>
    </xf>
    <xf numFmtId="0" fontId="0" fillId="0" borderId="9" xfId="0" applyBorder="1" applyAlignment="1">
      <alignment horizontal="center" vertical="center" wrapText="1"/>
    </xf>
    <xf numFmtId="0" fontId="5" fillId="0" borderId="9" xfId="0" applyFont="1" applyBorder="1" applyAlignment="1">
      <alignment horizontal="center" vertic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top" wrapText="1"/>
    </xf>
    <xf numFmtId="0" fontId="1" fillId="3" borderId="0" xfId="0" applyFont="1" applyFill="1" applyAlignment="1">
      <alignment horizontal="center" vertical="top" wrapText="1"/>
    </xf>
    <xf numFmtId="0" fontId="1" fillId="0" borderId="22" xfId="0" applyFont="1" applyBorder="1" applyAlignment="1">
      <alignment horizontal="center" vertical="top" wrapText="1"/>
    </xf>
    <xf numFmtId="0" fontId="1" fillId="0" borderId="23" xfId="0" applyFont="1" applyBorder="1" applyAlignment="1">
      <alignment horizontal="center" vertical="top" wrapText="1"/>
    </xf>
    <xf numFmtId="0" fontId="1" fillId="0" borderId="10" xfId="0" applyFont="1" applyBorder="1" applyAlignment="1">
      <alignment horizontal="center" vertical="top" wrapText="1"/>
    </xf>
    <xf numFmtId="0" fontId="1" fillId="0" borderId="9"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'Market Forecasting by Segments'!$D$5</c:f>
              <c:strCache>
                <c:ptCount val="1"/>
                <c:pt idx="0">
                  <c:v>Clinical </c:v>
                </c:pt>
              </c:strCache>
            </c:strRef>
          </c:tx>
          <c:spPr>
            <a:solidFill>
              <a:schemeClr val="accent1"/>
            </a:solidFill>
            <a:ln>
              <a:noFill/>
            </a:ln>
            <a:effectLst/>
          </c:spPr>
          <c:invertIfNegative val="0"/>
          <c:cat>
            <c:numRef>
              <c:f>'Market Forecasting by Segments'!$C$7:$C$12</c:f>
              <c:numCache>
                <c:formatCode>General</c:formatCode>
                <c:ptCount val="6"/>
                <c:pt idx="0">
                  <c:v>2020</c:v>
                </c:pt>
                <c:pt idx="1">
                  <c:v>2021</c:v>
                </c:pt>
                <c:pt idx="2">
                  <c:v>2022</c:v>
                </c:pt>
                <c:pt idx="3">
                  <c:v>2023</c:v>
                </c:pt>
                <c:pt idx="4">
                  <c:v>2024</c:v>
                </c:pt>
                <c:pt idx="5">
                  <c:v>2025</c:v>
                </c:pt>
              </c:numCache>
            </c:numRef>
          </c:cat>
          <c:val>
            <c:numRef>
              <c:f>'Market Forecasting by Segments'!$D$7:$D$12</c:f>
              <c:numCache>
                <c:formatCode>0.0</c:formatCode>
                <c:ptCount val="6"/>
                <c:pt idx="0">
                  <c:v>56.218035714285719</c:v>
                </c:pt>
                <c:pt idx="1">
                  <c:v>60.587802579365146</c:v>
                </c:pt>
                <c:pt idx="2">
                  <c:v>65.284976851851852</c:v>
                </c:pt>
                <c:pt idx="3">
                  <c:v>69.763879519400689</c:v>
                </c:pt>
                <c:pt idx="4">
                  <c:v>74.38829659024104</c:v>
                </c:pt>
                <c:pt idx="5">
                  <c:v>78.915704058885879</c:v>
                </c:pt>
              </c:numCache>
            </c:numRef>
          </c:val>
          <c:extLst>
            <c:ext xmlns:c16="http://schemas.microsoft.com/office/drawing/2014/chart" uri="{C3380CC4-5D6E-409C-BE32-E72D297353CC}">
              <c16:uniqueId val="{00000000-3204-4D1A-B0F5-2C81941C0309}"/>
            </c:ext>
          </c:extLst>
        </c:ser>
        <c:ser>
          <c:idx val="1"/>
          <c:order val="1"/>
          <c:tx>
            <c:strRef>
              <c:f>'Market Forecasting by Segments'!$E$5</c:f>
              <c:strCache>
                <c:ptCount val="1"/>
                <c:pt idx="0">
                  <c:v>Pre-Clinical </c:v>
                </c:pt>
              </c:strCache>
            </c:strRef>
          </c:tx>
          <c:spPr>
            <a:solidFill>
              <a:schemeClr val="accent2"/>
            </a:solidFill>
            <a:ln>
              <a:noFill/>
            </a:ln>
            <a:effectLst/>
          </c:spPr>
          <c:invertIfNegative val="0"/>
          <c:cat>
            <c:numRef>
              <c:f>'Market Forecasting by Segments'!$C$7:$C$12</c:f>
              <c:numCache>
                <c:formatCode>General</c:formatCode>
                <c:ptCount val="6"/>
                <c:pt idx="0">
                  <c:v>2020</c:v>
                </c:pt>
                <c:pt idx="1">
                  <c:v>2021</c:v>
                </c:pt>
                <c:pt idx="2">
                  <c:v>2022</c:v>
                </c:pt>
                <c:pt idx="3">
                  <c:v>2023</c:v>
                </c:pt>
                <c:pt idx="4">
                  <c:v>2024</c:v>
                </c:pt>
                <c:pt idx="5">
                  <c:v>2025</c:v>
                </c:pt>
              </c:numCache>
            </c:numRef>
          </c:cat>
          <c:val>
            <c:numRef>
              <c:f>'Market Forecasting by Segments'!$E$7:$E$12</c:f>
              <c:numCache>
                <c:formatCode>0.0</c:formatCode>
                <c:ptCount val="6"/>
                <c:pt idx="0">
                  <c:v>12.973392857142857</c:v>
                </c:pt>
                <c:pt idx="1">
                  <c:v>13.981800595238109</c:v>
                </c:pt>
                <c:pt idx="2">
                  <c:v>15.065763888888887</c:v>
                </c:pt>
                <c:pt idx="3">
                  <c:v>16.09935681216939</c:v>
                </c:pt>
                <c:pt idx="4">
                  <c:v>17.166529982363318</c:v>
                </c:pt>
                <c:pt idx="5">
                  <c:v>18.211316321281355</c:v>
                </c:pt>
              </c:numCache>
            </c:numRef>
          </c:val>
          <c:extLst>
            <c:ext xmlns:c16="http://schemas.microsoft.com/office/drawing/2014/chart" uri="{C3380CC4-5D6E-409C-BE32-E72D297353CC}">
              <c16:uniqueId val="{00000001-3204-4D1A-B0F5-2C81941C0309}"/>
            </c:ext>
          </c:extLst>
        </c:ser>
        <c:ser>
          <c:idx val="2"/>
          <c:order val="2"/>
          <c:tx>
            <c:strRef>
              <c:f>'Market Forecasting by Segments'!$F$5</c:f>
              <c:strCache>
                <c:ptCount val="1"/>
                <c:pt idx="0">
                  <c:v>Drug Discovery</c:v>
                </c:pt>
              </c:strCache>
            </c:strRef>
          </c:tx>
          <c:spPr>
            <a:solidFill>
              <a:schemeClr val="accent3"/>
            </a:solidFill>
            <a:ln>
              <a:noFill/>
            </a:ln>
            <a:effectLst/>
          </c:spPr>
          <c:invertIfNegative val="0"/>
          <c:cat>
            <c:numRef>
              <c:f>'Market Forecasting by Segments'!$C$7:$C$12</c:f>
              <c:numCache>
                <c:formatCode>General</c:formatCode>
                <c:ptCount val="6"/>
                <c:pt idx="0">
                  <c:v>2020</c:v>
                </c:pt>
                <c:pt idx="1">
                  <c:v>2021</c:v>
                </c:pt>
                <c:pt idx="2">
                  <c:v>2022</c:v>
                </c:pt>
                <c:pt idx="3">
                  <c:v>2023</c:v>
                </c:pt>
                <c:pt idx="4">
                  <c:v>2024</c:v>
                </c:pt>
                <c:pt idx="5">
                  <c:v>2025</c:v>
                </c:pt>
              </c:numCache>
            </c:numRef>
          </c:cat>
          <c:val>
            <c:numRef>
              <c:f>'Market Forecasting by Segments'!$F$7:$F$12</c:f>
              <c:numCache>
                <c:formatCode>0.0</c:formatCode>
                <c:ptCount val="6"/>
                <c:pt idx="0">
                  <c:v>17.297857142857143</c:v>
                </c:pt>
                <c:pt idx="1">
                  <c:v>18.642400793650815</c:v>
                </c:pt>
                <c:pt idx="2">
                  <c:v>20.087685185185183</c:v>
                </c:pt>
                <c:pt idx="3">
                  <c:v>21.46580908289252</c:v>
                </c:pt>
                <c:pt idx="4">
                  <c:v>22.888706643151092</c:v>
                </c:pt>
                <c:pt idx="5">
                  <c:v>24.28175509504181</c:v>
                </c:pt>
              </c:numCache>
            </c:numRef>
          </c:val>
          <c:extLst>
            <c:ext xmlns:c16="http://schemas.microsoft.com/office/drawing/2014/chart" uri="{C3380CC4-5D6E-409C-BE32-E72D297353CC}">
              <c16:uniqueId val="{00000002-3204-4D1A-B0F5-2C81941C0309}"/>
            </c:ext>
          </c:extLst>
        </c:ser>
        <c:dLbls>
          <c:showLegendKey val="0"/>
          <c:showVal val="0"/>
          <c:showCatName val="0"/>
          <c:showSerName val="0"/>
          <c:showPercent val="0"/>
          <c:showBubbleSize val="0"/>
        </c:dLbls>
        <c:gapWidth val="150"/>
        <c:overlap val="100"/>
        <c:axId val="1531499567"/>
        <c:axId val="1531495823"/>
      </c:barChart>
      <c:catAx>
        <c:axId val="153149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5823"/>
        <c:crosses val="autoZero"/>
        <c:auto val="1"/>
        <c:lblAlgn val="ctr"/>
        <c:lblOffset val="100"/>
        <c:noMultiLvlLbl val="0"/>
      </c:catAx>
      <c:valAx>
        <c:axId val="15314958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9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'Market Forecasting by Segments'!$I$5</c:f>
              <c:strCache>
                <c:ptCount val="1"/>
                <c:pt idx="0">
                  <c:v>North America </c:v>
                </c:pt>
              </c:strCache>
            </c:strRef>
          </c:tx>
          <c:spPr>
            <a:solidFill>
              <a:schemeClr val="accent1"/>
            </a:solidFill>
            <a:ln>
              <a:noFill/>
            </a:ln>
            <a:effectLst/>
          </c:spPr>
          <c:invertIfNegative val="0"/>
          <c:cat>
            <c:numRef>
              <c:f>'Market Forecasting by Segments'!$H$7:$H$12</c:f>
              <c:numCache>
                <c:formatCode>General</c:formatCode>
                <c:ptCount val="6"/>
                <c:pt idx="0">
                  <c:v>2020</c:v>
                </c:pt>
                <c:pt idx="1">
                  <c:v>2021</c:v>
                </c:pt>
                <c:pt idx="2">
                  <c:v>2022</c:v>
                </c:pt>
                <c:pt idx="3">
                  <c:v>2023</c:v>
                </c:pt>
                <c:pt idx="4">
                  <c:v>2024</c:v>
                </c:pt>
                <c:pt idx="5">
                  <c:v>2025</c:v>
                </c:pt>
              </c:numCache>
            </c:numRef>
          </c:cat>
          <c:val>
            <c:numRef>
              <c:f>'Market Forecasting by Segments'!$I$7:$I$12</c:f>
              <c:numCache>
                <c:formatCode>0.0</c:formatCode>
                <c:ptCount val="6"/>
                <c:pt idx="0">
                  <c:v>38.920178571428572</c:v>
                </c:pt>
                <c:pt idx="1">
                  <c:v>41.945401785714331</c:v>
                </c:pt>
                <c:pt idx="2">
                  <c:v>45.197291666666665</c:v>
                </c:pt>
                <c:pt idx="3">
                  <c:v>48.298070436508169</c:v>
                </c:pt>
                <c:pt idx="4">
                  <c:v>51.499589947089952</c:v>
                </c:pt>
                <c:pt idx="5">
                  <c:v>54.63394896384407</c:v>
                </c:pt>
              </c:numCache>
            </c:numRef>
          </c:val>
          <c:extLst>
            <c:ext xmlns:c16="http://schemas.microsoft.com/office/drawing/2014/chart" uri="{C3380CC4-5D6E-409C-BE32-E72D297353CC}">
              <c16:uniqueId val="{00000000-8097-4538-9F02-D17F3811A767}"/>
            </c:ext>
          </c:extLst>
        </c:ser>
        <c:ser>
          <c:idx val="1"/>
          <c:order val="1"/>
          <c:tx>
            <c:strRef>
              <c:f>'Market Forecasting by Segments'!$J$5</c:f>
              <c:strCache>
                <c:ptCount val="1"/>
                <c:pt idx="0">
                  <c:v>Europe</c:v>
                </c:pt>
              </c:strCache>
            </c:strRef>
          </c:tx>
          <c:spPr>
            <a:solidFill>
              <a:schemeClr val="accent2"/>
            </a:solidFill>
            <a:ln>
              <a:noFill/>
            </a:ln>
            <a:effectLst/>
          </c:spPr>
          <c:invertIfNegative val="0"/>
          <c:cat>
            <c:numRef>
              <c:f>'Market Forecasting by Segments'!$H$7:$H$12</c:f>
              <c:numCache>
                <c:formatCode>General</c:formatCode>
                <c:ptCount val="6"/>
                <c:pt idx="0">
                  <c:v>2020</c:v>
                </c:pt>
                <c:pt idx="1">
                  <c:v>2021</c:v>
                </c:pt>
                <c:pt idx="2">
                  <c:v>2022</c:v>
                </c:pt>
                <c:pt idx="3">
                  <c:v>2023</c:v>
                </c:pt>
                <c:pt idx="4">
                  <c:v>2024</c:v>
                </c:pt>
                <c:pt idx="5">
                  <c:v>2025</c:v>
                </c:pt>
              </c:numCache>
            </c:numRef>
          </c:cat>
          <c:val>
            <c:numRef>
              <c:f>'Market Forecasting by Segments'!$J$7:$J$12</c:f>
              <c:numCache>
                <c:formatCode>0.0</c:formatCode>
                <c:ptCount val="6"/>
                <c:pt idx="0">
                  <c:v>32.865928571428569</c:v>
                </c:pt>
                <c:pt idx="1">
                  <c:v>35.420561507936547</c:v>
                </c:pt>
                <c:pt idx="2">
                  <c:v>38.166601851851844</c:v>
                </c:pt>
                <c:pt idx="3">
                  <c:v>40.785037257495787</c:v>
                </c:pt>
                <c:pt idx="4">
                  <c:v>43.488542621987072</c:v>
                </c:pt>
                <c:pt idx="5">
                  <c:v>46.135334680579433</c:v>
                </c:pt>
              </c:numCache>
            </c:numRef>
          </c:val>
          <c:extLst>
            <c:ext xmlns:c16="http://schemas.microsoft.com/office/drawing/2014/chart" uri="{C3380CC4-5D6E-409C-BE32-E72D297353CC}">
              <c16:uniqueId val="{00000001-8097-4538-9F02-D17F3811A767}"/>
            </c:ext>
          </c:extLst>
        </c:ser>
        <c:ser>
          <c:idx val="2"/>
          <c:order val="2"/>
          <c:tx>
            <c:strRef>
              <c:f>'Market Forecasting by Segments'!$K$5</c:f>
              <c:strCache>
                <c:ptCount val="1"/>
                <c:pt idx="0">
                  <c:v>Asia</c:v>
                </c:pt>
              </c:strCache>
            </c:strRef>
          </c:tx>
          <c:spPr>
            <a:solidFill>
              <a:schemeClr val="accent3"/>
            </a:solidFill>
            <a:ln>
              <a:noFill/>
            </a:ln>
            <a:effectLst/>
          </c:spPr>
          <c:invertIfNegative val="0"/>
          <c:cat>
            <c:numRef>
              <c:f>'Market Forecasting by Segments'!$H$7:$H$12</c:f>
              <c:numCache>
                <c:formatCode>General</c:formatCode>
                <c:ptCount val="6"/>
                <c:pt idx="0">
                  <c:v>2020</c:v>
                </c:pt>
                <c:pt idx="1">
                  <c:v>2021</c:v>
                </c:pt>
                <c:pt idx="2">
                  <c:v>2022</c:v>
                </c:pt>
                <c:pt idx="3">
                  <c:v>2023</c:v>
                </c:pt>
                <c:pt idx="4">
                  <c:v>2024</c:v>
                </c:pt>
                <c:pt idx="5">
                  <c:v>2025</c:v>
                </c:pt>
              </c:numCache>
            </c:numRef>
          </c:cat>
          <c:val>
            <c:numRef>
              <c:f>'Market Forecasting by Segments'!$K$7:$K$12</c:f>
              <c:numCache>
                <c:formatCode>0.0</c:formatCode>
                <c:ptCount val="6"/>
                <c:pt idx="0">
                  <c:v>11.243607142857144</c:v>
                </c:pt>
                <c:pt idx="1">
                  <c:v>12.117560515873029</c:v>
                </c:pt>
                <c:pt idx="2">
                  <c:v>13.05699537037037</c:v>
                </c:pt>
                <c:pt idx="3">
                  <c:v>13.952775903880138</c:v>
                </c:pt>
                <c:pt idx="4">
                  <c:v>14.87765931804821</c:v>
                </c:pt>
                <c:pt idx="5">
                  <c:v>15.783140811777177</c:v>
                </c:pt>
              </c:numCache>
            </c:numRef>
          </c:val>
          <c:extLst>
            <c:ext xmlns:c16="http://schemas.microsoft.com/office/drawing/2014/chart" uri="{C3380CC4-5D6E-409C-BE32-E72D297353CC}">
              <c16:uniqueId val="{00000002-8097-4538-9F02-D17F3811A767}"/>
            </c:ext>
          </c:extLst>
        </c:ser>
        <c:ser>
          <c:idx val="3"/>
          <c:order val="3"/>
          <c:tx>
            <c:strRef>
              <c:f>'Market Forecasting by Segments'!$L$5</c:f>
              <c:strCache>
                <c:ptCount val="1"/>
                <c:pt idx="0">
                  <c:v>ROW</c:v>
                </c:pt>
              </c:strCache>
            </c:strRef>
          </c:tx>
          <c:spPr>
            <a:solidFill>
              <a:schemeClr val="accent4"/>
            </a:solidFill>
            <a:ln>
              <a:noFill/>
            </a:ln>
            <a:effectLst/>
          </c:spPr>
          <c:invertIfNegative val="0"/>
          <c:cat>
            <c:numRef>
              <c:f>'Market Forecasting by Segments'!$H$7:$H$12</c:f>
              <c:numCache>
                <c:formatCode>General</c:formatCode>
                <c:ptCount val="6"/>
                <c:pt idx="0">
                  <c:v>2020</c:v>
                </c:pt>
                <c:pt idx="1">
                  <c:v>2021</c:v>
                </c:pt>
                <c:pt idx="2">
                  <c:v>2022</c:v>
                </c:pt>
                <c:pt idx="3">
                  <c:v>2023</c:v>
                </c:pt>
                <c:pt idx="4">
                  <c:v>2024</c:v>
                </c:pt>
                <c:pt idx="5">
                  <c:v>2025</c:v>
                </c:pt>
              </c:numCache>
            </c:numRef>
          </c:cat>
          <c:val>
            <c:numRef>
              <c:f>'Market Forecasting by Segments'!$L$7:$L$12</c:f>
              <c:numCache>
                <c:formatCode>0.0</c:formatCode>
                <c:ptCount val="6"/>
                <c:pt idx="0">
                  <c:v>3.4595714285714285</c:v>
                </c:pt>
                <c:pt idx="1">
                  <c:v>3.7284801587301626</c:v>
                </c:pt>
                <c:pt idx="2">
                  <c:v>4.0175370370370365</c:v>
                </c:pt>
                <c:pt idx="3">
                  <c:v>4.2931618165785039</c:v>
                </c:pt>
                <c:pt idx="4">
                  <c:v>4.5777413286302178</c:v>
                </c:pt>
                <c:pt idx="5">
                  <c:v>4.8563510190083621</c:v>
                </c:pt>
              </c:numCache>
            </c:numRef>
          </c:val>
          <c:extLst>
            <c:ext xmlns:c16="http://schemas.microsoft.com/office/drawing/2014/chart" uri="{C3380CC4-5D6E-409C-BE32-E72D297353CC}">
              <c16:uniqueId val="{00000003-8097-4538-9F02-D17F3811A767}"/>
            </c:ext>
          </c:extLst>
        </c:ser>
        <c:dLbls>
          <c:showLegendKey val="0"/>
          <c:showVal val="0"/>
          <c:showCatName val="0"/>
          <c:showSerName val="0"/>
          <c:showPercent val="0"/>
          <c:showBubbleSize val="0"/>
        </c:dLbls>
        <c:gapWidth val="150"/>
        <c:overlap val="100"/>
        <c:axId val="1531483343"/>
        <c:axId val="1531470447"/>
      </c:barChart>
      <c:catAx>
        <c:axId val="153148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70447"/>
        <c:crosses val="autoZero"/>
        <c:auto val="1"/>
        <c:lblAlgn val="ctr"/>
        <c:lblOffset val="100"/>
        <c:noMultiLvlLbl val="0"/>
      </c:catAx>
      <c:valAx>
        <c:axId val="15314704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83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'Market Forecasting by Segments'!$N$7</c:f>
              <c:strCache>
                <c:ptCount val="1"/>
                <c:pt idx="0">
                  <c:v>2020</c:v>
                </c:pt>
              </c:strCache>
            </c:strRef>
          </c:tx>
          <c:spPr>
            <a:solidFill>
              <a:schemeClr val="accent1"/>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Segments'!$O$7:$U$7</c:f>
              <c:numCache>
                <c:formatCode>0.0</c:formatCode>
                <c:ptCount val="7"/>
                <c:pt idx="0">
                  <c:v>12.973392857142857</c:v>
                </c:pt>
                <c:pt idx="1">
                  <c:v>6.0542500000000006</c:v>
                </c:pt>
                <c:pt idx="2">
                  <c:v>12.108500000000001</c:v>
                </c:pt>
                <c:pt idx="3">
                  <c:v>32.001035714285713</c:v>
                </c:pt>
                <c:pt idx="4">
                  <c:v>9.5138214285714291</c:v>
                </c:pt>
                <c:pt idx="5">
                  <c:v>8.6489285714285717</c:v>
                </c:pt>
                <c:pt idx="6">
                  <c:v>5.1893571428571423</c:v>
                </c:pt>
              </c:numCache>
            </c:numRef>
          </c:val>
          <c:extLst>
            <c:ext xmlns:c16="http://schemas.microsoft.com/office/drawing/2014/chart" uri="{C3380CC4-5D6E-409C-BE32-E72D297353CC}">
              <c16:uniqueId val="{00000000-0FAF-4607-8A61-30B3A125400D}"/>
            </c:ext>
          </c:extLst>
        </c:ser>
        <c:ser>
          <c:idx val="1"/>
          <c:order val="1"/>
          <c:tx>
            <c:strRef>
              <c:f>'Market Forecasting by Segments'!$N$8</c:f>
              <c:strCache>
                <c:ptCount val="1"/>
                <c:pt idx="0">
                  <c:v>2021</c:v>
                </c:pt>
              </c:strCache>
            </c:strRef>
          </c:tx>
          <c:spPr>
            <a:solidFill>
              <a:schemeClr val="accent2"/>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Segments'!$O$8:$U$8</c:f>
              <c:numCache>
                <c:formatCode>0.0</c:formatCode>
                <c:ptCount val="7"/>
                <c:pt idx="0">
                  <c:v>13.981800595238109</c:v>
                </c:pt>
                <c:pt idx="1">
                  <c:v>6.524840277777785</c:v>
                </c:pt>
                <c:pt idx="2">
                  <c:v>13.04968055555557</c:v>
                </c:pt>
                <c:pt idx="3">
                  <c:v>34.488441468254003</c:v>
                </c:pt>
                <c:pt idx="4">
                  <c:v>10.253320436507947</c:v>
                </c:pt>
                <c:pt idx="5">
                  <c:v>9.3212003968254074</c:v>
                </c:pt>
                <c:pt idx="6">
                  <c:v>5.5927202380952439</c:v>
                </c:pt>
              </c:numCache>
            </c:numRef>
          </c:val>
          <c:extLst>
            <c:ext xmlns:c16="http://schemas.microsoft.com/office/drawing/2014/chart" uri="{C3380CC4-5D6E-409C-BE32-E72D297353CC}">
              <c16:uniqueId val="{00000001-0FAF-4607-8A61-30B3A125400D}"/>
            </c:ext>
          </c:extLst>
        </c:ser>
        <c:ser>
          <c:idx val="2"/>
          <c:order val="2"/>
          <c:tx>
            <c:strRef>
              <c:f>'Market Forecasting by Segments'!$N$9</c:f>
              <c:strCache>
                <c:ptCount val="1"/>
                <c:pt idx="0">
                  <c:v>2022</c:v>
                </c:pt>
              </c:strCache>
            </c:strRef>
          </c:tx>
          <c:spPr>
            <a:solidFill>
              <a:schemeClr val="accent3"/>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Segments'!$O$9:$U$9</c:f>
              <c:numCache>
                <c:formatCode>0.0</c:formatCode>
                <c:ptCount val="7"/>
                <c:pt idx="0">
                  <c:v>15.065763888888887</c:v>
                </c:pt>
                <c:pt idx="1">
                  <c:v>7.0306898148148145</c:v>
                </c:pt>
                <c:pt idx="2">
                  <c:v>14.061379629629629</c:v>
                </c:pt>
                <c:pt idx="3">
                  <c:v>37.16221759259259</c:v>
                </c:pt>
                <c:pt idx="4">
                  <c:v>11.048226851851851</c:v>
                </c:pt>
                <c:pt idx="5">
                  <c:v>10.043842592592592</c:v>
                </c:pt>
                <c:pt idx="6">
                  <c:v>6.0263055555555542</c:v>
                </c:pt>
              </c:numCache>
            </c:numRef>
          </c:val>
          <c:extLst>
            <c:ext xmlns:c16="http://schemas.microsoft.com/office/drawing/2014/chart" uri="{C3380CC4-5D6E-409C-BE32-E72D297353CC}">
              <c16:uniqueId val="{00000002-0FAF-4607-8A61-30B3A125400D}"/>
            </c:ext>
          </c:extLst>
        </c:ser>
        <c:ser>
          <c:idx val="3"/>
          <c:order val="3"/>
          <c:tx>
            <c:strRef>
              <c:f>'Market Forecasting by Segments'!$N$10</c:f>
              <c:strCache>
                <c:ptCount val="1"/>
                <c:pt idx="0">
                  <c:v>2023</c:v>
                </c:pt>
              </c:strCache>
            </c:strRef>
          </c:tx>
          <c:spPr>
            <a:solidFill>
              <a:schemeClr val="accent4"/>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Segments'!$O$10:$U$10</c:f>
              <c:numCache>
                <c:formatCode>0.0</c:formatCode>
                <c:ptCount val="7"/>
                <c:pt idx="0">
                  <c:v>16.09935681216939</c:v>
                </c:pt>
                <c:pt idx="1">
                  <c:v>7.5130331790123828</c:v>
                </c:pt>
                <c:pt idx="2">
                  <c:v>15.026066358024766</c:v>
                </c:pt>
                <c:pt idx="3">
                  <c:v>39.711746803351161</c:v>
                </c:pt>
                <c:pt idx="4">
                  <c:v>11.806194995590886</c:v>
                </c:pt>
                <c:pt idx="5">
                  <c:v>10.73290454144626</c:v>
                </c:pt>
                <c:pt idx="6">
                  <c:v>6.4397427248677559</c:v>
                </c:pt>
              </c:numCache>
            </c:numRef>
          </c:val>
          <c:extLst>
            <c:ext xmlns:c16="http://schemas.microsoft.com/office/drawing/2014/chart" uri="{C3380CC4-5D6E-409C-BE32-E72D297353CC}">
              <c16:uniqueId val="{00000003-0FAF-4607-8A61-30B3A125400D}"/>
            </c:ext>
          </c:extLst>
        </c:ser>
        <c:ser>
          <c:idx val="4"/>
          <c:order val="4"/>
          <c:tx>
            <c:strRef>
              <c:f>'Market Forecasting by Segments'!$N$11</c:f>
              <c:strCache>
                <c:ptCount val="1"/>
                <c:pt idx="0">
                  <c:v>2024</c:v>
                </c:pt>
              </c:strCache>
            </c:strRef>
          </c:tx>
          <c:spPr>
            <a:solidFill>
              <a:schemeClr val="accent5"/>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Segments'!$O$11:$U$11</c:f>
              <c:numCache>
                <c:formatCode>0.0</c:formatCode>
                <c:ptCount val="7"/>
                <c:pt idx="0">
                  <c:v>17.166529982363318</c:v>
                </c:pt>
                <c:pt idx="1">
                  <c:v>8.0110473251028829</c:v>
                </c:pt>
                <c:pt idx="2">
                  <c:v>16.022094650205766</c:v>
                </c:pt>
                <c:pt idx="3">
                  <c:v>42.344107289829516</c:v>
                </c:pt>
                <c:pt idx="4">
                  <c:v>12.588788653733099</c:v>
                </c:pt>
                <c:pt idx="5">
                  <c:v>11.444353321575546</c:v>
                </c:pt>
                <c:pt idx="6">
                  <c:v>6.8666119929453266</c:v>
                </c:pt>
              </c:numCache>
            </c:numRef>
          </c:val>
          <c:extLst>
            <c:ext xmlns:c16="http://schemas.microsoft.com/office/drawing/2014/chart" uri="{C3380CC4-5D6E-409C-BE32-E72D297353CC}">
              <c16:uniqueId val="{00000004-0FAF-4607-8A61-30B3A125400D}"/>
            </c:ext>
          </c:extLst>
        </c:ser>
        <c:ser>
          <c:idx val="5"/>
          <c:order val="5"/>
          <c:tx>
            <c:strRef>
              <c:f>'Market Forecasting by Segments'!$N$12</c:f>
              <c:strCache>
                <c:ptCount val="1"/>
                <c:pt idx="0">
                  <c:v>2025</c:v>
                </c:pt>
              </c:strCache>
            </c:strRef>
          </c:tx>
          <c:spPr>
            <a:solidFill>
              <a:schemeClr val="accent6"/>
            </a:solidFill>
            <a:ln>
              <a:noFill/>
            </a:ln>
            <a:effectLst/>
          </c:spPr>
          <c:invertIfNegative val="0"/>
          <c:cat>
            <c:strRef>
              <c:f>'Market Forecasting by Segments'!$O$5:$U$5</c:f>
              <c:strCache>
                <c:ptCount val="7"/>
                <c:pt idx="0">
                  <c:v>Pre-Clinical</c:v>
                </c:pt>
                <c:pt idx="1">
                  <c:v>Phase I</c:v>
                </c:pt>
                <c:pt idx="2">
                  <c:v>Phase II </c:v>
                </c:pt>
                <c:pt idx="3">
                  <c:v>Phase III </c:v>
                </c:pt>
                <c:pt idx="4">
                  <c:v>Phase IV </c:v>
                </c:pt>
                <c:pt idx="5">
                  <c:v>Central Labs</c:v>
                </c:pt>
                <c:pt idx="6">
                  <c:v>Others </c:v>
                </c:pt>
              </c:strCache>
            </c:strRef>
          </c:cat>
          <c:val>
            <c:numRef>
              <c:f>'Market Forecasting by Segments'!$O$12:$U$12</c:f>
              <c:numCache>
                <c:formatCode>0.0</c:formatCode>
                <c:ptCount val="7"/>
                <c:pt idx="0">
                  <c:v>18.211316321281355</c:v>
                </c:pt>
                <c:pt idx="1">
                  <c:v>8.498614283264633</c:v>
                </c:pt>
                <c:pt idx="2">
                  <c:v>16.997228566529266</c:v>
                </c:pt>
                <c:pt idx="3">
                  <c:v>44.921246925827347</c:v>
                </c:pt>
                <c:pt idx="4">
                  <c:v>13.354965302272994</c:v>
                </c:pt>
                <c:pt idx="5">
                  <c:v>12.140877547520905</c:v>
                </c:pt>
                <c:pt idx="6">
                  <c:v>7.2845265285125418</c:v>
                </c:pt>
              </c:numCache>
            </c:numRef>
          </c:val>
          <c:extLst>
            <c:ext xmlns:c16="http://schemas.microsoft.com/office/drawing/2014/chart" uri="{C3380CC4-5D6E-409C-BE32-E72D297353CC}">
              <c16:uniqueId val="{00000005-0FAF-4607-8A61-30B3A125400D}"/>
            </c:ext>
          </c:extLst>
        </c:ser>
        <c:dLbls>
          <c:showLegendKey val="0"/>
          <c:showVal val="0"/>
          <c:showCatName val="0"/>
          <c:showSerName val="0"/>
          <c:showPercent val="0"/>
          <c:showBubbleSize val="0"/>
        </c:dLbls>
        <c:gapWidth val="150"/>
        <c:overlap val="100"/>
        <c:axId val="1531473359"/>
        <c:axId val="1531474191"/>
      </c:barChart>
      <c:catAx>
        <c:axId val="153147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74191"/>
        <c:crosses val="autoZero"/>
        <c:auto val="1"/>
        <c:lblAlgn val="ctr"/>
        <c:lblOffset val="100"/>
        <c:noMultiLvlLbl val="0"/>
      </c:catAx>
      <c:valAx>
        <c:axId val="153147419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473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'Demand-supply analysis'!$B$15:$B$22</c:f>
              <c:numCache>
                <c:formatCode>General</c:formatCode>
                <c:ptCount val="8"/>
                <c:pt idx="0">
                  <c:v>2018</c:v>
                </c:pt>
                <c:pt idx="1">
                  <c:v>2019</c:v>
                </c:pt>
                <c:pt idx="2">
                  <c:v>2020</c:v>
                </c:pt>
                <c:pt idx="3">
                  <c:v>2021</c:v>
                </c:pt>
                <c:pt idx="4">
                  <c:v>2022</c:v>
                </c:pt>
                <c:pt idx="5">
                  <c:v>2023</c:v>
                </c:pt>
                <c:pt idx="6">
                  <c:v>2024</c:v>
                </c:pt>
                <c:pt idx="7">
                  <c:v>2025</c:v>
                </c:pt>
              </c:numCache>
            </c:numRef>
          </c:cat>
          <c:val>
            <c:numRef>
              <c:f>'Demand-supply analysis'!$C$15:$C$22</c:f>
              <c:numCache>
                <c:formatCode>General</c:formatCode>
                <c:ptCount val="8"/>
                <c:pt idx="0">
                  <c:v>34152</c:v>
                </c:pt>
                <c:pt idx="1">
                  <c:v>40675</c:v>
                </c:pt>
                <c:pt idx="2">
                  <c:v>46718</c:v>
                </c:pt>
                <c:pt idx="3">
                  <c:v>52256</c:v>
                </c:pt>
                <c:pt idx="4" formatCode="0">
                  <c:v>52807.692307693884</c:v>
                </c:pt>
                <c:pt idx="5" formatCode="0">
                  <c:v>58137.366863906384</c:v>
                </c:pt>
                <c:pt idx="6" formatCode="0">
                  <c:v>63430.645425580442</c:v>
                </c:pt>
                <c:pt idx="7" formatCode="0">
                  <c:v>68645.649434542283</c:v>
                </c:pt>
              </c:numCache>
            </c:numRef>
          </c:val>
          <c:extLst>
            <c:ext xmlns:c16="http://schemas.microsoft.com/office/drawing/2014/chart" uri="{C3380CC4-5D6E-409C-BE32-E72D297353CC}">
              <c16:uniqueId val="{00000000-1614-4998-A4D1-DB413AA5C310}"/>
            </c:ext>
          </c:extLst>
        </c:ser>
        <c:dLbls>
          <c:showLegendKey val="0"/>
          <c:showVal val="0"/>
          <c:showCatName val="0"/>
          <c:showSerName val="0"/>
          <c:showPercent val="0"/>
          <c:showBubbleSize val="0"/>
        </c:dLbls>
        <c:gapWidth val="219"/>
        <c:overlap val="-27"/>
        <c:axId val="1405304911"/>
        <c:axId val="1405306575"/>
      </c:barChart>
      <c:lineChart>
        <c:grouping val="standard"/>
        <c:varyColors val="0"/>
        <c:ser>
          <c:idx val="1"/>
          <c:order val="1"/>
          <c:spPr>
            <a:ln w="28575" cap="rnd">
              <a:solidFill>
                <a:schemeClr val="accent2"/>
              </a:solidFill>
              <a:round/>
            </a:ln>
            <a:effectLst/>
          </c:spPr>
          <c:marker>
            <c:symbol val="none"/>
          </c:marker>
          <c:cat>
            <c:numRef>
              <c:f>'Demand-supply analysis'!$B$15:$B$22</c:f>
              <c:numCache>
                <c:formatCode>General</c:formatCode>
                <c:ptCount val="8"/>
                <c:pt idx="0">
                  <c:v>2018</c:v>
                </c:pt>
                <c:pt idx="1">
                  <c:v>2019</c:v>
                </c:pt>
                <c:pt idx="2">
                  <c:v>2020</c:v>
                </c:pt>
                <c:pt idx="3">
                  <c:v>2021</c:v>
                </c:pt>
                <c:pt idx="4">
                  <c:v>2022</c:v>
                </c:pt>
                <c:pt idx="5">
                  <c:v>2023</c:v>
                </c:pt>
                <c:pt idx="6">
                  <c:v>2024</c:v>
                </c:pt>
                <c:pt idx="7">
                  <c:v>2025</c:v>
                </c:pt>
              </c:numCache>
            </c:numRef>
          </c:cat>
          <c:val>
            <c:numRef>
              <c:f>'Demand-supply analysis'!$Z$15:$Z$22</c:f>
              <c:numCache>
                <c:formatCode>0.0</c:formatCode>
                <c:ptCount val="8"/>
                <c:pt idx="0">
                  <c:v>99.385578920448026</c:v>
                </c:pt>
                <c:pt idx="1">
                  <c:v>118.36813137120001</c:v>
                </c:pt>
                <c:pt idx="2">
                  <c:v>135.95383801843201</c:v>
                </c:pt>
                <c:pt idx="3">
                  <c:v>152.06994647654403</c:v>
                </c:pt>
                <c:pt idx="4">
                  <c:v>153.67542373661996</c:v>
                </c:pt>
                <c:pt idx="5">
                  <c:v>169.18528527406318</c:v>
                </c:pt>
                <c:pt idx="6">
                  <c:v>184.58923099434818</c:v>
                </c:pt>
                <c:pt idx="7">
                  <c:v>199.76539029696971</c:v>
                </c:pt>
              </c:numCache>
            </c:numRef>
          </c:val>
          <c:smooth val="0"/>
          <c:extLst>
            <c:ext xmlns:c16="http://schemas.microsoft.com/office/drawing/2014/chart" uri="{C3380CC4-5D6E-409C-BE32-E72D297353CC}">
              <c16:uniqueId val="{00000001-1614-4998-A4D1-DB413AA5C310}"/>
            </c:ext>
          </c:extLst>
        </c:ser>
        <c:dLbls>
          <c:showLegendKey val="0"/>
          <c:showVal val="0"/>
          <c:showCatName val="0"/>
          <c:showSerName val="0"/>
          <c:showPercent val="0"/>
          <c:showBubbleSize val="0"/>
        </c:dLbls>
        <c:marker val="1"/>
        <c:smooth val="0"/>
        <c:axId val="1405299087"/>
        <c:axId val="1405303663"/>
      </c:lineChart>
      <c:catAx>
        <c:axId val="140530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06575"/>
        <c:crosses val="autoZero"/>
        <c:auto val="1"/>
        <c:lblAlgn val="ctr"/>
        <c:lblOffset val="100"/>
        <c:noMultiLvlLbl val="0"/>
      </c:catAx>
      <c:valAx>
        <c:axId val="140530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04911"/>
        <c:crosses val="autoZero"/>
        <c:crossBetween val="between"/>
      </c:valAx>
      <c:valAx>
        <c:axId val="140530366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99087"/>
        <c:crosses val="max"/>
        <c:crossBetween val="between"/>
      </c:valAx>
      <c:catAx>
        <c:axId val="1405299087"/>
        <c:scaling>
          <c:orientation val="minMax"/>
        </c:scaling>
        <c:delete val="1"/>
        <c:axPos val="b"/>
        <c:numFmt formatCode="General" sourceLinked="1"/>
        <c:majorTickMark val="none"/>
        <c:minorTickMark val="none"/>
        <c:tickLblPos val="nextTo"/>
        <c:crossAx val="14053036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434340</xdr:colOff>
      <xdr:row>14</xdr:row>
      <xdr:rowOff>106680</xdr:rowOff>
    </xdr:from>
    <xdr:to>
      <xdr:col>6</xdr:col>
      <xdr:colOff>129540</xdr:colOff>
      <xdr:row>23</xdr:row>
      <xdr:rowOff>160020</xdr:rowOff>
    </xdr:to>
    <xdr:graphicFrame macro="">
      <xdr:nvGraphicFramePr>
        <xdr:cNvPr id="5" name="Chart 4">
          <a:extLst>
            <a:ext uri="{FF2B5EF4-FFF2-40B4-BE49-F238E27FC236}">
              <a16:creationId xmlns:a16="http://schemas.microsoft.com/office/drawing/2014/main" id="{4C2D4B13-1C64-4A36-9305-D1E4A13F8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14</xdr:row>
      <xdr:rowOff>99060</xdr:rowOff>
    </xdr:from>
    <xdr:to>
      <xdr:col>11</xdr:col>
      <xdr:colOff>601980</xdr:colOff>
      <xdr:row>23</xdr:row>
      <xdr:rowOff>45720</xdr:rowOff>
    </xdr:to>
    <xdr:graphicFrame macro="">
      <xdr:nvGraphicFramePr>
        <xdr:cNvPr id="6" name="Chart 5">
          <a:extLst>
            <a:ext uri="{FF2B5EF4-FFF2-40B4-BE49-F238E27FC236}">
              <a16:creationId xmlns:a16="http://schemas.microsoft.com/office/drawing/2014/main" id="{B2DEC02B-321E-4953-8DCE-683515F75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14</xdr:row>
      <xdr:rowOff>68580</xdr:rowOff>
    </xdr:from>
    <xdr:to>
      <xdr:col>21</xdr:col>
      <xdr:colOff>0</xdr:colOff>
      <xdr:row>23</xdr:row>
      <xdr:rowOff>68580</xdr:rowOff>
    </xdr:to>
    <xdr:graphicFrame macro="">
      <xdr:nvGraphicFramePr>
        <xdr:cNvPr id="7" name="Chart 6">
          <a:extLst>
            <a:ext uri="{FF2B5EF4-FFF2-40B4-BE49-F238E27FC236}">
              <a16:creationId xmlns:a16="http://schemas.microsoft.com/office/drawing/2014/main" id="{68EC9A51-5533-4B82-AB63-7F6767C0F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22</xdr:row>
      <xdr:rowOff>152400</xdr:rowOff>
    </xdr:from>
    <xdr:to>
      <xdr:col>12</xdr:col>
      <xdr:colOff>561975</xdr:colOff>
      <xdr:row>38</xdr:row>
      <xdr:rowOff>0</xdr:rowOff>
    </xdr:to>
    <xdr:graphicFrame macro="">
      <xdr:nvGraphicFramePr>
        <xdr:cNvPr id="2" name="Chart 1">
          <a:extLst>
            <a:ext uri="{FF2B5EF4-FFF2-40B4-BE49-F238E27FC236}">
              <a16:creationId xmlns:a16="http://schemas.microsoft.com/office/drawing/2014/main" id="{8DFC0047-66D2-463E-8DC9-78A800D34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0FF9-547D-469A-8277-96A3CFC66FA8}">
  <dimension ref="B1:M32"/>
  <sheetViews>
    <sheetView showGridLines="0" tabSelected="1" zoomScale="70" zoomScaleNormal="70" workbookViewId="0">
      <selection sqref="A1:XFD1048576"/>
    </sheetView>
  </sheetViews>
  <sheetFormatPr defaultRowHeight="15" customHeight="1" x14ac:dyDescent="0.3"/>
  <cols>
    <col min="1" max="1" width="8.88671875" style="1"/>
    <col min="2" max="2" width="43.88671875" style="1" customWidth="1"/>
    <col min="3" max="6" width="14.21875" style="1" customWidth="1"/>
    <col min="7" max="7" width="15.6640625" style="1" bestFit="1" customWidth="1"/>
    <col min="8" max="8" width="19" style="1" bestFit="1" customWidth="1"/>
    <col min="9" max="10" width="14.21875" style="1" customWidth="1"/>
    <col min="11" max="11" width="18.6640625" style="1" bestFit="1" customWidth="1"/>
    <col min="12" max="12" width="16.6640625" style="1" bestFit="1" customWidth="1"/>
    <col min="13" max="13" width="16.33203125" style="1" customWidth="1"/>
    <col min="14" max="14" width="16.77734375" style="1" bestFit="1" customWidth="1"/>
    <col min="15" max="15" width="8.88671875" style="1"/>
    <col min="16" max="16" width="9.21875" style="1" bestFit="1" customWidth="1"/>
    <col min="17" max="17" width="15.6640625" style="1" bestFit="1" customWidth="1"/>
    <col min="18" max="18" width="11.21875" style="1" bestFit="1" customWidth="1"/>
    <col min="19" max="19" width="12.77734375" style="1" bestFit="1" customWidth="1"/>
    <col min="20" max="20" width="13.44140625" style="1" bestFit="1" customWidth="1"/>
    <col min="21" max="21" width="13.5546875" style="1" bestFit="1" customWidth="1"/>
    <col min="22" max="22" width="16.5546875" style="1" bestFit="1" customWidth="1"/>
    <col min="23" max="23" width="10.77734375" style="1" bestFit="1" customWidth="1"/>
    <col min="24" max="16384" width="8.88671875" style="1"/>
  </cols>
  <sheetData>
    <row r="1" spans="2:13" ht="15" customHeight="1" x14ac:dyDescent="0.3">
      <c r="B1" s="51" t="s">
        <v>44</v>
      </c>
    </row>
    <row r="3" spans="2:13" ht="15" customHeight="1" x14ac:dyDescent="0.3">
      <c r="B3" s="8"/>
      <c r="C3" s="80" t="s">
        <v>12</v>
      </c>
      <c r="D3" s="80"/>
      <c r="E3" s="80"/>
      <c r="F3" s="80"/>
      <c r="G3" s="80"/>
      <c r="H3" s="80"/>
      <c r="I3" s="80"/>
      <c r="J3" s="80"/>
      <c r="K3" s="80"/>
      <c r="L3" s="80"/>
      <c r="M3" s="80"/>
    </row>
    <row r="4" spans="2:13" ht="15" customHeight="1" x14ac:dyDescent="0.3">
      <c r="B4" s="7" t="s">
        <v>13</v>
      </c>
      <c r="C4" s="32" t="s">
        <v>77</v>
      </c>
      <c r="D4" s="32" t="s">
        <v>1</v>
      </c>
      <c r="E4" s="32" t="s">
        <v>2</v>
      </c>
      <c r="F4" s="32" t="s">
        <v>3</v>
      </c>
      <c r="G4" s="32" t="s">
        <v>4</v>
      </c>
      <c r="H4" s="32" t="s">
        <v>5</v>
      </c>
      <c r="I4" s="32" t="s">
        <v>6</v>
      </c>
      <c r="J4" s="32" t="s">
        <v>7</v>
      </c>
      <c r="K4" s="32" t="s">
        <v>39</v>
      </c>
      <c r="L4" s="32" t="s">
        <v>8</v>
      </c>
      <c r="M4" s="32" t="s">
        <v>11</v>
      </c>
    </row>
    <row r="5" spans="2:13" ht="15" customHeight="1" x14ac:dyDescent="0.3">
      <c r="B5" s="7" t="s">
        <v>37</v>
      </c>
      <c r="C5" s="37">
        <v>11333</v>
      </c>
      <c r="D5" s="37">
        <v>10412</v>
      </c>
      <c r="E5" s="37">
        <v>3749</v>
      </c>
      <c r="F5" s="37">
        <v>4390</v>
      </c>
      <c r="G5" s="37">
        <v>2870</v>
      </c>
      <c r="H5" s="37">
        <v>2266</v>
      </c>
      <c r="I5" s="37">
        <v>1897</v>
      </c>
      <c r="J5" s="37">
        <v>1460</v>
      </c>
      <c r="K5" s="38">
        <v>1611</v>
      </c>
      <c r="L5" s="37">
        <v>705</v>
      </c>
      <c r="M5" s="30">
        <f>C11</f>
        <v>31973.071428571431</v>
      </c>
    </row>
    <row r="6" spans="2:13" ht="15" customHeight="1" x14ac:dyDescent="0.3">
      <c r="B6" s="7" t="s">
        <v>38</v>
      </c>
      <c r="C6" s="37">
        <v>11555</v>
      </c>
      <c r="D6" s="37">
        <v>11088</v>
      </c>
      <c r="E6" s="37">
        <v>4031</v>
      </c>
      <c r="F6" s="37">
        <v>4676</v>
      </c>
      <c r="G6" s="37">
        <v>3066</v>
      </c>
      <c r="H6" s="37">
        <v>2621</v>
      </c>
      <c r="I6" s="37">
        <v>2805</v>
      </c>
      <c r="J6" s="37">
        <v>1955</v>
      </c>
      <c r="K6" s="38">
        <v>1588.1666666666679</v>
      </c>
      <c r="L6" s="37">
        <v>861</v>
      </c>
      <c r="M6" s="30">
        <f>C16</f>
        <v>34764.845238095237</v>
      </c>
    </row>
    <row r="7" spans="2:13" ht="15" customHeight="1" x14ac:dyDescent="0.3">
      <c r="B7" s="7" t="s">
        <v>16</v>
      </c>
      <c r="C7" s="11">
        <v>13979</v>
      </c>
      <c r="D7" s="11">
        <v>11359</v>
      </c>
      <c r="E7" s="11">
        <v>4681</v>
      </c>
      <c r="F7" s="11">
        <v>4416</v>
      </c>
      <c r="G7" s="11">
        <v>3183</v>
      </c>
      <c r="H7" s="11">
        <v>2924</v>
      </c>
      <c r="I7" s="11">
        <v>2797</v>
      </c>
      <c r="J7" s="11">
        <v>2512</v>
      </c>
      <c r="K7" s="12">
        <v>1657</v>
      </c>
      <c r="L7" s="11">
        <v>926</v>
      </c>
      <c r="M7" s="30">
        <f>C21</f>
        <v>38055.28571428571</v>
      </c>
    </row>
    <row r="9" spans="2:13" ht="15" customHeight="1" x14ac:dyDescent="0.3">
      <c r="B9" s="80" t="s">
        <v>49</v>
      </c>
      <c r="C9" s="80"/>
    </row>
    <row r="10" spans="2:13" ht="15" customHeight="1" x14ac:dyDescent="0.3">
      <c r="B10" s="8" t="s">
        <v>9</v>
      </c>
      <c r="C10" s="29">
        <f>SUM(C5:L5)</f>
        <v>40693</v>
      </c>
    </row>
    <row r="11" spans="2:13" ht="15" customHeight="1" x14ac:dyDescent="0.3">
      <c r="B11" s="8" t="s">
        <v>10</v>
      </c>
      <c r="C11" s="30">
        <f>((SUM(C5:L5)*100)/56)*44%</f>
        <v>31973.071428571431</v>
      </c>
    </row>
    <row r="12" spans="2:13" ht="15" customHeight="1" x14ac:dyDescent="0.3">
      <c r="B12" s="7" t="s">
        <v>15</v>
      </c>
      <c r="C12" s="31">
        <f>SUM(C10:C11)/1000</f>
        <v>72.666071428571428</v>
      </c>
    </row>
    <row r="14" spans="2:13" ht="15" customHeight="1" x14ac:dyDescent="0.3">
      <c r="B14" s="80" t="s">
        <v>50</v>
      </c>
      <c r="C14" s="80"/>
    </row>
    <row r="15" spans="2:13" ht="15" customHeight="1" x14ac:dyDescent="0.3">
      <c r="B15" s="8" t="s">
        <v>9</v>
      </c>
      <c r="C15" s="30">
        <f>SUM(C6:L6)</f>
        <v>44246.166666666672</v>
      </c>
    </row>
    <row r="16" spans="2:13" ht="15" customHeight="1" x14ac:dyDescent="0.3">
      <c r="B16" s="8" t="s">
        <v>10</v>
      </c>
      <c r="C16" s="30">
        <f>((SUM(C6:L6)*100)/56)*44%</f>
        <v>34764.845238095237</v>
      </c>
    </row>
    <row r="17" spans="2:8" ht="15" customHeight="1" x14ac:dyDescent="0.3">
      <c r="B17" s="7" t="s">
        <v>15</v>
      </c>
      <c r="C17" s="31">
        <f>SUM(C15:C16)/1000</f>
        <v>79.011011904761915</v>
      </c>
      <c r="H17" s="46"/>
    </row>
    <row r="18" spans="2:8" ht="15" customHeight="1" x14ac:dyDescent="0.3">
      <c r="F18" s="46"/>
      <c r="G18" s="46"/>
      <c r="H18" s="46"/>
    </row>
    <row r="19" spans="2:8" ht="15" customHeight="1" x14ac:dyDescent="0.3">
      <c r="B19" s="80" t="s">
        <v>51</v>
      </c>
      <c r="C19" s="80"/>
      <c r="F19" s="46"/>
      <c r="G19" s="46"/>
      <c r="H19" s="46"/>
    </row>
    <row r="20" spans="2:8" ht="15" customHeight="1" x14ac:dyDescent="0.3">
      <c r="B20" s="8" t="s">
        <v>9</v>
      </c>
      <c r="C20" s="29">
        <f>SUM(C7:L7)</f>
        <v>48434</v>
      </c>
    </row>
    <row r="21" spans="2:8" ht="15" customHeight="1" x14ac:dyDescent="0.3">
      <c r="B21" s="8" t="s">
        <v>10</v>
      </c>
      <c r="C21" s="30">
        <f>((SUM(C7:L7)*100)/56)*44%</f>
        <v>38055.28571428571</v>
      </c>
    </row>
    <row r="22" spans="2:8" ht="15" customHeight="1" x14ac:dyDescent="0.3">
      <c r="B22" s="7" t="s">
        <v>15</v>
      </c>
      <c r="C22" s="31">
        <f>SUM(C20:C21)/1000</f>
        <v>86.489285714285714</v>
      </c>
    </row>
    <row r="23" spans="2:8" s="43" customFormat="1" ht="15" customHeight="1" x14ac:dyDescent="0.3">
      <c r="B23" s="41"/>
      <c r="C23" s="42"/>
    </row>
    <row r="24" spans="2:8" ht="15" customHeight="1" x14ac:dyDescent="0.3">
      <c r="B24" s="81" t="s">
        <v>14</v>
      </c>
      <c r="C24" s="81"/>
    </row>
    <row r="25" spans="2:8" ht="15" customHeight="1" x14ac:dyDescent="0.3">
      <c r="B25" s="9">
        <v>2018</v>
      </c>
      <c r="C25" s="10">
        <f>'Market Estimation'!C12</f>
        <v>72.666071428571428</v>
      </c>
    </row>
    <row r="26" spans="2:8" ht="15" customHeight="1" x14ac:dyDescent="0.3">
      <c r="B26" s="11">
        <v>2019</v>
      </c>
      <c r="C26" s="12">
        <f>'Market Estimation'!C17</f>
        <v>79.011011904761915</v>
      </c>
    </row>
    <row r="27" spans="2:8" ht="15" customHeight="1" x14ac:dyDescent="0.3">
      <c r="B27" s="11">
        <v>2020</v>
      </c>
      <c r="C27" s="12">
        <f>'Market Estimation'!C22</f>
        <v>86.489285714285714</v>
      </c>
    </row>
    <row r="28" spans="2:8" ht="15" customHeight="1" x14ac:dyDescent="0.3">
      <c r="B28" s="9">
        <v>2021</v>
      </c>
      <c r="C28" s="13">
        <f>FORECAST(B28,C25:C27,B25:B27)</f>
        <v>93.212003968254066</v>
      </c>
    </row>
    <row r="29" spans="2:8" ht="15" customHeight="1" x14ac:dyDescent="0.3">
      <c r="B29" s="9">
        <v>2022</v>
      </c>
      <c r="C29" s="13">
        <f>FORECAST(B29,C26:C28,B26:B28)</f>
        <v>100.43842592592591</v>
      </c>
    </row>
    <row r="30" spans="2:8" ht="15" customHeight="1" x14ac:dyDescent="0.3">
      <c r="B30" s="9">
        <v>2023</v>
      </c>
      <c r="C30" s="13">
        <f>FORECAST(B30,C27:C29,B27:B29)</f>
        <v>107.3290454144626</v>
      </c>
    </row>
    <row r="31" spans="2:8" ht="15" customHeight="1" x14ac:dyDescent="0.3">
      <c r="B31" s="9">
        <v>2024</v>
      </c>
      <c r="C31" s="13">
        <f>FORECAST(B31,C28:C30,B28:B30)</f>
        <v>114.44353321575545</v>
      </c>
    </row>
    <row r="32" spans="2:8" ht="15" customHeight="1" x14ac:dyDescent="0.3">
      <c r="B32" s="9">
        <v>2025</v>
      </c>
      <c r="C32" s="13">
        <f>FORECAST(B32,C29:C31,B29:B31)</f>
        <v>121.40877547520904</v>
      </c>
    </row>
  </sheetData>
  <mergeCells count="5">
    <mergeCell ref="C3:M3"/>
    <mergeCell ref="B19:C19"/>
    <mergeCell ref="B14:C14"/>
    <mergeCell ref="B9:C9"/>
    <mergeCell ref="B24:C2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05CD-51D9-4FAE-89D3-499551F7DBB0}">
  <dimension ref="E1:AJ58"/>
  <sheetViews>
    <sheetView topLeftCell="G25" workbookViewId="0">
      <selection activeCell="G25" sqref="A1:XFD1048576"/>
    </sheetView>
  </sheetViews>
  <sheetFormatPr defaultRowHeight="15" customHeight="1" x14ac:dyDescent="0.3"/>
  <cols>
    <col min="5" max="5" width="5" bestFit="1" customWidth="1"/>
    <col min="6" max="6" width="22.5546875" bestFit="1" customWidth="1"/>
    <col min="7" max="7" width="27.44140625" bestFit="1" customWidth="1"/>
    <col min="15" max="15" width="10.33203125" bestFit="1" customWidth="1"/>
    <col min="16" max="16" width="14.5546875" bestFit="1" customWidth="1"/>
    <col min="17" max="17" width="17.33203125" bestFit="1" customWidth="1"/>
  </cols>
  <sheetData>
    <row r="1" spans="5:29" ht="15" customHeight="1" thickBot="1" x14ac:dyDescent="0.35">
      <c r="E1" t="s">
        <v>41</v>
      </c>
      <c r="F1" s="57" t="s">
        <v>52</v>
      </c>
      <c r="G1" t="s">
        <v>53</v>
      </c>
      <c r="L1" t="s">
        <v>55</v>
      </c>
      <c r="M1" t="s">
        <v>56</v>
      </c>
      <c r="O1" t="s">
        <v>57</v>
      </c>
      <c r="P1" t="s">
        <v>58</v>
      </c>
      <c r="Q1" t="s">
        <v>59</v>
      </c>
      <c r="T1" t="s">
        <v>60</v>
      </c>
      <c r="U1" t="s">
        <v>61</v>
      </c>
      <c r="V1" t="s">
        <v>62</v>
      </c>
      <c r="X1" s="82" t="s">
        <v>57</v>
      </c>
      <c r="Y1" s="82"/>
      <c r="Z1" s="82" t="s">
        <v>63</v>
      </c>
      <c r="AA1" s="82"/>
    </row>
    <row r="2" spans="5:29" ht="15" customHeight="1" thickBot="1" x14ac:dyDescent="0.35">
      <c r="E2">
        <v>2006</v>
      </c>
      <c r="F2">
        <v>35739</v>
      </c>
      <c r="G2" s="55">
        <f>(F2*19)/1000</f>
        <v>679.04100000000005</v>
      </c>
      <c r="J2" s="54" t="s">
        <v>54</v>
      </c>
      <c r="K2" s="59">
        <v>41</v>
      </c>
      <c r="L2" s="55">
        <f>K2*32%</f>
        <v>13.120000000000001</v>
      </c>
      <c r="M2" s="55">
        <f>K2*68%</f>
        <v>27.880000000000003</v>
      </c>
      <c r="N2">
        <v>12</v>
      </c>
      <c r="O2" s="55">
        <f>L2*N2</f>
        <v>157.44</v>
      </c>
      <c r="P2" s="55">
        <f>(N2*60%)*M2</f>
        <v>200.73599999999999</v>
      </c>
      <c r="Q2" s="55">
        <f>SUM(O2:P2)/1000</f>
        <v>0.35817599999999999</v>
      </c>
      <c r="T2" s="61">
        <v>0.57399999999999995</v>
      </c>
      <c r="U2" s="61">
        <f>100%-T2</f>
        <v>0.42600000000000005</v>
      </c>
      <c r="V2" s="61">
        <f>100%-SUM(T2:U2)</f>
        <v>0</v>
      </c>
      <c r="X2" s="55">
        <f>L2*T$2*6</f>
        <v>45.185279999999999</v>
      </c>
      <c r="Y2" s="55">
        <f>L2*U$2*12</f>
        <v>67.069440000000014</v>
      </c>
      <c r="Z2" s="55">
        <f>M2*T$2*(6*60%)</f>
        <v>57.611231999999994</v>
      </c>
      <c r="AA2" s="55">
        <f>M2*U$2*(12*60%)</f>
        <v>85.513536000000002</v>
      </c>
      <c r="AC2" s="55">
        <f>SUM(X2:AA2)/1000</f>
        <v>0.25537948800000004</v>
      </c>
    </row>
    <row r="3" spans="5:29" ht="15" customHeight="1" thickBot="1" x14ac:dyDescent="0.35">
      <c r="E3">
        <v>2007</v>
      </c>
      <c r="F3">
        <v>48288</v>
      </c>
      <c r="G3" s="55">
        <f t="shared" ref="G3:G21" si="0">(F3*19)/1000</f>
        <v>917.47199999999998</v>
      </c>
      <c r="J3" s="52">
        <v>2009</v>
      </c>
      <c r="K3" s="53">
        <v>1139</v>
      </c>
      <c r="L3" s="55">
        <f t="shared" ref="L3:L19" si="1">K3*32%</f>
        <v>364.48</v>
      </c>
      <c r="M3" s="55">
        <f t="shared" ref="M3:M15" si="2">K3*68%</f>
        <v>774.5200000000001</v>
      </c>
      <c r="N3">
        <v>12</v>
      </c>
      <c r="O3" s="55">
        <f t="shared" ref="O3:O15" si="3">L3*N3</f>
        <v>4373.76</v>
      </c>
      <c r="P3" s="55">
        <f t="shared" ref="P3:P15" si="4">(N3*60%)*M3</f>
        <v>5576.5439999999999</v>
      </c>
      <c r="Q3" s="55">
        <f t="shared" ref="Q3:Q15" si="5">SUM(O3:P3)/1000</f>
        <v>9.9503040000000009</v>
      </c>
      <c r="X3" s="55">
        <f t="shared" ref="X3:X15" si="6">L3*T$2*6</f>
        <v>1255.2691199999999</v>
      </c>
      <c r="Y3" s="55">
        <f t="shared" ref="Y3:Y15" si="7">L3*U$2*12</f>
        <v>1863.2217600000001</v>
      </c>
      <c r="Z3" s="55">
        <f t="shared" ref="Z3:Z15" si="8">M3*T$2*(6*60%)</f>
        <v>1600.4681279999998</v>
      </c>
      <c r="AA3" s="55">
        <f t="shared" ref="AA3:AA15" si="9">M3*U$2*(12*60%)</f>
        <v>2375.6077440000004</v>
      </c>
      <c r="AC3" s="55">
        <f t="shared" ref="AC3:AC15" si="10">SUM(X3:AA3)/1000</f>
        <v>7.0945667520000004</v>
      </c>
    </row>
    <row r="4" spans="5:29" ht="15" customHeight="1" thickBot="1" x14ac:dyDescent="0.35">
      <c r="E4">
        <v>2008</v>
      </c>
      <c r="F4">
        <v>65852</v>
      </c>
      <c r="G4" s="55">
        <f t="shared" si="0"/>
        <v>1251.1880000000001</v>
      </c>
      <c r="J4" s="52">
        <v>2010</v>
      </c>
      <c r="K4" s="53">
        <v>2756</v>
      </c>
      <c r="L4" s="55">
        <f t="shared" si="1"/>
        <v>881.92000000000007</v>
      </c>
      <c r="M4" s="55">
        <f t="shared" si="2"/>
        <v>1874.0800000000002</v>
      </c>
      <c r="N4">
        <v>12</v>
      </c>
      <c r="O4" s="55">
        <f t="shared" si="3"/>
        <v>10583.04</v>
      </c>
      <c r="P4" s="55">
        <f t="shared" si="4"/>
        <v>13493.376</v>
      </c>
      <c r="Q4" s="55">
        <f t="shared" si="5"/>
        <v>24.076416000000002</v>
      </c>
      <c r="X4" s="55">
        <f t="shared" si="6"/>
        <v>3037.33248</v>
      </c>
      <c r="Y4" s="55">
        <f t="shared" si="7"/>
        <v>4508.3750400000008</v>
      </c>
      <c r="Z4" s="55">
        <f t="shared" si="8"/>
        <v>3872.5989119999995</v>
      </c>
      <c r="AA4" s="55">
        <f t="shared" si="9"/>
        <v>5748.1781760000013</v>
      </c>
      <c r="AC4" s="55">
        <f t="shared" si="10"/>
        <v>17.166484608000001</v>
      </c>
    </row>
    <row r="5" spans="5:29" ht="15" customHeight="1" thickBot="1" x14ac:dyDescent="0.35">
      <c r="E5">
        <v>2009</v>
      </c>
      <c r="F5">
        <v>82861</v>
      </c>
      <c r="G5" s="55">
        <f t="shared" si="0"/>
        <v>1574.3589999999999</v>
      </c>
      <c r="J5" s="52">
        <v>2011</v>
      </c>
      <c r="K5" s="53">
        <v>4956</v>
      </c>
      <c r="L5" s="55">
        <f t="shared" si="1"/>
        <v>1585.92</v>
      </c>
      <c r="M5" s="55">
        <f t="shared" si="2"/>
        <v>3370.0800000000004</v>
      </c>
      <c r="N5">
        <v>12</v>
      </c>
      <c r="O5" s="55">
        <f t="shared" si="3"/>
        <v>19031.04</v>
      </c>
      <c r="P5" s="55">
        <f t="shared" si="4"/>
        <v>24264.576000000001</v>
      </c>
      <c r="Q5" s="55">
        <f t="shared" si="5"/>
        <v>43.295616000000003</v>
      </c>
      <c r="X5" s="55">
        <f t="shared" si="6"/>
        <v>5461.9084800000001</v>
      </c>
      <c r="Y5" s="55">
        <f t="shared" si="7"/>
        <v>8107.2230400000008</v>
      </c>
      <c r="Z5" s="55">
        <f t="shared" si="8"/>
        <v>6963.9333120000001</v>
      </c>
      <c r="AA5" s="55">
        <f t="shared" si="9"/>
        <v>10336.709376000001</v>
      </c>
      <c r="AC5" s="55">
        <f t="shared" si="10"/>
        <v>30.869774208000003</v>
      </c>
    </row>
    <row r="6" spans="5:29" ht="15" customHeight="1" thickBot="1" x14ac:dyDescent="0.35">
      <c r="E6">
        <v>2010</v>
      </c>
      <c r="F6">
        <v>100208</v>
      </c>
      <c r="G6" s="55">
        <f t="shared" si="0"/>
        <v>1903.952</v>
      </c>
      <c r="J6" s="52">
        <v>2012</v>
      </c>
      <c r="K6" s="53">
        <v>7760</v>
      </c>
      <c r="L6" s="55">
        <f t="shared" si="1"/>
        <v>2483.2000000000003</v>
      </c>
      <c r="M6" s="55">
        <f t="shared" si="2"/>
        <v>5276.8</v>
      </c>
      <c r="N6">
        <v>12</v>
      </c>
      <c r="O6" s="55">
        <f t="shared" si="3"/>
        <v>29798.400000000001</v>
      </c>
      <c r="P6" s="55">
        <f t="shared" si="4"/>
        <v>37992.959999999999</v>
      </c>
      <c r="Q6" s="55">
        <f t="shared" si="5"/>
        <v>67.791359999999997</v>
      </c>
      <c r="X6" s="55">
        <f t="shared" si="6"/>
        <v>8552.140800000001</v>
      </c>
      <c r="Y6" s="55">
        <f t="shared" si="7"/>
        <v>12694.118400000003</v>
      </c>
      <c r="Z6" s="55">
        <f t="shared" si="8"/>
        <v>10903.979519999999</v>
      </c>
      <c r="AA6" s="55">
        <f t="shared" si="9"/>
        <v>16185.000960000001</v>
      </c>
      <c r="AC6" s="55">
        <f t="shared" si="10"/>
        <v>48.335239680000001</v>
      </c>
    </row>
    <row r="7" spans="5:29" ht="15" customHeight="1" thickBot="1" x14ac:dyDescent="0.35">
      <c r="E7">
        <v>2011</v>
      </c>
      <c r="F7">
        <v>118026</v>
      </c>
      <c r="G7" s="55">
        <f t="shared" si="0"/>
        <v>2242.4940000000001</v>
      </c>
      <c r="J7" s="52">
        <v>2013</v>
      </c>
      <c r="K7" s="53">
        <v>10853</v>
      </c>
      <c r="L7" s="55">
        <f t="shared" si="1"/>
        <v>3472.96</v>
      </c>
      <c r="M7" s="55">
        <f t="shared" si="2"/>
        <v>7380.0400000000009</v>
      </c>
      <c r="N7">
        <v>12</v>
      </c>
      <c r="O7" s="55">
        <f t="shared" si="3"/>
        <v>41675.520000000004</v>
      </c>
      <c r="P7" s="55">
        <f t="shared" si="4"/>
        <v>53136.288</v>
      </c>
      <c r="Q7" s="55">
        <f t="shared" si="5"/>
        <v>94.811807999999999</v>
      </c>
      <c r="X7" s="55">
        <f t="shared" si="6"/>
        <v>11960.874239999999</v>
      </c>
      <c r="Y7" s="55">
        <f t="shared" si="7"/>
        <v>17753.771520000002</v>
      </c>
      <c r="Z7" s="55">
        <f t="shared" si="8"/>
        <v>15250.114656</v>
      </c>
      <c r="AA7" s="55">
        <f t="shared" si="9"/>
        <v>22636.058688000005</v>
      </c>
      <c r="AC7" s="55">
        <f t="shared" si="10"/>
        <v>67.600819103999996</v>
      </c>
    </row>
    <row r="8" spans="5:29" ht="15" customHeight="1" thickBot="1" x14ac:dyDescent="0.35">
      <c r="E8">
        <v>2012</v>
      </c>
      <c r="F8">
        <v>137489</v>
      </c>
      <c r="G8" s="55">
        <f t="shared" si="0"/>
        <v>2612.2910000000002</v>
      </c>
      <c r="J8" s="52">
        <v>2014</v>
      </c>
      <c r="K8" s="53">
        <v>15680</v>
      </c>
      <c r="L8" s="55">
        <f t="shared" si="1"/>
        <v>5017.6000000000004</v>
      </c>
      <c r="M8" s="55">
        <f t="shared" si="2"/>
        <v>10662.400000000001</v>
      </c>
      <c r="N8">
        <v>12</v>
      </c>
      <c r="O8" s="55">
        <f t="shared" si="3"/>
        <v>60211.200000000004</v>
      </c>
      <c r="P8" s="55">
        <f t="shared" si="4"/>
        <v>76769.279999999999</v>
      </c>
      <c r="Q8" s="55">
        <f t="shared" si="5"/>
        <v>136.98048</v>
      </c>
      <c r="X8" s="55">
        <f t="shared" si="6"/>
        <v>17280.614399999999</v>
      </c>
      <c r="Y8" s="55">
        <f t="shared" si="7"/>
        <v>25649.971200000007</v>
      </c>
      <c r="Z8" s="55">
        <f t="shared" si="8"/>
        <v>22032.783359999998</v>
      </c>
      <c r="AA8" s="55">
        <f t="shared" si="9"/>
        <v>32703.713280000007</v>
      </c>
      <c r="AC8" s="55">
        <f t="shared" si="10"/>
        <v>97.667082240000013</v>
      </c>
    </row>
    <row r="9" spans="5:29" ht="15" customHeight="1" thickBot="1" x14ac:dyDescent="0.35">
      <c r="E9">
        <v>2013</v>
      </c>
      <c r="F9">
        <v>157921</v>
      </c>
      <c r="G9" s="55">
        <f t="shared" si="0"/>
        <v>3000.4989999999998</v>
      </c>
      <c r="J9" s="52">
        <v>2015</v>
      </c>
      <c r="K9" s="53">
        <v>19481</v>
      </c>
      <c r="L9" s="55">
        <f t="shared" si="1"/>
        <v>6233.92</v>
      </c>
      <c r="M9" s="55">
        <f t="shared" si="2"/>
        <v>13247.080000000002</v>
      </c>
      <c r="N9">
        <v>12</v>
      </c>
      <c r="O9" s="55">
        <f t="shared" si="3"/>
        <v>74807.040000000008</v>
      </c>
      <c r="P9" s="55">
        <f t="shared" si="4"/>
        <v>95378.97600000001</v>
      </c>
      <c r="Q9" s="55">
        <f t="shared" si="5"/>
        <v>170.186016</v>
      </c>
      <c r="X9" s="55">
        <f t="shared" si="6"/>
        <v>21469.620479999998</v>
      </c>
      <c r="Y9" s="55">
        <f t="shared" si="7"/>
        <v>31867.799040000005</v>
      </c>
      <c r="Z9" s="55">
        <f t="shared" si="8"/>
        <v>27373.766112000001</v>
      </c>
      <c r="AA9" s="55">
        <f t="shared" si="9"/>
        <v>40631.443776</v>
      </c>
      <c r="AC9" s="55">
        <f t="shared" si="10"/>
        <v>121.34262940800001</v>
      </c>
    </row>
    <row r="10" spans="5:29" ht="15" customHeight="1" thickBot="1" x14ac:dyDescent="0.35">
      <c r="E10">
        <v>2014</v>
      </c>
      <c r="F10">
        <v>181231</v>
      </c>
      <c r="G10" s="55">
        <f t="shared" si="0"/>
        <v>3443.3890000000001</v>
      </c>
      <c r="J10" s="52">
        <v>2016</v>
      </c>
      <c r="K10" s="53">
        <v>23666</v>
      </c>
      <c r="L10" s="55">
        <f t="shared" si="1"/>
        <v>7573.12</v>
      </c>
      <c r="M10" s="55">
        <f t="shared" si="2"/>
        <v>16092.880000000001</v>
      </c>
      <c r="N10">
        <v>12</v>
      </c>
      <c r="O10" s="55">
        <f t="shared" si="3"/>
        <v>90877.440000000002</v>
      </c>
      <c r="P10" s="55">
        <f t="shared" si="4"/>
        <v>115868.73599999999</v>
      </c>
      <c r="Q10" s="55">
        <f t="shared" si="5"/>
        <v>206.74617599999999</v>
      </c>
      <c r="X10" s="55">
        <f t="shared" si="6"/>
        <v>26081.825279999997</v>
      </c>
      <c r="Y10" s="55">
        <f t="shared" si="7"/>
        <v>38713.789440000008</v>
      </c>
      <c r="Z10" s="55">
        <f t="shared" si="8"/>
        <v>33254.327231999996</v>
      </c>
      <c r="AA10" s="55">
        <f t="shared" si="9"/>
        <v>49360.081536000005</v>
      </c>
      <c r="AC10" s="55">
        <f t="shared" si="10"/>
        <v>147.41002348800001</v>
      </c>
    </row>
    <row r="11" spans="5:29" ht="15" customHeight="1" thickBot="1" x14ac:dyDescent="0.35">
      <c r="E11">
        <v>2015</v>
      </c>
      <c r="F11">
        <v>205339</v>
      </c>
      <c r="G11" s="55">
        <f t="shared" si="0"/>
        <v>3901.4409999999998</v>
      </c>
      <c r="J11" s="52">
        <v>2017</v>
      </c>
      <c r="K11" s="53">
        <v>29493</v>
      </c>
      <c r="L11" s="55">
        <f t="shared" si="1"/>
        <v>9437.76</v>
      </c>
      <c r="M11" s="55">
        <f t="shared" si="2"/>
        <v>20055.240000000002</v>
      </c>
      <c r="N11">
        <v>12</v>
      </c>
      <c r="O11" s="55">
        <f t="shared" si="3"/>
        <v>113253.12</v>
      </c>
      <c r="P11" s="55">
        <f t="shared" si="4"/>
        <v>144397.728</v>
      </c>
      <c r="Q11" s="55">
        <f t="shared" si="5"/>
        <v>257.650848</v>
      </c>
      <c r="X11" s="55">
        <f t="shared" si="6"/>
        <v>32503.64544</v>
      </c>
      <c r="Y11" s="55">
        <f t="shared" si="7"/>
        <v>48245.829120000009</v>
      </c>
      <c r="Z11" s="55">
        <f t="shared" si="8"/>
        <v>41442.147935999994</v>
      </c>
      <c r="AA11" s="55">
        <f t="shared" si="9"/>
        <v>61513.432128000008</v>
      </c>
      <c r="AC11" s="55">
        <f t="shared" si="10"/>
        <v>183.70505462400001</v>
      </c>
    </row>
    <row r="12" spans="5:29" ht="15" customHeight="1" thickBot="1" x14ac:dyDescent="0.35">
      <c r="E12">
        <v>2016</v>
      </c>
      <c r="F12">
        <v>233129</v>
      </c>
      <c r="G12" s="55">
        <f t="shared" si="0"/>
        <v>4429.451</v>
      </c>
      <c r="J12" s="52">
        <v>2018</v>
      </c>
      <c r="K12" s="53">
        <v>34152</v>
      </c>
      <c r="L12" s="55">
        <f t="shared" si="1"/>
        <v>10928.64</v>
      </c>
      <c r="M12" s="55">
        <f t="shared" si="2"/>
        <v>23223.360000000001</v>
      </c>
      <c r="N12">
        <v>12</v>
      </c>
      <c r="O12" s="55">
        <f t="shared" si="3"/>
        <v>131143.67999999999</v>
      </c>
      <c r="P12" s="55">
        <f t="shared" si="4"/>
        <v>167208.19199999998</v>
      </c>
      <c r="Q12" s="55">
        <f t="shared" si="5"/>
        <v>298.35187199999996</v>
      </c>
      <c r="X12" s="55">
        <f t="shared" si="6"/>
        <v>37638.236159999993</v>
      </c>
      <c r="Y12" s="55">
        <f t="shared" si="7"/>
        <v>55867.207680000007</v>
      </c>
      <c r="Z12" s="55">
        <f t="shared" si="8"/>
        <v>47988.751103999988</v>
      </c>
      <c r="AA12" s="55">
        <f t="shared" si="9"/>
        <v>71230.689792000005</v>
      </c>
      <c r="AC12" s="55">
        <f t="shared" si="10"/>
        <v>212.72488473599998</v>
      </c>
    </row>
    <row r="13" spans="5:29" ht="15" customHeight="1" thickBot="1" x14ac:dyDescent="0.35">
      <c r="E13">
        <v>2017</v>
      </c>
      <c r="F13">
        <v>262307</v>
      </c>
      <c r="G13" s="55">
        <f t="shared" si="0"/>
        <v>4983.8329999999996</v>
      </c>
      <c r="J13" s="52">
        <v>2019</v>
      </c>
      <c r="K13" s="53">
        <v>40675</v>
      </c>
      <c r="L13" s="55">
        <f t="shared" si="1"/>
        <v>13016</v>
      </c>
      <c r="M13" s="55">
        <f t="shared" si="2"/>
        <v>27659.000000000004</v>
      </c>
      <c r="N13">
        <v>12</v>
      </c>
      <c r="O13" s="55">
        <f t="shared" si="3"/>
        <v>156192</v>
      </c>
      <c r="P13" s="55">
        <f t="shared" si="4"/>
        <v>199144.80000000002</v>
      </c>
      <c r="Q13" s="55">
        <f t="shared" si="5"/>
        <v>355.33680000000004</v>
      </c>
      <c r="X13" s="55">
        <f t="shared" si="6"/>
        <v>44827.103999999992</v>
      </c>
      <c r="Y13" s="55">
        <f t="shared" si="7"/>
        <v>66537.792000000016</v>
      </c>
      <c r="Z13" s="55">
        <f t="shared" si="8"/>
        <v>57154.5576</v>
      </c>
      <c r="AA13" s="55">
        <f t="shared" si="9"/>
        <v>84835.684800000003</v>
      </c>
      <c r="AC13" s="55">
        <f t="shared" si="10"/>
        <v>253.35513839999999</v>
      </c>
    </row>
    <row r="14" spans="5:29" ht="15" customHeight="1" thickBot="1" x14ac:dyDescent="0.35">
      <c r="E14">
        <v>2018</v>
      </c>
      <c r="F14">
        <v>293265</v>
      </c>
      <c r="G14" s="55">
        <f t="shared" si="0"/>
        <v>5572.0349999999999</v>
      </c>
      <c r="J14" s="52">
        <v>2020</v>
      </c>
      <c r="K14" s="53">
        <v>46718</v>
      </c>
      <c r="L14" s="55">
        <f t="shared" si="1"/>
        <v>14949.76</v>
      </c>
      <c r="M14" s="55">
        <f t="shared" si="2"/>
        <v>31768.240000000002</v>
      </c>
      <c r="N14">
        <v>12</v>
      </c>
      <c r="O14" s="55">
        <f t="shared" si="3"/>
        <v>179397.12</v>
      </c>
      <c r="P14" s="55">
        <f t="shared" si="4"/>
        <v>228731.32799999998</v>
      </c>
      <c r="Q14" s="55">
        <f t="shared" si="5"/>
        <v>408.12844799999999</v>
      </c>
      <c r="X14" s="55">
        <f t="shared" si="6"/>
        <v>51486.973440000002</v>
      </c>
      <c r="Y14" s="55">
        <f t="shared" si="7"/>
        <v>76423.173120000007</v>
      </c>
      <c r="Z14" s="55">
        <f t="shared" si="8"/>
        <v>65645.891135999991</v>
      </c>
      <c r="AA14" s="55">
        <f t="shared" si="9"/>
        <v>97439.545727999997</v>
      </c>
      <c r="AC14" s="55">
        <f t="shared" si="10"/>
        <v>290.99558342400002</v>
      </c>
    </row>
    <row r="15" spans="5:29" ht="15" customHeight="1" thickBot="1" x14ac:dyDescent="0.35">
      <c r="E15">
        <v>2019</v>
      </c>
      <c r="F15">
        <v>325783</v>
      </c>
      <c r="G15" s="55">
        <f t="shared" si="0"/>
        <v>6189.8770000000004</v>
      </c>
      <c r="J15" s="52">
        <v>2021</v>
      </c>
      <c r="K15" s="53">
        <v>52256</v>
      </c>
      <c r="L15" s="55">
        <f t="shared" si="1"/>
        <v>16721.920000000002</v>
      </c>
      <c r="M15" s="55">
        <f t="shared" si="2"/>
        <v>35534.080000000002</v>
      </c>
      <c r="N15">
        <v>12</v>
      </c>
      <c r="O15" s="55">
        <f t="shared" si="3"/>
        <v>200663.04000000004</v>
      </c>
      <c r="P15" s="55">
        <f t="shared" si="4"/>
        <v>255845.37599999999</v>
      </c>
      <c r="Q15" s="55">
        <f t="shared" si="5"/>
        <v>456.50841600000001</v>
      </c>
      <c r="X15" s="55">
        <f t="shared" si="6"/>
        <v>57590.292480000004</v>
      </c>
      <c r="Y15" s="55">
        <f t="shared" si="7"/>
        <v>85482.455040000015</v>
      </c>
      <c r="Z15" s="55">
        <f t="shared" si="8"/>
        <v>73427.622911999992</v>
      </c>
      <c r="AA15" s="55">
        <f t="shared" si="9"/>
        <v>108990.13017600001</v>
      </c>
      <c r="AC15" s="55">
        <f t="shared" si="10"/>
        <v>325.49050060800005</v>
      </c>
    </row>
    <row r="16" spans="5:29" ht="15" customHeight="1" thickBot="1" x14ac:dyDescent="0.35">
      <c r="E16">
        <v>2020</v>
      </c>
      <c r="F16">
        <v>362518</v>
      </c>
      <c r="G16" s="55">
        <f t="shared" si="0"/>
        <v>6887.8419999999996</v>
      </c>
      <c r="J16" s="52">
        <v>2022</v>
      </c>
      <c r="K16" s="55">
        <f>FORECAST(J16,K3:K15,J3:J15)</f>
        <v>52807.692307693884</v>
      </c>
      <c r="L16" s="55">
        <f t="shared" si="1"/>
        <v>16898.461538462045</v>
      </c>
      <c r="M16" s="55">
        <f t="shared" ref="M16:M19" si="11">K16*68%</f>
        <v>35909.230769231843</v>
      </c>
      <c r="N16">
        <v>13</v>
      </c>
      <c r="O16" s="55">
        <f t="shared" ref="O16:O19" si="12">L16*N16</f>
        <v>219680.00000000658</v>
      </c>
      <c r="P16" s="55">
        <f t="shared" ref="P16:P19" si="13">(N16*60%)*M16</f>
        <v>280092.00000000838</v>
      </c>
      <c r="Q16" s="55">
        <f t="shared" ref="Q16:Q19" si="14">SUM(O16:P16)/1000</f>
        <v>499.77200000001494</v>
      </c>
      <c r="X16" s="55">
        <f t="shared" ref="X16:X19" si="15">L16*T$2*6</f>
        <v>58198.301538463274</v>
      </c>
      <c r="Y16" s="55">
        <f t="shared" ref="Y16:Y19" si="16">L16*U$2*12</f>
        <v>86384.935384617973</v>
      </c>
      <c r="Z16" s="55">
        <f t="shared" ref="Z16:Z19" si="17">M16*T$2*(6*60%)</f>
        <v>74202.834461540668</v>
      </c>
      <c r="AA16" s="55">
        <f t="shared" ref="AA16:AA19" si="18">M16*U$2*(12*60%)</f>
        <v>110140.79261538791</v>
      </c>
      <c r="AC16" s="55">
        <f t="shared" ref="AC16:AC19" si="19">SUM(X16:AA16)/1000</f>
        <v>328.92686400000986</v>
      </c>
    </row>
    <row r="17" spans="5:29" ht="15" customHeight="1" thickBot="1" x14ac:dyDescent="0.35">
      <c r="E17">
        <v>2021</v>
      </c>
      <c r="F17">
        <v>397399</v>
      </c>
      <c r="G17" s="55">
        <f t="shared" si="0"/>
        <v>7550.5810000000001</v>
      </c>
      <c r="J17" s="52">
        <v>2023</v>
      </c>
      <c r="K17" s="55">
        <f t="shared" ref="K17:K19" si="20">FORECAST(J17,K4:K16,J4:J16)</f>
        <v>58137.366863906384</v>
      </c>
      <c r="L17" s="55">
        <f t="shared" si="1"/>
        <v>18603.957396450041</v>
      </c>
      <c r="M17" s="55">
        <f t="shared" si="11"/>
        <v>39533.409467456346</v>
      </c>
      <c r="N17">
        <v>14</v>
      </c>
      <c r="O17" s="55">
        <f t="shared" si="12"/>
        <v>260455.40355030057</v>
      </c>
      <c r="P17" s="55">
        <f t="shared" si="13"/>
        <v>332080.63952663331</v>
      </c>
      <c r="Q17" s="55">
        <f t="shared" si="14"/>
        <v>592.53604307693388</v>
      </c>
      <c r="X17" s="55">
        <f t="shared" si="15"/>
        <v>64072.029273373941</v>
      </c>
      <c r="Y17" s="55">
        <f t="shared" si="16"/>
        <v>95103.43021065263</v>
      </c>
      <c r="Z17" s="55">
        <f t="shared" si="17"/>
        <v>81691.837323551779</v>
      </c>
      <c r="AA17" s="55">
        <f t="shared" si="18"/>
        <v>121256.8735185821</v>
      </c>
      <c r="AC17" s="55">
        <f t="shared" si="19"/>
        <v>362.12417032616042</v>
      </c>
    </row>
    <row r="18" spans="5:29" ht="15" customHeight="1" thickBot="1" x14ac:dyDescent="0.35">
      <c r="E18">
        <v>2022</v>
      </c>
      <c r="F18" s="56">
        <f>FORECAST(E18,F2:F17,E2:E17)</f>
        <v>390457.625</v>
      </c>
      <c r="G18" s="55">
        <f t="shared" si="0"/>
        <v>7418.6948750000001</v>
      </c>
      <c r="J18" s="52">
        <v>2024</v>
      </c>
      <c r="K18" s="55">
        <f t="shared" si="20"/>
        <v>63430.645425580442</v>
      </c>
      <c r="L18" s="55">
        <f t="shared" si="1"/>
        <v>20297.806536185741</v>
      </c>
      <c r="M18" s="55">
        <f t="shared" si="11"/>
        <v>43132.838889394705</v>
      </c>
      <c r="N18">
        <v>15</v>
      </c>
      <c r="O18" s="55">
        <f t="shared" si="12"/>
        <v>304467.09804278612</v>
      </c>
      <c r="P18" s="55">
        <f t="shared" si="13"/>
        <v>388195.55000455235</v>
      </c>
      <c r="Q18" s="55">
        <f t="shared" si="14"/>
        <v>692.66264804733851</v>
      </c>
      <c r="X18" s="55">
        <f t="shared" si="15"/>
        <v>69905.645710623678</v>
      </c>
      <c r="Y18" s="55">
        <f t="shared" si="16"/>
        <v>103762.38701298152</v>
      </c>
      <c r="Z18" s="55">
        <f t="shared" si="17"/>
        <v>89129.698281045203</v>
      </c>
      <c r="AA18" s="55">
        <f t="shared" si="18"/>
        <v>132297.04344155142</v>
      </c>
      <c r="AC18" s="55">
        <f t="shared" si="19"/>
        <v>395.09477444620188</v>
      </c>
    </row>
    <row r="19" spans="5:29" ht="15" customHeight="1" thickBot="1" x14ac:dyDescent="0.35">
      <c r="E19">
        <v>2023</v>
      </c>
      <c r="F19" s="56">
        <f t="shared" ref="F19:F21" si="21">FORECAST(E19,F3:F18,E3:E18)</f>
        <v>418249.00625000149</v>
      </c>
      <c r="G19" s="55">
        <f t="shared" si="0"/>
        <v>7946.7311187500281</v>
      </c>
      <c r="J19" s="52">
        <v>2025</v>
      </c>
      <c r="K19" s="55">
        <f t="shared" si="20"/>
        <v>68645.649434542283</v>
      </c>
      <c r="L19" s="55">
        <f t="shared" si="1"/>
        <v>21966.60781905353</v>
      </c>
      <c r="M19" s="55">
        <f t="shared" si="11"/>
        <v>46679.041615488757</v>
      </c>
      <c r="N19">
        <v>16</v>
      </c>
      <c r="O19" s="55">
        <f t="shared" si="12"/>
        <v>351465.72510485648</v>
      </c>
      <c r="P19" s="55">
        <f t="shared" si="13"/>
        <v>448118.79950869206</v>
      </c>
      <c r="Q19" s="55">
        <f t="shared" si="14"/>
        <v>799.58452461354852</v>
      </c>
      <c r="X19" s="55">
        <f t="shared" si="15"/>
        <v>75652.997328820347</v>
      </c>
      <c r="Y19" s="55">
        <f t="shared" si="16"/>
        <v>112293.29917100165</v>
      </c>
      <c r="Z19" s="55">
        <f t="shared" si="17"/>
        <v>96457.57159424595</v>
      </c>
      <c r="AA19" s="55">
        <f t="shared" si="18"/>
        <v>143173.9564430271</v>
      </c>
      <c r="AC19" s="55">
        <f t="shared" si="19"/>
        <v>427.57782453709501</v>
      </c>
    </row>
    <row r="20" spans="5:29" ht="15" customHeight="1" x14ac:dyDescent="0.3">
      <c r="E20">
        <v>2024</v>
      </c>
      <c r="F20" s="56">
        <f t="shared" si="21"/>
        <v>446002.6171875</v>
      </c>
      <c r="G20" s="55">
        <f t="shared" si="0"/>
        <v>8474.0497265624999</v>
      </c>
    </row>
    <row r="21" spans="5:29" ht="15" customHeight="1" x14ac:dyDescent="0.3">
      <c r="E21">
        <v>2025</v>
      </c>
      <c r="F21" s="56">
        <f t="shared" si="21"/>
        <v>474080.2057031244</v>
      </c>
      <c r="G21" s="55">
        <f t="shared" si="0"/>
        <v>9007.5239083593642</v>
      </c>
    </row>
    <row r="26" spans="5:29" ht="15" customHeight="1" x14ac:dyDescent="0.3">
      <c r="I26" t="s">
        <v>60</v>
      </c>
      <c r="J26" s="60">
        <v>0.57399999999999995</v>
      </c>
    </row>
    <row r="27" spans="5:29" ht="15" customHeight="1" x14ac:dyDescent="0.3">
      <c r="I27" t="s">
        <v>61</v>
      </c>
      <c r="J27" s="60">
        <v>0.32500000000000001</v>
      </c>
    </row>
    <row r="28" spans="5:29" ht="15" customHeight="1" x14ac:dyDescent="0.3">
      <c r="I28" t="s">
        <v>62</v>
      </c>
    </row>
    <row r="38" spans="7:36" ht="15" customHeight="1" x14ac:dyDescent="0.3">
      <c r="Q38" s="83" t="s">
        <v>68</v>
      </c>
      <c r="R38" s="83"/>
      <c r="S38" s="83"/>
      <c r="T38" s="83"/>
      <c r="U38" s="83"/>
      <c r="V38" s="83"/>
      <c r="W38" s="83" t="s">
        <v>69</v>
      </c>
      <c r="X38" s="83"/>
      <c r="Y38" s="83"/>
      <c r="Z38" s="83"/>
      <c r="AA38" s="83"/>
      <c r="AB38" s="83"/>
      <c r="AC38" s="83" t="s">
        <v>70</v>
      </c>
      <c r="AD38" s="83"/>
      <c r="AE38" s="83"/>
      <c r="AF38" s="83"/>
      <c r="AG38" s="83"/>
      <c r="AH38" s="83"/>
    </row>
    <row r="39" spans="7:36" ht="15" customHeight="1" x14ac:dyDescent="0.3">
      <c r="G39" s="1" t="s">
        <v>71</v>
      </c>
      <c r="Q39" s="83" t="s">
        <v>55</v>
      </c>
      <c r="R39" s="83"/>
      <c r="S39" s="63" t="s">
        <v>57</v>
      </c>
      <c r="T39" s="83" t="s">
        <v>66</v>
      </c>
      <c r="U39" s="83"/>
      <c r="V39" s="63" t="s">
        <v>58</v>
      </c>
      <c r="W39" s="83" t="s">
        <v>55</v>
      </c>
      <c r="X39" s="83"/>
      <c r="Y39" s="63" t="s">
        <v>57</v>
      </c>
      <c r="Z39" s="83" t="s">
        <v>66</v>
      </c>
      <c r="AA39" s="83"/>
      <c r="AB39" s="63" t="s">
        <v>58</v>
      </c>
      <c r="AC39" s="83" t="s">
        <v>55</v>
      </c>
      <c r="AD39" s="83"/>
      <c r="AE39" s="63" t="s">
        <v>57</v>
      </c>
      <c r="AF39" s="83" t="s">
        <v>66</v>
      </c>
      <c r="AG39" s="83"/>
      <c r="AH39" s="63" t="s">
        <v>58</v>
      </c>
      <c r="AJ39" t="s">
        <v>67</v>
      </c>
    </row>
    <row r="40" spans="7:36" ht="15" customHeight="1" thickBot="1" x14ac:dyDescent="0.35">
      <c r="L40" t="s">
        <v>55</v>
      </c>
      <c r="M40" t="s">
        <v>56</v>
      </c>
      <c r="O40" t="s">
        <v>57</v>
      </c>
      <c r="P40" t="s">
        <v>58</v>
      </c>
      <c r="Q40" s="63" t="s">
        <v>64</v>
      </c>
      <c r="R40" s="63" t="s">
        <v>65</v>
      </c>
      <c r="S40" s="63"/>
      <c r="T40" s="63" t="s">
        <v>64</v>
      </c>
      <c r="U40" s="63" t="s">
        <v>65</v>
      </c>
      <c r="V40" s="63"/>
      <c r="W40" s="63" t="s">
        <v>64</v>
      </c>
      <c r="X40" s="63" t="s">
        <v>65</v>
      </c>
      <c r="Y40" s="63"/>
      <c r="Z40" s="63" t="s">
        <v>64</v>
      </c>
      <c r="AA40" s="63" t="s">
        <v>65</v>
      </c>
      <c r="AB40" s="63"/>
      <c r="AC40" s="63" t="s">
        <v>64</v>
      </c>
      <c r="AD40" s="63" t="s">
        <v>65</v>
      </c>
      <c r="AE40" s="63"/>
      <c r="AF40" s="63" t="s">
        <v>64</v>
      </c>
      <c r="AG40" s="63" t="s">
        <v>65</v>
      </c>
      <c r="AH40" s="63"/>
    </row>
    <row r="41" spans="7:36" ht="15" customHeight="1" thickBot="1" x14ac:dyDescent="0.35">
      <c r="J41" s="54" t="s">
        <v>54</v>
      </c>
      <c r="K41" s="59">
        <v>41</v>
      </c>
      <c r="L41" s="55">
        <f>K41*32%</f>
        <v>13.120000000000001</v>
      </c>
      <c r="M41" s="55">
        <f>K41*68%</f>
        <v>27.880000000000003</v>
      </c>
      <c r="N41">
        <v>12</v>
      </c>
      <c r="O41" s="55">
        <f>L41*N41</f>
        <v>157.44</v>
      </c>
      <c r="P41" s="55">
        <f>(N41*60%)*M41</f>
        <v>200.73599999999999</v>
      </c>
      <c r="Q41" s="58">
        <f>$L41*7%*57.4%</f>
        <v>0.52716160000000001</v>
      </c>
      <c r="R41" s="58">
        <f>$L41*7%*42.6%</f>
        <v>0.39123840000000004</v>
      </c>
      <c r="S41" s="58">
        <f>Q41*(3.4*33%)</f>
        <v>0.59147531520000007</v>
      </c>
      <c r="T41" s="58">
        <f>$M41*7%*57.4%</f>
        <v>1.1202184000000002</v>
      </c>
      <c r="U41" s="58">
        <f>$M41*7%*42.6%</f>
        <v>0.83138160000000016</v>
      </c>
      <c r="V41" s="58">
        <f>SUM(T41:U41)*(3.4*60%)</f>
        <v>3.9812640000000008</v>
      </c>
      <c r="W41" s="58">
        <f>$L41*14%*57.4%</f>
        <v>1.0543232</v>
      </c>
      <c r="X41" s="58">
        <f>$L41*14%*42.6%</f>
        <v>0.78247680000000008</v>
      </c>
      <c r="Y41" s="58">
        <f>W41*(8.6*33%)</f>
        <v>2.9921692416000001</v>
      </c>
      <c r="Z41" s="58">
        <f>$M41*14%*57.4%</f>
        <v>2.2404368000000003</v>
      </c>
      <c r="AA41" s="58">
        <f>$M41*14%*42.6%</f>
        <v>1.6627632000000003</v>
      </c>
      <c r="AB41" s="58">
        <f>SUM(Z41:AA41)*(8.6*60%)</f>
        <v>20.140512000000001</v>
      </c>
      <c r="AC41" s="58">
        <f>$L41*37%*57.4%</f>
        <v>2.7864255999999998</v>
      </c>
      <c r="AD41" s="58">
        <f>$L41*37%*42.6%</f>
        <v>2.0679743999999998</v>
      </c>
      <c r="AE41" s="58">
        <f>AC41*(21.4*33%)</f>
        <v>19.677737587199999</v>
      </c>
      <c r="AF41" s="58">
        <f>$M41*37%*57.4%</f>
        <v>5.9211544000000007</v>
      </c>
      <c r="AG41" s="58">
        <f>$M41*37%*42.6%</f>
        <v>4.394445600000001</v>
      </c>
      <c r="AH41" s="58">
        <f>SUM(AF41:AG41)*(21.4*60%)</f>
        <v>132.452304</v>
      </c>
      <c r="AJ41" s="58">
        <f>SUM(S41,V41,Y41,AB41,AE41,AH41)/1000</f>
        <v>0.17983546214399998</v>
      </c>
    </row>
    <row r="42" spans="7:36" ht="15" customHeight="1" thickBot="1" x14ac:dyDescent="0.35">
      <c r="J42" s="52">
        <v>2009</v>
      </c>
      <c r="K42" s="53">
        <v>1139</v>
      </c>
      <c r="L42" s="55">
        <f t="shared" ref="L42:L58" si="22">K42*32%</f>
        <v>364.48</v>
      </c>
      <c r="M42" s="55">
        <f t="shared" ref="M42:M58" si="23">K42*68%</f>
        <v>774.5200000000001</v>
      </c>
      <c r="N42">
        <v>12</v>
      </c>
      <c r="O42" s="55">
        <f t="shared" ref="O42:O58" si="24">L42*N42</f>
        <v>4373.76</v>
      </c>
      <c r="P42" s="55">
        <f t="shared" ref="P42:P58" si="25">(N42*60%)*M42</f>
        <v>5576.5439999999999</v>
      </c>
      <c r="Q42" s="58">
        <f t="shared" ref="Q42:Q58" si="26">$L42*7%*57.4%</f>
        <v>14.6448064</v>
      </c>
      <c r="R42" s="58">
        <f t="shared" ref="R42:R58" si="27">$L42*7%*42.6%</f>
        <v>10.868793600000002</v>
      </c>
      <c r="S42" s="58">
        <f t="shared" ref="S42:S58" si="28">Q42*(3.4*33%)</f>
        <v>16.4314727808</v>
      </c>
      <c r="T42" s="58">
        <f t="shared" ref="T42:T58" si="29">$M42*7%*57.4%</f>
        <v>31.120213600000007</v>
      </c>
      <c r="U42" s="58">
        <f t="shared" ref="U42:U58" si="30">$M42*7%*42.6%</f>
        <v>23.096186400000004</v>
      </c>
      <c r="V42" s="58">
        <f t="shared" ref="V42:V58" si="31">SUM(T42:U42)*(3.4*60%)</f>
        <v>110.60145600000001</v>
      </c>
      <c r="W42" s="58">
        <f t="shared" ref="W42:W58" si="32">$L42*14%*57.4%</f>
        <v>29.2896128</v>
      </c>
      <c r="X42" s="58">
        <f t="shared" ref="X42:X58" si="33">$L42*14%*42.6%</f>
        <v>21.737587200000004</v>
      </c>
      <c r="Y42" s="58">
        <f t="shared" ref="Y42:Y58" si="34">W42*(8.6*33%)</f>
        <v>83.123921126400006</v>
      </c>
      <c r="Z42" s="58">
        <f t="shared" ref="Z42:Z58" si="35">$M42*14%*57.4%</f>
        <v>62.240427200000013</v>
      </c>
      <c r="AA42" s="58">
        <f t="shared" ref="AA42:AA58" si="36">$M42*14%*42.6%</f>
        <v>46.192372800000008</v>
      </c>
      <c r="AB42" s="58">
        <f t="shared" ref="AB42:AB58" si="37">SUM(Z42:AA42)*(8.6*60%)</f>
        <v>559.51324799999998</v>
      </c>
      <c r="AC42" s="58">
        <f t="shared" ref="AC42:AC58" si="38">$L42*37%*57.4%</f>
        <v>77.408262399999998</v>
      </c>
      <c r="AD42" s="58">
        <f t="shared" ref="AD42:AD58" si="39">$L42*37%*42.6%</f>
        <v>57.449337600000007</v>
      </c>
      <c r="AE42" s="58">
        <f t="shared" ref="AE42:AE58" si="40">AC42*(21.4*33%)</f>
        <v>546.65714906879998</v>
      </c>
      <c r="AF42" s="58">
        <f t="shared" ref="AF42:AF58" si="41">$M42*37%*57.4%</f>
        <v>164.4925576</v>
      </c>
      <c r="AG42" s="58">
        <f t="shared" ref="AG42:AG58" si="42">$M42*37%*42.6%</f>
        <v>122.0798424</v>
      </c>
      <c r="AH42" s="58">
        <f t="shared" ref="AH42:AH58" si="43">SUM(AF42:AG42)*(21.4*60%)</f>
        <v>3679.5896159999998</v>
      </c>
      <c r="AJ42" s="58">
        <f t="shared" ref="AJ42:AJ58" si="44">SUM(S42,V42,Y42,AB42,AE42,AH42)/1000</f>
        <v>4.9959168629759994</v>
      </c>
    </row>
    <row r="43" spans="7:36" ht="15" customHeight="1" thickBot="1" x14ac:dyDescent="0.35">
      <c r="J43" s="52">
        <v>2010</v>
      </c>
      <c r="K43" s="53">
        <v>2756</v>
      </c>
      <c r="L43" s="55">
        <f t="shared" si="22"/>
        <v>881.92000000000007</v>
      </c>
      <c r="M43" s="55">
        <f t="shared" si="23"/>
        <v>1874.0800000000002</v>
      </c>
      <c r="N43">
        <v>12</v>
      </c>
      <c r="O43" s="55">
        <f t="shared" si="24"/>
        <v>10583.04</v>
      </c>
      <c r="P43" s="55">
        <f t="shared" si="25"/>
        <v>13493.376</v>
      </c>
      <c r="Q43" s="58">
        <f t="shared" si="26"/>
        <v>35.435545600000005</v>
      </c>
      <c r="R43" s="58">
        <f t="shared" si="27"/>
        <v>26.298854400000003</v>
      </c>
      <c r="S43" s="58">
        <f t="shared" si="28"/>
        <v>39.758682163200007</v>
      </c>
      <c r="T43" s="58">
        <f t="shared" si="29"/>
        <v>75.300534400000004</v>
      </c>
      <c r="U43" s="58">
        <f t="shared" si="30"/>
        <v>55.885065600000011</v>
      </c>
      <c r="V43" s="58">
        <f t="shared" si="31"/>
        <v>267.61862400000007</v>
      </c>
      <c r="W43" s="58">
        <f t="shared" si="32"/>
        <v>70.871091200000009</v>
      </c>
      <c r="X43" s="58">
        <f t="shared" si="33"/>
        <v>52.597708800000007</v>
      </c>
      <c r="Y43" s="58">
        <f t="shared" si="34"/>
        <v>201.13215682560002</v>
      </c>
      <c r="Z43" s="58">
        <f t="shared" si="35"/>
        <v>150.60106880000001</v>
      </c>
      <c r="AA43" s="58">
        <f t="shared" si="36"/>
        <v>111.77013120000002</v>
      </c>
      <c r="AB43" s="58">
        <f t="shared" si="37"/>
        <v>1353.835392</v>
      </c>
      <c r="AC43" s="58">
        <f t="shared" si="38"/>
        <v>187.30216959999998</v>
      </c>
      <c r="AD43" s="58">
        <f t="shared" si="39"/>
        <v>139.0082304</v>
      </c>
      <c r="AE43" s="58">
        <f t="shared" si="40"/>
        <v>1322.7279217152</v>
      </c>
      <c r="AF43" s="58">
        <f t="shared" si="41"/>
        <v>398.01711040000004</v>
      </c>
      <c r="AG43" s="58">
        <f t="shared" si="42"/>
        <v>295.39248960000003</v>
      </c>
      <c r="AH43" s="58">
        <f t="shared" si="43"/>
        <v>8903.3792639999992</v>
      </c>
      <c r="AJ43" s="58">
        <f t="shared" si="44"/>
        <v>12.088452040704</v>
      </c>
    </row>
    <row r="44" spans="7:36" ht="15" customHeight="1" thickBot="1" x14ac:dyDescent="0.35">
      <c r="J44" s="52">
        <v>2011</v>
      </c>
      <c r="K44" s="53">
        <v>4956</v>
      </c>
      <c r="L44" s="55">
        <f t="shared" si="22"/>
        <v>1585.92</v>
      </c>
      <c r="M44" s="55">
        <f t="shared" si="23"/>
        <v>3370.0800000000004</v>
      </c>
      <c r="N44">
        <v>12</v>
      </c>
      <c r="O44" s="55">
        <f t="shared" si="24"/>
        <v>19031.04</v>
      </c>
      <c r="P44" s="55">
        <f t="shared" si="25"/>
        <v>24264.576000000001</v>
      </c>
      <c r="Q44" s="58">
        <f t="shared" si="26"/>
        <v>63.7222656</v>
      </c>
      <c r="R44" s="58">
        <f t="shared" si="27"/>
        <v>47.292134400000002</v>
      </c>
      <c r="S44" s="58">
        <f t="shared" si="28"/>
        <v>71.496382003200011</v>
      </c>
      <c r="T44" s="58">
        <f t="shared" si="29"/>
        <v>135.40981440000002</v>
      </c>
      <c r="U44" s="58">
        <f t="shared" si="30"/>
        <v>100.49578560000002</v>
      </c>
      <c r="V44" s="58">
        <f t="shared" si="31"/>
        <v>481.24742400000014</v>
      </c>
      <c r="W44" s="58">
        <f t="shared" si="32"/>
        <v>127.4445312</v>
      </c>
      <c r="X44" s="58">
        <f t="shared" si="33"/>
        <v>94.584268800000004</v>
      </c>
      <c r="Y44" s="58">
        <f t="shared" si="34"/>
        <v>361.68757954559999</v>
      </c>
      <c r="Z44" s="58">
        <f t="shared" si="35"/>
        <v>270.81962880000003</v>
      </c>
      <c r="AA44" s="58">
        <f t="shared" si="36"/>
        <v>200.99157120000004</v>
      </c>
      <c r="AB44" s="58">
        <f t="shared" si="37"/>
        <v>2434.5457920000003</v>
      </c>
      <c r="AC44" s="58">
        <f t="shared" si="38"/>
        <v>336.81768959999994</v>
      </c>
      <c r="AD44" s="58">
        <f t="shared" si="39"/>
        <v>249.97271039999998</v>
      </c>
      <c r="AE44" s="58">
        <f t="shared" si="40"/>
        <v>2378.6065239551995</v>
      </c>
      <c r="AF44" s="58">
        <f t="shared" si="41"/>
        <v>715.73759040000004</v>
      </c>
      <c r="AG44" s="58">
        <f t="shared" si="42"/>
        <v>531.19200960000001</v>
      </c>
      <c r="AH44" s="58">
        <f t="shared" si="43"/>
        <v>16010.576063999997</v>
      </c>
      <c r="AJ44" s="58">
        <f t="shared" si="44"/>
        <v>21.738159765503994</v>
      </c>
    </row>
    <row r="45" spans="7:36" ht="15" customHeight="1" thickBot="1" x14ac:dyDescent="0.35">
      <c r="J45" s="52">
        <v>2012</v>
      </c>
      <c r="K45" s="53">
        <v>7760</v>
      </c>
      <c r="L45" s="55">
        <f t="shared" si="22"/>
        <v>2483.2000000000003</v>
      </c>
      <c r="M45" s="55">
        <f t="shared" si="23"/>
        <v>5276.8</v>
      </c>
      <c r="N45">
        <v>12</v>
      </c>
      <c r="O45" s="55">
        <f t="shared" si="24"/>
        <v>29798.400000000001</v>
      </c>
      <c r="P45" s="55">
        <f t="shared" si="25"/>
        <v>37992.959999999999</v>
      </c>
      <c r="Q45" s="58">
        <f t="shared" si="26"/>
        <v>99.774976000000009</v>
      </c>
      <c r="R45" s="58">
        <f t="shared" si="27"/>
        <v>74.049024000000017</v>
      </c>
      <c r="S45" s="58">
        <f t="shared" si="28"/>
        <v>111.94752307200002</v>
      </c>
      <c r="T45" s="58">
        <f t="shared" si="29"/>
        <v>212.02182400000001</v>
      </c>
      <c r="U45" s="58">
        <f t="shared" si="30"/>
        <v>157.35417600000002</v>
      </c>
      <c r="V45" s="58">
        <f t="shared" si="31"/>
        <v>753.52704000000006</v>
      </c>
      <c r="W45" s="58">
        <f t="shared" si="32"/>
        <v>199.54995200000002</v>
      </c>
      <c r="X45" s="58">
        <f t="shared" si="33"/>
        <v>148.09804800000003</v>
      </c>
      <c r="Y45" s="58">
        <f t="shared" si="34"/>
        <v>566.3227637760001</v>
      </c>
      <c r="Z45" s="58">
        <f t="shared" si="35"/>
        <v>424.04364800000002</v>
      </c>
      <c r="AA45" s="58">
        <f t="shared" si="36"/>
        <v>314.70835200000005</v>
      </c>
      <c r="AB45" s="58">
        <f t="shared" si="37"/>
        <v>3811.9603199999997</v>
      </c>
      <c r="AC45" s="58">
        <f t="shared" si="38"/>
        <v>527.38201600000002</v>
      </c>
      <c r="AD45" s="58">
        <f t="shared" si="39"/>
        <v>391.40198400000003</v>
      </c>
      <c r="AE45" s="58">
        <f t="shared" si="40"/>
        <v>3724.3717969920003</v>
      </c>
      <c r="AF45" s="58">
        <f t="shared" si="41"/>
        <v>1120.686784</v>
      </c>
      <c r="AG45" s="58">
        <f t="shared" si="42"/>
        <v>831.72921599999995</v>
      </c>
      <c r="AH45" s="58">
        <f t="shared" si="43"/>
        <v>25069.021439999997</v>
      </c>
      <c r="AJ45" s="58">
        <f t="shared" si="44"/>
        <v>34.037150883839999</v>
      </c>
    </row>
    <row r="46" spans="7:36" ht="15" customHeight="1" thickBot="1" x14ac:dyDescent="0.35">
      <c r="J46" s="52">
        <v>2013</v>
      </c>
      <c r="K46" s="53">
        <v>10853</v>
      </c>
      <c r="L46" s="55">
        <f t="shared" si="22"/>
        <v>3472.96</v>
      </c>
      <c r="M46" s="55">
        <f t="shared" si="23"/>
        <v>7380.0400000000009</v>
      </c>
      <c r="N46">
        <v>12</v>
      </c>
      <c r="O46" s="55">
        <f t="shared" si="24"/>
        <v>41675.520000000004</v>
      </c>
      <c r="P46" s="55">
        <f t="shared" si="25"/>
        <v>53136.288</v>
      </c>
      <c r="Q46" s="58">
        <f t="shared" si="26"/>
        <v>139.54353280000001</v>
      </c>
      <c r="R46" s="58">
        <f t="shared" si="27"/>
        <v>103.56366720000001</v>
      </c>
      <c r="S46" s="58">
        <f t="shared" si="28"/>
        <v>156.56784380160002</v>
      </c>
      <c r="T46" s="58">
        <f t="shared" si="29"/>
        <v>296.53000720000006</v>
      </c>
      <c r="U46" s="58">
        <f t="shared" si="30"/>
        <v>220.07279280000003</v>
      </c>
      <c r="V46" s="58">
        <f t="shared" si="31"/>
        <v>1053.8697120000002</v>
      </c>
      <c r="W46" s="58">
        <f t="shared" si="32"/>
        <v>279.08706560000002</v>
      </c>
      <c r="X46" s="58">
        <f t="shared" si="33"/>
        <v>207.12733440000002</v>
      </c>
      <c r="Y46" s="58">
        <f t="shared" si="34"/>
        <v>792.0490921728001</v>
      </c>
      <c r="Z46" s="58">
        <f t="shared" si="35"/>
        <v>593.06001440000011</v>
      </c>
      <c r="AA46" s="58">
        <f t="shared" si="36"/>
        <v>440.14558560000006</v>
      </c>
      <c r="AB46" s="58">
        <f t="shared" si="37"/>
        <v>5331.3408960000006</v>
      </c>
      <c r="AC46" s="58">
        <f t="shared" si="38"/>
        <v>737.58724480000001</v>
      </c>
      <c r="AD46" s="58">
        <f t="shared" si="39"/>
        <v>547.40795520000006</v>
      </c>
      <c r="AE46" s="58">
        <f t="shared" si="40"/>
        <v>5208.8411227776005</v>
      </c>
      <c r="AF46" s="58">
        <f t="shared" si="41"/>
        <v>1567.3728952000001</v>
      </c>
      <c r="AG46" s="58">
        <f t="shared" si="42"/>
        <v>1163.2419048000002</v>
      </c>
      <c r="AH46" s="58">
        <f t="shared" si="43"/>
        <v>35061.094032000001</v>
      </c>
      <c r="AJ46" s="58">
        <f t="shared" si="44"/>
        <v>47.603762698752007</v>
      </c>
    </row>
    <row r="47" spans="7:36" ht="15" customHeight="1" thickBot="1" x14ac:dyDescent="0.35">
      <c r="J47" s="52">
        <v>2014</v>
      </c>
      <c r="K47" s="53">
        <v>15680</v>
      </c>
      <c r="L47" s="55">
        <f t="shared" si="22"/>
        <v>5017.6000000000004</v>
      </c>
      <c r="M47" s="55">
        <f t="shared" si="23"/>
        <v>10662.400000000001</v>
      </c>
      <c r="N47">
        <v>12</v>
      </c>
      <c r="O47" s="55">
        <f t="shared" si="24"/>
        <v>60211.200000000004</v>
      </c>
      <c r="P47" s="55">
        <f t="shared" si="25"/>
        <v>76769.279999999999</v>
      </c>
      <c r="Q47" s="58">
        <f t="shared" si="26"/>
        <v>201.60716800000003</v>
      </c>
      <c r="R47" s="58">
        <f t="shared" si="27"/>
        <v>149.62483200000003</v>
      </c>
      <c r="S47" s="58">
        <f t="shared" si="28"/>
        <v>226.20324249600006</v>
      </c>
      <c r="T47" s="58">
        <f t="shared" si="29"/>
        <v>428.41523200000006</v>
      </c>
      <c r="U47" s="58">
        <f t="shared" si="30"/>
        <v>317.95276800000005</v>
      </c>
      <c r="V47" s="58">
        <f t="shared" si="31"/>
        <v>1522.5907200000004</v>
      </c>
      <c r="W47" s="58">
        <f t="shared" si="32"/>
        <v>403.21433600000006</v>
      </c>
      <c r="X47" s="58">
        <f t="shared" si="33"/>
        <v>299.24966400000005</v>
      </c>
      <c r="Y47" s="58">
        <f t="shared" si="34"/>
        <v>1144.3222855680001</v>
      </c>
      <c r="Z47" s="58">
        <f t="shared" si="35"/>
        <v>856.83046400000012</v>
      </c>
      <c r="AA47" s="58">
        <f t="shared" si="36"/>
        <v>635.9055360000001</v>
      </c>
      <c r="AB47" s="58">
        <f t="shared" si="37"/>
        <v>7702.5177600000006</v>
      </c>
      <c r="AC47" s="58">
        <f t="shared" si="38"/>
        <v>1065.637888</v>
      </c>
      <c r="AD47" s="58">
        <f t="shared" si="39"/>
        <v>790.87411200000008</v>
      </c>
      <c r="AE47" s="58">
        <f t="shared" si="40"/>
        <v>7525.5347650559997</v>
      </c>
      <c r="AF47" s="58">
        <f t="shared" si="41"/>
        <v>2264.4805120000001</v>
      </c>
      <c r="AG47" s="58">
        <f t="shared" si="42"/>
        <v>1680.6074880000003</v>
      </c>
      <c r="AH47" s="58">
        <f t="shared" si="43"/>
        <v>50654.929920000002</v>
      </c>
      <c r="AJ47" s="58">
        <f t="shared" si="44"/>
        <v>68.776098693120005</v>
      </c>
    </row>
    <row r="48" spans="7:36" ht="15" customHeight="1" thickBot="1" x14ac:dyDescent="0.35">
      <c r="J48" s="52">
        <v>2015</v>
      </c>
      <c r="K48" s="53">
        <v>19481</v>
      </c>
      <c r="L48" s="55">
        <f t="shared" si="22"/>
        <v>6233.92</v>
      </c>
      <c r="M48" s="55">
        <f t="shared" si="23"/>
        <v>13247.080000000002</v>
      </c>
      <c r="N48">
        <v>12</v>
      </c>
      <c r="O48" s="55">
        <f t="shared" si="24"/>
        <v>74807.040000000008</v>
      </c>
      <c r="P48" s="55">
        <f t="shared" si="25"/>
        <v>95378.97600000001</v>
      </c>
      <c r="Q48" s="58">
        <f t="shared" si="26"/>
        <v>250.47890559999999</v>
      </c>
      <c r="R48" s="58">
        <f t="shared" si="27"/>
        <v>185.89549440000002</v>
      </c>
      <c r="S48" s="58">
        <f t="shared" si="28"/>
        <v>281.0373320832</v>
      </c>
      <c r="T48" s="58">
        <f t="shared" si="29"/>
        <v>532.26767440000015</v>
      </c>
      <c r="U48" s="58">
        <f t="shared" si="30"/>
        <v>395.02792560000012</v>
      </c>
      <c r="V48" s="58">
        <f t="shared" si="31"/>
        <v>1891.6830240000006</v>
      </c>
      <c r="W48" s="58">
        <f t="shared" si="32"/>
        <v>500.95781119999998</v>
      </c>
      <c r="X48" s="58">
        <f t="shared" si="33"/>
        <v>371.79098880000004</v>
      </c>
      <c r="Y48" s="58">
        <f t="shared" si="34"/>
        <v>1421.7182681856</v>
      </c>
      <c r="Z48" s="58">
        <f t="shared" si="35"/>
        <v>1064.5353488000003</v>
      </c>
      <c r="AA48" s="58">
        <f t="shared" si="36"/>
        <v>790.05585120000023</v>
      </c>
      <c r="AB48" s="58">
        <f t="shared" si="37"/>
        <v>9569.6905920000008</v>
      </c>
      <c r="AC48" s="58">
        <f t="shared" si="38"/>
        <v>1323.9599295999999</v>
      </c>
      <c r="AD48" s="58">
        <f t="shared" si="39"/>
        <v>982.59047039999996</v>
      </c>
      <c r="AE48" s="58">
        <f t="shared" si="40"/>
        <v>9349.8050228352004</v>
      </c>
      <c r="AF48" s="58">
        <f t="shared" si="41"/>
        <v>2813.4148504</v>
      </c>
      <c r="AG48" s="58">
        <f t="shared" si="42"/>
        <v>2088.0047496000002</v>
      </c>
      <c r="AH48" s="58">
        <f t="shared" si="43"/>
        <v>62934.227663999991</v>
      </c>
      <c r="AJ48" s="58">
        <f t="shared" si="44"/>
        <v>85.448161903103994</v>
      </c>
    </row>
    <row r="49" spans="10:36" ht="15" customHeight="1" thickBot="1" x14ac:dyDescent="0.35">
      <c r="J49" s="52">
        <v>2016</v>
      </c>
      <c r="K49" s="53">
        <v>23666</v>
      </c>
      <c r="L49" s="55">
        <f t="shared" si="22"/>
        <v>7573.12</v>
      </c>
      <c r="M49" s="55">
        <f t="shared" si="23"/>
        <v>16092.880000000001</v>
      </c>
      <c r="N49">
        <v>12</v>
      </c>
      <c r="O49" s="55">
        <f t="shared" si="24"/>
        <v>90877.440000000002</v>
      </c>
      <c r="P49" s="55">
        <f t="shared" si="25"/>
        <v>115868.73599999999</v>
      </c>
      <c r="Q49" s="58">
        <f t="shared" si="26"/>
        <v>304.28796160000002</v>
      </c>
      <c r="R49" s="58">
        <f t="shared" si="27"/>
        <v>225.83043840000002</v>
      </c>
      <c r="S49" s="58">
        <f t="shared" si="28"/>
        <v>341.41109291520007</v>
      </c>
      <c r="T49" s="58">
        <f t="shared" si="29"/>
        <v>646.61191840000015</v>
      </c>
      <c r="U49" s="58">
        <f t="shared" si="30"/>
        <v>479.88968160000013</v>
      </c>
      <c r="V49" s="58">
        <f t="shared" si="31"/>
        <v>2298.0632640000008</v>
      </c>
      <c r="W49" s="58">
        <f t="shared" si="32"/>
        <v>608.57592320000003</v>
      </c>
      <c r="X49" s="58">
        <f t="shared" si="33"/>
        <v>451.66087680000004</v>
      </c>
      <c r="Y49" s="58">
        <f t="shared" si="34"/>
        <v>1727.1384700416002</v>
      </c>
      <c r="Z49" s="58">
        <f t="shared" si="35"/>
        <v>1293.2238368000003</v>
      </c>
      <c r="AA49" s="58">
        <f t="shared" si="36"/>
        <v>959.77936320000026</v>
      </c>
      <c r="AB49" s="58">
        <f t="shared" si="37"/>
        <v>11625.496512000002</v>
      </c>
      <c r="AC49" s="58">
        <f t="shared" si="38"/>
        <v>1608.3792255999999</v>
      </c>
      <c r="AD49" s="58">
        <f t="shared" si="39"/>
        <v>1193.6751744000001</v>
      </c>
      <c r="AE49" s="58">
        <f t="shared" si="40"/>
        <v>11358.374091187199</v>
      </c>
      <c r="AF49" s="58">
        <f t="shared" si="41"/>
        <v>3417.8058543999996</v>
      </c>
      <c r="AG49" s="58">
        <f t="shared" si="42"/>
        <v>2536.5597456</v>
      </c>
      <c r="AH49" s="58">
        <f t="shared" si="43"/>
        <v>76454.054303999976</v>
      </c>
      <c r="AJ49" s="58">
        <f t="shared" si="44"/>
        <v>103.80453773414398</v>
      </c>
    </row>
    <row r="50" spans="10:36" ht="15" customHeight="1" thickBot="1" x14ac:dyDescent="0.35">
      <c r="J50" s="52">
        <v>2017</v>
      </c>
      <c r="K50" s="53">
        <v>29493</v>
      </c>
      <c r="L50" s="55">
        <f t="shared" si="22"/>
        <v>9437.76</v>
      </c>
      <c r="M50" s="55">
        <f t="shared" si="23"/>
        <v>20055.240000000002</v>
      </c>
      <c r="N50">
        <v>12</v>
      </c>
      <c r="O50" s="55">
        <f t="shared" si="24"/>
        <v>113253.12</v>
      </c>
      <c r="P50" s="55">
        <f t="shared" si="25"/>
        <v>144397.728</v>
      </c>
      <c r="Q50" s="58">
        <f t="shared" si="26"/>
        <v>379.20919680000003</v>
      </c>
      <c r="R50" s="58">
        <f t="shared" si="27"/>
        <v>281.43400320000001</v>
      </c>
      <c r="S50" s="58">
        <f t="shared" si="28"/>
        <v>425.47271880960005</v>
      </c>
      <c r="T50" s="58">
        <f t="shared" si="29"/>
        <v>805.81954320000011</v>
      </c>
      <c r="U50" s="58">
        <f t="shared" si="30"/>
        <v>598.04725680000013</v>
      </c>
      <c r="V50" s="58">
        <f t="shared" si="31"/>
        <v>2863.8882720000006</v>
      </c>
      <c r="W50" s="58">
        <f t="shared" si="32"/>
        <v>758.41839360000006</v>
      </c>
      <c r="X50" s="58">
        <f t="shared" si="33"/>
        <v>562.86800640000001</v>
      </c>
      <c r="Y50" s="58">
        <f t="shared" si="34"/>
        <v>2152.3914010368003</v>
      </c>
      <c r="Z50" s="58">
        <f t="shared" si="35"/>
        <v>1611.6390864000002</v>
      </c>
      <c r="AA50" s="58">
        <f t="shared" si="36"/>
        <v>1196.0945136000003</v>
      </c>
      <c r="AB50" s="58">
        <f t="shared" si="37"/>
        <v>14487.905376000001</v>
      </c>
      <c r="AC50" s="58">
        <f t="shared" si="38"/>
        <v>2004.3914687999998</v>
      </c>
      <c r="AD50" s="58">
        <f t="shared" si="39"/>
        <v>1487.5797312</v>
      </c>
      <c r="AE50" s="58">
        <f t="shared" si="40"/>
        <v>14155.012552665599</v>
      </c>
      <c r="AF50" s="58">
        <f t="shared" si="41"/>
        <v>4259.3318712</v>
      </c>
      <c r="AG50" s="58">
        <f t="shared" si="42"/>
        <v>3161.1069288000003</v>
      </c>
      <c r="AH50" s="58">
        <f t="shared" si="43"/>
        <v>95278.434191999986</v>
      </c>
      <c r="AJ50" s="58">
        <f t="shared" si="44"/>
        <v>129.363104512512</v>
      </c>
    </row>
    <row r="51" spans="10:36" ht="15" customHeight="1" thickBot="1" x14ac:dyDescent="0.35">
      <c r="J51" s="52">
        <v>2018</v>
      </c>
      <c r="K51" s="53">
        <v>34152</v>
      </c>
      <c r="L51" s="55">
        <f t="shared" si="22"/>
        <v>10928.64</v>
      </c>
      <c r="M51" s="55">
        <f t="shared" si="23"/>
        <v>23223.360000000001</v>
      </c>
      <c r="N51">
        <v>12</v>
      </c>
      <c r="O51" s="55">
        <f t="shared" si="24"/>
        <v>131143.67999999999</v>
      </c>
      <c r="P51" s="55">
        <f t="shared" si="25"/>
        <v>167208.19199999998</v>
      </c>
      <c r="Q51" s="58">
        <f t="shared" si="26"/>
        <v>439.11275519999998</v>
      </c>
      <c r="R51" s="58">
        <f t="shared" si="27"/>
        <v>325.89204480000001</v>
      </c>
      <c r="S51" s="58">
        <f t="shared" si="28"/>
        <v>492.68451133440004</v>
      </c>
      <c r="T51" s="58">
        <f t="shared" si="29"/>
        <v>933.11460480000005</v>
      </c>
      <c r="U51" s="58">
        <f t="shared" si="30"/>
        <v>692.5205952</v>
      </c>
      <c r="V51" s="58">
        <f t="shared" si="31"/>
        <v>3316.2958080000003</v>
      </c>
      <c r="W51" s="58">
        <f t="shared" si="32"/>
        <v>878.22551039999996</v>
      </c>
      <c r="X51" s="58">
        <f t="shared" si="33"/>
        <v>651.78408960000002</v>
      </c>
      <c r="Y51" s="58">
        <f t="shared" si="34"/>
        <v>2492.4039985151999</v>
      </c>
      <c r="Z51" s="58">
        <f t="shared" si="35"/>
        <v>1866.2292096000001</v>
      </c>
      <c r="AA51" s="58">
        <f t="shared" si="36"/>
        <v>1385.0411904</v>
      </c>
      <c r="AB51" s="58">
        <f t="shared" si="37"/>
        <v>16776.555263999999</v>
      </c>
      <c r="AC51" s="58">
        <f t="shared" si="38"/>
        <v>2321.0245631999996</v>
      </c>
      <c r="AD51" s="58">
        <f t="shared" si="39"/>
        <v>1722.5722367999999</v>
      </c>
      <c r="AE51" s="58">
        <f t="shared" si="40"/>
        <v>16391.075465318398</v>
      </c>
      <c r="AF51" s="58">
        <f t="shared" si="41"/>
        <v>4932.1771968000003</v>
      </c>
      <c r="AG51" s="58">
        <f t="shared" si="42"/>
        <v>3660.4660032000002</v>
      </c>
      <c r="AH51" s="58">
        <f t="shared" si="43"/>
        <v>110329.53868799999</v>
      </c>
      <c r="AJ51" s="58">
        <f t="shared" si="44"/>
        <v>149.79855373516799</v>
      </c>
    </row>
    <row r="52" spans="10:36" ht="15" customHeight="1" thickBot="1" x14ac:dyDescent="0.35">
      <c r="J52" s="52">
        <v>2019</v>
      </c>
      <c r="K52" s="53">
        <v>40675</v>
      </c>
      <c r="L52" s="55">
        <f t="shared" si="22"/>
        <v>13016</v>
      </c>
      <c r="M52" s="55">
        <f t="shared" si="23"/>
        <v>27659.000000000004</v>
      </c>
      <c r="N52">
        <v>12</v>
      </c>
      <c r="O52" s="55">
        <f t="shared" si="24"/>
        <v>156192</v>
      </c>
      <c r="P52" s="55">
        <f t="shared" si="25"/>
        <v>199144.80000000002</v>
      </c>
      <c r="Q52" s="58">
        <f t="shared" si="26"/>
        <v>522.98288000000002</v>
      </c>
      <c r="R52" s="58">
        <f t="shared" si="27"/>
        <v>388.13712000000004</v>
      </c>
      <c r="S52" s="58">
        <f t="shared" si="28"/>
        <v>586.78679136000005</v>
      </c>
      <c r="T52" s="58">
        <f t="shared" si="29"/>
        <v>1111.3386200000002</v>
      </c>
      <c r="U52" s="58">
        <f t="shared" si="30"/>
        <v>824.79138000000012</v>
      </c>
      <c r="V52" s="58">
        <f t="shared" si="31"/>
        <v>3949.7052000000008</v>
      </c>
      <c r="W52" s="58">
        <f t="shared" si="32"/>
        <v>1045.96576</v>
      </c>
      <c r="X52" s="58">
        <f t="shared" si="33"/>
        <v>776.27424000000008</v>
      </c>
      <c r="Y52" s="58">
        <f t="shared" si="34"/>
        <v>2968.45082688</v>
      </c>
      <c r="Z52" s="58">
        <f t="shared" si="35"/>
        <v>2222.6772400000004</v>
      </c>
      <c r="AA52" s="58">
        <f t="shared" si="36"/>
        <v>1649.5827600000002</v>
      </c>
      <c r="AB52" s="58">
        <f t="shared" si="37"/>
        <v>19980.8616</v>
      </c>
      <c r="AC52" s="58">
        <f t="shared" si="38"/>
        <v>2764.33808</v>
      </c>
      <c r="AD52" s="58">
        <f t="shared" si="39"/>
        <v>2051.5819200000001</v>
      </c>
      <c r="AE52" s="58">
        <f t="shared" si="40"/>
        <v>19521.75552096</v>
      </c>
      <c r="AF52" s="58">
        <f t="shared" si="41"/>
        <v>5874.2184200000002</v>
      </c>
      <c r="AG52" s="58">
        <f t="shared" si="42"/>
        <v>4359.6115800000007</v>
      </c>
      <c r="AH52" s="58">
        <f t="shared" si="43"/>
        <v>131402.37720000002</v>
      </c>
      <c r="AJ52" s="58">
        <f t="shared" si="44"/>
        <v>178.40993713920003</v>
      </c>
    </row>
    <row r="53" spans="10:36" ht="15" customHeight="1" thickBot="1" x14ac:dyDescent="0.35">
      <c r="J53" s="52">
        <v>2020</v>
      </c>
      <c r="K53" s="53">
        <v>46718</v>
      </c>
      <c r="L53" s="55">
        <f t="shared" si="22"/>
        <v>14949.76</v>
      </c>
      <c r="M53" s="55">
        <f t="shared" si="23"/>
        <v>31768.240000000002</v>
      </c>
      <c r="N53">
        <v>12</v>
      </c>
      <c r="O53" s="55">
        <f t="shared" si="24"/>
        <v>179397.12</v>
      </c>
      <c r="P53" s="55">
        <f t="shared" si="25"/>
        <v>228731.32799999998</v>
      </c>
      <c r="Q53" s="58">
        <f t="shared" si="26"/>
        <v>600.6813568</v>
      </c>
      <c r="R53" s="58">
        <f t="shared" si="27"/>
        <v>445.80184320000006</v>
      </c>
      <c r="S53" s="58">
        <f t="shared" si="28"/>
        <v>673.96448232960006</v>
      </c>
      <c r="T53" s="58">
        <f t="shared" si="29"/>
        <v>1276.4478832000002</v>
      </c>
      <c r="U53" s="58">
        <f t="shared" si="30"/>
        <v>947.32891680000023</v>
      </c>
      <c r="V53" s="58">
        <f t="shared" si="31"/>
        <v>4536.5046720000009</v>
      </c>
      <c r="W53" s="58">
        <f t="shared" si="32"/>
        <v>1201.3627136</v>
      </c>
      <c r="X53" s="58">
        <f t="shared" si="33"/>
        <v>891.60368640000013</v>
      </c>
      <c r="Y53" s="58">
        <f t="shared" si="34"/>
        <v>3409.4673811968</v>
      </c>
      <c r="Z53" s="58">
        <f t="shared" si="35"/>
        <v>2552.8957664000004</v>
      </c>
      <c r="AA53" s="58">
        <f t="shared" si="36"/>
        <v>1894.6578336000005</v>
      </c>
      <c r="AB53" s="58">
        <f t="shared" si="37"/>
        <v>22949.376576000002</v>
      </c>
      <c r="AC53" s="58">
        <f t="shared" si="38"/>
        <v>3175.0300287999999</v>
      </c>
      <c r="AD53" s="58">
        <f t="shared" si="39"/>
        <v>2356.3811712000002</v>
      </c>
      <c r="AE53" s="58">
        <f t="shared" si="40"/>
        <v>22422.062063385602</v>
      </c>
      <c r="AF53" s="58">
        <f t="shared" si="41"/>
        <v>6746.9388112000006</v>
      </c>
      <c r="AG53" s="58">
        <f t="shared" si="42"/>
        <v>5007.3099888000006</v>
      </c>
      <c r="AH53" s="58">
        <f t="shared" si="43"/>
        <v>150924.554592</v>
      </c>
      <c r="AJ53" s="58">
        <f t="shared" si="44"/>
        <v>204.915929766912</v>
      </c>
    </row>
    <row r="54" spans="10:36" ht="15" customHeight="1" thickBot="1" x14ac:dyDescent="0.35">
      <c r="J54" s="52">
        <v>2021</v>
      </c>
      <c r="K54" s="53">
        <v>52256</v>
      </c>
      <c r="L54" s="55">
        <f t="shared" si="22"/>
        <v>16721.920000000002</v>
      </c>
      <c r="M54" s="55">
        <f t="shared" si="23"/>
        <v>35534.080000000002</v>
      </c>
      <c r="N54">
        <v>12</v>
      </c>
      <c r="O54" s="55">
        <f t="shared" si="24"/>
        <v>200663.04000000004</v>
      </c>
      <c r="P54" s="55">
        <f t="shared" si="25"/>
        <v>255845.37599999999</v>
      </c>
      <c r="Q54" s="58">
        <f t="shared" si="26"/>
        <v>671.88674560000004</v>
      </c>
      <c r="R54" s="58">
        <f t="shared" si="27"/>
        <v>498.64765440000008</v>
      </c>
      <c r="S54" s="58">
        <f t="shared" si="28"/>
        <v>753.85692856320009</v>
      </c>
      <c r="T54" s="58">
        <f t="shared" si="29"/>
        <v>1427.7593344000002</v>
      </c>
      <c r="U54" s="58">
        <f t="shared" si="30"/>
        <v>1059.6262656000001</v>
      </c>
      <c r="V54" s="58">
        <f t="shared" si="31"/>
        <v>5074.2666240000008</v>
      </c>
      <c r="W54" s="58">
        <f t="shared" si="32"/>
        <v>1343.7734912000001</v>
      </c>
      <c r="X54" s="58">
        <f t="shared" si="33"/>
        <v>997.29530880000016</v>
      </c>
      <c r="Y54" s="58">
        <f t="shared" si="34"/>
        <v>3813.6291680256004</v>
      </c>
      <c r="Z54" s="58">
        <f t="shared" si="35"/>
        <v>2855.5186688000003</v>
      </c>
      <c r="AA54" s="58">
        <f t="shared" si="36"/>
        <v>2119.2525312000002</v>
      </c>
      <c r="AB54" s="58">
        <f t="shared" si="37"/>
        <v>25669.819392000001</v>
      </c>
      <c r="AC54" s="58">
        <f t="shared" si="38"/>
        <v>3551.4013696000002</v>
      </c>
      <c r="AD54" s="58">
        <f t="shared" si="39"/>
        <v>2635.7090304000003</v>
      </c>
      <c r="AE54" s="58">
        <f t="shared" si="40"/>
        <v>25079.996472115203</v>
      </c>
      <c r="AF54" s="58">
        <f t="shared" si="41"/>
        <v>7546.727910399999</v>
      </c>
      <c r="AG54" s="58">
        <f t="shared" si="42"/>
        <v>5600.8816895999998</v>
      </c>
      <c r="AH54" s="58">
        <f t="shared" si="43"/>
        <v>168815.30726399997</v>
      </c>
      <c r="AJ54" s="58">
        <f t="shared" si="44"/>
        <v>229.20687584870396</v>
      </c>
    </row>
    <row r="55" spans="10:36" ht="15" customHeight="1" thickBot="1" x14ac:dyDescent="0.35">
      <c r="J55" s="52">
        <v>2022</v>
      </c>
      <c r="K55" s="55">
        <f>FORECAST(J55,K42:K54,J42:J54)</f>
        <v>52807.692307693884</v>
      </c>
      <c r="L55" s="55">
        <f t="shared" si="22"/>
        <v>16898.461538462045</v>
      </c>
      <c r="M55" s="55">
        <f t="shared" si="23"/>
        <v>35909.230769231843</v>
      </c>
      <c r="N55">
        <v>13</v>
      </c>
      <c r="O55" s="55">
        <f t="shared" si="24"/>
        <v>219680.00000000658</v>
      </c>
      <c r="P55" s="55">
        <f t="shared" si="25"/>
        <v>280092.00000000838</v>
      </c>
      <c r="Q55" s="58">
        <f t="shared" si="26"/>
        <v>678.98018461540494</v>
      </c>
      <c r="R55" s="58">
        <f t="shared" si="27"/>
        <v>503.91212307693814</v>
      </c>
      <c r="S55" s="58">
        <f t="shared" si="28"/>
        <v>761.81576713848438</v>
      </c>
      <c r="T55" s="58">
        <f t="shared" si="29"/>
        <v>1442.8328923077354</v>
      </c>
      <c r="U55" s="58">
        <f t="shared" si="30"/>
        <v>1070.8132615384936</v>
      </c>
      <c r="V55" s="58">
        <f t="shared" si="31"/>
        <v>5127.8381538463073</v>
      </c>
      <c r="W55" s="58">
        <f t="shared" si="32"/>
        <v>1357.9603692308099</v>
      </c>
      <c r="X55" s="58">
        <f t="shared" si="33"/>
        <v>1007.8242461538763</v>
      </c>
      <c r="Y55" s="58">
        <f t="shared" si="34"/>
        <v>3853.8915278770387</v>
      </c>
      <c r="Z55" s="58">
        <f t="shared" si="35"/>
        <v>2885.6657846154708</v>
      </c>
      <c r="AA55" s="58">
        <f t="shared" si="36"/>
        <v>2141.6265230769873</v>
      </c>
      <c r="AB55" s="58">
        <f t="shared" si="37"/>
        <v>25940.828307693078</v>
      </c>
      <c r="AC55" s="58">
        <f t="shared" si="38"/>
        <v>3588.8952615385688</v>
      </c>
      <c r="AD55" s="58">
        <f t="shared" si="39"/>
        <v>2663.5355076923875</v>
      </c>
      <c r="AE55" s="58">
        <f t="shared" si="40"/>
        <v>25344.778336985375</v>
      </c>
      <c r="AF55" s="58">
        <f t="shared" si="41"/>
        <v>7626.4024307694581</v>
      </c>
      <c r="AG55" s="58">
        <f t="shared" si="42"/>
        <v>5660.0129538463234</v>
      </c>
      <c r="AH55" s="58">
        <f t="shared" si="43"/>
        <v>170597.57353846662</v>
      </c>
      <c r="AJ55" s="58">
        <f t="shared" si="44"/>
        <v>231.6267256320069</v>
      </c>
    </row>
    <row r="56" spans="10:36" ht="15" customHeight="1" thickBot="1" x14ac:dyDescent="0.35">
      <c r="J56" s="52">
        <v>2023</v>
      </c>
      <c r="K56" s="55">
        <f t="shared" ref="K56:K58" si="45">FORECAST(J56,K43:K55,J43:J55)</f>
        <v>58137.366863906384</v>
      </c>
      <c r="L56" s="55">
        <f t="shared" si="22"/>
        <v>18603.957396450041</v>
      </c>
      <c r="M56" s="55">
        <f t="shared" si="23"/>
        <v>39533.409467456346</v>
      </c>
      <c r="N56">
        <v>14</v>
      </c>
      <c r="O56" s="55">
        <f t="shared" si="24"/>
        <v>260455.40355030057</v>
      </c>
      <c r="P56" s="55">
        <f t="shared" si="25"/>
        <v>332080.63952663331</v>
      </c>
      <c r="Q56" s="58">
        <f t="shared" si="26"/>
        <v>747.50700818936275</v>
      </c>
      <c r="R56" s="58">
        <f t="shared" si="27"/>
        <v>554.77000956214033</v>
      </c>
      <c r="S56" s="58">
        <f t="shared" si="28"/>
        <v>838.70286318846513</v>
      </c>
      <c r="T56" s="58">
        <f t="shared" si="29"/>
        <v>1588.4523924023958</v>
      </c>
      <c r="U56" s="58">
        <f t="shared" si="30"/>
        <v>1178.8862703195482</v>
      </c>
      <c r="V56" s="58">
        <f t="shared" si="31"/>
        <v>5645.3708719527667</v>
      </c>
      <c r="W56" s="58">
        <f t="shared" si="32"/>
        <v>1495.0140163787255</v>
      </c>
      <c r="X56" s="58">
        <f t="shared" si="33"/>
        <v>1109.5400191242807</v>
      </c>
      <c r="Y56" s="58">
        <f t="shared" si="34"/>
        <v>4242.8497784828232</v>
      </c>
      <c r="Z56" s="58">
        <f t="shared" si="35"/>
        <v>3176.9047848047917</v>
      </c>
      <c r="AA56" s="58">
        <f t="shared" si="36"/>
        <v>2357.7725406390964</v>
      </c>
      <c r="AB56" s="58">
        <f t="shared" si="37"/>
        <v>28558.934999290461</v>
      </c>
      <c r="AC56" s="58">
        <f t="shared" si="38"/>
        <v>3951.1084718580596</v>
      </c>
      <c r="AD56" s="58">
        <f t="shared" si="39"/>
        <v>2932.3557648284554</v>
      </c>
      <c r="AE56" s="58">
        <f t="shared" si="40"/>
        <v>27902.728028261619</v>
      </c>
      <c r="AF56" s="58">
        <f t="shared" si="41"/>
        <v>8396.1055026983777</v>
      </c>
      <c r="AG56" s="58">
        <f t="shared" si="42"/>
        <v>6231.2560002604687</v>
      </c>
      <c r="AH56" s="58">
        <f t="shared" si="43"/>
        <v>187815.32169799157</v>
      </c>
      <c r="AJ56" s="58">
        <f t="shared" si="44"/>
        <v>255.00390823916771</v>
      </c>
    </row>
    <row r="57" spans="10:36" ht="15" customHeight="1" thickBot="1" x14ac:dyDescent="0.35">
      <c r="J57" s="52">
        <v>2024</v>
      </c>
      <c r="K57" s="55">
        <f t="shared" si="45"/>
        <v>63430.645425580442</v>
      </c>
      <c r="L57" s="55">
        <f t="shared" si="22"/>
        <v>20297.806536185741</v>
      </c>
      <c r="M57" s="55">
        <f t="shared" si="23"/>
        <v>43132.838889394705</v>
      </c>
      <c r="N57">
        <v>15</v>
      </c>
      <c r="O57" s="55">
        <f t="shared" si="24"/>
        <v>304467.09804278612</v>
      </c>
      <c r="P57" s="55">
        <f t="shared" si="25"/>
        <v>388195.55000455235</v>
      </c>
      <c r="Q57" s="58">
        <f t="shared" si="26"/>
        <v>815.56586662394307</v>
      </c>
      <c r="R57" s="58">
        <f t="shared" si="27"/>
        <v>605.28059090905879</v>
      </c>
      <c r="S57" s="58">
        <f t="shared" si="28"/>
        <v>915.06490235206422</v>
      </c>
      <c r="T57" s="58">
        <f t="shared" si="29"/>
        <v>1733.0774665758795</v>
      </c>
      <c r="U57" s="58">
        <f t="shared" si="30"/>
        <v>1286.2212556817503</v>
      </c>
      <c r="V57" s="58">
        <f t="shared" si="31"/>
        <v>6159.3693934055646</v>
      </c>
      <c r="W57" s="58">
        <f t="shared" si="32"/>
        <v>1631.1317332478861</v>
      </c>
      <c r="X57" s="58">
        <f t="shared" si="33"/>
        <v>1210.5611818181176</v>
      </c>
      <c r="Y57" s="58">
        <f t="shared" si="34"/>
        <v>4629.1518589575007</v>
      </c>
      <c r="Z57" s="58">
        <f t="shared" si="35"/>
        <v>3466.154933151759</v>
      </c>
      <c r="AA57" s="58">
        <f t="shared" si="36"/>
        <v>2572.4425113635007</v>
      </c>
      <c r="AB57" s="58">
        <f t="shared" si="37"/>
        <v>31159.162813698735</v>
      </c>
      <c r="AC57" s="58">
        <f t="shared" si="38"/>
        <v>4310.8481521551275</v>
      </c>
      <c r="AD57" s="58">
        <f t="shared" si="39"/>
        <v>3199.3402662335966</v>
      </c>
      <c r="AE57" s="58">
        <f t="shared" si="40"/>
        <v>30443.209650519511</v>
      </c>
      <c r="AF57" s="58">
        <f t="shared" si="41"/>
        <v>9160.5523233296462</v>
      </c>
      <c r="AG57" s="58">
        <f t="shared" si="42"/>
        <v>6798.5980657463933</v>
      </c>
      <c r="AH57" s="58">
        <f t="shared" si="43"/>
        <v>204915.49099573633</v>
      </c>
      <c r="AJ57" s="58">
        <f t="shared" si="44"/>
        <v>278.22144961466972</v>
      </c>
    </row>
    <row r="58" spans="10:36" ht="15" customHeight="1" thickBot="1" x14ac:dyDescent="0.35">
      <c r="J58" s="52">
        <v>2025</v>
      </c>
      <c r="K58" s="55">
        <f t="shared" si="45"/>
        <v>68645.649434542283</v>
      </c>
      <c r="L58" s="55">
        <f t="shared" si="22"/>
        <v>21966.60781905353</v>
      </c>
      <c r="M58" s="55">
        <f t="shared" si="23"/>
        <v>46679.041615488757</v>
      </c>
      <c r="N58">
        <v>16</v>
      </c>
      <c r="O58" s="55">
        <f t="shared" si="24"/>
        <v>351465.72510485648</v>
      </c>
      <c r="P58" s="55">
        <f t="shared" si="25"/>
        <v>448118.79950869206</v>
      </c>
      <c r="Q58" s="58">
        <f t="shared" si="26"/>
        <v>882.61830216957082</v>
      </c>
      <c r="R58" s="58">
        <f t="shared" si="27"/>
        <v>655.04424516417623</v>
      </c>
      <c r="S58" s="58">
        <f t="shared" si="28"/>
        <v>990.29773503425861</v>
      </c>
      <c r="T58" s="58">
        <f t="shared" si="29"/>
        <v>1875.5638921103382</v>
      </c>
      <c r="U58" s="58">
        <f t="shared" si="30"/>
        <v>1391.9690209738749</v>
      </c>
      <c r="V58" s="58">
        <f t="shared" si="31"/>
        <v>6665.7671426917941</v>
      </c>
      <c r="W58" s="58">
        <f t="shared" si="32"/>
        <v>1765.2366043391416</v>
      </c>
      <c r="X58" s="58">
        <f t="shared" si="33"/>
        <v>1310.0884903283525</v>
      </c>
      <c r="Y58" s="58">
        <f t="shared" si="34"/>
        <v>5009.7414831144843</v>
      </c>
      <c r="Z58" s="58">
        <f t="shared" si="35"/>
        <v>3751.1277842206764</v>
      </c>
      <c r="AA58" s="58">
        <f t="shared" si="36"/>
        <v>2783.9380419477498</v>
      </c>
      <c r="AB58" s="58">
        <f t="shared" si="37"/>
        <v>33720.939663029072</v>
      </c>
      <c r="AC58" s="58">
        <f t="shared" si="38"/>
        <v>4665.2681686105889</v>
      </c>
      <c r="AD58" s="58">
        <f t="shared" si="39"/>
        <v>3462.3767244392175</v>
      </c>
      <c r="AE58" s="58">
        <f t="shared" si="40"/>
        <v>32946.123806727977</v>
      </c>
      <c r="AF58" s="58">
        <f t="shared" si="41"/>
        <v>9913.6948582975019</v>
      </c>
      <c r="AG58" s="58">
        <f t="shared" si="42"/>
        <v>7357.5505394333377</v>
      </c>
      <c r="AH58" s="58">
        <f t="shared" si="43"/>
        <v>221762.79090686396</v>
      </c>
      <c r="AJ58" s="58">
        <f t="shared" si="44"/>
        <v>301.09566073746151</v>
      </c>
    </row>
  </sheetData>
  <mergeCells count="11">
    <mergeCell ref="X1:Y1"/>
    <mergeCell ref="Z1:AA1"/>
    <mergeCell ref="AF39:AG39"/>
    <mergeCell ref="Q38:V38"/>
    <mergeCell ref="W38:AB38"/>
    <mergeCell ref="AC38:AH38"/>
    <mergeCell ref="Q39:R39"/>
    <mergeCell ref="T39:U39"/>
    <mergeCell ref="W39:X39"/>
    <mergeCell ref="Z39:AA39"/>
    <mergeCell ref="AC39:AD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0151-1BB9-4865-A274-701A2BECF88F}">
  <dimension ref="A1:U15"/>
  <sheetViews>
    <sheetView showGridLines="0" workbookViewId="0">
      <selection sqref="A1:XFD1048576"/>
    </sheetView>
  </sheetViews>
  <sheetFormatPr defaultRowHeight="15" customHeight="1" x14ac:dyDescent="0.3"/>
  <cols>
    <col min="1" max="2" width="8.88671875" style="48"/>
    <col min="3" max="3" width="9.21875" style="48" bestFit="1" customWidth="1"/>
    <col min="4" max="4" width="8.88671875" style="48"/>
    <col min="5" max="5" width="10.33203125" style="48" bestFit="1" customWidth="1"/>
    <col min="6" max="6" width="13.6640625" style="48" bestFit="1" customWidth="1"/>
    <col min="7" max="7" width="8.88671875" style="48"/>
    <col min="8" max="8" width="9.21875" style="48" bestFit="1" customWidth="1"/>
    <col min="9" max="9" width="13.33203125" style="48" bestFit="1" customWidth="1"/>
    <col min="10" max="13" width="8.88671875" style="48"/>
    <col min="14" max="14" width="9.21875" style="48" bestFit="1" customWidth="1"/>
    <col min="15" max="15" width="10.33203125" style="48" bestFit="1" customWidth="1"/>
    <col min="16" max="19" width="8.88671875" style="48"/>
    <col min="20" max="20" width="11.21875" style="48" bestFit="1" customWidth="1"/>
    <col min="21" max="16384" width="8.88671875" style="48"/>
  </cols>
  <sheetData>
    <row r="1" spans="1:21" ht="14.4" x14ac:dyDescent="0.3">
      <c r="A1" s="47"/>
      <c r="B1" s="47"/>
    </row>
    <row r="2" spans="1:21" ht="15" customHeight="1" x14ac:dyDescent="0.3">
      <c r="A2" s="47"/>
      <c r="B2" s="47"/>
      <c r="C2" s="85" t="s">
        <v>48</v>
      </c>
      <c r="D2" s="85"/>
      <c r="E2" s="85"/>
      <c r="F2" s="85"/>
      <c r="G2" s="85"/>
      <c r="H2" s="85"/>
      <c r="I2" s="85"/>
      <c r="J2" s="85"/>
      <c r="K2" s="85"/>
      <c r="L2" s="85"/>
      <c r="M2" s="85"/>
      <c r="N2" s="85"/>
      <c r="O2" s="85"/>
      <c r="P2" s="85"/>
      <c r="Q2" s="85"/>
      <c r="R2" s="85"/>
      <c r="S2" s="85"/>
      <c r="T2" s="85"/>
      <c r="U2" s="85"/>
    </row>
    <row r="3" spans="1:21" ht="15" customHeight="1" x14ac:dyDescent="0.3">
      <c r="A3" s="47"/>
      <c r="B3" s="49"/>
      <c r="C3" s="85"/>
      <c r="D3" s="85"/>
      <c r="E3" s="85"/>
      <c r="F3" s="85"/>
      <c r="G3" s="85"/>
      <c r="H3" s="85"/>
      <c r="I3" s="85"/>
      <c r="J3" s="85"/>
      <c r="K3" s="85"/>
      <c r="L3" s="85"/>
      <c r="M3" s="85"/>
      <c r="N3" s="85"/>
      <c r="O3" s="85"/>
      <c r="P3" s="85"/>
      <c r="Q3" s="85"/>
      <c r="R3" s="85"/>
      <c r="S3" s="85"/>
      <c r="T3" s="85"/>
      <c r="U3" s="85"/>
    </row>
    <row r="4" spans="1:21" ht="15" customHeight="1" x14ac:dyDescent="0.3">
      <c r="A4" s="47"/>
      <c r="B4" s="50"/>
      <c r="C4" s="9"/>
      <c r="D4" s="9"/>
      <c r="E4" s="9"/>
      <c r="F4" s="9"/>
      <c r="G4" s="9"/>
      <c r="H4" s="9"/>
      <c r="I4" s="9"/>
      <c r="J4" s="9"/>
      <c r="K4" s="9"/>
      <c r="L4" s="9"/>
      <c r="M4" s="9"/>
      <c r="N4" s="9"/>
      <c r="O4" s="9"/>
      <c r="P4" s="9"/>
      <c r="Q4" s="9"/>
      <c r="R4" s="9"/>
      <c r="S4" s="9"/>
      <c r="T4" s="9"/>
      <c r="U4" s="9"/>
    </row>
    <row r="5" spans="1:21" ht="15" customHeight="1" x14ac:dyDescent="0.3">
      <c r="A5" s="47"/>
      <c r="B5" s="47"/>
      <c r="C5" s="9"/>
      <c r="D5" s="45" t="s">
        <v>29</v>
      </c>
      <c r="E5" s="45" t="s">
        <v>30</v>
      </c>
      <c r="F5" s="45" t="s">
        <v>18</v>
      </c>
      <c r="G5" s="9"/>
      <c r="H5" s="9"/>
      <c r="I5" s="45" t="s">
        <v>28</v>
      </c>
      <c r="J5" s="45" t="s">
        <v>19</v>
      </c>
      <c r="K5" s="45" t="s">
        <v>20</v>
      </c>
      <c r="L5" s="45" t="s">
        <v>40</v>
      </c>
      <c r="M5" s="9"/>
      <c r="N5" s="9"/>
      <c r="O5" s="45" t="s">
        <v>17</v>
      </c>
      <c r="P5" s="45" t="s">
        <v>22</v>
      </c>
      <c r="Q5" s="45" t="s">
        <v>24</v>
      </c>
      <c r="R5" s="45" t="s">
        <v>25</v>
      </c>
      <c r="S5" s="45" t="s">
        <v>26</v>
      </c>
      <c r="T5" s="45" t="s">
        <v>23</v>
      </c>
      <c r="U5" s="45" t="s">
        <v>27</v>
      </c>
    </row>
    <row r="6" spans="1:21" ht="15" customHeight="1" x14ac:dyDescent="0.3">
      <c r="A6" s="47"/>
      <c r="B6" s="47"/>
      <c r="C6" s="9" t="s">
        <v>31</v>
      </c>
      <c r="D6" s="15">
        <v>0.65</v>
      </c>
      <c r="E6" s="15">
        <v>0.15</v>
      </c>
      <c r="F6" s="15">
        <v>0.2</v>
      </c>
      <c r="G6" s="9"/>
      <c r="H6" s="9" t="s">
        <v>31</v>
      </c>
      <c r="I6" s="15">
        <v>0.45</v>
      </c>
      <c r="J6" s="15">
        <v>0.38</v>
      </c>
      <c r="K6" s="15">
        <v>0.13</v>
      </c>
      <c r="L6" s="15">
        <v>0.04</v>
      </c>
      <c r="M6" s="9"/>
      <c r="N6" s="9" t="s">
        <v>31</v>
      </c>
      <c r="O6" s="15">
        <v>0.15</v>
      </c>
      <c r="P6" s="15">
        <v>7.0000000000000007E-2</v>
      </c>
      <c r="Q6" s="15">
        <v>0.14000000000000001</v>
      </c>
      <c r="R6" s="15">
        <v>0.37</v>
      </c>
      <c r="S6" s="15">
        <v>0.11</v>
      </c>
      <c r="T6" s="15">
        <v>0.1</v>
      </c>
      <c r="U6" s="15">
        <v>0.06</v>
      </c>
    </row>
    <row r="7" spans="1:21" ht="15" customHeight="1" x14ac:dyDescent="0.3">
      <c r="A7" s="47"/>
      <c r="B7" s="47"/>
      <c r="C7" s="45">
        <v>2020</v>
      </c>
      <c r="D7" s="16">
        <f>'Market Estimation'!$C27*D$6</f>
        <v>56.218035714285719</v>
      </c>
      <c r="E7" s="16">
        <f>'Market Estimation'!$C27*E$6</f>
        <v>12.973392857142857</v>
      </c>
      <c r="F7" s="16">
        <f>'Market Estimation'!$C27*F$6</f>
        <v>17.297857142857143</v>
      </c>
      <c r="G7" s="9"/>
      <c r="H7" s="45">
        <v>2020</v>
      </c>
      <c r="I7" s="16">
        <f>'Market Estimation'!$C27*I$6</f>
        <v>38.920178571428572</v>
      </c>
      <c r="J7" s="16">
        <f>'Market Estimation'!$C27*J$6</f>
        <v>32.865928571428569</v>
      </c>
      <c r="K7" s="16">
        <f>'Market Estimation'!$C27*K$6</f>
        <v>11.243607142857144</v>
      </c>
      <c r="L7" s="16">
        <f>'Market Estimation'!$C27*L$6</f>
        <v>3.4595714285714285</v>
      </c>
      <c r="M7" s="9"/>
      <c r="N7" s="45">
        <v>2020</v>
      </c>
      <c r="O7" s="16">
        <f>'Market Estimation'!$C27*O$6</f>
        <v>12.973392857142857</v>
      </c>
      <c r="P7" s="16">
        <f>'Market Estimation'!$C27*P$6</f>
        <v>6.0542500000000006</v>
      </c>
      <c r="Q7" s="16">
        <f>'Market Estimation'!$C27*Q$6</f>
        <v>12.108500000000001</v>
      </c>
      <c r="R7" s="16">
        <f>'Market Estimation'!$C27*R$6</f>
        <v>32.001035714285713</v>
      </c>
      <c r="S7" s="16">
        <f>'Market Estimation'!$C27*S$6</f>
        <v>9.5138214285714291</v>
      </c>
      <c r="T7" s="16">
        <f>'Market Estimation'!$C27*T$6</f>
        <v>8.6489285714285717</v>
      </c>
      <c r="U7" s="16">
        <f>'Market Estimation'!$C27*U$6</f>
        <v>5.1893571428571423</v>
      </c>
    </row>
    <row r="8" spans="1:21" ht="15" customHeight="1" x14ac:dyDescent="0.3">
      <c r="A8" s="47"/>
      <c r="B8" s="47"/>
      <c r="C8" s="45">
        <v>2021</v>
      </c>
      <c r="D8" s="16">
        <f>'Market Estimation'!$C28*D$6</f>
        <v>60.587802579365146</v>
      </c>
      <c r="E8" s="16">
        <f>'Market Estimation'!$C28*E$6</f>
        <v>13.981800595238109</v>
      </c>
      <c r="F8" s="16">
        <f>'Market Estimation'!$C28*F$6</f>
        <v>18.642400793650815</v>
      </c>
      <c r="G8" s="9"/>
      <c r="H8" s="45">
        <v>2021</v>
      </c>
      <c r="I8" s="16">
        <f>'Market Estimation'!$C28*I$6</f>
        <v>41.945401785714331</v>
      </c>
      <c r="J8" s="16">
        <f>'Market Estimation'!$C28*J$6</f>
        <v>35.420561507936547</v>
      </c>
      <c r="K8" s="16">
        <f>'Market Estimation'!$C28*K$6</f>
        <v>12.117560515873029</v>
      </c>
      <c r="L8" s="16">
        <f>'Market Estimation'!$C28*L$6</f>
        <v>3.7284801587301626</v>
      </c>
      <c r="M8" s="9"/>
      <c r="N8" s="45">
        <v>2021</v>
      </c>
      <c r="O8" s="16">
        <f>'Market Estimation'!$C28*O$6</f>
        <v>13.981800595238109</v>
      </c>
      <c r="P8" s="16">
        <f>'Market Estimation'!$C28*P$6</f>
        <v>6.524840277777785</v>
      </c>
      <c r="Q8" s="16">
        <f>'Market Estimation'!$C28*Q$6</f>
        <v>13.04968055555557</v>
      </c>
      <c r="R8" s="16">
        <f>'Market Estimation'!$C28*R$6</f>
        <v>34.488441468254003</v>
      </c>
      <c r="S8" s="16">
        <f>'Market Estimation'!$C28*S$6</f>
        <v>10.253320436507947</v>
      </c>
      <c r="T8" s="16">
        <f>'Market Estimation'!$C28*T$6</f>
        <v>9.3212003968254074</v>
      </c>
      <c r="U8" s="16">
        <f>'Market Estimation'!$C28*U$6</f>
        <v>5.5927202380952439</v>
      </c>
    </row>
    <row r="9" spans="1:21" ht="15" customHeight="1" x14ac:dyDescent="0.3">
      <c r="A9" s="47"/>
      <c r="B9" s="47"/>
      <c r="C9" s="45">
        <v>2022</v>
      </c>
      <c r="D9" s="16">
        <f>'Market Estimation'!$C29*D$6</f>
        <v>65.284976851851852</v>
      </c>
      <c r="E9" s="16">
        <f>'Market Estimation'!$C29*E$6</f>
        <v>15.065763888888887</v>
      </c>
      <c r="F9" s="16">
        <f>'Market Estimation'!$C29*F$6</f>
        <v>20.087685185185183</v>
      </c>
      <c r="G9" s="9"/>
      <c r="H9" s="45">
        <v>2022</v>
      </c>
      <c r="I9" s="16">
        <f>'Market Estimation'!$C29*I$6</f>
        <v>45.197291666666665</v>
      </c>
      <c r="J9" s="16">
        <f>'Market Estimation'!$C29*J$6</f>
        <v>38.166601851851844</v>
      </c>
      <c r="K9" s="16">
        <f>'Market Estimation'!$C29*K$6</f>
        <v>13.05699537037037</v>
      </c>
      <c r="L9" s="16">
        <f>'Market Estimation'!$C29*L$6</f>
        <v>4.0175370370370365</v>
      </c>
      <c r="M9" s="9"/>
      <c r="N9" s="45">
        <v>2022</v>
      </c>
      <c r="O9" s="16">
        <f>'Market Estimation'!$C29*O$6</f>
        <v>15.065763888888887</v>
      </c>
      <c r="P9" s="16">
        <f>'Market Estimation'!$C29*P$6</f>
        <v>7.0306898148148145</v>
      </c>
      <c r="Q9" s="16">
        <f>'Market Estimation'!$C29*Q$6</f>
        <v>14.061379629629629</v>
      </c>
      <c r="R9" s="16">
        <f>'Market Estimation'!$C29*R$6</f>
        <v>37.16221759259259</v>
      </c>
      <c r="S9" s="16">
        <f>'Market Estimation'!$C29*S$6</f>
        <v>11.048226851851851</v>
      </c>
      <c r="T9" s="16">
        <f>'Market Estimation'!$C29*T$6</f>
        <v>10.043842592592592</v>
      </c>
      <c r="U9" s="16">
        <f>'Market Estimation'!$C29*U$6</f>
        <v>6.0263055555555542</v>
      </c>
    </row>
    <row r="10" spans="1:21" ht="15" customHeight="1" x14ac:dyDescent="0.3">
      <c r="A10" s="47"/>
      <c r="B10" s="47"/>
      <c r="C10" s="45">
        <v>2023</v>
      </c>
      <c r="D10" s="16">
        <f>'Market Estimation'!$C30*D$6</f>
        <v>69.763879519400689</v>
      </c>
      <c r="E10" s="16">
        <f>'Market Estimation'!$C30*E$6</f>
        <v>16.09935681216939</v>
      </c>
      <c r="F10" s="16">
        <f>'Market Estimation'!$C30*F$6</f>
        <v>21.46580908289252</v>
      </c>
      <c r="G10" s="9"/>
      <c r="H10" s="45">
        <v>2023</v>
      </c>
      <c r="I10" s="16">
        <f>'Market Estimation'!$C30*I$6</f>
        <v>48.298070436508169</v>
      </c>
      <c r="J10" s="16">
        <f>'Market Estimation'!$C30*J$6</f>
        <v>40.785037257495787</v>
      </c>
      <c r="K10" s="16">
        <f>'Market Estimation'!$C30*K$6</f>
        <v>13.952775903880138</v>
      </c>
      <c r="L10" s="16">
        <f>'Market Estimation'!$C30*L$6</f>
        <v>4.2931618165785039</v>
      </c>
      <c r="M10" s="9"/>
      <c r="N10" s="45">
        <v>2023</v>
      </c>
      <c r="O10" s="16">
        <f>'Market Estimation'!$C30*O$6</f>
        <v>16.09935681216939</v>
      </c>
      <c r="P10" s="16">
        <f>'Market Estimation'!$C30*P$6</f>
        <v>7.5130331790123828</v>
      </c>
      <c r="Q10" s="16">
        <f>'Market Estimation'!$C30*Q$6</f>
        <v>15.026066358024766</v>
      </c>
      <c r="R10" s="16">
        <f>'Market Estimation'!$C30*R$6</f>
        <v>39.711746803351161</v>
      </c>
      <c r="S10" s="16">
        <f>'Market Estimation'!$C30*S$6</f>
        <v>11.806194995590886</v>
      </c>
      <c r="T10" s="16">
        <f>'Market Estimation'!$C30*T$6</f>
        <v>10.73290454144626</v>
      </c>
      <c r="U10" s="16">
        <f>'Market Estimation'!$C30*U$6</f>
        <v>6.4397427248677559</v>
      </c>
    </row>
    <row r="11" spans="1:21" ht="15" customHeight="1" x14ac:dyDescent="0.3">
      <c r="A11" s="47"/>
      <c r="B11" s="47"/>
      <c r="C11" s="45">
        <v>2024</v>
      </c>
      <c r="D11" s="16">
        <f>'Market Estimation'!$C31*D$6</f>
        <v>74.38829659024104</v>
      </c>
      <c r="E11" s="16">
        <f>'Market Estimation'!$C31*E$6</f>
        <v>17.166529982363318</v>
      </c>
      <c r="F11" s="16">
        <f>'Market Estimation'!$C31*F$6</f>
        <v>22.888706643151092</v>
      </c>
      <c r="G11" s="9"/>
      <c r="H11" s="45">
        <v>2024</v>
      </c>
      <c r="I11" s="16">
        <f>'Market Estimation'!$C31*I$6</f>
        <v>51.499589947089952</v>
      </c>
      <c r="J11" s="16">
        <f>'Market Estimation'!$C31*J$6</f>
        <v>43.488542621987072</v>
      </c>
      <c r="K11" s="16">
        <f>'Market Estimation'!$C31*K$6</f>
        <v>14.87765931804821</v>
      </c>
      <c r="L11" s="16">
        <f>'Market Estimation'!$C31*L$6</f>
        <v>4.5777413286302178</v>
      </c>
      <c r="M11" s="9"/>
      <c r="N11" s="45">
        <v>2024</v>
      </c>
      <c r="O11" s="16">
        <f>'Market Estimation'!$C31*O$6</f>
        <v>17.166529982363318</v>
      </c>
      <c r="P11" s="16">
        <f>'Market Estimation'!$C31*P$6</f>
        <v>8.0110473251028829</v>
      </c>
      <c r="Q11" s="16">
        <f>'Market Estimation'!$C31*Q$6</f>
        <v>16.022094650205766</v>
      </c>
      <c r="R11" s="16">
        <f>'Market Estimation'!$C31*R$6</f>
        <v>42.344107289829516</v>
      </c>
      <c r="S11" s="16">
        <f>'Market Estimation'!$C31*S$6</f>
        <v>12.588788653733099</v>
      </c>
      <c r="T11" s="16">
        <f>'Market Estimation'!$C31*T$6</f>
        <v>11.444353321575546</v>
      </c>
      <c r="U11" s="16">
        <f>'Market Estimation'!$C31*U$6</f>
        <v>6.8666119929453266</v>
      </c>
    </row>
    <row r="12" spans="1:21" ht="15" customHeight="1" x14ac:dyDescent="0.3">
      <c r="A12" s="47"/>
      <c r="B12" s="47"/>
      <c r="C12" s="45">
        <v>2025</v>
      </c>
      <c r="D12" s="16">
        <f>'Market Estimation'!$C32*D$6</f>
        <v>78.915704058885879</v>
      </c>
      <c r="E12" s="16">
        <f>'Market Estimation'!$C32*E$6</f>
        <v>18.211316321281355</v>
      </c>
      <c r="F12" s="16">
        <f>'Market Estimation'!$C32*F$6</f>
        <v>24.28175509504181</v>
      </c>
      <c r="G12" s="9"/>
      <c r="H12" s="45">
        <v>2025</v>
      </c>
      <c r="I12" s="16">
        <f>'Market Estimation'!$C32*I$6</f>
        <v>54.63394896384407</v>
      </c>
      <c r="J12" s="16">
        <f>'Market Estimation'!$C32*J$6</f>
        <v>46.135334680579433</v>
      </c>
      <c r="K12" s="16">
        <f>'Market Estimation'!$C32*K$6</f>
        <v>15.783140811777177</v>
      </c>
      <c r="L12" s="16">
        <f>'Market Estimation'!$C32*L$6</f>
        <v>4.8563510190083621</v>
      </c>
      <c r="M12" s="9"/>
      <c r="N12" s="45">
        <v>2025</v>
      </c>
      <c r="O12" s="16">
        <f>'Market Estimation'!$C32*O$6</f>
        <v>18.211316321281355</v>
      </c>
      <c r="P12" s="16">
        <f>'Market Estimation'!$C32*P$6</f>
        <v>8.498614283264633</v>
      </c>
      <c r="Q12" s="16">
        <f>'Market Estimation'!$C32*Q$6</f>
        <v>16.997228566529266</v>
      </c>
      <c r="R12" s="16">
        <f>'Market Estimation'!$C32*R$6</f>
        <v>44.921246925827347</v>
      </c>
      <c r="S12" s="16">
        <f>'Market Estimation'!$C32*S$6</f>
        <v>13.354965302272994</v>
      </c>
      <c r="T12" s="16">
        <f>'Market Estimation'!$C32*T$6</f>
        <v>12.140877547520905</v>
      </c>
      <c r="U12" s="16">
        <f>'Market Estimation'!$C32*U$6</f>
        <v>7.2845265285125418</v>
      </c>
    </row>
    <row r="13" spans="1:21" ht="15" customHeight="1" x14ac:dyDescent="0.3">
      <c r="A13" s="47"/>
      <c r="B13" s="50"/>
      <c r="C13" s="84" t="s">
        <v>33</v>
      </c>
      <c r="D13" s="84"/>
      <c r="E13" s="84"/>
      <c r="F13" s="84"/>
      <c r="G13" s="9"/>
      <c r="H13" s="84" t="s">
        <v>34</v>
      </c>
      <c r="I13" s="84"/>
      <c r="J13" s="84"/>
      <c r="K13" s="84"/>
      <c r="L13" s="84"/>
      <c r="M13" s="9"/>
      <c r="N13" s="84" t="s">
        <v>35</v>
      </c>
      <c r="O13" s="84"/>
      <c r="P13" s="84"/>
      <c r="Q13" s="84"/>
      <c r="R13" s="84"/>
      <c r="S13" s="84"/>
      <c r="T13" s="84"/>
      <c r="U13" s="84"/>
    </row>
    <row r="14" spans="1:21" ht="15" customHeight="1" x14ac:dyDescent="0.3">
      <c r="A14" s="47"/>
      <c r="B14" s="47"/>
    </row>
    <row r="15" spans="1:21" ht="15" customHeight="1" x14ac:dyDescent="0.3">
      <c r="P15" s="62"/>
      <c r="Q15" s="62"/>
      <c r="R15" s="62"/>
    </row>
  </sheetData>
  <mergeCells count="4">
    <mergeCell ref="C13:F13"/>
    <mergeCell ref="H13:L13"/>
    <mergeCell ref="N13:U13"/>
    <mergeCell ref="C2:U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CD50-51F9-4820-A34D-EF8F29A4C303}">
  <dimension ref="A5:E7"/>
  <sheetViews>
    <sheetView workbookViewId="0">
      <selection activeCell="A9" sqref="A9"/>
    </sheetView>
  </sheetViews>
  <sheetFormatPr defaultRowHeight="14.4" x14ac:dyDescent="0.3"/>
  <sheetData>
    <row r="5" spans="1:5" x14ac:dyDescent="0.3">
      <c r="A5" t="s">
        <v>1</v>
      </c>
      <c r="C5" t="s">
        <v>45</v>
      </c>
      <c r="D5">
        <v>5419</v>
      </c>
      <c r="E5" s="44">
        <f>D5/SUM(D$5:D$7)</f>
        <v>0.47706664319042169</v>
      </c>
    </row>
    <row r="6" spans="1:5" x14ac:dyDescent="0.3">
      <c r="C6" t="s">
        <v>46</v>
      </c>
      <c r="D6">
        <v>3695</v>
      </c>
      <c r="E6" s="44">
        <f t="shared" ref="E6:E7" si="0">D6/SUM(D$5:D$7)</f>
        <v>0.32529271942952726</v>
      </c>
    </row>
    <row r="7" spans="1:5" x14ac:dyDescent="0.3">
      <c r="C7" t="s">
        <v>47</v>
      </c>
      <c r="D7">
        <v>2245</v>
      </c>
      <c r="E7" s="44">
        <f t="shared" si="0"/>
        <v>0.19764063738005105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7DD3E-500B-43C2-A5E7-304210C6DFF9}">
  <dimension ref="B1:W29"/>
  <sheetViews>
    <sheetView workbookViewId="0">
      <selection sqref="A1:XFD1048576"/>
    </sheetView>
  </sheetViews>
  <sheetFormatPr defaultRowHeight="14.4" x14ac:dyDescent="0.3"/>
  <cols>
    <col min="1" max="1" width="8.88671875" style="1"/>
    <col min="2" max="2" width="43.88671875" style="1" customWidth="1"/>
    <col min="3" max="6" width="14.21875" style="1" customWidth="1"/>
    <col min="7" max="7" width="15.6640625" style="1" bestFit="1" customWidth="1"/>
    <col min="8" max="8" width="19" style="1" bestFit="1" customWidth="1"/>
    <col min="9" max="10" width="14.21875" style="1" customWidth="1"/>
    <col min="11" max="11" width="18.6640625" style="1" bestFit="1" customWidth="1"/>
    <col min="12" max="12" width="16.6640625" style="1" bestFit="1" customWidth="1"/>
    <col min="13" max="13" width="16.33203125" style="1" customWidth="1"/>
    <col min="14" max="14" width="16.77734375" style="1" bestFit="1" customWidth="1"/>
    <col min="15" max="15" width="8.88671875" style="1"/>
    <col min="16" max="16" width="9.21875" style="1" bestFit="1" customWidth="1"/>
    <col min="17" max="17" width="15.6640625" style="1" bestFit="1" customWidth="1"/>
    <col min="18" max="18" width="11.21875" style="1" bestFit="1" customWidth="1"/>
    <col min="19" max="19" width="12.77734375" style="1" bestFit="1" customWidth="1"/>
    <col min="20" max="20" width="13.44140625" style="1" bestFit="1" customWidth="1"/>
    <col min="21" max="21" width="13.5546875" style="1" bestFit="1" customWidth="1"/>
    <col min="22" max="22" width="16.5546875" style="1" bestFit="1" customWidth="1"/>
    <col min="23" max="23" width="10.77734375" style="1" bestFit="1" customWidth="1"/>
    <col min="24" max="16384" width="8.88671875" style="1"/>
  </cols>
  <sheetData>
    <row r="1" spans="2:23" ht="15" customHeight="1" x14ac:dyDescent="0.3">
      <c r="B1" s="2" t="s">
        <v>36</v>
      </c>
    </row>
    <row r="2" spans="2:23" ht="15" customHeight="1" thickBot="1" x14ac:dyDescent="0.35"/>
    <row r="3" spans="2:23" ht="15" customHeight="1" x14ac:dyDescent="0.3">
      <c r="B3" s="3"/>
      <c r="C3" s="80" t="s">
        <v>12</v>
      </c>
      <c r="D3" s="80"/>
      <c r="E3" s="80"/>
      <c r="F3" s="80"/>
      <c r="G3" s="80"/>
      <c r="H3" s="80"/>
      <c r="I3" s="80"/>
      <c r="J3" s="80"/>
      <c r="K3" s="80"/>
      <c r="L3" s="80"/>
      <c r="M3" s="80"/>
    </row>
    <row r="4" spans="2:23" ht="15" customHeight="1" x14ac:dyDescent="0.3">
      <c r="B4" s="4" t="s">
        <v>13</v>
      </c>
      <c r="C4" s="32" t="s">
        <v>0</v>
      </c>
      <c r="D4" s="32" t="s">
        <v>1</v>
      </c>
      <c r="E4" s="32" t="s">
        <v>2</v>
      </c>
      <c r="F4" s="32" t="s">
        <v>3</v>
      </c>
      <c r="G4" s="32" t="s">
        <v>4</v>
      </c>
      <c r="H4" s="32" t="s">
        <v>5</v>
      </c>
      <c r="I4" s="32" t="s">
        <v>6</v>
      </c>
      <c r="J4" s="32" t="s">
        <v>7</v>
      </c>
      <c r="K4" s="32" t="s">
        <v>39</v>
      </c>
      <c r="L4" s="32" t="s">
        <v>8</v>
      </c>
      <c r="M4" s="32" t="s">
        <v>11</v>
      </c>
    </row>
    <row r="5" spans="2:23" ht="15" customHeight="1" thickBot="1" x14ac:dyDescent="0.35">
      <c r="B5" s="5" t="s">
        <v>37</v>
      </c>
      <c r="C5" s="37">
        <v>11333</v>
      </c>
      <c r="D5" s="37">
        <v>10412</v>
      </c>
      <c r="E5" s="37">
        <v>3749</v>
      </c>
      <c r="F5" s="37">
        <v>4390</v>
      </c>
      <c r="G5" s="37">
        <v>2870</v>
      </c>
      <c r="H5" s="37">
        <v>2266</v>
      </c>
      <c r="I5" s="37">
        <v>1897</v>
      </c>
      <c r="J5" s="37">
        <v>1460</v>
      </c>
      <c r="K5" s="38">
        <v>1611</v>
      </c>
      <c r="L5" s="37">
        <v>705</v>
      </c>
      <c r="M5" s="30">
        <f>I11</f>
        <v>31973.071428571431</v>
      </c>
    </row>
    <row r="6" spans="2:23" ht="15" customHeight="1" thickBot="1" x14ac:dyDescent="0.35">
      <c r="B6" s="5" t="s">
        <v>38</v>
      </c>
      <c r="C6" s="37">
        <v>11555</v>
      </c>
      <c r="D6" s="37">
        <v>11088</v>
      </c>
      <c r="E6" s="37">
        <v>4031</v>
      </c>
      <c r="F6" s="37">
        <v>4676</v>
      </c>
      <c r="G6" s="37">
        <v>3066</v>
      </c>
      <c r="H6" s="37">
        <v>2621</v>
      </c>
      <c r="I6" s="37">
        <v>2805</v>
      </c>
      <c r="J6" s="37">
        <v>1955</v>
      </c>
      <c r="K6" s="38">
        <v>1588.1666666666679</v>
      </c>
      <c r="L6" s="37">
        <v>861</v>
      </c>
      <c r="M6" s="30">
        <f>F11</f>
        <v>34764.845238095237</v>
      </c>
    </row>
    <row r="7" spans="2:23" ht="15" customHeight="1" thickBot="1" x14ac:dyDescent="0.35">
      <c r="B7" s="5" t="s">
        <v>16</v>
      </c>
      <c r="C7" s="11">
        <v>13979</v>
      </c>
      <c r="D7" s="11">
        <v>11359</v>
      </c>
      <c r="E7" s="11">
        <v>4681</v>
      </c>
      <c r="F7" s="11">
        <v>4416</v>
      </c>
      <c r="G7" s="11">
        <v>3183</v>
      </c>
      <c r="H7" s="11">
        <v>2924</v>
      </c>
      <c r="I7" s="11">
        <v>2797</v>
      </c>
      <c r="J7" s="11">
        <v>2512</v>
      </c>
      <c r="K7" s="12">
        <v>1657</v>
      </c>
      <c r="L7" s="11">
        <v>926</v>
      </c>
      <c r="M7" s="30">
        <f>C11</f>
        <v>38055.28571428571</v>
      </c>
    </row>
    <row r="9" spans="2:23" ht="15" customHeight="1" x14ac:dyDescent="0.3">
      <c r="B9" s="88">
        <v>2020</v>
      </c>
      <c r="C9" s="88"/>
      <c r="E9" s="88">
        <v>2019</v>
      </c>
      <c r="F9" s="88"/>
      <c r="H9" s="88">
        <v>2018</v>
      </c>
      <c r="I9" s="88"/>
    </row>
    <row r="10" spans="2:23" ht="15" customHeight="1" x14ac:dyDescent="0.3">
      <c r="B10" s="8" t="s">
        <v>9</v>
      </c>
      <c r="C10" s="29">
        <f>SUM(C7:L7)</f>
        <v>48434</v>
      </c>
      <c r="E10" s="8" t="s">
        <v>9</v>
      </c>
      <c r="F10" s="29">
        <f>SUM(C6:L6)</f>
        <v>44246.166666666672</v>
      </c>
      <c r="H10" s="8" t="s">
        <v>9</v>
      </c>
      <c r="I10" s="29">
        <f>SUM(C5:L5)</f>
        <v>40693</v>
      </c>
    </row>
    <row r="11" spans="2:23" ht="15" customHeight="1" x14ac:dyDescent="0.3">
      <c r="B11" s="8" t="s">
        <v>10</v>
      </c>
      <c r="C11" s="30">
        <f>((SUM(C7:L7)*100)/56)*44%</f>
        <v>38055.28571428571</v>
      </c>
      <c r="E11" s="8" t="s">
        <v>10</v>
      </c>
      <c r="F11" s="30">
        <f>((SUM(C6:L6)*100)/56)*44%</f>
        <v>34764.845238095237</v>
      </c>
      <c r="H11" s="8" t="s">
        <v>10</v>
      </c>
      <c r="I11" s="30">
        <f>((SUM(C5:L5)*100)/56)*44%</f>
        <v>31973.071428571431</v>
      </c>
    </row>
    <row r="12" spans="2:23" ht="15" customHeight="1" x14ac:dyDescent="0.3">
      <c r="B12" s="7" t="s">
        <v>15</v>
      </c>
      <c r="C12" s="31">
        <f>SUM(C10:C11)/1000</f>
        <v>86.489285714285714</v>
      </c>
      <c r="E12" s="7" t="s">
        <v>15</v>
      </c>
      <c r="F12" s="31">
        <f>SUM(F10:F11)/1000</f>
        <v>79.011011904761915</v>
      </c>
      <c r="H12" s="7" t="s">
        <v>15</v>
      </c>
      <c r="I12" s="31">
        <f>SUM(I10:I11)/1000</f>
        <v>72.666071428571428</v>
      </c>
    </row>
    <row r="14" spans="2:23" ht="15" customHeight="1" thickBot="1" x14ac:dyDescent="0.35"/>
    <row r="15" spans="2:23" ht="15" customHeight="1" x14ac:dyDescent="0.3">
      <c r="B15" s="89" t="s">
        <v>32</v>
      </c>
      <c r="C15" s="90"/>
      <c r="D15" s="90"/>
      <c r="E15" s="90"/>
      <c r="F15" s="90"/>
      <c r="G15" s="90"/>
      <c r="H15" s="90"/>
      <c r="I15" s="90"/>
      <c r="J15" s="90"/>
      <c r="K15" s="90"/>
      <c r="L15" s="90"/>
      <c r="M15" s="90"/>
      <c r="N15" s="90"/>
      <c r="O15" s="90"/>
      <c r="P15" s="90"/>
      <c r="Q15" s="90"/>
      <c r="R15" s="90"/>
      <c r="S15" s="90"/>
      <c r="T15" s="90"/>
      <c r="U15" s="90"/>
      <c r="V15" s="90"/>
      <c r="W15" s="91"/>
    </row>
    <row r="16" spans="2:23" ht="15" customHeight="1" thickBot="1" x14ac:dyDescent="0.35">
      <c r="B16" s="92"/>
      <c r="C16" s="93"/>
      <c r="D16" s="93"/>
      <c r="E16" s="93"/>
      <c r="F16" s="93"/>
      <c r="G16" s="93"/>
      <c r="H16" s="93"/>
      <c r="I16" s="93"/>
      <c r="J16" s="93"/>
      <c r="K16" s="93"/>
      <c r="L16" s="93"/>
      <c r="M16" s="93"/>
      <c r="N16" s="93"/>
      <c r="O16" s="93"/>
      <c r="P16" s="93"/>
      <c r="Q16" s="93"/>
      <c r="R16" s="93"/>
      <c r="S16" s="93"/>
      <c r="T16" s="93"/>
      <c r="U16" s="93"/>
      <c r="V16" s="93"/>
      <c r="W16" s="94"/>
    </row>
    <row r="17" spans="2:23" ht="15" customHeight="1" x14ac:dyDescent="0.3">
      <c r="B17" s="19"/>
      <c r="C17" s="20"/>
      <c r="D17" s="20"/>
      <c r="E17" s="20"/>
      <c r="F17" s="20"/>
      <c r="G17" s="20"/>
      <c r="H17" s="20"/>
      <c r="I17" s="20"/>
      <c r="J17" s="20"/>
      <c r="K17" s="20"/>
      <c r="L17" s="20"/>
      <c r="M17" s="20"/>
      <c r="N17" s="20"/>
      <c r="O17" s="20"/>
      <c r="P17" s="20"/>
      <c r="Q17" s="20"/>
      <c r="R17" s="20"/>
      <c r="S17" s="20"/>
      <c r="T17" s="20"/>
      <c r="U17" s="20"/>
      <c r="V17" s="20"/>
      <c r="W17" s="21"/>
    </row>
    <row r="18" spans="2:23" ht="15" customHeight="1" x14ac:dyDescent="0.3">
      <c r="B18" s="95" t="s">
        <v>14</v>
      </c>
      <c r="C18" s="81"/>
      <c r="D18" s="20"/>
      <c r="E18" s="9"/>
      <c r="F18" s="14" t="s">
        <v>29</v>
      </c>
      <c r="G18" s="14" t="s">
        <v>30</v>
      </c>
      <c r="H18" s="14" t="s">
        <v>18</v>
      </c>
      <c r="I18" s="20"/>
      <c r="J18" s="8"/>
      <c r="K18" s="14" t="s">
        <v>28</v>
      </c>
      <c r="L18" s="14" t="s">
        <v>19</v>
      </c>
      <c r="M18" s="14" t="s">
        <v>20</v>
      </c>
      <c r="N18" s="14" t="s">
        <v>21</v>
      </c>
      <c r="O18" s="20"/>
      <c r="P18" s="8"/>
      <c r="Q18" s="14" t="s">
        <v>17</v>
      </c>
      <c r="R18" s="14" t="s">
        <v>22</v>
      </c>
      <c r="S18" s="14" t="s">
        <v>24</v>
      </c>
      <c r="T18" s="14" t="s">
        <v>25</v>
      </c>
      <c r="U18" s="14" t="s">
        <v>26</v>
      </c>
      <c r="V18" s="14" t="s">
        <v>23</v>
      </c>
      <c r="W18" s="22" t="s">
        <v>27</v>
      </c>
    </row>
    <row r="19" spans="2:23" ht="15" customHeight="1" x14ac:dyDescent="0.3">
      <c r="B19" s="23">
        <v>2014</v>
      </c>
      <c r="C19" s="10">
        <v>27</v>
      </c>
      <c r="D19" s="20"/>
      <c r="E19" s="9" t="s">
        <v>31</v>
      </c>
      <c r="F19" s="15">
        <v>0.65</v>
      </c>
      <c r="G19" s="15">
        <v>0.15</v>
      </c>
      <c r="H19" s="15">
        <v>0.2</v>
      </c>
      <c r="I19" s="20"/>
      <c r="J19" s="9" t="s">
        <v>31</v>
      </c>
      <c r="K19" s="17">
        <v>0.45</v>
      </c>
      <c r="L19" s="17">
        <v>0.38</v>
      </c>
      <c r="M19" s="17">
        <v>0.13</v>
      </c>
      <c r="N19" s="17">
        <v>0.04</v>
      </c>
      <c r="O19" s="20"/>
      <c r="P19" s="9" t="s">
        <v>31</v>
      </c>
      <c r="Q19" s="17">
        <v>0.13</v>
      </c>
      <c r="R19" s="17">
        <v>7.0000000000000007E-2</v>
      </c>
      <c r="S19" s="17">
        <v>0.14000000000000001</v>
      </c>
      <c r="T19" s="17">
        <v>0.35</v>
      </c>
      <c r="U19" s="17">
        <v>0.11</v>
      </c>
      <c r="V19" s="17">
        <v>0.12</v>
      </c>
      <c r="W19" s="24">
        <v>0.08</v>
      </c>
    </row>
    <row r="20" spans="2:23" ht="15" customHeight="1" x14ac:dyDescent="0.3">
      <c r="B20" s="25">
        <v>2016</v>
      </c>
      <c r="C20" s="12">
        <v>32</v>
      </c>
      <c r="D20" s="20"/>
      <c r="E20" s="14">
        <v>2016</v>
      </c>
      <c r="F20" s="16">
        <f t="shared" ref="F20:H28" si="0">$C20*F$19</f>
        <v>20.8</v>
      </c>
      <c r="G20" s="16">
        <f t="shared" si="0"/>
        <v>4.8</v>
      </c>
      <c r="H20" s="16">
        <f t="shared" si="0"/>
        <v>6.4</v>
      </c>
      <c r="I20" s="20"/>
      <c r="J20" s="14">
        <v>2016</v>
      </c>
      <c r="K20" s="18">
        <f t="shared" ref="K20:N28" si="1">$C20*K$19</f>
        <v>14.4</v>
      </c>
      <c r="L20" s="18">
        <f t="shared" si="1"/>
        <v>12.16</v>
      </c>
      <c r="M20" s="18">
        <f t="shared" si="1"/>
        <v>4.16</v>
      </c>
      <c r="N20" s="18">
        <f t="shared" si="1"/>
        <v>1.28</v>
      </c>
      <c r="O20" s="20"/>
      <c r="P20" s="14">
        <v>2016</v>
      </c>
      <c r="Q20" s="18">
        <f t="shared" ref="Q20:W28" si="2">$C20*Q$19</f>
        <v>4.16</v>
      </c>
      <c r="R20" s="18">
        <f t="shared" si="2"/>
        <v>2.2400000000000002</v>
      </c>
      <c r="S20" s="18">
        <f t="shared" si="2"/>
        <v>4.4800000000000004</v>
      </c>
      <c r="T20" s="18">
        <f t="shared" si="2"/>
        <v>11.2</v>
      </c>
      <c r="U20" s="18">
        <f t="shared" si="2"/>
        <v>3.52</v>
      </c>
      <c r="V20" s="18">
        <f t="shared" si="2"/>
        <v>3.84</v>
      </c>
      <c r="W20" s="26">
        <f t="shared" si="2"/>
        <v>2.56</v>
      </c>
    </row>
    <row r="21" spans="2:23" ht="15" customHeight="1" x14ac:dyDescent="0.3">
      <c r="B21" s="25">
        <v>2017</v>
      </c>
      <c r="C21" s="12">
        <v>35</v>
      </c>
      <c r="D21" s="20"/>
      <c r="E21" s="14">
        <v>2017</v>
      </c>
      <c r="F21" s="16">
        <f t="shared" si="0"/>
        <v>22.75</v>
      </c>
      <c r="G21" s="16">
        <f t="shared" si="0"/>
        <v>5.25</v>
      </c>
      <c r="H21" s="16">
        <f t="shared" si="0"/>
        <v>7</v>
      </c>
      <c r="I21" s="20"/>
      <c r="J21" s="14">
        <v>2017</v>
      </c>
      <c r="K21" s="18">
        <f t="shared" si="1"/>
        <v>15.75</v>
      </c>
      <c r="L21" s="18">
        <f t="shared" si="1"/>
        <v>13.3</v>
      </c>
      <c r="M21" s="18">
        <f t="shared" si="1"/>
        <v>4.55</v>
      </c>
      <c r="N21" s="18">
        <f t="shared" si="1"/>
        <v>1.4000000000000001</v>
      </c>
      <c r="O21" s="20"/>
      <c r="P21" s="14">
        <v>2017</v>
      </c>
      <c r="Q21" s="18">
        <f t="shared" si="2"/>
        <v>4.55</v>
      </c>
      <c r="R21" s="18">
        <f t="shared" si="2"/>
        <v>2.4500000000000002</v>
      </c>
      <c r="S21" s="18">
        <f t="shared" si="2"/>
        <v>4.9000000000000004</v>
      </c>
      <c r="T21" s="18">
        <f t="shared" si="2"/>
        <v>12.25</v>
      </c>
      <c r="U21" s="18">
        <f t="shared" si="2"/>
        <v>3.85</v>
      </c>
      <c r="V21" s="18">
        <f t="shared" si="2"/>
        <v>4.2</v>
      </c>
      <c r="W21" s="26">
        <f t="shared" si="2"/>
        <v>2.8000000000000003</v>
      </c>
    </row>
    <row r="22" spans="2:23" ht="15" customHeight="1" x14ac:dyDescent="0.3">
      <c r="B22" s="23">
        <v>2018</v>
      </c>
      <c r="C22" s="10">
        <v>39</v>
      </c>
      <c r="D22" s="20"/>
      <c r="E22" s="14">
        <v>2018</v>
      </c>
      <c r="F22" s="16">
        <f t="shared" si="0"/>
        <v>25.35</v>
      </c>
      <c r="G22" s="16">
        <f t="shared" si="0"/>
        <v>5.85</v>
      </c>
      <c r="H22" s="16">
        <f t="shared" si="0"/>
        <v>7.8000000000000007</v>
      </c>
      <c r="I22" s="20"/>
      <c r="J22" s="14">
        <v>2018</v>
      </c>
      <c r="K22" s="18">
        <f t="shared" si="1"/>
        <v>17.55</v>
      </c>
      <c r="L22" s="18">
        <f t="shared" si="1"/>
        <v>14.82</v>
      </c>
      <c r="M22" s="18">
        <f t="shared" si="1"/>
        <v>5.07</v>
      </c>
      <c r="N22" s="18">
        <f t="shared" si="1"/>
        <v>1.56</v>
      </c>
      <c r="O22" s="20"/>
      <c r="P22" s="14">
        <v>2018</v>
      </c>
      <c r="Q22" s="18">
        <f t="shared" si="2"/>
        <v>5.07</v>
      </c>
      <c r="R22" s="18">
        <f t="shared" si="2"/>
        <v>2.7300000000000004</v>
      </c>
      <c r="S22" s="18">
        <f t="shared" si="2"/>
        <v>5.4600000000000009</v>
      </c>
      <c r="T22" s="18">
        <f t="shared" si="2"/>
        <v>13.649999999999999</v>
      </c>
      <c r="U22" s="18">
        <f t="shared" si="2"/>
        <v>4.29</v>
      </c>
      <c r="V22" s="18">
        <f t="shared" si="2"/>
        <v>4.68</v>
      </c>
      <c r="W22" s="26">
        <f t="shared" si="2"/>
        <v>3.12</v>
      </c>
    </row>
    <row r="23" spans="2:23" ht="15" customHeight="1" x14ac:dyDescent="0.3">
      <c r="B23" s="23">
        <v>2020</v>
      </c>
      <c r="C23" s="13">
        <f>C12</f>
        <v>86.489285714285714</v>
      </c>
      <c r="D23" s="20"/>
      <c r="E23" s="14">
        <v>2020</v>
      </c>
      <c r="F23" s="16">
        <f t="shared" si="0"/>
        <v>56.218035714285719</v>
      </c>
      <c r="G23" s="16">
        <f t="shared" si="0"/>
        <v>12.973392857142857</v>
      </c>
      <c r="H23" s="16">
        <f t="shared" si="0"/>
        <v>17.297857142857143</v>
      </c>
      <c r="I23" s="20"/>
      <c r="J23" s="14">
        <v>2020</v>
      </c>
      <c r="K23" s="18">
        <f t="shared" si="1"/>
        <v>38.920178571428572</v>
      </c>
      <c r="L23" s="18">
        <f t="shared" si="1"/>
        <v>32.865928571428569</v>
      </c>
      <c r="M23" s="18">
        <f t="shared" si="1"/>
        <v>11.243607142857144</v>
      </c>
      <c r="N23" s="18">
        <f t="shared" si="1"/>
        <v>3.4595714285714285</v>
      </c>
      <c r="O23" s="20"/>
      <c r="P23" s="14">
        <v>2020</v>
      </c>
      <c r="Q23" s="18">
        <f t="shared" si="2"/>
        <v>11.243607142857144</v>
      </c>
      <c r="R23" s="18">
        <f t="shared" si="2"/>
        <v>6.0542500000000006</v>
      </c>
      <c r="S23" s="18">
        <f t="shared" si="2"/>
        <v>12.108500000000001</v>
      </c>
      <c r="T23" s="18">
        <f t="shared" si="2"/>
        <v>30.271249999999998</v>
      </c>
      <c r="U23" s="18">
        <f t="shared" si="2"/>
        <v>9.5138214285714291</v>
      </c>
      <c r="V23" s="18">
        <f t="shared" si="2"/>
        <v>10.378714285714285</v>
      </c>
      <c r="W23" s="26">
        <f t="shared" si="2"/>
        <v>6.919142857142857</v>
      </c>
    </row>
    <row r="24" spans="2:23" ht="15" customHeight="1" x14ac:dyDescent="0.3">
      <c r="B24" s="23">
        <v>2021</v>
      </c>
      <c r="C24" s="13">
        <f>FORECAST(B24,C20:C23,B20:B23)</f>
        <v>93.474081632652087</v>
      </c>
      <c r="D24" s="20"/>
      <c r="E24" s="14">
        <v>2021</v>
      </c>
      <c r="F24" s="16">
        <f t="shared" si="0"/>
        <v>60.758153061223858</v>
      </c>
      <c r="G24" s="16">
        <f t="shared" si="0"/>
        <v>14.021112244897813</v>
      </c>
      <c r="H24" s="16">
        <f t="shared" si="0"/>
        <v>18.694816326530418</v>
      </c>
      <c r="I24" s="20"/>
      <c r="J24" s="14">
        <v>2021</v>
      </c>
      <c r="K24" s="18">
        <f t="shared" si="1"/>
        <v>42.063336734693443</v>
      </c>
      <c r="L24" s="18">
        <f t="shared" si="1"/>
        <v>35.520151020407795</v>
      </c>
      <c r="M24" s="18">
        <f t="shared" si="1"/>
        <v>12.151630612244771</v>
      </c>
      <c r="N24" s="18">
        <f t="shared" si="1"/>
        <v>3.7389632653060834</v>
      </c>
      <c r="O24" s="20"/>
      <c r="P24" s="14">
        <v>2021</v>
      </c>
      <c r="Q24" s="18">
        <f t="shared" si="2"/>
        <v>12.151630612244771</v>
      </c>
      <c r="R24" s="18">
        <f t="shared" si="2"/>
        <v>6.5431857142856469</v>
      </c>
      <c r="S24" s="18">
        <f t="shared" si="2"/>
        <v>13.086371428571294</v>
      </c>
      <c r="T24" s="18">
        <f t="shared" si="2"/>
        <v>32.715928571428229</v>
      </c>
      <c r="U24" s="18">
        <f t="shared" si="2"/>
        <v>10.28214897959173</v>
      </c>
      <c r="V24" s="18">
        <f t="shared" si="2"/>
        <v>11.216889795918251</v>
      </c>
      <c r="W24" s="26">
        <f t="shared" si="2"/>
        <v>7.4779265306121667</v>
      </c>
    </row>
    <row r="25" spans="2:23" ht="15" customHeight="1" x14ac:dyDescent="0.3">
      <c r="B25" s="23">
        <v>2022</v>
      </c>
      <c r="C25" s="13">
        <f t="shared" ref="C25:C28" si="3">FORECAST(B25,C21:C24,B21:B24)</f>
        <v>112.8220765306105</v>
      </c>
      <c r="D25" s="20"/>
      <c r="E25" s="14">
        <v>2022</v>
      </c>
      <c r="F25" s="16">
        <f t="shared" si="0"/>
        <v>73.334349744896826</v>
      </c>
      <c r="G25" s="16">
        <f t="shared" si="0"/>
        <v>16.923311479591575</v>
      </c>
      <c r="H25" s="16">
        <f t="shared" si="0"/>
        <v>22.5644153061221</v>
      </c>
      <c r="I25" s="20"/>
      <c r="J25" s="14">
        <v>2022</v>
      </c>
      <c r="K25" s="18">
        <f t="shared" si="1"/>
        <v>50.769934438774726</v>
      </c>
      <c r="L25" s="18">
        <f t="shared" si="1"/>
        <v>42.872389081631994</v>
      </c>
      <c r="M25" s="18">
        <f t="shared" si="1"/>
        <v>14.666869948979366</v>
      </c>
      <c r="N25" s="18">
        <f t="shared" si="1"/>
        <v>4.5128830612244206</v>
      </c>
      <c r="O25" s="20"/>
      <c r="P25" s="14">
        <v>2022</v>
      </c>
      <c r="Q25" s="18">
        <f t="shared" si="2"/>
        <v>14.666869948979366</v>
      </c>
      <c r="R25" s="18">
        <f t="shared" si="2"/>
        <v>7.8975453571427359</v>
      </c>
      <c r="S25" s="18">
        <f t="shared" si="2"/>
        <v>15.795090714285472</v>
      </c>
      <c r="T25" s="18">
        <f t="shared" si="2"/>
        <v>39.487726785713676</v>
      </c>
      <c r="U25" s="18">
        <f t="shared" si="2"/>
        <v>12.410428418367156</v>
      </c>
      <c r="V25" s="18">
        <f t="shared" si="2"/>
        <v>13.538649183673259</v>
      </c>
      <c r="W25" s="26">
        <f t="shared" si="2"/>
        <v>9.0257661224488412</v>
      </c>
    </row>
    <row r="26" spans="2:23" ht="15" customHeight="1" x14ac:dyDescent="0.3">
      <c r="B26" s="23">
        <v>2023</v>
      </c>
      <c r="C26" s="13">
        <f t="shared" si="3"/>
        <v>132.65752128279564</v>
      </c>
      <c r="D26" s="20"/>
      <c r="E26" s="14">
        <v>2023</v>
      </c>
      <c r="F26" s="16">
        <f t="shared" si="0"/>
        <v>86.227388833817173</v>
      </c>
      <c r="G26" s="16">
        <f t="shared" si="0"/>
        <v>19.898628192419345</v>
      </c>
      <c r="H26" s="16">
        <f t="shared" si="0"/>
        <v>26.531504256559131</v>
      </c>
      <c r="I26" s="20"/>
      <c r="J26" s="14">
        <v>2023</v>
      </c>
      <c r="K26" s="18">
        <f t="shared" si="1"/>
        <v>59.695884577258042</v>
      </c>
      <c r="L26" s="18">
        <f t="shared" si="1"/>
        <v>50.409858087462347</v>
      </c>
      <c r="M26" s="18">
        <f t="shared" si="1"/>
        <v>17.245477766763432</v>
      </c>
      <c r="N26" s="18">
        <f t="shared" si="1"/>
        <v>5.3063008513118257</v>
      </c>
      <c r="O26" s="20"/>
      <c r="P26" s="14">
        <v>2023</v>
      </c>
      <c r="Q26" s="18">
        <f t="shared" si="2"/>
        <v>17.245477766763432</v>
      </c>
      <c r="R26" s="18">
        <f t="shared" si="2"/>
        <v>9.2860264897956952</v>
      </c>
      <c r="S26" s="18">
        <f t="shared" si="2"/>
        <v>18.57205297959139</v>
      </c>
      <c r="T26" s="18">
        <f t="shared" si="2"/>
        <v>46.430132448978469</v>
      </c>
      <c r="U26" s="18">
        <f t="shared" si="2"/>
        <v>14.59232734110752</v>
      </c>
      <c r="V26" s="18">
        <f t="shared" si="2"/>
        <v>15.918902553935476</v>
      </c>
      <c r="W26" s="26">
        <f t="shared" si="2"/>
        <v>10.612601702623651</v>
      </c>
    </row>
    <row r="27" spans="2:23" ht="15" customHeight="1" x14ac:dyDescent="0.3">
      <c r="B27" s="23">
        <v>2024</v>
      </c>
      <c r="C27" s="13">
        <f t="shared" si="3"/>
        <v>145.82391669095887</v>
      </c>
      <c r="D27" s="20"/>
      <c r="E27" s="14">
        <v>2024</v>
      </c>
      <c r="F27" s="16">
        <f t="shared" si="0"/>
        <v>94.785545849123267</v>
      </c>
      <c r="G27" s="16">
        <f t="shared" si="0"/>
        <v>21.873587503643829</v>
      </c>
      <c r="H27" s="16">
        <f t="shared" si="0"/>
        <v>29.164783338191775</v>
      </c>
      <c r="I27" s="20"/>
      <c r="J27" s="14">
        <v>2024</v>
      </c>
      <c r="K27" s="18">
        <f t="shared" si="1"/>
        <v>65.620762510931499</v>
      </c>
      <c r="L27" s="18">
        <f t="shared" si="1"/>
        <v>55.413088342564372</v>
      </c>
      <c r="M27" s="18">
        <f t="shared" si="1"/>
        <v>18.957109169824655</v>
      </c>
      <c r="N27" s="18">
        <f t="shared" si="1"/>
        <v>5.8329566676383546</v>
      </c>
      <c r="O27" s="20"/>
      <c r="P27" s="14">
        <v>2024</v>
      </c>
      <c r="Q27" s="18">
        <f t="shared" si="2"/>
        <v>18.957109169824655</v>
      </c>
      <c r="R27" s="18">
        <f t="shared" si="2"/>
        <v>10.207674168367122</v>
      </c>
      <c r="S27" s="18">
        <f t="shared" si="2"/>
        <v>20.415348336734244</v>
      </c>
      <c r="T27" s="18">
        <f t="shared" si="2"/>
        <v>51.038370841835601</v>
      </c>
      <c r="U27" s="18">
        <f t="shared" si="2"/>
        <v>16.040630836005477</v>
      </c>
      <c r="V27" s="18">
        <f t="shared" si="2"/>
        <v>17.498870002915062</v>
      </c>
      <c r="W27" s="26">
        <f t="shared" si="2"/>
        <v>11.665913335276709</v>
      </c>
    </row>
    <row r="28" spans="2:23" ht="15" customHeight="1" thickBot="1" x14ac:dyDescent="0.35">
      <c r="B28" s="27">
        <v>2025</v>
      </c>
      <c r="C28" s="13">
        <f t="shared" si="3"/>
        <v>165.41563651603064</v>
      </c>
      <c r="D28" s="6"/>
      <c r="E28" s="33">
        <v>2025</v>
      </c>
      <c r="F28" s="34">
        <f t="shared" si="0"/>
        <v>107.52016373541993</v>
      </c>
      <c r="G28" s="34">
        <f t="shared" si="0"/>
        <v>24.812345477404595</v>
      </c>
      <c r="H28" s="34">
        <f t="shared" si="0"/>
        <v>33.083127303206133</v>
      </c>
      <c r="I28" s="6"/>
      <c r="J28" s="33">
        <v>2025</v>
      </c>
      <c r="K28" s="35">
        <f t="shared" si="1"/>
        <v>74.437036432213787</v>
      </c>
      <c r="L28" s="35">
        <f t="shared" si="1"/>
        <v>62.857941876091644</v>
      </c>
      <c r="M28" s="35">
        <f t="shared" si="1"/>
        <v>21.504032747083986</v>
      </c>
      <c r="N28" s="35">
        <f t="shared" si="1"/>
        <v>6.6166254606412256</v>
      </c>
      <c r="O28" s="6"/>
      <c r="P28" s="33">
        <v>2025</v>
      </c>
      <c r="Q28" s="35">
        <f t="shared" si="2"/>
        <v>21.504032747083986</v>
      </c>
      <c r="R28" s="35">
        <f t="shared" si="2"/>
        <v>11.579094556122147</v>
      </c>
      <c r="S28" s="35">
        <f t="shared" si="2"/>
        <v>23.158189112244294</v>
      </c>
      <c r="T28" s="35">
        <f t="shared" si="2"/>
        <v>57.895472780610724</v>
      </c>
      <c r="U28" s="35">
        <f t="shared" si="2"/>
        <v>18.195720016763371</v>
      </c>
      <c r="V28" s="35">
        <f t="shared" si="2"/>
        <v>19.849876381923675</v>
      </c>
      <c r="W28" s="36">
        <f t="shared" si="2"/>
        <v>13.233250921282451</v>
      </c>
    </row>
    <row r="29" spans="2:23" ht="15" customHeight="1" thickBot="1" x14ac:dyDescent="0.35">
      <c r="B29" s="28"/>
      <c r="C29" s="6"/>
      <c r="D29" s="6"/>
      <c r="E29" s="86" t="s">
        <v>33</v>
      </c>
      <c r="F29" s="86"/>
      <c r="G29" s="86"/>
      <c r="H29" s="86"/>
      <c r="I29" s="6"/>
      <c r="J29" s="86" t="s">
        <v>34</v>
      </c>
      <c r="K29" s="86"/>
      <c r="L29" s="86"/>
      <c r="M29" s="86"/>
      <c r="N29" s="86"/>
      <c r="O29" s="6"/>
      <c r="P29" s="86" t="s">
        <v>35</v>
      </c>
      <c r="Q29" s="86"/>
      <c r="R29" s="86"/>
      <c r="S29" s="86"/>
      <c r="T29" s="86"/>
      <c r="U29" s="86"/>
      <c r="V29" s="86"/>
      <c r="W29" s="87"/>
    </row>
  </sheetData>
  <mergeCells count="9">
    <mergeCell ref="E29:H29"/>
    <mergeCell ref="J29:N29"/>
    <mergeCell ref="P29:W29"/>
    <mergeCell ref="C3:M3"/>
    <mergeCell ref="B9:C9"/>
    <mergeCell ref="E9:F9"/>
    <mergeCell ref="H9:I9"/>
    <mergeCell ref="B15:W16"/>
    <mergeCell ref="B18:C1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C4D7-C845-4923-B33A-122A61E53A8E}">
  <dimension ref="B1:Z28"/>
  <sheetViews>
    <sheetView zoomScale="80" zoomScaleNormal="80" workbookViewId="0">
      <selection sqref="A1:XFD1048576"/>
    </sheetView>
  </sheetViews>
  <sheetFormatPr defaultRowHeight="14.4" x14ac:dyDescent="0.3"/>
  <cols>
    <col min="3" max="3" width="15.44140625" bestFit="1" customWidth="1"/>
    <col min="4" max="4" width="20.109375" bestFit="1" customWidth="1"/>
    <col min="5" max="5" width="25.21875" bestFit="1" customWidth="1"/>
    <col min="6" max="6" width="13.6640625" customWidth="1"/>
    <col min="7" max="7" width="17.33203125" bestFit="1" customWidth="1"/>
    <col min="26" max="26" width="18.5546875" bestFit="1" customWidth="1"/>
  </cols>
  <sheetData>
    <row r="1" spans="2:26" ht="15" thickBot="1" x14ac:dyDescent="0.35"/>
    <row r="2" spans="2:26" ht="15" customHeight="1" x14ac:dyDescent="0.3">
      <c r="B2" s="97" t="s">
        <v>78</v>
      </c>
      <c r="C2" s="97"/>
      <c r="D2" s="97"/>
      <c r="E2" s="97"/>
      <c r="G2" s="98" t="s">
        <v>74</v>
      </c>
      <c r="H2" s="99"/>
      <c r="I2" s="99"/>
      <c r="J2" s="99"/>
      <c r="K2" s="99"/>
      <c r="L2" s="99"/>
      <c r="M2" s="99" t="s">
        <v>75</v>
      </c>
      <c r="N2" s="99"/>
      <c r="O2" s="99"/>
      <c r="P2" s="99"/>
      <c r="Q2" s="99"/>
      <c r="R2" s="99"/>
      <c r="S2" s="99" t="s">
        <v>76</v>
      </c>
      <c r="T2" s="99"/>
      <c r="U2" s="99"/>
      <c r="V2" s="99"/>
      <c r="W2" s="99"/>
      <c r="X2" s="99"/>
      <c r="Y2" s="68"/>
      <c r="Z2" s="69"/>
    </row>
    <row r="3" spans="2:26" ht="15" customHeight="1" x14ac:dyDescent="0.3">
      <c r="G3" s="100" t="s">
        <v>55</v>
      </c>
      <c r="H3" s="96"/>
      <c r="I3" s="65" t="s">
        <v>57</v>
      </c>
      <c r="J3" s="96" t="s">
        <v>66</v>
      </c>
      <c r="K3" s="96"/>
      <c r="L3" s="65" t="s">
        <v>58</v>
      </c>
      <c r="M3" s="96" t="s">
        <v>55</v>
      </c>
      <c r="N3" s="96"/>
      <c r="O3" s="65" t="s">
        <v>57</v>
      </c>
      <c r="P3" s="96" t="s">
        <v>66</v>
      </c>
      <c r="Q3" s="96"/>
      <c r="R3" s="65" t="s">
        <v>58</v>
      </c>
      <c r="S3" s="96" t="s">
        <v>55</v>
      </c>
      <c r="T3" s="96"/>
      <c r="U3" s="65" t="s">
        <v>57</v>
      </c>
      <c r="V3" s="96" t="s">
        <v>66</v>
      </c>
      <c r="W3" s="96"/>
      <c r="X3" s="65" t="s">
        <v>58</v>
      </c>
      <c r="Y3" s="70"/>
      <c r="Z3" s="71" t="s">
        <v>73</v>
      </c>
    </row>
    <row r="4" spans="2:26" ht="15" customHeight="1" x14ac:dyDescent="0.3">
      <c r="B4" s="64" t="s">
        <v>41</v>
      </c>
      <c r="C4" s="64" t="s">
        <v>72</v>
      </c>
      <c r="D4" s="64" t="s">
        <v>55</v>
      </c>
      <c r="E4" s="64" t="s">
        <v>66</v>
      </c>
      <c r="G4" s="72" t="s">
        <v>64</v>
      </c>
      <c r="H4" s="65" t="s">
        <v>65</v>
      </c>
      <c r="I4" s="65"/>
      <c r="J4" s="65" t="s">
        <v>64</v>
      </c>
      <c r="K4" s="65" t="s">
        <v>65</v>
      </c>
      <c r="L4" s="65"/>
      <c r="M4" s="65" t="s">
        <v>64</v>
      </c>
      <c r="N4" s="65" t="s">
        <v>65</v>
      </c>
      <c r="O4" s="65"/>
      <c r="P4" s="65" t="s">
        <v>64</v>
      </c>
      <c r="Q4" s="65" t="s">
        <v>65</v>
      </c>
      <c r="R4" s="65"/>
      <c r="S4" s="65" t="s">
        <v>64</v>
      </c>
      <c r="T4" s="65" t="s">
        <v>65</v>
      </c>
      <c r="U4" s="65"/>
      <c r="V4" s="65" t="s">
        <v>64</v>
      </c>
      <c r="W4" s="65" t="s">
        <v>65</v>
      </c>
      <c r="X4" s="65"/>
      <c r="Y4" s="70"/>
      <c r="Z4" s="71"/>
    </row>
    <row r="5" spans="2:26" ht="15" customHeight="1" x14ac:dyDescent="0.3">
      <c r="B5" s="64">
        <v>2008</v>
      </c>
      <c r="C5" s="66">
        <v>41</v>
      </c>
      <c r="D5" s="67">
        <f>C5*32%</f>
        <v>13.120000000000001</v>
      </c>
      <c r="E5" s="67">
        <f>C5*68%</f>
        <v>27.880000000000003</v>
      </c>
      <c r="F5" s="55"/>
      <c r="G5" s="73">
        <f>$D5*35%*57.4%</f>
        <v>2.6358079999999995</v>
      </c>
      <c r="H5" s="74">
        <f>$D5*35%*42.6%</f>
        <v>1.9561919999999997</v>
      </c>
      <c r="I5" s="74">
        <f>G5*(1.4*33%)</f>
        <v>1.2177432959999996</v>
      </c>
      <c r="J5" s="74">
        <f>$E5*35%*57.4%</f>
        <v>5.6010920000000004</v>
      </c>
      <c r="K5" s="74">
        <f>$E5*35%*42.6%</f>
        <v>4.1569080000000005</v>
      </c>
      <c r="L5" s="74">
        <f>SUM(J5:K5)*(1.4*60%)</f>
        <v>8.1967200000000009</v>
      </c>
      <c r="M5" s="74">
        <f>$D5*39%*57.4%</f>
        <v>2.9370432000000002</v>
      </c>
      <c r="N5" s="74">
        <f>$D5*39%*42.6%</f>
        <v>2.1797568000000003</v>
      </c>
      <c r="O5" s="74">
        <f>M5*(7*33%)</f>
        <v>6.784569792000001</v>
      </c>
      <c r="P5" s="74">
        <f>$E5*39%*57.4%</f>
        <v>6.2412168000000001</v>
      </c>
      <c r="Q5" s="74">
        <f>$E5*39%*42.6%</f>
        <v>4.6319832000000005</v>
      </c>
      <c r="R5" s="74">
        <f>SUM(P5:Q5)*(7*60%)</f>
        <v>45.667440000000006</v>
      </c>
      <c r="S5" s="74">
        <f>$D5*26%*57.4%</f>
        <v>1.9580288000000001</v>
      </c>
      <c r="T5" s="74">
        <f>$D5*26%*42.6%</f>
        <v>1.4531712000000001</v>
      </c>
      <c r="U5" s="74">
        <f>S5*(11.5*33%)</f>
        <v>7.4307192960000013</v>
      </c>
      <c r="V5" s="74">
        <f>$E5*26%*57.4%</f>
        <v>4.1608112000000004</v>
      </c>
      <c r="W5" s="74">
        <f>$E5*26%*42.6%</f>
        <v>3.0879888000000002</v>
      </c>
      <c r="X5" s="74">
        <f>SUM(V5:W5)*(11.5*60%)</f>
        <v>50.016720000000007</v>
      </c>
      <c r="Y5" s="75"/>
      <c r="Z5" s="76">
        <f>SUM(I5,L5,O5,R5,U5,X5)/1000</f>
        <v>0.11931391238400002</v>
      </c>
    </row>
    <row r="6" spans="2:26" ht="15" customHeight="1" x14ac:dyDescent="0.3">
      <c r="B6" s="64">
        <v>2009</v>
      </c>
      <c r="C6" s="66">
        <v>1139</v>
      </c>
      <c r="D6" s="67">
        <f t="shared" ref="D6:D22" si="0">C6*32%</f>
        <v>364.48</v>
      </c>
      <c r="E6" s="67">
        <f t="shared" ref="E6:E22" si="1">C6*68%</f>
        <v>774.5200000000001</v>
      </c>
      <c r="F6" s="55"/>
      <c r="G6" s="73">
        <f t="shared" ref="G6:G22" si="2">$D6*35%*57.4%</f>
        <v>73.224031999999994</v>
      </c>
      <c r="H6" s="74">
        <f t="shared" ref="H6:H22" si="3">$D6*35%*42.6%</f>
        <v>54.343967999999997</v>
      </c>
      <c r="I6" s="74">
        <f t="shared" ref="I6:I22" si="4">G6*(1.4*33%)</f>
        <v>33.829502783999992</v>
      </c>
      <c r="J6" s="74">
        <f t="shared" ref="J6:J22" si="5">$E6*35%*57.4%</f>
        <v>155.601068</v>
      </c>
      <c r="K6" s="74">
        <f t="shared" ref="K6:K22" si="6">$E6*35%*42.6%</f>
        <v>115.480932</v>
      </c>
      <c r="L6" s="74">
        <f t="shared" ref="L6:L22" si="7">SUM(J6:K6)*(1.4*60%)</f>
        <v>227.70887999999999</v>
      </c>
      <c r="M6" s="74">
        <f t="shared" ref="M6:M22" si="8">$D6*39%*57.4%</f>
        <v>81.592492799999988</v>
      </c>
      <c r="N6" s="74">
        <f t="shared" ref="N6:N22" si="9">$D6*39%*42.6%</f>
        <v>60.554707199999996</v>
      </c>
      <c r="O6" s="74">
        <f t="shared" ref="O6:O22" si="10">M6*(7*33%)</f>
        <v>188.47865836799997</v>
      </c>
      <c r="P6" s="74">
        <f t="shared" ref="P6:P22" si="11">$E6*39%*57.4%</f>
        <v>173.3840472</v>
      </c>
      <c r="Q6" s="74">
        <f t="shared" ref="Q6:Q22" si="12">$E6*39%*42.6%</f>
        <v>128.67875280000001</v>
      </c>
      <c r="R6" s="74">
        <f t="shared" ref="R6:R22" si="13">SUM(P6:Q6)*(7*60%)</f>
        <v>1268.6637600000001</v>
      </c>
      <c r="S6" s="74">
        <f t="shared" ref="S6:S22" si="14">$D6*26%*57.4%</f>
        <v>54.394995200000004</v>
      </c>
      <c r="T6" s="74">
        <f t="shared" ref="T6:T22" si="15">$D6*26%*42.6%</f>
        <v>40.369804800000004</v>
      </c>
      <c r="U6" s="74">
        <f t="shared" ref="U6:U22" si="16">S6*(11.5*33%)</f>
        <v>206.42900678400002</v>
      </c>
      <c r="V6" s="74">
        <f t="shared" ref="V6:V22" si="17">$E6*26%*57.4%</f>
        <v>115.58936480000001</v>
      </c>
      <c r="W6" s="74">
        <f t="shared" ref="W6:W22" si="18">$E6*26%*42.6%</f>
        <v>85.785835200000008</v>
      </c>
      <c r="X6" s="74">
        <f t="shared" ref="X6:X22" si="19">SUM(V6:W6)*(11.5*60%)</f>
        <v>1389.4888799999999</v>
      </c>
      <c r="Y6" s="75"/>
      <c r="Z6" s="76">
        <f t="shared" ref="Z6:Z22" si="20">SUM(I6,L6,O6,R6,U6,X6)/1000</f>
        <v>3.3145986879359999</v>
      </c>
    </row>
    <row r="7" spans="2:26" ht="15" customHeight="1" x14ac:dyDescent="0.3">
      <c r="B7" s="64">
        <v>2010</v>
      </c>
      <c r="C7" s="66">
        <v>2756</v>
      </c>
      <c r="D7" s="67">
        <f t="shared" si="0"/>
        <v>881.92000000000007</v>
      </c>
      <c r="E7" s="67">
        <f t="shared" si="1"/>
        <v>1874.0800000000002</v>
      </c>
      <c r="F7" s="55"/>
      <c r="G7" s="73">
        <f t="shared" si="2"/>
        <v>177.177728</v>
      </c>
      <c r="H7" s="74">
        <f t="shared" si="3"/>
        <v>131.494272</v>
      </c>
      <c r="I7" s="74">
        <f t="shared" si="4"/>
        <v>81.856110336</v>
      </c>
      <c r="J7" s="74">
        <f t="shared" si="5"/>
        <v>376.50267199999996</v>
      </c>
      <c r="K7" s="74">
        <f t="shared" si="6"/>
        <v>279.42532799999998</v>
      </c>
      <c r="L7" s="74">
        <f t="shared" si="7"/>
        <v>550.97951999999987</v>
      </c>
      <c r="M7" s="74">
        <f t="shared" si="8"/>
        <v>197.42661120000002</v>
      </c>
      <c r="N7" s="74">
        <f t="shared" si="9"/>
        <v>146.52218880000001</v>
      </c>
      <c r="O7" s="74">
        <f t="shared" si="10"/>
        <v>456.05547187200006</v>
      </c>
      <c r="P7" s="74">
        <f t="shared" si="11"/>
        <v>419.53154880000005</v>
      </c>
      <c r="Q7" s="74">
        <f t="shared" si="12"/>
        <v>311.35965120000003</v>
      </c>
      <c r="R7" s="74">
        <f t="shared" si="13"/>
        <v>3069.7430400000003</v>
      </c>
      <c r="S7" s="74">
        <f t="shared" si="14"/>
        <v>131.61774080000001</v>
      </c>
      <c r="T7" s="74">
        <f t="shared" si="15"/>
        <v>97.681459200000006</v>
      </c>
      <c r="U7" s="74">
        <f t="shared" si="16"/>
        <v>499.48932633600009</v>
      </c>
      <c r="V7" s="74">
        <f t="shared" si="17"/>
        <v>279.6876992</v>
      </c>
      <c r="W7" s="74">
        <f t="shared" si="18"/>
        <v>207.57310080000002</v>
      </c>
      <c r="X7" s="74">
        <f t="shared" si="19"/>
        <v>3362.0995199999998</v>
      </c>
      <c r="Y7" s="75"/>
      <c r="Z7" s="76">
        <f t="shared" si="20"/>
        <v>8.0202229885440008</v>
      </c>
    </row>
    <row r="8" spans="2:26" ht="15" customHeight="1" x14ac:dyDescent="0.3">
      <c r="B8" s="64">
        <v>2011</v>
      </c>
      <c r="C8" s="66">
        <v>4956</v>
      </c>
      <c r="D8" s="67">
        <f t="shared" si="0"/>
        <v>1585.92</v>
      </c>
      <c r="E8" s="67">
        <f t="shared" si="1"/>
        <v>3370.0800000000004</v>
      </c>
      <c r="F8" s="55"/>
      <c r="G8" s="73">
        <f t="shared" si="2"/>
        <v>318.61132799999996</v>
      </c>
      <c r="H8" s="74">
        <f t="shared" si="3"/>
        <v>236.46067199999999</v>
      </c>
      <c r="I8" s="74">
        <f t="shared" si="4"/>
        <v>147.19843353599998</v>
      </c>
      <c r="J8" s="74">
        <f t="shared" si="5"/>
        <v>677.04907199999991</v>
      </c>
      <c r="K8" s="74">
        <f t="shared" si="6"/>
        <v>502.478928</v>
      </c>
      <c r="L8" s="74">
        <f t="shared" si="7"/>
        <v>990.80351999999982</v>
      </c>
      <c r="M8" s="74">
        <f t="shared" si="8"/>
        <v>355.02405120000003</v>
      </c>
      <c r="N8" s="74">
        <f t="shared" si="9"/>
        <v>263.48474880000003</v>
      </c>
      <c r="O8" s="74">
        <f t="shared" si="10"/>
        <v>820.10555827200005</v>
      </c>
      <c r="P8" s="74">
        <f t="shared" si="11"/>
        <v>754.42610879999995</v>
      </c>
      <c r="Q8" s="74">
        <f t="shared" si="12"/>
        <v>559.90509120000002</v>
      </c>
      <c r="R8" s="74">
        <f t="shared" si="13"/>
        <v>5520.1910400000006</v>
      </c>
      <c r="S8" s="74">
        <f t="shared" si="14"/>
        <v>236.68270079999999</v>
      </c>
      <c r="T8" s="74">
        <f t="shared" si="15"/>
        <v>175.65649919999998</v>
      </c>
      <c r="U8" s="74">
        <f t="shared" si="16"/>
        <v>898.21084953600007</v>
      </c>
      <c r="V8" s="74">
        <f t="shared" si="17"/>
        <v>502.95073920000004</v>
      </c>
      <c r="W8" s="74">
        <f t="shared" si="18"/>
        <v>373.27006080000007</v>
      </c>
      <c r="X8" s="74">
        <f t="shared" si="19"/>
        <v>6045.9235200000003</v>
      </c>
      <c r="Y8" s="75"/>
      <c r="Z8" s="76">
        <f t="shared" si="20"/>
        <v>14.422432921344001</v>
      </c>
    </row>
    <row r="9" spans="2:26" ht="15" customHeight="1" x14ac:dyDescent="0.3">
      <c r="B9" s="64">
        <v>2012</v>
      </c>
      <c r="C9" s="66">
        <v>7760</v>
      </c>
      <c r="D9" s="67">
        <f t="shared" si="0"/>
        <v>2483.2000000000003</v>
      </c>
      <c r="E9" s="67">
        <f t="shared" si="1"/>
        <v>5276.8</v>
      </c>
      <c r="F9" s="55"/>
      <c r="G9" s="73">
        <f t="shared" si="2"/>
        <v>498.87487999999996</v>
      </c>
      <c r="H9" s="74">
        <f t="shared" si="3"/>
        <v>370.24511999999999</v>
      </c>
      <c r="I9" s="74">
        <f t="shared" si="4"/>
        <v>230.48019455999997</v>
      </c>
      <c r="J9" s="74">
        <f t="shared" si="5"/>
        <v>1060.1091199999998</v>
      </c>
      <c r="K9" s="74">
        <f t="shared" si="6"/>
        <v>786.77087999999992</v>
      </c>
      <c r="L9" s="74">
        <f t="shared" si="7"/>
        <v>1551.3791999999996</v>
      </c>
      <c r="M9" s="74">
        <f t="shared" si="8"/>
        <v>555.88915199999997</v>
      </c>
      <c r="N9" s="74">
        <f t="shared" si="9"/>
        <v>412.55884800000001</v>
      </c>
      <c r="O9" s="74">
        <f t="shared" si="10"/>
        <v>1284.1039411199999</v>
      </c>
      <c r="P9" s="74">
        <f t="shared" si="11"/>
        <v>1181.2644480000001</v>
      </c>
      <c r="Q9" s="74">
        <f t="shared" si="12"/>
        <v>876.6875520000001</v>
      </c>
      <c r="R9" s="74">
        <f t="shared" si="13"/>
        <v>8643.3984000000019</v>
      </c>
      <c r="S9" s="74">
        <f t="shared" si="14"/>
        <v>370.59276799999998</v>
      </c>
      <c r="T9" s="74">
        <f t="shared" si="15"/>
        <v>275.03923200000003</v>
      </c>
      <c r="U9" s="74">
        <f t="shared" si="16"/>
        <v>1406.3995545600001</v>
      </c>
      <c r="V9" s="74">
        <f t="shared" si="17"/>
        <v>787.50963200000001</v>
      </c>
      <c r="W9" s="74">
        <f t="shared" si="18"/>
        <v>584.45836800000006</v>
      </c>
      <c r="X9" s="74">
        <f t="shared" si="19"/>
        <v>9466.5792000000001</v>
      </c>
      <c r="Y9" s="75"/>
      <c r="Z9" s="76">
        <f t="shared" si="20"/>
        <v>22.582340490240004</v>
      </c>
    </row>
    <row r="10" spans="2:26" ht="15" customHeight="1" x14ac:dyDescent="0.3">
      <c r="B10" s="64">
        <v>2013</v>
      </c>
      <c r="C10" s="66">
        <v>10853</v>
      </c>
      <c r="D10" s="67">
        <f t="shared" si="0"/>
        <v>3472.96</v>
      </c>
      <c r="E10" s="67">
        <f t="shared" si="1"/>
        <v>7380.0400000000009</v>
      </c>
      <c r="F10" s="55"/>
      <c r="G10" s="73">
        <f t="shared" si="2"/>
        <v>697.7176639999999</v>
      </c>
      <c r="H10" s="74">
        <f t="shared" si="3"/>
        <v>517.81833599999993</v>
      </c>
      <c r="I10" s="74">
        <f t="shared" si="4"/>
        <v>322.34556076799993</v>
      </c>
      <c r="J10" s="74">
        <f t="shared" si="5"/>
        <v>1482.650036</v>
      </c>
      <c r="K10" s="74">
        <f t="shared" si="6"/>
        <v>1100.3639640000001</v>
      </c>
      <c r="L10" s="74">
        <f t="shared" si="7"/>
        <v>2169.7317600000001</v>
      </c>
      <c r="M10" s="74">
        <f t="shared" si="8"/>
        <v>777.4568256</v>
      </c>
      <c r="N10" s="74">
        <f t="shared" si="9"/>
        <v>576.99757440000008</v>
      </c>
      <c r="O10" s="74">
        <f t="shared" si="10"/>
        <v>1795.925267136</v>
      </c>
      <c r="P10" s="74">
        <f t="shared" si="11"/>
        <v>1652.0957544</v>
      </c>
      <c r="Q10" s="74">
        <f t="shared" si="12"/>
        <v>1226.1198456000002</v>
      </c>
      <c r="R10" s="74">
        <f t="shared" si="13"/>
        <v>12088.505520000002</v>
      </c>
      <c r="S10" s="74">
        <f t="shared" si="14"/>
        <v>518.30455039999993</v>
      </c>
      <c r="T10" s="74">
        <f t="shared" si="15"/>
        <v>384.66504959999997</v>
      </c>
      <c r="U10" s="74">
        <f t="shared" si="16"/>
        <v>1966.9657687679999</v>
      </c>
      <c r="V10" s="74">
        <f t="shared" si="17"/>
        <v>1101.3971696000001</v>
      </c>
      <c r="W10" s="74">
        <f t="shared" si="18"/>
        <v>817.41323040000009</v>
      </c>
      <c r="X10" s="74">
        <f t="shared" si="19"/>
        <v>13239.791760000002</v>
      </c>
      <c r="Y10" s="75"/>
      <c r="Z10" s="76">
        <f t="shared" si="20"/>
        <v>31.583265636672003</v>
      </c>
    </row>
    <row r="11" spans="2:26" ht="15" customHeight="1" x14ac:dyDescent="0.3">
      <c r="B11" s="64">
        <v>2014</v>
      </c>
      <c r="C11" s="66">
        <v>15680</v>
      </c>
      <c r="D11" s="67">
        <f t="shared" si="0"/>
        <v>5017.6000000000004</v>
      </c>
      <c r="E11" s="67">
        <f t="shared" si="1"/>
        <v>10662.400000000001</v>
      </c>
      <c r="F11" s="55"/>
      <c r="G11" s="73">
        <f t="shared" si="2"/>
        <v>1008.03584</v>
      </c>
      <c r="H11" s="74">
        <f t="shared" si="3"/>
        <v>748.12415999999996</v>
      </c>
      <c r="I11" s="74">
        <f t="shared" si="4"/>
        <v>465.71255807999995</v>
      </c>
      <c r="J11" s="74">
        <f t="shared" si="5"/>
        <v>2142.0761600000001</v>
      </c>
      <c r="K11" s="74">
        <f t="shared" si="6"/>
        <v>1589.7638400000001</v>
      </c>
      <c r="L11" s="74">
        <f t="shared" si="7"/>
        <v>3134.7456000000002</v>
      </c>
      <c r="M11" s="74">
        <f t="shared" si="8"/>
        <v>1123.2399360000002</v>
      </c>
      <c r="N11" s="74">
        <f t="shared" si="9"/>
        <v>833.62406400000009</v>
      </c>
      <c r="O11" s="74">
        <f t="shared" si="10"/>
        <v>2594.6842521600006</v>
      </c>
      <c r="P11" s="74">
        <f t="shared" si="11"/>
        <v>2386.8848640000006</v>
      </c>
      <c r="Q11" s="74">
        <f t="shared" si="12"/>
        <v>1771.4511360000004</v>
      </c>
      <c r="R11" s="74">
        <f t="shared" si="13"/>
        <v>17465.011200000004</v>
      </c>
      <c r="S11" s="74">
        <f t="shared" si="14"/>
        <v>748.82662400000004</v>
      </c>
      <c r="T11" s="74">
        <f t="shared" si="15"/>
        <v>555.7493760000001</v>
      </c>
      <c r="U11" s="74">
        <f t="shared" si="16"/>
        <v>2841.7970380800002</v>
      </c>
      <c r="V11" s="74">
        <f t="shared" si="17"/>
        <v>1591.2565760000002</v>
      </c>
      <c r="W11" s="74">
        <f t="shared" si="18"/>
        <v>1180.9674240000002</v>
      </c>
      <c r="X11" s="74">
        <f t="shared" si="19"/>
        <v>19128.345600000001</v>
      </c>
      <c r="Y11" s="75"/>
      <c r="Z11" s="76">
        <f t="shared" si="20"/>
        <v>45.630296248320008</v>
      </c>
    </row>
    <row r="12" spans="2:26" ht="15" customHeight="1" x14ac:dyDescent="0.3">
      <c r="B12" s="64">
        <v>2015</v>
      </c>
      <c r="C12" s="66">
        <v>19481</v>
      </c>
      <c r="D12" s="67">
        <f t="shared" si="0"/>
        <v>6233.92</v>
      </c>
      <c r="E12" s="67">
        <f t="shared" si="1"/>
        <v>13247.080000000002</v>
      </c>
      <c r="F12" s="55"/>
      <c r="G12" s="73">
        <f t="shared" si="2"/>
        <v>1252.3945279999998</v>
      </c>
      <c r="H12" s="74">
        <f t="shared" si="3"/>
        <v>929.47747199999992</v>
      </c>
      <c r="I12" s="74">
        <f t="shared" si="4"/>
        <v>578.60627193599987</v>
      </c>
      <c r="J12" s="74">
        <f t="shared" si="5"/>
        <v>2661.3383719999997</v>
      </c>
      <c r="K12" s="74">
        <f t="shared" si="6"/>
        <v>1975.1396279999999</v>
      </c>
      <c r="L12" s="74">
        <f t="shared" si="7"/>
        <v>3894.6415199999992</v>
      </c>
      <c r="M12" s="74">
        <f t="shared" si="8"/>
        <v>1395.5253312</v>
      </c>
      <c r="N12" s="74">
        <f t="shared" si="9"/>
        <v>1035.7034688000001</v>
      </c>
      <c r="O12" s="74">
        <f t="shared" si="10"/>
        <v>3223.6635150719999</v>
      </c>
      <c r="P12" s="74">
        <f t="shared" si="11"/>
        <v>2965.4913288000002</v>
      </c>
      <c r="Q12" s="74">
        <f t="shared" si="12"/>
        <v>2200.8698712000005</v>
      </c>
      <c r="R12" s="74">
        <f t="shared" si="13"/>
        <v>21698.717040000007</v>
      </c>
      <c r="S12" s="74">
        <f t="shared" si="14"/>
        <v>930.35022079999999</v>
      </c>
      <c r="T12" s="74">
        <f t="shared" si="15"/>
        <v>690.46897920000004</v>
      </c>
      <c r="U12" s="74">
        <f t="shared" si="16"/>
        <v>3530.6790879360001</v>
      </c>
      <c r="V12" s="74">
        <f t="shared" si="17"/>
        <v>1976.9942192000001</v>
      </c>
      <c r="W12" s="74">
        <f t="shared" si="18"/>
        <v>1467.2465808000002</v>
      </c>
      <c r="X12" s="74">
        <f t="shared" si="19"/>
        <v>23765.26152</v>
      </c>
      <c r="Y12" s="75"/>
      <c r="Z12" s="76">
        <f t="shared" si="20"/>
        <v>56.691568954944003</v>
      </c>
    </row>
    <row r="13" spans="2:26" ht="15" customHeight="1" x14ac:dyDescent="0.3">
      <c r="B13" s="64">
        <v>2016</v>
      </c>
      <c r="C13" s="66">
        <v>23666</v>
      </c>
      <c r="D13" s="67">
        <f t="shared" si="0"/>
        <v>7573.12</v>
      </c>
      <c r="E13" s="67">
        <f t="shared" si="1"/>
        <v>16092.880000000001</v>
      </c>
      <c r="F13" s="55"/>
      <c r="G13" s="73">
        <f t="shared" si="2"/>
        <v>1521.4398079999996</v>
      </c>
      <c r="H13" s="74">
        <f t="shared" si="3"/>
        <v>1129.1521919999998</v>
      </c>
      <c r="I13" s="74">
        <f t="shared" si="4"/>
        <v>702.90519129599977</v>
      </c>
      <c r="J13" s="74">
        <f t="shared" si="5"/>
        <v>3233.0595919999996</v>
      </c>
      <c r="K13" s="74">
        <f t="shared" si="6"/>
        <v>2399.4484079999997</v>
      </c>
      <c r="L13" s="74">
        <f t="shared" si="7"/>
        <v>4731.3067199999996</v>
      </c>
      <c r="M13" s="74">
        <f t="shared" si="8"/>
        <v>1695.3186431999998</v>
      </c>
      <c r="N13" s="74">
        <f t="shared" si="9"/>
        <v>1258.1981567999999</v>
      </c>
      <c r="O13" s="74">
        <f t="shared" si="10"/>
        <v>3916.1860657919997</v>
      </c>
      <c r="P13" s="74">
        <f t="shared" si="11"/>
        <v>3602.5521168</v>
      </c>
      <c r="Q13" s="74">
        <f t="shared" si="12"/>
        <v>2673.6710831999999</v>
      </c>
      <c r="R13" s="74">
        <f t="shared" si="13"/>
        <v>26360.137440000002</v>
      </c>
      <c r="S13" s="74">
        <f t="shared" si="14"/>
        <v>1130.2124288</v>
      </c>
      <c r="T13" s="74">
        <f t="shared" si="15"/>
        <v>838.79877120000003</v>
      </c>
      <c r="U13" s="74">
        <f t="shared" si="16"/>
        <v>4289.1561672960006</v>
      </c>
      <c r="V13" s="74">
        <f t="shared" si="17"/>
        <v>2401.7014112000002</v>
      </c>
      <c r="W13" s="74">
        <f t="shared" si="18"/>
        <v>1782.4473888000002</v>
      </c>
      <c r="X13" s="74">
        <f t="shared" si="19"/>
        <v>28870.626720000004</v>
      </c>
      <c r="Y13" s="75"/>
      <c r="Z13" s="76">
        <f t="shared" si="20"/>
        <v>68.870318304384014</v>
      </c>
    </row>
    <row r="14" spans="2:26" ht="15" customHeight="1" x14ac:dyDescent="0.3">
      <c r="B14" s="64">
        <v>2017</v>
      </c>
      <c r="C14" s="66">
        <v>29493</v>
      </c>
      <c r="D14" s="67">
        <f t="shared" si="0"/>
        <v>9437.76</v>
      </c>
      <c r="E14" s="67">
        <f t="shared" si="1"/>
        <v>20055.240000000002</v>
      </c>
      <c r="F14" s="55"/>
      <c r="G14" s="73">
        <f t="shared" si="2"/>
        <v>1896.0459839999999</v>
      </c>
      <c r="H14" s="74">
        <f t="shared" si="3"/>
        <v>1407.170016</v>
      </c>
      <c r="I14" s="74">
        <f t="shared" si="4"/>
        <v>875.97324460799985</v>
      </c>
      <c r="J14" s="74">
        <f t="shared" si="5"/>
        <v>4029.0977159999998</v>
      </c>
      <c r="K14" s="74">
        <f t="shared" si="6"/>
        <v>2990.2362840000001</v>
      </c>
      <c r="L14" s="74">
        <f t="shared" si="7"/>
        <v>5896.2405599999993</v>
      </c>
      <c r="M14" s="74">
        <f t="shared" si="8"/>
        <v>2112.7369535999997</v>
      </c>
      <c r="N14" s="74">
        <f t="shared" si="9"/>
        <v>1567.9894463999999</v>
      </c>
      <c r="O14" s="74">
        <f t="shared" si="10"/>
        <v>4880.4223628159989</v>
      </c>
      <c r="P14" s="74">
        <f t="shared" si="11"/>
        <v>4489.5660263999998</v>
      </c>
      <c r="Q14" s="74">
        <f t="shared" si="12"/>
        <v>3331.9775736000001</v>
      </c>
      <c r="R14" s="74">
        <f t="shared" si="13"/>
        <v>32850.483120000004</v>
      </c>
      <c r="S14" s="74">
        <f t="shared" si="14"/>
        <v>1408.4913024</v>
      </c>
      <c r="T14" s="74">
        <f t="shared" si="15"/>
        <v>1045.3262976000001</v>
      </c>
      <c r="U14" s="74">
        <f t="shared" si="16"/>
        <v>5345.2244926080002</v>
      </c>
      <c r="V14" s="74">
        <f t="shared" si="17"/>
        <v>2993.0440176000002</v>
      </c>
      <c r="W14" s="74">
        <f t="shared" si="18"/>
        <v>2221.3183824000002</v>
      </c>
      <c r="X14" s="74">
        <f t="shared" si="19"/>
        <v>35979.100559999999</v>
      </c>
      <c r="Y14" s="75"/>
      <c r="Z14" s="76">
        <f t="shared" si="20"/>
        <v>85.827444340032002</v>
      </c>
    </row>
    <row r="15" spans="2:26" ht="15" customHeight="1" x14ac:dyDescent="0.3">
      <c r="B15" s="64">
        <v>2018</v>
      </c>
      <c r="C15" s="66">
        <v>34152</v>
      </c>
      <c r="D15" s="67">
        <f t="shared" si="0"/>
        <v>10928.64</v>
      </c>
      <c r="E15" s="67">
        <f t="shared" si="1"/>
        <v>23223.360000000001</v>
      </c>
      <c r="F15" s="55"/>
      <c r="G15" s="73">
        <f t="shared" si="2"/>
        <v>2195.5637759999995</v>
      </c>
      <c r="H15" s="74">
        <f t="shared" si="3"/>
        <v>1629.4602239999997</v>
      </c>
      <c r="I15" s="74">
        <f t="shared" si="4"/>
        <v>1014.3504645119997</v>
      </c>
      <c r="J15" s="74">
        <f t="shared" si="5"/>
        <v>4665.5730239999994</v>
      </c>
      <c r="K15" s="74">
        <f t="shared" si="6"/>
        <v>3462.6029759999997</v>
      </c>
      <c r="L15" s="74">
        <f t="shared" si="7"/>
        <v>6827.6678399999992</v>
      </c>
      <c r="M15" s="74">
        <f t="shared" si="8"/>
        <v>2446.4853503999998</v>
      </c>
      <c r="N15" s="74">
        <f t="shared" si="9"/>
        <v>1815.6842495999999</v>
      </c>
      <c r="O15" s="74">
        <f t="shared" si="10"/>
        <v>5651.3811594239996</v>
      </c>
      <c r="P15" s="74">
        <f t="shared" si="11"/>
        <v>5198.7813696000003</v>
      </c>
      <c r="Q15" s="74">
        <f t="shared" si="12"/>
        <v>3858.3290304000006</v>
      </c>
      <c r="R15" s="74">
        <f t="shared" si="13"/>
        <v>38039.863680000009</v>
      </c>
      <c r="S15" s="74">
        <f t="shared" si="14"/>
        <v>1630.9902335999998</v>
      </c>
      <c r="T15" s="74">
        <f t="shared" si="15"/>
        <v>1210.4561663999998</v>
      </c>
      <c r="U15" s="74">
        <f t="shared" si="16"/>
        <v>6189.6079365119995</v>
      </c>
      <c r="V15" s="74">
        <f t="shared" si="17"/>
        <v>3465.8542464000002</v>
      </c>
      <c r="W15" s="74">
        <f t="shared" si="18"/>
        <v>2572.2193536000004</v>
      </c>
      <c r="X15" s="74">
        <f t="shared" si="19"/>
        <v>41662.707840000003</v>
      </c>
      <c r="Y15" s="75"/>
      <c r="Z15" s="76">
        <f t="shared" si="20"/>
        <v>99.385578920448026</v>
      </c>
    </row>
    <row r="16" spans="2:26" ht="15" customHeight="1" x14ac:dyDescent="0.3">
      <c r="B16" s="64">
        <v>2019</v>
      </c>
      <c r="C16" s="66">
        <v>40675</v>
      </c>
      <c r="D16" s="67">
        <f t="shared" si="0"/>
        <v>13016</v>
      </c>
      <c r="E16" s="67">
        <f t="shared" si="1"/>
        <v>27659.000000000004</v>
      </c>
      <c r="F16" s="55"/>
      <c r="G16" s="73">
        <f t="shared" si="2"/>
        <v>2614.9143999999997</v>
      </c>
      <c r="H16" s="74">
        <f t="shared" si="3"/>
        <v>1940.6855999999998</v>
      </c>
      <c r="I16" s="74">
        <f t="shared" si="4"/>
        <v>1208.0904527999999</v>
      </c>
      <c r="J16" s="74">
        <f t="shared" si="5"/>
        <v>5556.6931000000004</v>
      </c>
      <c r="K16" s="74">
        <f t="shared" si="6"/>
        <v>4123.9569000000001</v>
      </c>
      <c r="L16" s="74">
        <f t="shared" si="7"/>
        <v>8131.746000000001</v>
      </c>
      <c r="M16" s="74">
        <f t="shared" si="8"/>
        <v>2913.7617599999999</v>
      </c>
      <c r="N16" s="74">
        <f t="shared" si="9"/>
        <v>2162.4782399999999</v>
      </c>
      <c r="O16" s="74">
        <f t="shared" si="10"/>
        <v>6730.7896656000003</v>
      </c>
      <c r="P16" s="74">
        <f t="shared" si="11"/>
        <v>6191.7437400000008</v>
      </c>
      <c r="Q16" s="74">
        <f t="shared" si="12"/>
        <v>4595.2662600000003</v>
      </c>
      <c r="R16" s="74">
        <f t="shared" si="13"/>
        <v>45305.44200000001</v>
      </c>
      <c r="S16" s="74">
        <f t="shared" si="14"/>
        <v>1942.50784</v>
      </c>
      <c r="T16" s="74">
        <f t="shared" si="15"/>
        <v>1441.6521600000001</v>
      </c>
      <c r="U16" s="74">
        <f t="shared" si="16"/>
        <v>7371.8172528000005</v>
      </c>
      <c r="V16" s="74">
        <f t="shared" si="17"/>
        <v>4127.8291600000002</v>
      </c>
      <c r="W16" s="74">
        <f t="shared" si="18"/>
        <v>3063.5108400000004</v>
      </c>
      <c r="X16" s="74">
        <f t="shared" si="19"/>
        <v>49620.245999999999</v>
      </c>
      <c r="Y16" s="75"/>
      <c r="Z16" s="76">
        <f t="shared" si="20"/>
        <v>118.36813137120001</v>
      </c>
    </row>
    <row r="17" spans="2:26" ht="15" customHeight="1" x14ac:dyDescent="0.3">
      <c r="B17" s="64">
        <v>2020</v>
      </c>
      <c r="C17" s="66">
        <v>46718</v>
      </c>
      <c r="D17" s="67">
        <f t="shared" si="0"/>
        <v>14949.76</v>
      </c>
      <c r="E17" s="67">
        <f t="shared" si="1"/>
        <v>31768.240000000002</v>
      </c>
      <c r="F17" s="55"/>
      <c r="G17" s="73">
        <f t="shared" si="2"/>
        <v>3003.4067839999998</v>
      </c>
      <c r="H17" s="74">
        <f t="shared" si="3"/>
        <v>2229.0092159999999</v>
      </c>
      <c r="I17" s="74">
        <f t="shared" si="4"/>
        <v>1387.5739342079999</v>
      </c>
      <c r="J17" s="74">
        <f t="shared" si="5"/>
        <v>6382.2394159999994</v>
      </c>
      <c r="K17" s="74">
        <f t="shared" si="6"/>
        <v>4736.6445839999997</v>
      </c>
      <c r="L17" s="74">
        <f t="shared" si="7"/>
        <v>9339.8625599999978</v>
      </c>
      <c r="M17" s="74">
        <f t="shared" si="8"/>
        <v>3346.6532735999995</v>
      </c>
      <c r="N17" s="74">
        <f t="shared" si="9"/>
        <v>2483.7531263999999</v>
      </c>
      <c r="O17" s="74">
        <f t="shared" si="10"/>
        <v>7730.7690620159992</v>
      </c>
      <c r="P17" s="74">
        <f t="shared" si="11"/>
        <v>7111.6382063999999</v>
      </c>
      <c r="Q17" s="74">
        <f t="shared" si="12"/>
        <v>5277.9753935999997</v>
      </c>
      <c r="R17" s="74">
        <f t="shared" si="13"/>
        <v>52036.377120000005</v>
      </c>
      <c r="S17" s="74">
        <f t="shared" si="14"/>
        <v>2231.1021823999999</v>
      </c>
      <c r="T17" s="74">
        <f t="shared" si="15"/>
        <v>1655.8354176</v>
      </c>
      <c r="U17" s="74">
        <f t="shared" si="16"/>
        <v>8467.0327822079998</v>
      </c>
      <c r="V17" s="74">
        <f t="shared" si="17"/>
        <v>4741.0921376000006</v>
      </c>
      <c r="W17" s="74">
        <f t="shared" si="18"/>
        <v>3518.6502624000004</v>
      </c>
      <c r="X17" s="74">
        <f t="shared" si="19"/>
        <v>56992.222560000002</v>
      </c>
      <c r="Y17" s="75"/>
      <c r="Z17" s="76">
        <f t="shared" si="20"/>
        <v>135.95383801843201</v>
      </c>
    </row>
    <row r="18" spans="2:26" ht="15" customHeight="1" x14ac:dyDescent="0.3">
      <c r="B18" s="64">
        <v>2021</v>
      </c>
      <c r="C18" s="66">
        <v>52256</v>
      </c>
      <c r="D18" s="67">
        <f t="shared" si="0"/>
        <v>16721.920000000002</v>
      </c>
      <c r="E18" s="67">
        <f t="shared" si="1"/>
        <v>35534.080000000002</v>
      </c>
      <c r="F18" s="55"/>
      <c r="G18" s="73">
        <f t="shared" si="2"/>
        <v>3359.433728</v>
      </c>
      <c r="H18" s="74">
        <f t="shared" si="3"/>
        <v>2493.2382720000001</v>
      </c>
      <c r="I18" s="74">
        <f t="shared" si="4"/>
        <v>1552.0583823359998</v>
      </c>
      <c r="J18" s="74">
        <f t="shared" si="5"/>
        <v>7138.7966719999995</v>
      </c>
      <c r="K18" s="74">
        <f t="shared" si="6"/>
        <v>5298.1313279999995</v>
      </c>
      <c r="L18" s="74">
        <f t="shared" si="7"/>
        <v>10447.01952</v>
      </c>
      <c r="M18" s="74">
        <f t="shared" si="8"/>
        <v>3743.3690112000004</v>
      </c>
      <c r="N18" s="74">
        <f t="shared" si="9"/>
        <v>2778.1797888000006</v>
      </c>
      <c r="O18" s="74">
        <f t="shared" si="10"/>
        <v>8647.182415872001</v>
      </c>
      <c r="P18" s="74">
        <f t="shared" si="11"/>
        <v>7954.6591488000004</v>
      </c>
      <c r="Q18" s="74">
        <f t="shared" si="12"/>
        <v>5903.6320512000002</v>
      </c>
      <c r="R18" s="74">
        <f t="shared" si="13"/>
        <v>58204.823040000003</v>
      </c>
      <c r="S18" s="74">
        <f t="shared" si="14"/>
        <v>2495.5793408000004</v>
      </c>
      <c r="T18" s="74">
        <f t="shared" si="15"/>
        <v>1852.1198592000003</v>
      </c>
      <c r="U18" s="74">
        <f t="shared" si="16"/>
        <v>9470.7235983360024</v>
      </c>
      <c r="V18" s="74">
        <f t="shared" si="17"/>
        <v>5303.1060992000002</v>
      </c>
      <c r="W18" s="74">
        <f t="shared" si="18"/>
        <v>3935.7547008000001</v>
      </c>
      <c r="X18" s="74">
        <f t="shared" si="19"/>
        <v>63748.139519999997</v>
      </c>
      <c r="Y18" s="75"/>
      <c r="Z18" s="76">
        <f t="shared" si="20"/>
        <v>152.06994647654403</v>
      </c>
    </row>
    <row r="19" spans="2:26" ht="15" customHeight="1" x14ac:dyDescent="0.3">
      <c r="B19" s="64">
        <v>2022</v>
      </c>
      <c r="C19" s="67">
        <f>FORECAST(B19,C6:C18,B6:B18)</f>
        <v>52807.692307693884</v>
      </c>
      <c r="D19" s="67">
        <f t="shared" si="0"/>
        <v>16898.461538462045</v>
      </c>
      <c r="E19" s="67">
        <f t="shared" si="1"/>
        <v>35909.230769231843</v>
      </c>
      <c r="F19" s="55"/>
      <c r="G19" s="73">
        <f t="shared" si="2"/>
        <v>3394.9009230770243</v>
      </c>
      <c r="H19" s="74">
        <f t="shared" si="3"/>
        <v>2519.5606153846907</v>
      </c>
      <c r="I19" s="74">
        <f t="shared" si="4"/>
        <v>1568.4442264615852</v>
      </c>
      <c r="J19" s="74">
        <f t="shared" si="5"/>
        <v>7214.1644615386758</v>
      </c>
      <c r="K19" s="74">
        <f t="shared" si="6"/>
        <v>5354.0663076924675</v>
      </c>
      <c r="L19" s="74">
        <f t="shared" si="7"/>
        <v>10557.31384615416</v>
      </c>
      <c r="M19" s="74">
        <f t="shared" si="8"/>
        <v>3782.8896000001132</v>
      </c>
      <c r="N19" s="74">
        <f t="shared" si="9"/>
        <v>2807.5104000000842</v>
      </c>
      <c r="O19" s="74">
        <f t="shared" si="10"/>
        <v>8738.4749760002614</v>
      </c>
      <c r="P19" s="74">
        <f t="shared" si="11"/>
        <v>8038.6404000002394</v>
      </c>
      <c r="Q19" s="74">
        <f t="shared" si="12"/>
        <v>5965.9596000001784</v>
      </c>
      <c r="R19" s="74">
        <f t="shared" si="13"/>
        <v>58819.320000001753</v>
      </c>
      <c r="S19" s="74">
        <f t="shared" si="14"/>
        <v>2521.9264000000753</v>
      </c>
      <c r="T19" s="74">
        <f t="shared" si="15"/>
        <v>1871.673600000056</v>
      </c>
      <c r="U19" s="74">
        <f t="shared" si="16"/>
        <v>9570.7106880002866</v>
      </c>
      <c r="V19" s="74">
        <f t="shared" si="17"/>
        <v>5359.0936000001602</v>
      </c>
      <c r="W19" s="74">
        <f t="shared" si="18"/>
        <v>3977.3064000001191</v>
      </c>
      <c r="X19" s="74">
        <f t="shared" si="19"/>
        <v>64421.160000001924</v>
      </c>
      <c r="Y19" s="75"/>
      <c r="Z19" s="76">
        <f t="shared" si="20"/>
        <v>153.67542373661996</v>
      </c>
    </row>
    <row r="20" spans="2:26" ht="15" customHeight="1" x14ac:dyDescent="0.3">
      <c r="B20" s="64">
        <v>2023</v>
      </c>
      <c r="C20" s="67">
        <f t="shared" ref="C20:C22" si="21">FORECAST(B20,C7:C19,B7:B19)</f>
        <v>58137.366863906384</v>
      </c>
      <c r="D20" s="67">
        <f t="shared" si="0"/>
        <v>18603.957396450041</v>
      </c>
      <c r="E20" s="67">
        <f t="shared" si="1"/>
        <v>39533.409467456346</v>
      </c>
      <c r="F20" s="55"/>
      <c r="G20" s="73">
        <f t="shared" si="2"/>
        <v>3737.5350409468128</v>
      </c>
      <c r="H20" s="74">
        <f t="shared" si="3"/>
        <v>2773.8500478107012</v>
      </c>
      <c r="I20" s="74">
        <f t="shared" si="4"/>
        <v>1726.7411889174275</v>
      </c>
      <c r="J20" s="74">
        <f t="shared" si="5"/>
        <v>7942.2619620119785</v>
      </c>
      <c r="K20" s="74">
        <f t="shared" si="6"/>
        <v>5894.4313515977401</v>
      </c>
      <c r="L20" s="74">
        <f t="shared" si="7"/>
        <v>11622.822383432162</v>
      </c>
      <c r="M20" s="74">
        <f t="shared" si="8"/>
        <v>4164.6819027693064</v>
      </c>
      <c r="N20" s="74">
        <f t="shared" si="9"/>
        <v>3090.8614818462102</v>
      </c>
      <c r="O20" s="74">
        <f t="shared" si="10"/>
        <v>9620.4151953970977</v>
      </c>
      <c r="P20" s="74">
        <f t="shared" si="11"/>
        <v>8849.9490433847768</v>
      </c>
      <c r="Q20" s="74">
        <f t="shared" si="12"/>
        <v>6568.0806489231973</v>
      </c>
      <c r="R20" s="74">
        <f t="shared" si="13"/>
        <v>64755.724707693487</v>
      </c>
      <c r="S20" s="74">
        <f t="shared" si="14"/>
        <v>2776.4546018462042</v>
      </c>
      <c r="T20" s="74">
        <f t="shared" si="15"/>
        <v>2060.5743212308066</v>
      </c>
      <c r="U20" s="74">
        <f t="shared" si="16"/>
        <v>10536.645214006347</v>
      </c>
      <c r="V20" s="74">
        <f t="shared" si="17"/>
        <v>5899.9660289231842</v>
      </c>
      <c r="W20" s="74">
        <f t="shared" si="18"/>
        <v>4378.7204326154642</v>
      </c>
      <c r="X20" s="74">
        <f t="shared" si="19"/>
        <v>70922.936584616662</v>
      </c>
      <c r="Y20" s="75"/>
      <c r="Z20" s="76">
        <f t="shared" si="20"/>
        <v>169.18528527406318</v>
      </c>
    </row>
    <row r="21" spans="2:26" ht="15" customHeight="1" x14ac:dyDescent="0.3">
      <c r="B21" s="64">
        <v>2024</v>
      </c>
      <c r="C21" s="67">
        <f t="shared" si="21"/>
        <v>63430.645425580442</v>
      </c>
      <c r="D21" s="67">
        <f t="shared" si="0"/>
        <v>20297.806536185741</v>
      </c>
      <c r="E21" s="67">
        <f t="shared" si="1"/>
        <v>43132.838889394705</v>
      </c>
      <c r="F21" s="55"/>
      <c r="G21" s="73">
        <f t="shared" si="2"/>
        <v>4077.8293331197146</v>
      </c>
      <c r="H21" s="74">
        <f t="shared" si="3"/>
        <v>3026.4029545452936</v>
      </c>
      <c r="I21" s="74">
        <f t="shared" si="4"/>
        <v>1883.957151901308</v>
      </c>
      <c r="J21" s="74">
        <f t="shared" si="5"/>
        <v>8665.3873328793943</v>
      </c>
      <c r="K21" s="74">
        <f t="shared" si="6"/>
        <v>6431.1062784087499</v>
      </c>
      <c r="L21" s="74">
        <f t="shared" si="7"/>
        <v>12681.054633482041</v>
      </c>
      <c r="M21" s="74">
        <f t="shared" si="8"/>
        <v>4543.8669711905395</v>
      </c>
      <c r="N21" s="74">
        <f t="shared" si="9"/>
        <v>3372.2775779218991</v>
      </c>
      <c r="O21" s="74">
        <f t="shared" si="10"/>
        <v>10496.332703450147</v>
      </c>
      <c r="P21" s="74">
        <f t="shared" si="11"/>
        <v>9655.7173137798982</v>
      </c>
      <c r="Q21" s="74">
        <f t="shared" si="12"/>
        <v>7166.0898530840359</v>
      </c>
      <c r="R21" s="74">
        <f t="shared" si="13"/>
        <v>70651.590100828529</v>
      </c>
      <c r="S21" s="74">
        <f t="shared" si="14"/>
        <v>3029.2446474603598</v>
      </c>
      <c r="T21" s="74">
        <f t="shared" si="15"/>
        <v>2248.1850519479326</v>
      </c>
      <c r="U21" s="74">
        <f t="shared" si="16"/>
        <v>11495.983437112067</v>
      </c>
      <c r="V21" s="74">
        <f t="shared" si="17"/>
        <v>6437.1448758532661</v>
      </c>
      <c r="W21" s="74">
        <f t="shared" si="18"/>
        <v>4777.3932353893579</v>
      </c>
      <c r="X21" s="74">
        <f t="shared" si="19"/>
        <v>77380.312967574093</v>
      </c>
      <c r="Y21" s="75"/>
      <c r="Z21" s="76">
        <f t="shared" si="20"/>
        <v>184.58923099434818</v>
      </c>
    </row>
    <row r="22" spans="2:26" ht="15" customHeight="1" thickBot="1" x14ac:dyDescent="0.35">
      <c r="B22" s="64">
        <v>2025</v>
      </c>
      <c r="C22" s="67">
        <f t="shared" si="21"/>
        <v>68645.649434542283</v>
      </c>
      <c r="D22" s="67">
        <f t="shared" si="0"/>
        <v>21966.60781905353</v>
      </c>
      <c r="E22" s="67">
        <f t="shared" si="1"/>
        <v>46679.041615488757</v>
      </c>
      <c r="F22" s="55"/>
      <c r="G22" s="73">
        <f t="shared" si="2"/>
        <v>4413.0915108478539</v>
      </c>
      <c r="H22" s="74">
        <f t="shared" si="3"/>
        <v>3275.221225820881</v>
      </c>
      <c r="I22" s="74">
        <f t="shared" si="4"/>
        <v>2038.8482780117083</v>
      </c>
      <c r="J22" s="74">
        <f t="shared" si="5"/>
        <v>9377.819460551691</v>
      </c>
      <c r="K22" s="74">
        <f t="shared" si="6"/>
        <v>6959.8451048693732</v>
      </c>
      <c r="L22" s="74">
        <f t="shared" si="7"/>
        <v>13723.638234953694</v>
      </c>
      <c r="M22" s="74">
        <f t="shared" si="8"/>
        <v>4917.4448263733238</v>
      </c>
      <c r="N22" s="74">
        <f t="shared" si="9"/>
        <v>3649.5322230575539</v>
      </c>
      <c r="O22" s="74">
        <f t="shared" si="10"/>
        <v>11359.297548922379</v>
      </c>
      <c r="P22" s="74">
        <f t="shared" si="11"/>
        <v>10449.570256043313</v>
      </c>
      <c r="Q22" s="74">
        <f t="shared" si="12"/>
        <v>7755.2559739973021</v>
      </c>
      <c r="R22" s="74">
        <f t="shared" si="13"/>
        <v>76460.27016617058</v>
      </c>
      <c r="S22" s="74">
        <f t="shared" si="14"/>
        <v>3278.2965509155488</v>
      </c>
      <c r="T22" s="74">
        <f t="shared" si="15"/>
        <v>2433.021482038369</v>
      </c>
      <c r="U22" s="74">
        <f t="shared" si="16"/>
        <v>12441.13541072451</v>
      </c>
      <c r="V22" s="74">
        <f t="shared" si="17"/>
        <v>6966.3801706955419</v>
      </c>
      <c r="W22" s="74">
        <f t="shared" si="18"/>
        <v>5170.1706493315351</v>
      </c>
      <c r="X22" s="74">
        <f t="shared" si="19"/>
        <v>83742.200658186834</v>
      </c>
      <c r="Y22" s="77"/>
      <c r="Z22" s="78">
        <f t="shared" si="20"/>
        <v>199.76539029696971</v>
      </c>
    </row>
    <row r="25" spans="2:26" x14ac:dyDescent="0.3">
      <c r="E25" s="55"/>
      <c r="F25" s="44"/>
      <c r="G25" s="55"/>
    </row>
    <row r="26" spans="2:26" x14ac:dyDescent="0.3">
      <c r="F26" s="44"/>
    </row>
    <row r="27" spans="2:26" x14ac:dyDescent="0.3">
      <c r="F27" s="44"/>
    </row>
    <row r="28" spans="2:26" x14ac:dyDescent="0.3">
      <c r="E28" s="79"/>
    </row>
  </sheetData>
  <mergeCells count="10">
    <mergeCell ref="V3:W3"/>
    <mergeCell ref="B2:E2"/>
    <mergeCell ref="G2:L2"/>
    <mergeCell ref="M2:R2"/>
    <mergeCell ref="S2:X2"/>
    <mergeCell ref="G3:H3"/>
    <mergeCell ref="J3:K3"/>
    <mergeCell ref="M3:N3"/>
    <mergeCell ref="P3:Q3"/>
    <mergeCell ref="S3:T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A168C-10B4-488D-B1BE-27F9BB2C77D3}">
  <dimension ref="B3:C11"/>
  <sheetViews>
    <sheetView showGridLines="0" workbookViewId="0">
      <selection sqref="A1:XFD1048576"/>
    </sheetView>
  </sheetViews>
  <sheetFormatPr defaultRowHeight="14.4" x14ac:dyDescent="0.3"/>
  <cols>
    <col min="3" max="3" width="15.88671875" customWidth="1"/>
  </cols>
  <sheetData>
    <row r="3" spans="2:3" x14ac:dyDescent="0.3">
      <c r="B3" s="101" t="s">
        <v>43</v>
      </c>
      <c r="C3" s="101"/>
    </row>
    <row r="4" spans="2:3" x14ac:dyDescent="0.3">
      <c r="B4" s="39" t="s">
        <v>41</v>
      </c>
      <c r="C4" s="39" t="s">
        <v>42</v>
      </c>
    </row>
    <row r="5" spans="2:3" x14ac:dyDescent="0.3">
      <c r="B5" s="9">
        <v>2014</v>
      </c>
      <c r="C5" s="9">
        <v>1455</v>
      </c>
    </row>
    <row r="6" spans="2:3" x14ac:dyDescent="0.3">
      <c r="B6" s="9">
        <v>2015</v>
      </c>
      <c r="C6" s="9">
        <v>1535</v>
      </c>
    </row>
    <row r="7" spans="2:3" x14ac:dyDescent="0.3">
      <c r="B7" s="9">
        <v>2016</v>
      </c>
      <c r="C7" s="9">
        <v>1557</v>
      </c>
    </row>
    <row r="8" spans="2:3" x14ac:dyDescent="0.3">
      <c r="B8" s="9">
        <v>2017</v>
      </c>
      <c r="C8" s="9">
        <v>1560</v>
      </c>
    </row>
    <row r="9" spans="2:3" x14ac:dyDescent="0.3">
      <c r="B9" s="9">
        <v>2018</v>
      </c>
      <c r="C9" s="40">
        <f>FORECAST(B9,C5:C8,B5:B8)</f>
        <v>1611</v>
      </c>
    </row>
    <row r="10" spans="2:3" x14ac:dyDescent="0.3">
      <c r="B10" s="9">
        <v>2019</v>
      </c>
      <c r="C10" s="40">
        <f>FORECAST(B10,C6:C8,B6:B8)</f>
        <v>1588.1666666666679</v>
      </c>
    </row>
    <row r="11" spans="2:3" x14ac:dyDescent="0.3">
      <c r="B11" s="9">
        <v>2020</v>
      </c>
      <c r="C11" s="40">
        <f>FORECAST(B11,C7:C9,B7:B9)</f>
        <v>1657</v>
      </c>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Market Estimation</vt:lpstr>
      <vt:lpstr>Sheet2</vt:lpstr>
      <vt:lpstr>Market Forecasting by Segments</vt:lpstr>
      <vt:lpstr>Sheet4</vt:lpstr>
      <vt:lpstr>Sheet3</vt:lpstr>
      <vt:lpstr>Demand-supply analysis</vt:lpstr>
      <vt:lpstr>Parexcel Revenue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YADAV</dc:creator>
  <cp:lastModifiedBy>PRATEEK YADAV</cp:lastModifiedBy>
  <dcterms:created xsi:type="dcterms:W3CDTF">2021-12-04T11:58:06Z</dcterms:created>
  <dcterms:modified xsi:type="dcterms:W3CDTF">2021-12-07T21:16:49Z</dcterms:modified>
</cp:coreProperties>
</file>