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jahmathew/Desktop/College/Internships/"/>
    </mc:Choice>
  </mc:AlternateContent>
  <bookViews>
    <workbookView xWindow="0" yWindow="460" windowWidth="25600" windowHeight="1462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8" l="1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<sst xmlns="http://schemas.openxmlformats.org/spreadsheetml/2006/main" count="478" uniqueCount="96">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</sst>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connections" Target="connections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690.0040525793575</c:v>
                </c:pt>
                <c:pt idx="1">
                  <c:v>680.1468518282239</c:v>
                </c:pt>
                <c:pt idx="2">
                  <c:v>670.28965107709</c:v>
                </c:pt>
                <c:pt idx="3">
                  <c:v>660.4324503259566</c:v>
                </c:pt>
                <c:pt idx="4">
                  <c:v>650.575249574823</c:v>
                </c:pt>
                <c:pt idx="5">
                  <c:v>640.7180488236891</c:v>
                </c:pt>
                <c:pt idx="6">
                  <c:v>630.8608480725555</c:v>
                </c:pt>
                <c:pt idx="7">
                  <c:v>621.003647321422</c:v>
                </c:pt>
                <c:pt idx="8">
                  <c:v>611.1464465702881</c:v>
                </c:pt>
                <c:pt idx="9">
                  <c:v>601.2892458191544</c:v>
                </c:pt>
                <c:pt idx="10">
                  <c:v>591.4320450680208</c:v>
                </c:pt>
                <c:pt idx="11">
                  <c:v>581.574844316887</c:v>
                </c:pt>
                <c:pt idx="12">
                  <c:v>571.7176435657534</c:v>
                </c:pt>
                <c:pt idx="13">
                  <c:v>561.8604428146198</c:v>
                </c:pt>
                <c:pt idx="14">
                  <c:v>552.003242063486</c:v>
                </c:pt>
                <c:pt idx="15">
                  <c:v>542.1460413123523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133072"/>
        <c:axId val="-2101814944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690.0040525793575</c:v>
                </c:pt>
                <c:pt idx="1">
                  <c:v>680.1468518282239</c:v>
                </c:pt>
                <c:pt idx="2">
                  <c:v>670.28965107709</c:v>
                </c:pt>
                <c:pt idx="3">
                  <c:v>660.4324503259566</c:v>
                </c:pt>
                <c:pt idx="4">
                  <c:v>650.575249574823</c:v>
                </c:pt>
                <c:pt idx="5">
                  <c:v>640.7180488236891</c:v>
                </c:pt>
                <c:pt idx="6">
                  <c:v>630.8608480725555</c:v>
                </c:pt>
                <c:pt idx="7">
                  <c:v>621.003647321422</c:v>
                </c:pt>
                <c:pt idx="8">
                  <c:v>611.1464465702881</c:v>
                </c:pt>
                <c:pt idx="9">
                  <c:v>601.2892458191544</c:v>
                </c:pt>
                <c:pt idx="10">
                  <c:v>591.4320450680208</c:v>
                </c:pt>
                <c:pt idx="11">
                  <c:v>581.574844316887</c:v>
                </c:pt>
                <c:pt idx="12">
                  <c:v>571.7176435657534</c:v>
                </c:pt>
                <c:pt idx="13">
                  <c:v>561.8604428146198</c:v>
                </c:pt>
                <c:pt idx="14">
                  <c:v>552.003242063486</c:v>
                </c:pt>
                <c:pt idx="15">
                  <c:v>542.1460413123523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836208"/>
        <c:axId val="-2101472368"/>
      </c:scatterChart>
      <c:valAx>
        <c:axId val="-2073133072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814944"/>
        <c:crosses val="autoZero"/>
        <c:crossBetween val="midCat"/>
      </c:valAx>
      <c:valAx>
        <c:axId val="-2101814944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133072"/>
        <c:crosses val="autoZero"/>
        <c:crossBetween val="midCat"/>
      </c:valAx>
      <c:valAx>
        <c:axId val="-21014723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73836208"/>
        <c:crosses val="max"/>
        <c:crossBetween val="midCat"/>
      </c:valAx>
      <c:valAx>
        <c:axId val="-207383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147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workbookViewId="0">
      <selection activeCell="F6" sqref="F6:R21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45" t="s">
        <v>81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6" x14ac:dyDescent="0.2">
      <c r="A2" s="9" t="s">
        <v>53</v>
      </c>
      <c r="B2" s="11" t="s">
        <v>80</v>
      </c>
      <c r="C2" s="37" t="s">
        <v>95</v>
      </c>
      <c r="D2" s="38" t="s">
        <v>93</v>
      </c>
      <c r="E2"/>
      <c r="F2" s="48" t="s">
        <v>7</v>
      </c>
      <c r="G2" s="49"/>
      <c r="H2" s="49"/>
      <c r="I2" s="49"/>
      <c r="J2" s="50"/>
      <c r="K2" s="51" t="s">
        <v>47</v>
      </c>
      <c r="L2" s="49"/>
      <c r="M2" s="49"/>
      <c r="N2" s="50"/>
      <c r="O2" s="51" t="s">
        <v>48</v>
      </c>
      <c r="P2" s="49"/>
      <c r="Q2" s="49"/>
      <c r="R2" s="52"/>
    </row>
    <row r="3" spans="1:18" ht="16" x14ac:dyDescent="0.2">
      <c r="A3" s="53" t="s">
        <v>1</v>
      </c>
      <c r="B3" s="54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55"/>
      <c r="B4" s="56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80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80</v>
      </c>
      <c r="C6"/>
      <c r="D6"/>
      <c r="E6" s="42" t="s">
        <v>60</v>
      </c>
      <c r="F6" s="13">
        <v>3879.6</v>
      </c>
      <c r="G6" s="14">
        <v>700</v>
      </c>
      <c r="H6" s="15">
        <v>0.40138888888888885</v>
      </c>
      <c r="I6" s="16">
        <v>973</v>
      </c>
      <c r="J6" s="17">
        <v>22.3</v>
      </c>
      <c r="K6" s="18">
        <v>238</v>
      </c>
      <c r="L6" s="12">
        <v>15.427249</v>
      </c>
      <c r="M6" s="14">
        <v>262928</v>
      </c>
      <c r="N6" s="23">
        <v>512.76504999999997</v>
      </c>
      <c r="O6" s="41">
        <v>2.2400000000000001E-12</v>
      </c>
      <c r="P6" s="41">
        <v>6.2204400000000003E-13</v>
      </c>
      <c r="Q6" s="41">
        <v>-4.49E-9</v>
      </c>
      <c r="R6" s="41">
        <v>1.7999999999999999E-11</v>
      </c>
    </row>
    <row r="7" spans="1:18" x14ac:dyDescent="0.2">
      <c r="A7" s="9" t="s">
        <v>3</v>
      </c>
      <c r="B7" s="11" t="s">
        <v>80</v>
      </c>
      <c r="C7"/>
      <c r="D7"/>
      <c r="E7" s="43"/>
      <c r="F7" s="13">
        <v>3824.4</v>
      </c>
      <c r="G7" s="14">
        <v>690</v>
      </c>
      <c r="H7" s="15"/>
      <c r="I7" s="16">
        <v>973</v>
      </c>
      <c r="J7" s="17">
        <v>22.3</v>
      </c>
      <c r="K7" s="18">
        <v>214</v>
      </c>
      <c r="L7" s="12">
        <v>14.628738999999999</v>
      </c>
      <c r="M7" s="36">
        <v>224220</v>
      </c>
      <c r="N7" s="23">
        <v>473.51873999999998</v>
      </c>
      <c r="O7" s="41">
        <v>3.4099999999999998E-12</v>
      </c>
      <c r="P7" s="41">
        <v>5.5299999999999997E-13</v>
      </c>
      <c r="Q7" s="41">
        <v>-3.0600000000000002E-9</v>
      </c>
      <c r="R7" s="41">
        <v>1.26E-11</v>
      </c>
    </row>
    <row r="8" spans="1:18" x14ac:dyDescent="0.2">
      <c r="A8" s="9" t="s">
        <v>28</v>
      </c>
      <c r="B8" s="11" t="s">
        <v>80</v>
      </c>
      <c r="C8"/>
      <c r="D8"/>
      <c r="E8" s="43"/>
      <c r="F8" s="13">
        <v>3769.4</v>
      </c>
      <c r="G8" s="14">
        <v>680</v>
      </c>
      <c r="H8" s="15"/>
      <c r="I8" s="16">
        <v>973</v>
      </c>
      <c r="J8" s="17">
        <v>22.3</v>
      </c>
      <c r="K8" s="18">
        <v>225</v>
      </c>
      <c r="L8" s="12">
        <v>15</v>
      </c>
      <c r="M8" s="36">
        <v>206247</v>
      </c>
      <c r="N8" s="23">
        <v>454.14425</v>
      </c>
      <c r="O8" s="41">
        <v>2.4799999999999999E-12</v>
      </c>
      <c r="P8" s="41">
        <v>4.6500000000000004E-13</v>
      </c>
      <c r="Q8" s="41">
        <v>-2.0799999999999998E-9</v>
      </c>
      <c r="R8" s="41">
        <v>9.5099999999999997E-12</v>
      </c>
    </row>
    <row r="9" spans="1:18" ht="15" customHeight="1" x14ac:dyDescent="0.2">
      <c r="A9" s="9" t="s">
        <v>29</v>
      </c>
      <c r="B9" s="11" t="s">
        <v>80</v>
      </c>
      <c r="C9" s="4"/>
      <c r="D9" s="6"/>
      <c r="E9" s="43"/>
      <c r="F9" s="13">
        <v>3714.6</v>
      </c>
      <c r="G9" s="14">
        <v>670</v>
      </c>
      <c r="H9" s="15"/>
      <c r="I9" s="16">
        <v>973</v>
      </c>
      <c r="J9" s="17">
        <v>22.3</v>
      </c>
      <c r="K9" s="18">
        <v>178</v>
      </c>
      <c r="L9" s="12">
        <v>13.341664</v>
      </c>
      <c r="M9" s="14">
        <v>192619</v>
      </c>
      <c r="N9" s="23">
        <v>438.88380999999998</v>
      </c>
      <c r="O9" s="41">
        <v>2.71E-12</v>
      </c>
      <c r="P9" s="41">
        <v>4.6400000000000004E-13</v>
      </c>
      <c r="Q9" s="41">
        <v>-1.43E-9</v>
      </c>
      <c r="R9" s="41">
        <v>6.1699999999999998E-12</v>
      </c>
    </row>
    <row r="10" spans="1:18" x14ac:dyDescent="0.2">
      <c r="A10" s="53" t="s">
        <v>23</v>
      </c>
      <c r="B10" s="54"/>
      <c r="C10" s="4"/>
      <c r="D10" s="6"/>
      <c r="E10" s="43"/>
      <c r="F10" s="13">
        <v>3658.6</v>
      </c>
      <c r="G10" s="14">
        <v>660</v>
      </c>
      <c r="H10" s="15"/>
      <c r="I10" s="16">
        <v>973</v>
      </c>
      <c r="J10" s="17">
        <v>22.3</v>
      </c>
      <c r="K10" s="18">
        <v>158</v>
      </c>
      <c r="L10" s="12">
        <v>12.569805000000001</v>
      </c>
      <c r="M10" s="14">
        <v>182242</v>
      </c>
      <c r="N10" s="23">
        <v>426.89810999999997</v>
      </c>
      <c r="O10" s="41">
        <v>3.75E-12</v>
      </c>
      <c r="P10" s="41">
        <v>4.39E-13</v>
      </c>
      <c r="Q10" s="41">
        <v>-9.7100000000000006E-10</v>
      </c>
      <c r="R10" s="41">
        <v>4.3399999999999997E-12</v>
      </c>
    </row>
    <row r="11" spans="1:18" x14ac:dyDescent="0.2">
      <c r="A11" s="55"/>
      <c r="B11" s="56"/>
      <c r="C11" s="4"/>
      <c r="D11" s="6"/>
      <c r="E11" s="43"/>
      <c r="F11" s="13">
        <v>3603.6</v>
      </c>
      <c r="G11" s="14">
        <v>650</v>
      </c>
      <c r="H11" s="15"/>
      <c r="I11" s="16">
        <v>973</v>
      </c>
      <c r="J11" s="17">
        <v>22.3</v>
      </c>
      <c r="K11" s="18">
        <v>114</v>
      </c>
      <c r="L11" s="12">
        <v>10.677078</v>
      </c>
      <c r="M11" s="14">
        <v>173663</v>
      </c>
      <c r="N11" s="23">
        <v>416.72892999999999</v>
      </c>
      <c r="O11" s="41">
        <v>4.5499999999999998E-12</v>
      </c>
      <c r="P11" s="41">
        <v>3.8700000000000002E-13</v>
      </c>
      <c r="Q11" s="41">
        <v>-6.8000000000000003E-10</v>
      </c>
      <c r="R11" s="41">
        <v>2.8599999999999999E-12</v>
      </c>
    </row>
    <row r="12" spans="1:18" x14ac:dyDescent="0.2">
      <c r="A12" s="9" t="s">
        <v>57</v>
      </c>
      <c r="B12" s="11" t="s">
        <v>80</v>
      </c>
      <c r="C12" s="4"/>
      <c r="D12" s="6"/>
      <c r="E12" s="43"/>
      <c r="F12" s="13">
        <v>3548.6</v>
      </c>
      <c r="G12" s="14">
        <v>640</v>
      </c>
      <c r="H12" s="15"/>
      <c r="I12" s="16">
        <v>973</v>
      </c>
      <c r="J12" s="17">
        <v>22.3</v>
      </c>
      <c r="K12" s="18">
        <v>69</v>
      </c>
      <c r="L12" s="12">
        <v>8.3066238999999999</v>
      </c>
      <c r="M12" s="14">
        <v>168250</v>
      </c>
      <c r="N12" s="23">
        <v>410.18288999999999</v>
      </c>
      <c r="O12" s="41">
        <v>3.0000000000000001E-12</v>
      </c>
      <c r="P12" s="41">
        <v>3.8700000000000002E-13</v>
      </c>
      <c r="Q12" s="41">
        <v>-4.6900000000000003E-10</v>
      </c>
      <c r="R12" s="41">
        <v>1.9E-12</v>
      </c>
    </row>
    <row r="13" spans="1:18" x14ac:dyDescent="0.2">
      <c r="A13" s="9" t="s">
        <v>45</v>
      </c>
      <c r="B13" s="11" t="s">
        <v>80</v>
      </c>
      <c r="C13" s="4"/>
      <c r="D13" s="6"/>
      <c r="E13" s="43"/>
      <c r="F13" s="13">
        <v>3493.6</v>
      </c>
      <c r="G13" s="14">
        <v>630</v>
      </c>
      <c r="H13" s="15"/>
      <c r="I13" s="16">
        <v>973</v>
      </c>
      <c r="J13" s="17">
        <v>22.3</v>
      </c>
      <c r="K13" s="18">
        <v>70</v>
      </c>
      <c r="L13" s="12">
        <v>8.3666003</v>
      </c>
      <c r="M13" s="14">
        <v>162752</v>
      </c>
      <c r="N13" s="23">
        <v>403.42532999999997</v>
      </c>
      <c r="O13" s="41">
        <v>3.8100000000000001E-12</v>
      </c>
      <c r="P13" s="41">
        <v>4.74E-13</v>
      </c>
      <c r="Q13" s="41">
        <v>-3.2700000000000001E-10</v>
      </c>
      <c r="R13" s="41">
        <v>1.43E-12</v>
      </c>
    </row>
    <row r="14" spans="1:18" x14ac:dyDescent="0.2">
      <c r="A14" s="9" t="s">
        <v>54</v>
      </c>
      <c r="B14" s="11" t="s">
        <v>80</v>
      </c>
      <c r="C14" s="4"/>
      <c r="D14" s="6"/>
      <c r="E14" s="43"/>
      <c r="F14" s="13">
        <v>3437.6</v>
      </c>
      <c r="G14" s="14">
        <v>620</v>
      </c>
      <c r="H14" s="15"/>
      <c r="I14" s="16">
        <v>973</v>
      </c>
      <c r="J14" s="17">
        <v>22.3</v>
      </c>
      <c r="K14" s="18">
        <v>48</v>
      </c>
      <c r="L14" s="12">
        <v>6.9282031999999996</v>
      </c>
      <c r="M14" s="14">
        <v>155116</v>
      </c>
      <c r="N14" s="23">
        <v>393.84769</v>
      </c>
      <c r="O14" s="41">
        <v>3.2599999999999998E-12</v>
      </c>
      <c r="P14" s="41">
        <v>6.1200000000000002E-13</v>
      </c>
      <c r="Q14" s="41">
        <v>-2.3000000000000001E-10</v>
      </c>
      <c r="R14" s="41">
        <v>1.1200000000000001E-12</v>
      </c>
    </row>
    <row r="15" spans="1:18" x14ac:dyDescent="0.2">
      <c r="A15" s="9" t="s">
        <v>55</v>
      </c>
      <c r="B15" s="11" t="s">
        <v>80</v>
      </c>
      <c r="C15" s="4"/>
      <c r="D15" s="6"/>
      <c r="E15" s="43"/>
      <c r="F15" s="13">
        <v>3382.8</v>
      </c>
      <c r="G15" s="14">
        <v>610</v>
      </c>
      <c r="H15" s="15"/>
      <c r="I15" s="16">
        <v>973</v>
      </c>
      <c r="J15" s="17">
        <v>22.3</v>
      </c>
      <c r="K15" s="18">
        <v>39</v>
      </c>
      <c r="L15" s="12">
        <v>6.2449979999999998</v>
      </c>
      <c r="M15" s="14">
        <v>140607</v>
      </c>
      <c r="N15" s="23">
        <v>374.976</v>
      </c>
      <c r="O15" s="41">
        <v>4.1100000000000001E-12</v>
      </c>
      <c r="P15" s="41">
        <v>3.9800000000000002E-13</v>
      </c>
      <c r="Q15" s="41">
        <v>-1.5899999999999999E-10</v>
      </c>
      <c r="R15" s="41">
        <v>8.1900000000000004E-13</v>
      </c>
    </row>
    <row r="16" spans="1:18" x14ac:dyDescent="0.2">
      <c r="A16" s="9" t="s">
        <v>49</v>
      </c>
      <c r="B16" s="11" t="s">
        <v>80</v>
      </c>
      <c r="C16" s="4"/>
      <c r="D16" s="6"/>
      <c r="E16" s="43"/>
      <c r="F16" s="13">
        <v>3327.8</v>
      </c>
      <c r="G16" s="14">
        <v>600</v>
      </c>
      <c r="H16" s="15"/>
      <c r="I16" s="16">
        <v>972</v>
      </c>
      <c r="J16" s="17">
        <v>22.3</v>
      </c>
      <c r="K16" s="18">
        <v>33</v>
      </c>
      <c r="L16" s="12">
        <v>5.7445626000000001</v>
      </c>
      <c r="M16" s="14">
        <v>114005</v>
      </c>
      <c r="N16" s="23">
        <v>337.64625999999998</v>
      </c>
      <c r="O16" s="41">
        <v>3.8600000000000001E-12</v>
      </c>
      <c r="P16" s="41">
        <v>3.9499999999999998E-13</v>
      </c>
      <c r="Q16" s="41">
        <v>-1.12E-10</v>
      </c>
      <c r="R16" s="41">
        <v>6.17E-13</v>
      </c>
    </row>
    <row r="17" spans="1:20" x14ac:dyDescent="0.2">
      <c r="A17" s="9" t="s">
        <v>62</v>
      </c>
      <c r="B17" s="11" t="s">
        <v>80</v>
      </c>
      <c r="C17" s="4"/>
      <c r="D17" s="6"/>
      <c r="E17" s="43"/>
      <c r="F17" s="13">
        <v>3272.8</v>
      </c>
      <c r="G17" s="14">
        <v>590</v>
      </c>
      <c r="H17" s="15"/>
      <c r="I17" s="16">
        <v>973</v>
      </c>
      <c r="J17" s="17">
        <v>22.3</v>
      </c>
      <c r="K17" s="18">
        <v>10</v>
      </c>
      <c r="L17" s="12">
        <v>3.1622777000000002</v>
      </c>
      <c r="M17" s="14">
        <v>67509</v>
      </c>
      <c r="N17" s="23">
        <v>259.82494000000003</v>
      </c>
      <c r="O17" s="41">
        <v>4.31E-12</v>
      </c>
      <c r="P17" s="41">
        <v>3.8199999999999999E-13</v>
      </c>
      <c r="Q17" s="41">
        <v>-7.7700000000000001E-11</v>
      </c>
      <c r="R17" s="41">
        <v>5.21E-13</v>
      </c>
    </row>
    <row r="18" spans="1:20" ht="14" customHeight="1" x14ac:dyDescent="0.2">
      <c r="A18" s="9" t="s">
        <v>63</v>
      </c>
      <c r="B18" s="11" t="s">
        <v>80</v>
      </c>
      <c r="C18" s="4"/>
      <c r="D18" s="6"/>
      <c r="E18" s="43"/>
      <c r="F18" s="13">
        <v>3218</v>
      </c>
      <c r="G18" s="14">
        <v>580</v>
      </c>
      <c r="H18" s="15"/>
      <c r="I18" s="16">
        <v>973</v>
      </c>
      <c r="J18" s="17">
        <v>22.3</v>
      </c>
      <c r="K18" s="18">
        <v>20</v>
      </c>
      <c r="L18" s="12">
        <v>4.4721359999999999</v>
      </c>
      <c r="M18" s="14">
        <v>44427</v>
      </c>
      <c r="N18" s="23">
        <v>210.77713</v>
      </c>
      <c r="O18" s="41">
        <v>4.4499999999999998E-12</v>
      </c>
      <c r="P18" s="41">
        <v>3.9599999999999998E-13</v>
      </c>
      <c r="Q18" s="41">
        <v>-5.4099999999999999E-11</v>
      </c>
      <c r="R18" s="41">
        <v>4.02E-13</v>
      </c>
    </row>
    <row r="19" spans="1:20" ht="15" customHeight="1" x14ac:dyDescent="0.2">
      <c r="A19" s="9" t="s">
        <v>64</v>
      </c>
      <c r="B19" s="11" t="s">
        <v>80</v>
      </c>
      <c r="C19" s="4"/>
      <c r="D19" s="6"/>
      <c r="E19" s="43"/>
      <c r="F19" s="13">
        <v>3161.8</v>
      </c>
      <c r="G19" s="14">
        <v>570</v>
      </c>
      <c r="H19" s="15"/>
      <c r="I19" s="16">
        <v>973</v>
      </c>
      <c r="J19" s="17">
        <v>22.3</v>
      </c>
      <c r="K19" s="18">
        <v>8</v>
      </c>
      <c r="L19" s="12">
        <v>2.8284270999999999</v>
      </c>
      <c r="M19" s="14">
        <v>17584</v>
      </c>
      <c r="N19" s="23">
        <v>132.60468</v>
      </c>
      <c r="O19" s="41">
        <v>3.3300000000000001E-12</v>
      </c>
      <c r="P19" s="41">
        <v>5.1100000000000004E-13</v>
      </c>
      <c r="Q19" s="41">
        <v>-3.8100000000000003E-11</v>
      </c>
      <c r="R19" s="41">
        <v>3.92E-13</v>
      </c>
    </row>
    <row r="20" spans="1:20" x14ac:dyDescent="0.2">
      <c r="A20" s="9" t="s">
        <v>65</v>
      </c>
      <c r="B20" s="11" t="s">
        <v>80</v>
      </c>
      <c r="C20" s="4"/>
      <c r="D20" s="6"/>
      <c r="E20" s="43"/>
      <c r="F20" s="13">
        <v>3106.8</v>
      </c>
      <c r="G20" s="14">
        <v>560</v>
      </c>
      <c r="H20" s="15"/>
      <c r="I20" s="16">
        <v>973</v>
      </c>
      <c r="J20" s="17">
        <v>22.3</v>
      </c>
      <c r="K20" s="18">
        <v>6</v>
      </c>
      <c r="L20" s="12">
        <v>2.4494897</v>
      </c>
      <c r="M20" s="14">
        <v>2597</v>
      </c>
      <c r="N20" s="23">
        <v>50.960768999999999</v>
      </c>
      <c r="O20" s="41">
        <v>3.7E-12</v>
      </c>
      <c r="P20" s="41">
        <v>3.91E-13</v>
      </c>
      <c r="Q20" s="41">
        <v>-2.6499999999999999E-11</v>
      </c>
      <c r="R20" s="41">
        <v>3.6400000000000001E-13</v>
      </c>
    </row>
    <row r="21" spans="1:20" x14ac:dyDescent="0.2">
      <c r="A21" s="9" t="s">
        <v>66</v>
      </c>
      <c r="B21" s="11" t="s">
        <v>80</v>
      </c>
      <c r="C21" s="4"/>
      <c r="D21" s="6"/>
      <c r="E21" s="44"/>
      <c r="F21" s="13">
        <v>3050.5</v>
      </c>
      <c r="G21" s="14">
        <v>550</v>
      </c>
      <c r="H21" s="15"/>
      <c r="I21" s="16">
        <v>973</v>
      </c>
      <c r="J21" s="17">
        <v>22.3</v>
      </c>
      <c r="K21" s="18">
        <v>2</v>
      </c>
      <c r="L21" s="12">
        <v>1.4142136000000001</v>
      </c>
      <c r="M21" s="14"/>
      <c r="N21" s="23">
        <v>0</v>
      </c>
      <c r="O21" s="41">
        <v>3.1000000000000001E-12</v>
      </c>
      <c r="P21" s="41">
        <v>3.4599999999999999E-13</v>
      </c>
      <c r="Q21" s="41">
        <v>-1.7900000000000001E-11</v>
      </c>
      <c r="R21" s="41">
        <v>3.7199999999999998E-13</v>
      </c>
      <c r="T21" s="2"/>
    </row>
    <row r="22" spans="1:20" x14ac:dyDescent="0.2">
      <c r="A22" s="9" t="s">
        <v>67</v>
      </c>
      <c r="B22" s="11" t="s">
        <v>80</v>
      </c>
      <c r="C22" s="4"/>
      <c r="D22" s="6"/>
    </row>
    <row r="23" spans="1:20" x14ac:dyDescent="0.2">
      <c r="A23" s="9" t="s">
        <v>68</v>
      </c>
      <c r="B23" s="11" t="s">
        <v>80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0"/>
      <c r="K23" s="61"/>
      <c r="L23" s="61"/>
      <c r="M23" s="62"/>
    </row>
    <row r="24" spans="1:20" x14ac:dyDescent="0.2">
      <c r="A24" s="9" t="s">
        <v>69</v>
      </c>
      <c r="B24" s="11" t="s">
        <v>80</v>
      </c>
      <c r="C24" s="5"/>
      <c r="D24" s="6"/>
      <c r="E24" s="19" t="s">
        <v>40</v>
      </c>
      <c r="F24" s="11" t="s">
        <v>80</v>
      </c>
      <c r="G24" s="8">
        <v>196</v>
      </c>
      <c r="H24" s="8">
        <v>322</v>
      </c>
      <c r="I24" s="8">
        <v>346</v>
      </c>
      <c r="J24" s="66" t="s">
        <v>41</v>
      </c>
      <c r="K24" s="66"/>
      <c r="L24" s="57">
        <v>1.602E-19</v>
      </c>
      <c r="M24" s="57"/>
    </row>
    <row r="25" spans="1:20" x14ac:dyDescent="0.2">
      <c r="A25" s="9" t="s">
        <v>70</v>
      </c>
      <c r="B25" s="11" t="s">
        <v>80</v>
      </c>
      <c r="C25" s="5"/>
      <c r="D25" s="6"/>
      <c r="E25" s="19" t="s">
        <v>73</v>
      </c>
      <c r="F25" s="11" t="s">
        <v>80</v>
      </c>
      <c r="G25" s="8">
        <v>1.8</v>
      </c>
      <c r="H25" s="8">
        <v>2.8</v>
      </c>
      <c r="I25" s="8">
        <v>2.9</v>
      </c>
      <c r="J25" s="60"/>
      <c r="K25" s="61"/>
      <c r="L25" s="61"/>
      <c r="M25" s="62"/>
    </row>
    <row r="26" spans="1:20" x14ac:dyDescent="0.2">
      <c r="A26" s="53" t="s">
        <v>0</v>
      </c>
      <c r="B26" s="54"/>
      <c r="D26" s="5"/>
      <c r="E26" s="59" t="s">
        <v>89</v>
      </c>
      <c r="F26" s="59"/>
      <c r="G26" s="59"/>
      <c r="H26" s="59"/>
      <c r="I26" s="59"/>
      <c r="J26" s="59"/>
      <c r="K26" s="59"/>
      <c r="L26" s="59"/>
      <c r="M26" s="59"/>
    </row>
    <row r="27" spans="1:20" x14ac:dyDescent="0.2">
      <c r="A27" s="55"/>
      <c r="B27" s="56"/>
      <c r="E27" s="59"/>
      <c r="F27" s="59"/>
      <c r="G27" s="59"/>
      <c r="H27" s="59"/>
      <c r="I27" s="59"/>
      <c r="J27" s="59"/>
      <c r="K27" s="59"/>
      <c r="L27" s="59"/>
      <c r="M27" s="59"/>
    </row>
    <row r="28" spans="1:20" x14ac:dyDescent="0.2">
      <c r="A28" s="9" t="s">
        <v>56</v>
      </c>
      <c r="B28" s="11" t="s">
        <v>80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 t="s">
        <v>80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 t="s">
        <v>80</v>
      </c>
      <c r="E30" s="29">
        <f t="shared" ref="E30:E45" si="0">G6*(AVERAGE($J$6:$J$21)+273.15)/(AVERAGE($I$6:$I$21))*($I$48/$I$49)</f>
        <v>690.00405257935756</v>
      </c>
      <c r="F30" s="29">
        <f t="shared" ref="F30:F45" si="1">F6*(AVERAGE($J$6:$J$21)+273.15)/(AVERAGE($I$6:$I$21))*($I$48/$I$49)</f>
        <v>3824.1996034098215</v>
      </c>
      <c r="G30" s="29" t="e">
        <f>E30*'Data Summary'!$B$18*(AVERAGE($J$6:$J$21)+273.15)/(AVERAGE($I$6:$I$21))*($I$48/$I$49)</f>
        <v>#VALUE!</v>
      </c>
      <c r="H30" s="31" t="e">
        <f>(M6-K6)/$B$42</f>
        <v>#VALUE!</v>
      </c>
      <c r="I30" s="32" t="e">
        <f>(1/$B$42)*SQRT(N6^2+L6^2)</f>
        <v>#VALUE!</v>
      </c>
      <c r="J30" s="33">
        <f>Q6-O6</f>
        <v>-4.4922400000000002E-9</v>
      </c>
      <c r="K30" s="33">
        <f>SQRT(P6^2+R6^2)</f>
        <v>1.8010745091137566E-11</v>
      </c>
      <c r="L30" s="32" t="e">
        <f>ABS(J30)/($H$30*$F$24*$L$24)</f>
        <v>#VALUE!</v>
      </c>
      <c r="M30" s="33" t="e">
        <f>SQRT( ( 1 / ($H$30*$F$24*$L$24 ) )^2 * (K30^2+J30^2*( ($I$30/$H$30)^2+($F$25/$F$24)^2)))</f>
        <v>#VALUE!</v>
      </c>
    </row>
    <row r="31" spans="1:20" x14ac:dyDescent="0.2">
      <c r="A31" s="9" t="s">
        <v>27</v>
      </c>
      <c r="B31" s="11" t="s">
        <v>80</v>
      </c>
      <c r="E31" s="29">
        <f t="shared" si="0"/>
        <v>680.14685182822393</v>
      </c>
      <c r="F31" s="29">
        <f t="shared" si="1"/>
        <v>3769.7878552635643</v>
      </c>
      <c r="G31" s="29" t="e">
        <f>E31*'Data Summary'!$B$18*(AVERAGE($J$6:$J$21)+273.15)/(AVERAGE($I$6:$I$21))*($I$48/$I$49)</f>
        <v>#VALUE!</v>
      </c>
      <c r="H31" s="31" t="e">
        <f>(M7-K7)/$B$42</f>
        <v>#VALUE!</v>
      </c>
      <c r="I31" s="32" t="e">
        <f t="shared" ref="I31:I45" si="2">(1/$B$42)*SQRT(N7^2+L7^2)</f>
        <v>#VALUE!</v>
      </c>
      <c r="J31" s="33">
        <f t="shared" ref="J31:J45" si="3">Q7-O7</f>
        <v>-3.0634100000000003E-9</v>
      </c>
      <c r="K31" s="33">
        <f t="shared" ref="K31:K45" si="4">SQRT(P7^2+R7^2)</f>
        <v>1.2612129439551436E-11</v>
      </c>
      <c r="L31" s="32" t="e">
        <f>ABS(J31)/($H$30*$F$24*$L$24)</f>
        <v>#VALUE!</v>
      </c>
      <c r="M31" s="33" t="e">
        <f t="shared" ref="M31:M45" si="5">SQRT( ( 1 / ($H$30*$F$24*$L$24 ) )^2 * (K31^2+J31^2*( ($I$30/$H$30)^2+($F$25/$F$24)^2)))</f>
        <v>#VALUE!</v>
      </c>
    </row>
    <row r="32" spans="1:20" x14ac:dyDescent="0.2">
      <c r="A32" s="53" t="s">
        <v>52</v>
      </c>
      <c r="B32" s="54"/>
      <c r="E32" s="29">
        <f t="shared" si="0"/>
        <v>670.28965107709018</v>
      </c>
      <c r="F32" s="29">
        <f t="shared" si="1"/>
        <v>3715.5732511323295</v>
      </c>
      <c r="G32" s="29" t="e">
        <f>E32*'Data Summary'!$B$18*(AVERAGE($J$6:$J$21)+273.15)/(AVERAGE($I$6:$I$21))*($I$48/$I$49)</f>
        <v>#VALUE!</v>
      </c>
      <c r="H32" s="31" t="e">
        <f t="shared" ref="H32:H45" si="6">(M8-K8)/$B$42</f>
        <v>#VALUE!</v>
      </c>
      <c r="I32" s="32" t="e">
        <f t="shared" si="2"/>
        <v>#VALUE!</v>
      </c>
      <c r="J32" s="33">
        <f t="shared" si="3"/>
        <v>-2.08248E-9</v>
      </c>
      <c r="K32" s="33">
        <f t="shared" si="4"/>
        <v>9.5213615097841966E-12</v>
      </c>
      <c r="L32" s="32" t="e">
        <f t="shared" ref="L32:L45" si="7">ABS(J32)/($H$30*$F$24*$L$24)</f>
        <v>#VALUE!</v>
      </c>
      <c r="M32" s="33" t="e">
        <f t="shared" si="5"/>
        <v>#VALUE!</v>
      </c>
    </row>
    <row r="33" spans="1:14" x14ac:dyDescent="0.2">
      <c r="A33" s="55"/>
      <c r="B33" s="56"/>
      <c r="E33" s="29">
        <f t="shared" si="0"/>
        <v>660.43245032595655</v>
      </c>
      <c r="F33" s="29">
        <f t="shared" si="1"/>
        <v>3661.5557910161165</v>
      </c>
      <c r="G33" s="29" t="e">
        <f>E33*'Data Summary'!$B$18*(AVERAGE($J$6:$J$21)+273.15)/(AVERAGE($I$6:$I$21))*($I$48/$I$49)</f>
        <v>#VALUE!</v>
      </c>
      <c r="H33" s="31" t="e">
        <f t="shared" si="6"/>
        <v>#VALUE!</v>
      </c>
      <c r="I33" s="32" t="e">
        <f t="shared" si="2"/>
        <v>#VALUE!</v>
      </c>
      <c r="J33" s="33">
        <f t="shared" si="3"/>
        <v>-1.4327100000000001E-9</v>
      </c>
      <c r="K33" s="33">
        <f t="shared" si="4"/>
        <v>6.1874224035538418E-12</v>
      </c>
      <c r="L33" s="32" t="e">
        <f t="shared" si="7"/>
        <v>#VALUE!</v>
      </c>
      <c r="M33" s="33" t="e">
        <f t="shared" si="5"/>
        <v>#VALUE!</v>
      </c>
    </row>
    <row r="34" spans="1:14" x14ac:dyDescent="0.2">
      <c r="A34" s="9" t="s">
        <v>56</v>
      </c>
      <c r="B34" s="11" t="s">
        <v>80</v>
      </c>
      <c r="E34" s="29">
        <f t="shared" si="0"/>
        <v>650.57524957482292</v>
      </c>
      <c r="F34" s="29">
        <f t="shared" si="1"/>
        <v>3606.3554668097677</v>
      </c>
      <c r="G34" s="29" t="e">
        <f>E34*'Data Summary'!$B$18*(AVERAGE($J$6:$J$21)+273.15)/(AVERAGE($I$6:$I$21))*($I$48/$I$49)</f>
        <v>#VALUE!</v>
      </c>
      <c r="H34" s="31" t="e">
        <f t="shared" si="6"/>
        <v>#VALUE!</v>
      </c>
      <c r="I34" s="32" t="e">
        <f t="shared" si="2"/>
        <v>#VALUE!</v>
      </c>
      <c r="J34" s="33">
        <f t="shared" si="3"/>
        <v>-9.7474999999999997E-10</v>
      </c>
      <c r="K34" s="33">
        <f t="shared" si="4"/>
        <v>4.3621463753523901E-12</v>
      </c>
      <c r="L34" s="32" t="e">
        <f t="shared" si="7"/>
        <v>#VALUE!</v>
      </c>
      <c r="M34" s="33" t="e">
        <f t="shared" si="5"/>
        <v>#VALUE!</v>
      </c>
    </row>
    <row r="35" spans="1:14" x14ac:dyDescent="0.2">
      <c r="A35" s="9" t="s">
        <v>20</v>
      </c>
      <c r="B35" s="11" t="s">
        <v>80</v>
      </c>
      <c r="E35" s="29">
        <f t="shared" si="0"/>
        <v>640.71804882368917</v>
      </c>
      <c r="F35" s="29">
        <f t="shared" si="1"/>
        <v>3552.1408626785328</v>
      </c>
      <c r="G35" s="29" t="e">
        <f>E35*'Data Summary'!$B$18*(AVERAGE($J$6:$J$21)+273.15)/(AVERAGE($I$6:$I$21))*($I$48/$I$49)</f>
        <v>#VALUE!</v>
      </c>
      <c r="H35" s="31" t="e">
        <f t="shared" si="6"/>
        <v>#VALUE!</v>
      </c>
      <c r="I35" s="32" t="e">
        <f t="shared" si="2"/>
        <v>#VALUE!</v>
      </c>
      <c r="J35" s="33">
        <f t="shared" si="3"/>
        <v>-6.8455000000000008E-10</v>
      </c>
      <c r="K35" s="33">
        <f t="shared" si="4"/>
        <v>2.886064621591138E-12</v>
      </c>
      <c r="L35" s="32" t="e">
        <f t="shared" si="7"/>
        <v>#VALUE!</v>
      </c>
      <c r="M35" s="33" t="e">
        <f t="shared" si="5"/>
        <v>#VALUE!</v>
      </c>
      <c r="N35" s="3"/>
    </row>
    <row r="36" spans="1:14" x14ac:dyDescent="0.2">
      <c r="A36" s="9" t="s">
        <v>21</v>
      </c>
      <c r="B36" s="11" t="s">
        <v>80</v>
      </c>
      <c r="E36" s="29">
        <f t="shared" si="0"/>
        <v>630.86084807255554</v>
      </c>
      <c r="F36" s="29">
        <f t="shared" si="1"/>
        <v>3497.926258547297</v>
      </c>
      <c r="G36" s="29" t="e">
        <f>E36*'Data Summary'!$B$18*(AVERAGE($J$6:$J$21)+273.15)/(AVERAGE($I$6:$I$21))*($I$48/$I$49)</f>
        <v>#VALUE!</v>
      </c>
      <c r="H36" s="31" t="e">
        <f t="shared" si="6"/>
        <v>#VALUE!</v>
      </c>
      <c r="I36" s="32" t="e">
        <f t="shared" si="2"/>
        <v>#VALUE!</v>
      </c>
      <c r="J36" s="33">
        <f t="shared" si="3"/>
        <v>-4.7200000000000002E-10</v>
      </c>
      <c r="K36" s="33">
        <f t="shared" si="4"/>
        <v>1.9390123774746772E-12</v>
      </c>
      <c r="L36" s="32" t="e">
        <f t="shared" si="7"/>
        <v>#VALUE!</v>
      </c>
      <c r="M36" s="33" t="e">
        <f t="shared" si="5"/>
        <v>#VALUE!</v>
      </c>
      <c r="N36" s="3"/>
    </row>
    <row r="37" spans="1:14" x14ac:dyDescent="0.2">
      <c r="A37" s="9" t="s">
        <v>22</v>
      </c>
      <c r="B37" s="11" t="s">
        <v>80</v>
      </c>
      <c r="E37" s="29">
        <f t="shared" si="0"/>
        <v>621.00364732142191</v>
      </c>
      <c r="F37" s="29">
        <f t="shared" si="1"/>
        <v>3443.7116544160617</v>
      </c>
      <c r="G37" s="29" t="e">
        <f>E37*'Data Summary'!$B$18*(AVERAGE($J$6:$J$21)+273.15)/(AVERAGE($I$6:$I$21))*($I$48/$I$49)</f>
        <v>#VALUE!</v>
      </c>
      <c r="H37" s="31" t="e">
        <f t="shared" si="6"/>
        <v>#VALUE!</v>
      </c>
      <c r="I37" s="32" t="e">
        <f t="shared" si="2"/>
        <v>#VALUE!</v>
      </c>
      <c r="J37" s="33">
        <f t="shared" si="3"/>
        <v>-3.3081000000000002E-10</v>
      </c>
      <c r="K37" s="33">
        <f t="shared" si="4"/>
        <v>1.506511201418695E-12</v>
      </c>
      <c r="L37" s="32" t="e">
        <f t="shared" si="7"/>
        <v>#VALUE!</v>
      </c>
      <c r="M37" s="33" t="e">
        <f t="shared" si="5"/>
        <v>#VALUE!</v>
      </c>
    </row>
    <row r="38" spans="1:14" x14ac:dyDescent="0.2">
      <c r="A38" s="53" t="s">
        <v>11</v>
      </c>
      <c r="B38" s="54"/>
      <c r="E38" s="29">
        <f t="shared" si="0"/>
        <v>611.14644657028816</v>
      </c>
      <c r="F38" s="29">
        <f t="shared" si="1"/>
        <v>3388.5113302097138</v>
      </c>
      <c r="G38" s="29" t="e">
        <f>E38*'Data Summary'!$B$18*(AVERAGE($J$6:$J$21)+273.15)/(AVERAGE($I$6:$I$21))*($I$48/$I$49)</f>
        <v>#VALUE!</v>
      </c>
      <c r="H38" s="31" t="e">
        <f t="shared" si="6"/>
        <v>#VALUE!</v>
      </c>
      <c r="I38" s="32" t="e">
        <f t="shared" si="2"/>
        <v>#VALUE!</v>
      </c>
      <c r="J38" s="33">
        <f t="shared" si="3"/>
        <v>-2.3326000000000003E-10</v>
      </c>
      <c r="K38" s="33">
        <f t="shared" si="4"/>
        <v>1.2763009049593283E-12</v>
      </c>
      <c r="L38" s="32" t="e">
        <f t="shared" si="7"/>
        <v>#VALUE!</v>
      </c>
      <c r="M38" s="33" t="e">
        <f t="shared" si="5"/>
        <v>#VALUE!</v>
      </c>
    </row>
    <row r="39" spans="1:14" x14ac:dyDescent="0.2">
      <c r="A39" s="64"/>
      <c r="B39" s="65"/>
      <c r="E39" s="29">
        <f t="shared" si="0"/>
        <v>601.28924581915442</v>
      </c>
      <c r="F39" s="29">
        <f t="shared" si="1"/>
        <v>3334.4938700935013</v>
      </c>
      <c r="G39" s="29" t="e">
        <f>E39*'Data Summary'!$B$18*(AVERAGE($J$6:$J$21)+273.15)/(AVERAGE($I$6:$I$21))*($I$48/$I$49)</f>
        <v>#VALUE!</v>
      </c>
      <c r="H39" s="31" t="e">
        <f t="shared" si="6"/>
        <v>#VALUE!</v>
      </c>
      <c r="I39" s="32" t="e">
        <f t="shared" si="2"/>
        <v>#VALUE!</v>
      </c>
      <c r="J39" s="33">
        <f t="shared" si="3"/>
        <v>-1.6310999999999999E-10</v>
      </c>
      <c r="K39" s="33">
        <f t="shared" si="4"/>
        <v>9.1058497681435543E-13</v>
      </c>
      <c r="L39" s="32" t="e">
        <f t="shared" si="7"/>
        <v>#VALUE!</v>
      </c>
      <c r="M39" s="33" t="e">
        <f t="shared" si="5"/>
        <v>#VALUE!</v>
      </c>
      <c r="N39" s="3"/>
    </row>
    <row r="40" spans="1:14" x14ac:dyDescent="0.2">
      <c r="A40" s="55"/>
      <c r="B40" s="56"/>
      <c r="E40" s="29">
        <f t="shared" si="0"/>
        <v>591.43204506802078</v>
      </c>
      <c r="F40" s="29">
        <f t="shared" si="1"/>
        <v>3280.279265962266</v>
      </c>
      <c r="G40" s="29" t="e">
        <f>E40*'Data Summary'!$B$18*(AVERAGE($J$6:$J$21)+273.15)/(AVERAGE($I$6:$I$21))*($I$48/$I$49)</f>
        <v>#VALUE!</v>
      </c>
      <c r="H40" s="31" t="e">
        <f t="shared" si="6"/>
        <v>#VALUE!</v>
      </c>
      <c r="I40" s="32" t="e">
        <f t="shared" si="2"/>
        <v>#VALUE!</v>
      </c>
      <c r="J40" s="33">
        <f t="shared" si="3"/>
        <v>-1.1586E-10</v>
      </c>
      <c r="K40" s="33">
        <f t="shared" si="4"/>
        <v>7.3260767126750724E-13</v>
      </c>
      <c r="L40" s="32" t="e">
        <f t="shared" si="7"/>
        <v>#VALUE!</v>
      </c>
      <c r="M40" s="33" t="e">
        <f t="shared" si="5"/>
        <v>#VALUE!</v>
      </c>
      <c r="N40" s="3"/>
    </row>
    <row r="41" spans="1:14" x14ac:dyDescent="0.2">
      <c r="A41" s="9" t="s">
        <v>56</v>
      </c>
      <c r="B41" s="11" t="s">
        <v>80</v>
      </c>
      <c r="E41" s="29">
        <f t="shared" si="0"/>
        <v>581.57484431688704</v>
      </c>
      <c r="F41" s="29">
        <f t="shared" si="1"/>
        <v>3226.0646618310307</v>
      </c>
      <c r="G41" s="29" t="e">
        <f>E41*'Data Summary'!$B$18*(AVERAGE($J$6:$J$21)+273.15)/(AVERAGE($I$6:$I$21))*($I$48/$I$49)</f>
        <v>#VALUE!</v>
      </c>
      <c r="H41" s="31" t="e">
        <f t="shared" si="6"/>
        <v>#VALUE!</v>
      </c>
      <c r="I41" s="32" t="e">
        <f t="shared" si="2"/>
        <v>#VALUE!</v>
      </c>
      <c r="J41" s="33">
        <f t="shared" si="3"/>
        <v>-8.2009999999999996E-11</v>
      </c>
      <c r="K41" s="33">
        <f t="shared" si="4"/>
        <v>6.4603792458337921E-13</v>
      </c>
      <c r="L41" s="32" t="e">
        <f t="shared" si="7"/>
        <v>#VALUE!</v>
      </c>
      <c r="M41" s="33" t="e">
        <f t="shared" si="5"/>
        <v>#VALUE!</v>
      </c>
      <c r="N41" s="3"/>
    </row>
    <row r="42" spans="1:14" x14ac:dyDescent="0.2">
      <c r="A42" s="9" t="s">
        <v>24</v>
      </c>
      <c r="B42" s="11" t="s">
        <v>80</v>
      </c>
      <c r="E42" s="29">
        <f t="shared" si="0"/>
        <v>571.71764356575341</v>
      </c>
      <c r="F42" s="29">
        <f t="shared" si="1"/>
        <v>3172.0472017148181</v>
      </c>
      <c r="G42" s="29" t="e">
        <f>E42*'Data Summary'!$B$18*(AVERAGE($J$6:$J$21)+273.15)/(AVERAGE($I$6:$I$21))*($I$48/$I$49)</f>
        <v>#VALUE!</v>
      </c>
      <c r="H42" s="31" t="e">
        <f t="shared" si="6"/>
        <v>#VALUE!</v>
      </c>
      <c r="I42" s="32" t="e">
        <f t="shared" si="2"/>
        <v>#VALUE!</v>
      </c>
      <c r="J42" s="33">
        <f t="shared" si="3"/>
        <v>-5.8549999999999994E-11</v>
      </c>
      <c r="K42" s="33">
        <f t="shared" si="4"/>
        <v>5.6428716093847111E-13</v>
      </c>
      <c r="L42" s="32" t="e">
        <f t="shared" si="7"/>
        <v>#VALUE!</v>
      </c>
      <c r="M42" s="33" t="e">
        <f t="shared" si="5"/>
        <v>#VALUE!</v>
      </c>
      <c r="N42" s="3"/>
    </row>
    <row r="43" spans="1:14" x14ac:dyDescent="0.2">
      <c r="A43" s="53" t="s">
        <v>12</v>
      </c>
      <c r="B43" s="54"/>
      <c r="E43" s="29">
        <f t="shared" si="0"/>
        <v>561.86044281461977</v>
      </c>
      <c r="F43" s="29">
        <f t="shared" si="1"/>
        <v>3116.649733493447</v>
      </c>
      <c r="G43" s="29" t="e">
        <f>E43*'Data Summary'!$B$18*(AVERAGE($J$6:$J$21)+273.15)/(AVERAGE($I$6:$I$21))*($I$48/$I$49)</f>
        <v>#VALUE!</v>
      </c>
      <c r="H43" s="31" t="e">
        <f t="shared" si="6"/>
        <v>#VALUE!</v>
      </c>
      <c r="I43" s="32" t="e">
        <f t="shared" si="2"/>
        <v>#VALUE!</v>
      </c>
      <c r="J43" s="33">
        <f t="shared" si="3"/>
        <v>-4.1430000000000006E-11</v>
      </c>
      <c r="K43" s="33">
        <f t="shared" si="4"/>
        <v>6.4403804235464226E-13</v>
      </c>
      <c r="L43" s="32" t="e">
        <f t="shared" si="7"/>
        <v>#VALUE!</v>
      </c>
      <c r="M43" s="33" t="e">
        <f t="shared" si="5"/>
        <v>#VALUE!</v>
      </c>
      <c r="N43" s="3"/>
    </row>
    <row r="44" spans="1:14" x14ac:dyDescent="0.2">
      <c r="A44" s="55"/>
      <c r="B44" s="56"/>
      <c r="E44" s="29">
        <f t="shared" si="0"/>
        <v>552.00324206348603</v>
      </c>
      <c r="F44" s="29">
        <f t="shared" si="1"/>
        <v>3062.4351293622117</v>
      </c>
      <c r="G44" s="29" t="e">
        <f>E44*'Data Summary'!$B$18*(AVERAGE($J$6:$J$21)+273.15)/(AVERAGE($I$6:$I$21))*($I$48/$I$49)</f>
        <v>#VALUE!</v>
      </c>
      <c r="H44" s="31" t="e">
        <f t="shared" si="6"/>
        <v>#VALUE!</v>
      </c>
      <c r="I44" s="32" t="e">
        <f t="shared" si="2"/>
        <v>#VALUE!</v>
      </c>
      <c r="J44" s="33">
        <f t="shared" si="3"/>
        <v>-3.0199999999999997E-11</v>
      </c>
      <c r="K44" s="33">
        <f t="shared" si="4"/>
        <v>5.3420688876127385E-13</v>
      </c>
      <c r="L44" s="32" t="e">
        <f t="shared" si="7"/>
        <v>#VALUE!</v>
      </c>
      <c r="M44" s="33" t="e">
        <f t="shared" si="5"/>
        <v>#VALUE!</v>
      </c>
      <c r="N44" s="3"/>
    </row>
    <row r="45" spans="1:14" x14ac:dyDescent="0.2">
      <c r="A45" s="9" t="s">
        <v>13</v>
      </c>
      <c r="B45" s="11" t="s">
        <v>80</v>
      </c>
      <c r="E45" s="29">
        <f t="shared" si="0"/>
        <v>542.14604131235239</v>
      </c>
      <c r="F45" s="29">
        <f t="shared" si="1"/>
        <v>3006.9390891333287</v>
      </c>
      <c r="G45" s="29" t="e">
        <f>E45*'Data Summary'!$B$18*(AVERAGE($J$6:$J$21)+273.15)/(AVERAGE($I$6:$I$21))*($I$48/$I$49)</f>
        <v>#VALUE!</v>
      </c>
      <c r="H45" s="31" t="e">
        <f t="shared" si="6"/>
        <v>#VALUE!</v>
      </c>
      <c r="I45" s="32" t="e">
        <f t="shared" si="2"/>
        <v>#VALUE!</v>
      </c>
      <c r="J45" s="33">
        <f t="shared" si="3"/>
        <v>-2.1000000000000002E-11</v>
      </c>
      <c r="K45" s="33">
        <f t="shared" si="4"/>
        <v>5.0803543183522151E-13</v>
      </c>
      <c r="L45" s="32" t="e">
        <f t="shared" si="7"/>
        <v>#VALUE!</v>
      </c>
      <c r="M45" s="33" t="e">
        <f t="shared" si="5"/>
        <v>#VALUE!</v>
      </c>
      <c r="N45" s="3"/>
    </row>
    <row r="46" spans="1:14" x14ac:dyDescent="0.2">
      <c r="A46" s="9" t="s">
        <v>30</v>
      </c>
      <c r="B46" s="11" t="s">
        <v>80</v>
      </c>
      <c r="N46" s="3"/>
    </row>
    <row r="47" spans="1:14" x14ac:dyDescent="0.2">
      <c r="A47" s="9" t="s">
        <v>31</v>
      </c>
      <c r="B47" s="11" t="s">
        <v>80</v>
      </c>
      <c r="E47" s="58" t="s">
        <v>76</v>
      </c>
      <c r="F47" s="58"/>
      <c r="H47" s="63" t="s">
        <v>86</v>
      </c>
      <c r="I47" s="63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e">
        <f>CONCATENATE(E30,",",L30,",",M30)</f>
        <v>#VALUE!</v>
      </c>
      <c r="N48" s="3"/>
    </row>
    <row r="49" spans="1:14" x14ac:dyDescent="0.2">
      <c r="A49" s="9" t="s">
        <v>71</v>
      </c>
      <c r="B49" s="11" t="s">
        <v>80</v>
      </c>
      <c r="E49" s="8" t="s">
        <v>90</v>
      </c>
      <c r="F49" s="30">
        <f>_xlfn.STDEV.P(J6:J21)</f>
        <v>7.1054273576010019E-15</v>
      </c>
      <c r="H49" s="34" t="s">
        <v>88</v>
      </c>
      <c r="I49" s="34">
        <f>297.1</f>
        <v>297.10000000000002</v>
      </c>
      <c r="L49" s="35" t="e">
        <f t="shared" ref="L49:L63" si="8">CONCATENATE(E31,",",L31,",",M31)</f>
        <v>#VALUE!</v>
      </c>
      <c r="N49" s="3"/>
    </row>
    <row r="50" spans="1:14" x14ac:dyDescent="0.2">
      <c r="A50" s="9" t="s">
        <v>72</v>
      </c>
      <c r="B50" s="11" t="s">
        <v>80</v>
      </c>
      <c r="E50" s="8" t="s">
        <v>77</v>
      </c>
      <c r="F50" s="30">
        <f>AVERAGE(I6:I21)</f>
        <v>972.9375</v>
      </c>
      <c r="L50" s="35" t="e">
        <f t="shared" si="8"/>
        <v>#VALUE!</v>
      </c>
    </row>
    <row r="51" spans="1:14" x14ac:dyDescent="0.2">
      <c r="A51"/>
      <c r="B51"/>
      <c r="E51" s="8" t="s">
        <v>91</v>
      </c>
      <c r="F51" s="30">
        <f>_xlfn.STDEV.P(I6:I21)</f>
        <v>0.24206145913796356</v>
      </c>
      <c r="H51"/>
      <c r="I51"/>
      <c r="L51" s="35" t="e">
        <f t="shared" si="8"/>
        <v>#VALUE!</v>
      </c>
    </row>
    <row r="52" spans="1:14" x14ac:dyDescent="0.2">
      <c r="E52" s="8" t="s">
        <v>78</v>
      </c>
      <c r="F52" s="30" t="e">
        <f>EXP(INDEX(LINEST(LN(L30:L45),E30:E45),1,2))</f>
        <v>#VALUE!</v>
      </c>
      <c r="L52" s="35" t="e">
        <f t="shared" si="8"/>
        <v>#VALUE!</v>
      </c>
    </row>
    <row r="53" spans="1:14" x14ac:dyDescent="0.2">
      <c r="E53" s="8" t="s">
        <v>79</v>
      </c>
      <c r="F53" s="30" t="e">
        <f>INDEX(LINEST(LN(L30:L45),E30:E45),1)</f>
        <v>#VALUE!</v>
      </c>
      <c r="L53" s="35" t="e">
        <f t="shared" si="8"/>
        <v>#VALUE!</v>
      </c>
      <c r="N53" s="3"/>
    </row>
    <row r="54" spans="1:14" x14ac:dyDescent="0.2">
      <c r="L54" s="35" t="e">
        <f t="shared" si="8"/>
        <v>#VALUE!</v>
      </c>
      <c r="N54" s="3"/>
    </row>
    <row r="55" spans="1:14" x14ac:dyDescent="0.2">
      <c r="L55" s="35" t="e">
        <f t="shared" si="8"/>
        <v>#VALUE!</v>
      </c>
      <c r="N55" s="3"/>
    </row>
    <row r="56" spans="1:14" x14ac:dyDescent="0.2">
      <c r="L56" s="35" t="e">
        <f t="shared" si="8"/>
        <v>#VALUE!</v>
      </c>
      <c r="N56" s="3"/>
    </row>
    <row r="57" spans="1:14" x14ac:dyDescent="0.2">
      <c r="L57" s="35" t="e">
        <f t="shared" si="8"/>
        <v>#VALUE!</v>
      </c>
      <c r="N57" s="3"/>
    </row>
    <row r="58" spans="1:14" x14ac:dyDescent="0.2">
      <c r="L58" s="35" t="e">
        <f t="shared" si="8"/>
        <v>#VALUE!</v>
      </c>
      <c r="N58" s="3"/>
    </row>
    <row r="59" spans="1:14" x14ac:dyDescent="0.2">
      <c r="L59" s="35" t="e">
        <f t="shared" si="8"/>
        <v>#VALUE!</v>
      </c>
      <c r="N59" s="3"/>
    </row>
    <row r="60" spans="1:14" x14ac:dyDescent="0.2">
      <c r="L60" s="35" t="e">
        <f t="shared" si="8"/>
        <v>#VALUE!</v>
      </c>
    </row>
    <row r="61" spans="1:14" x14ac:dyDescent="0.2">
      <c r="L61" s="35" t="e">
        <f t="shared" si="8"/>
        <v>#VALUE!</v>
      </c>
    </row>
    <row r="62" spans="1:14" x14ac:dyDescent="0.2">
      <c r="L62" s="35" t="e">
        <f t="shared" si="8"/>
        <v>#VALUE!</v>
      </c>
    </row>
    <row r="63" spans="1:14" x14ac:dyDescent="0.2">
      <c r="L63" s="35" t="e">
        <f t="shared" si="8"/>
        <v>#VALUE!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K40" sqref="K4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2018-07-12T11:46:09Z</dcterms:modified>
</cp:coreProperties>
</file>