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jahmathew/Desktop/College/Internships/QC5 Effective Gain/"/>
    </mc:Choice>
  </mc:AlternateContent>
  <bookViews>
    <workbookView xWindow="0" yWindow="460" windowWidth="25600" windowHeight="1462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<sst xmlns="http://schemas.openxmlformats.org/spreadsheetml/2006/main" count="478" uniqueCount="96">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</sst>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connections" Target="connections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689.201818023369</c:v>
                </c:pt>
                <c:pt idx="1">
                  <c:v>679.3560777658923</c:v>
                </c:pt>
                <c:pt idx="2">
                  <c:v>669.5103375084155</c:v>
                </c:pt>
                <c:pt idx="3">
                  <c:v>659.664597250939</c:v>
                </c:pt>
                <c:pt idx="4">
                  <c:v>649.8188569934623</c:v>
                </c:pt>
                <c:pt idx="5">
                  <c:v>639.9731167359855</c:v>
                </c:pt>
                <c:pt idx="6">
                  <c:v>630.1273764785088</c:v>
                </c:pt>
                <c:pt idx="7">
                  <c:v>620.281636221032</c:v>
                </c:pt>
                <c:pt idx="8">
                  <c:v>610.4358959635554</c:v>
                </c:pt>
                <c:pt idx="9">
                  <c:v>600.5901557060788</c:v>
                </c:pt>
                <c:pt idx="10">
                  <c:v>590.744415448602</c:v>
                </c:pt>
                <c:pt idx="11">
                  <c:v>580.8986751911253</c:v>
                </c:pt>
                <c:pt idx="12">
                  <c:v>571.0529349336485</c:v>
                </c:pt>
                <c:pt idx="13">
                  <c:v>561.207194676172</c:v>
                </c:pt>
                <c:pt idx="14">
                  <c:v>551.3614544186953</c:v>
                </c:pt>
                <c:pt idx="15">
                  <c:v>541.5157141612185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71568"/>
        <c:axId val="-2132208656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689.201818023369</c:v>
                </c:pt>
                <c:pt idx="1">
                  <c:v>679.3560777658923</c:v>
                </c:pt>
                <c:pt idx="2">
                  <c:v>669.5103375084155</c:v>
                </c:pt>
                <c:pt idx="3">
                  <c:v>659.664597250939</c:v>
                </c:pt>
                <c:pt idx="4">
                  <c:v>649.8188569934623</c:v>
                </c:pt>
                <c:pt idx="5">
                  <c:v>639.9731167359855</c:v>
                </c:pt>
                <c:pt idx="6">
                  <c:v>630.1273764785088</c:v>
                </c:pt>
                <c:pt idx="7">
                  <c:v>620.281636221032</c:v>
                </c:pt>
                <c:pt idx="8">
                  <c:v>610.4358959635554</c:v>
                </c:pt>
                <c:pt idx="9">
                  <c:v>600.5901557060788</c:v>
                </c:pt>
                <c:pt idx="10">
                  <c:v>590.744415448602</c:v>
                </c:pt>
                <c:pt idx="11">
                  <c:v>580.8986751911253</c:v>
                </c:pt>
                <c:pt idx="12">
                  <c:v>571.0529349336485</c:v>
                </c:pt>
                <c:pt idx="13">
                  <c:v>561.207194676172</c:v>
                </c:pt>
                <c:pt idx="14">
                  <c:v>551.3614544186953</c:v>
                </c:pt>
                <c:pt idx="15">
                  <c:v>541.5157141612185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654656"/>
        <c:axId val="-2103145104"/>
      </c:scatterChart>
      <c:valAx>
        <c:axId val="-2076771568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208656"/>
        <c:crosses val="autoZero"/>
        <c:crossBetween val="midCat"/>
      </c:valAx>
      <c:valAx>
        <c:axId val="-2132208656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71568"/>
        <c:crosses val="autoZero"/>
        <c:crossBetween val="midCat"/>
      </c:valAx>
      <c:valAx>
        <c:axId val="-21031451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121654656"/>
        <c:crosses val="max"/>
        <c:crossBetween val="midCat"/>
      </c:valAx>
      <c:valAx>
        <c:axId val="-212165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31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E1" workbookViewId="0">
      <selection activeCell="Q11" sqref="Q11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59" t="s">
        <v>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</row>
    <row r="2" spans="1:18" ht="16" x14ac:dyDescent="0.2">
      <c r="A2" s="9" t="s">
        <v>53</v>
      </c>
      <c r="B2" s="11" t="s">
        <v>80</v>
      </c>
      <c r="C2" s="37" t="s">
        <v>95</v>
      </c>
      <c r="D2" s="38" t="s">
        <v>93</v>
      </c>
      <c r="E2"/>
      <c r="F2" s="62" t="s">
        <v>7</v>
      </c>
      <c r="G2" s="63"/>
      <c r="H2" s="63"/>
      <c r="I2" s="63"/>
      <c r="J2" s="64"/>
      <c r="K2" s="65" t="s">
        <v>47</v>
      </c>
      <c r="L2" s="63"/>
      <c r="M2" s="63"/>
      <c r="N2" s="64"/>
      <c r="O2" s="65" t="s">
        <v>48</v>
      </c>
      <c r="P2" s="63"/>
      <c r="Q2" s="63"/>
      <c r="R2" s="66"/>
    </row>
    <row r="3" spans="1:18" ht="16" x14ac:dyDescent="0.2">
      <c r="A3" s="42" t="s">
        <v>1</v>
      </c>
      <c r="B3" s="43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44"/>
      <c r="B4" s="4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80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80</v>
      </c>
      <c r="C6"/>
      <c r="D6"/>
      <c r="E6" s="56" t="s">
        <v>60</v>
      </c>
      <c r="F6" s="13">
        <v>3493</v>
      </c>
      <c r="G6" s="14">
        <v>700</v>
      </c>
      <c r="H6" s="15">
        <v>0.61111111111111105</v>
      </c>
      <c r="I6" s="16">
        <v>990.75</v>
      </c>
      <c r="J6" s="17">
        <v>27.49</v>
      </c>
      <c r="K6" s="18">
        <v>576</v>
      </c>
      <c r="L6" s="12">
        <f>SQRT(K6)</f>
        <v>24</v>
      </c>
      <c r="M6" s="14">
        <v>1754019</v>
      </c>
      <c r="N6" s="23">
        <f>SQRT(M6)</f>
        <v>1324.3938236038402</v>
      </c>
      <c r="O6" s="41">
        <v>-6.0400000000000001E-12</v>
      </c>
      <c r="P6" s="41">
        <v>1.66E-11</v>
      </c>
      <c r="Q6" s="41">
        <v>-3.7200000000000002E-8</v>
      </c>
      <c r="R6" s="41">
        <v>7.5499999999999998E-10</v>
      </c>
    </row>
    <row r="7" spans="1:18" x14ac:dyDescent="0.2">
      <c r="A7" s="9" t="s">
        <v>3</v>
      </c>
      <c r="B7" s="11" t="s">
        <v>80</v>
      </c>
      <c r="C7"/>
      <c r="D7"/>
      <c r="E7" s="57"/>
      <c r="F7" s="13">
        <v>3443.1</v>
      </c>
      <c r="G7" s="14">
        <v>690</v>
      </c>
      <c r="H7" s="15">
        <v>0.61388888888888882</v>
      </c>
      <c r="I7" s="16">
        <v>990.75</v>
      </c>
      <c r="J7" s="17">
        <v>27.56</v>
      </c>
      <c r="K7" s="18">
        <v>526</v>
      </c>
      <c r="L7" s="12">
        <f t="shared" ref="L7:L21" si="0">SQRT(K7)</f>
        <v>22.934689882359429</v>
      </c>
      <c r="M7" s="36">
        <v>1569242</v>
      </c>
      <c r="N7" s="23">
        <f t="shared" ref="N7:N20" si="1">SQRT(M7)</f>
        <v>1252.6938971672209</v>
      </c>
      <c r="O7" s="41">
        <v>-4.2800000000000003E-12</v>
      </c>
      <c r="P7" s="41">
        <v>4.9800000000000002E-12</v>
      </c>
      <c r="Q7" s="41">
        <v>-2.4900000000000001E-8</v>
      </c>
      <c r="R7" s="41">
        <v>5.2500000000000005E-10</v>
      </c>
    </row>
    <row r="8" spans="1:18" x14ac:dyDescent="0.2">
      <c r="A8" s="9" t="s">
        <v>28</v>
      </c>
      <c r="B8" s="11" t="s">
        <v>80</v>
      </c>
      <c r="C8"/>
      <c r="D8"/>
      <c r="E8" s="57"/>
      <c r="F8" s="13">
        <v>3393.2</v>
      </c>
      <c r="G8" s="14">
        <v>680</v>
      </c>
      <c r="H8" s="15">
        <v>0.6166666666666667</v>
      </c>
      <c r="I8" s="16">
        <v>990.75</v>
      </c>
      <c r="J8" s="17">
        <v>27.26</v>
      </c>
      <c r="K8" s="18">
        <v>454</v>
      </c>
      <c r="L8" s="12">
        <f t="shared" si="0"/>
        <v>21.307275752662516</v>
      </c>
      <c r="M8" s="36">
        <v>1519171</v>
      </c>
      <c r="N8" s="23">
        <f t="shared" si="1"/>
        <v>1232.5465508450382</v>
      </c>
      <c r="O8" s="41">
        <v>-3.0200000000000001E-12</v>
      </c>
      <c r="P8" s="41">
        <v>3.55E-11</v>
      </c>
      <c r="Q8" s="41">
        <v>-1.6899999999999999E-8</v>
      </c>
      <c r="R8" s="41">
        <v>3.8500000000000001E-10</v>
      </c>
    </row>
    <row r="9" spans="1:18" ht="15" customHeight="1" x14ac:dyDescent="0.2">
      <c r="A9" s="9" t="s">
        <v>29</v>
      </c>
      <c r="B9" s="11" t="s">
        <v>80</v>
      </c>
      <c r="C9" s="4"/>
      <c r="D9" s="6"/>
      <c r="E9" s="57"/>
      <c r="F9" s="13">
        <v>3343.3</v>
      </c>
      <c r="G9" s="14">
        <v>670</v>
      </c>
      <c r="H9" s="15">
        <v>0.61875000000000002</v>
      </c>
      <c r="I9" s="16">
        <v>990.75</v>
      </c>
      <c r="J9" s="17">
        <v>27.22</v>
      </c>
      <c r="K9" s="18">
        <v>458</v>
      </c>
      <c r="L9" s="12">
        <f t="shared" si="0"/>
        <v>21.400934559032695</v>
      </c>
      <c r="M9" s="14">
        <v>1481842</v>
      </c>
      <c r="N9" s="23">
        <f t="shared" si="1"/>
        <v>1217.3093279852908</v>
      </c>
      <c r="O9" s="41">
        <v>-3.4800000000000001E-12</v>
      </c>
      <c r="P9" s="41">
        <v>1.58E-11</v>
      </c>
      <c r="Q9" s="41">
        <v>-1.15E-8</v>
      </c>
      <c r="R9" s="41">
        <v>2.4399999999999998E-10</v>
      </c>
    </row>
    <row r="10" spans="1:18" x14ac:dyDescent="0.2">
      <c r="A10" s="42" t="s">
        <v>23</v>
      </c>
      <c r="B10" s="43"/>
      <c r="C10" s="4"/>
      <c r="D10" s="6"/>
      <c r="E10" s="57"/>
      <c r="F10" s="13">
        <v>3293.4</v>
      </c>
      <c r="G10" s="14">
        <v>660</v>
      </c>
      <c r="H10" s="15">
        <v>0.62152777777777779</v>
      </c>
      <c r="I10" s="16">
        <v>990.75</v>
      </c>
      <c r="J10" s="17">
        <v>27.56</v>
      </c>
      <c r="K10" s="18">
        <v>433</v>
      </c>
      <c r="L10" s="12">
        <f t="shared" si="0"/>
        <v>20.808652046684813</v>
      </c>
      <c r="M10" s="14">
        <v>1452884</v>
      </c>
      <c r="N10" s="23">
        <f t="shared" si="1"/>
        <v>1205.3563788357367</v>
      </c>
      <c r="O10" s="41">
        <v>-2.08E-12</v>
      </c>
      <c r="P10" s="41">
        <v>1.5500000000000001E-11</v>
      </c>
      <c r="Q10" s="41">
        <v>-7.9500000000000001E-9</v>
      </c>
      <c r="R10" s="41">
        <v>1.6900000000000001E-10</v>
      </c>
    </row>
    <row r="11" spans="1:18" x14ac:dyDescent="0.2">
      <c r="A11" s="44"/>
      <c r="B11" s="45"/>
      <c r="C11" s="4"/>
      <c r="D11" s="6"/>
      <c r="E11" s="57"/>
      <c r="F11" s="13">
        <v>3243.5</v>
      </c>
      <c r="G11" s="14">
        <v>650</v>
      </c>
      <c r="H11" s="15">
        <v>0.62430555555555556</v>
      </c>
      <c r="I11" s="16">
        <v>990.75</v>
      </c>
      <c r="J11" s="17">
        <v>27.46</v>
      </c>
      <c r="K11" s="18">
        <v>371</v>
      </c>
      <c r="L11" s="12">
        <f t="shared" si="0"/>
        <v>19.261360284258224</v>
      </c>
      <c r="M11" s="14">
        <v>1429011</v>
      </c>
      <c r="N11" s="23">
        <f t="shared" si="1"/>
        <v>1195.412481112691</v>
      </c>
      <c r="O11" s="41">
        <v>-1.52E-12</v>
      </c>
      <c r="P11" s="41">
        <v>2.0900000000000002E-12</v>
      </c>
      <c r="Q11" s="41">
        <v>-5.4999999999999996E-9</v>
      </c>
      <c r="R11" s="41">
        <v>1.2500000000000001E-10</v>
      </c>
    </row>
    <row r="12" spans="1:18" x14ac:dyDescent="0.2">
      <c r="A12" s="9" t="s">
        <v>57</v>
      </c>
      <c r="B12" s="11" t="s">
        <v>80</v>
      </c>
      <c r="C12" s="4"/>
      <c r="D12" s="6"/>
      <c r="E12" s="57"/>
      <c r="F12" s="13">
        <v>3193.6</v>
      </c>
      <c r="G12" s="14">
        <v>640</v>
      </c>
      <c r="H12" s="15">
        <v>0.62777777777777777</v>
      </c>
      <c r="I12" s="16">
        <v>990.75</v>
      </c>
      <c r="J12" s="17">
        <v>27.48</v>
      </c>
      <c r="K12" s="18">
        <v>328</v>
      </c>
      <c r="L12" s="12">
        <f t="shared" si="0"/>
        <v>18.110770276274835</v>
      </c>
      <c r="M12" s="14">
        <v>1398781</v>
      </c>
      <c r="N12" s="23">
        <f t="shared" si="1"/>
        <v>1182.7007229219064</v>
      </c>
      <c r="O12" s="41">
        <v>-1.5900000000000001E-12</v>
      </c>
      <c r="P12" s="41">
        <v>2.28E-12</v>
      </c>
      <c r="Q12" s="41">
        <v>-3.8600000000000003E-9</v>
      </c>
      <c r="R12" s="41">
        <v>7.8199999999999999E-11</v>
      </c>
    </row>
    <row r="13" spans="1:18" x14ac:dyDescent="0.2">
      <c r="A13" s="9" t="s">
        <v>45</v>
      </c>
      <c r="B13" s="11" t="s">
        <v>80</v>
      </c>
      <c r="C13" s="4"/>
      <c r="D13" s="6"/>
      <c r="E13" s="57"/>
      <c r="F13" s="13">
        <v>3143.7</v>
      </c>
      <c r="G13" s="14">
        <v>630</v>
      </c>
      <c r="H13" s="15">
        <v>0.63124999999999998</v>
      </c>
      <c r="I13" s="16">
        <v>990.75</v>
      </c>
      <c r="J13" s="17">
        <v>27.56</v>
      </c>
      <c r="K13" s="18">
        <v>296</v>
      </c>
      <c r="L13" s="12">
        <f t="shared" si="0"/>
        <v>17.204650534085253</v>
      </c>
      <c r="M13" s="14">
        <v>1351946</v>
      </c>
      <c r="N13" s="23">
        <f t="shared" si="1"/>
        <v>1162.7321273621023</v>
      </c>
      <c r="O13" s="41">
        <v>-1.4899999999999999E-12</v>
      </c>
      <c r="P13" s="41">
        <v>1.98E-12</v>
      </c>
      <c r="Q13" s="41">
        <v>-2.7000000000000002E-9</v>
      </c>
      <c r="R13" s="41">
        <v>5.25E-11</v>
      </c>
    </row>
    <row r="14" spans="1:18" x14ac:dyDescent="0.2">
      <c r="A14" s="9" t="s">
        <v>54</v>
      </c>
      <c r="B14" s="11" t="s">
        <v>80</v>
      </c>
      <c r="C14" s="4"/>
      <c r="D14" s="6"/>
      <c r="E14" s="57"/>
      <c r="F14" s="13">
        <v>3093.8</v>
      </c>
      <c r="G14" s="14">
        <v>620</v>
      </c>
      <c r="H14" s="15">
        <v>0.63402777777777775</v>
      </c>
      <c r="I14" s="16">
        <v>990.76</v>
      </c>
      <c r="J14" s="17">
        <v>27.55</v>
      </c>
      <c r="K14" s="18">
        <v>245</v>
      </c>
      <c r="L14" s="12">
        <f t="shared" si="0"/>
        <v>15.652475842498529</v>
      </c>
      <c r="M14" s="14">
        <v>1265549</v>
      </c>
      <c r="N14" s="23">
        <f t="shared" si="1"/>
        <v>1124.9662217151233</v>
      </c>
      <c r="O14" s="41">
        <v>-2.0600000000000001E-13</v>
      </c>
      <c r="P14" s="41">
        <v>1.98E-12</v>
      </c>
      <c r="Q14" s="41">
        <v>-2.0000000000000001E-9</v>
      </c>
      <c r="R14" s="41">
        <v>4.3099999999999999E-11</v>
      </c>
    </row>
    <row r="15" spans="1:18" x14ac:dyDescent="0.2">
      <c r="A15" s="9" t="s">
        <v>55</v>
      </c>
      <c r="B15" s="11" t="s">
        <v>80</v>
      </c>
      <c r="C15" s="4"/>
      <c r="D15" s="6"/>
      <c r="E15" s="57"/>
      <c r="F15" s="13">
        <v>3043.9</v>
      </c>
      <c r="G15" s="14">
        <v>610</v>
      </c>
      <c r="H15" s="15">
        <v>0.63750000000000007</v>
      </c>
      <c r="I15" s="16">
        <v>990.75</v>
      </c>
      <c r="J15" s="17">
        <v>27.53</v>
      </c>
      <c r="K15" s="18">
        <v>259</v>
      </c>
      <c r="L15" s="12">
        <f t="shared" si="0"/>
        <v>16.093476939431081</v>
      </c>
      <c r="M15" s="14">
        <v>1062793</v>
      </c>
      <c r="N15" s="23">
        <f t="shared" si="1"/>
        <v>1030.9185224837122</v>
      </c>
      <c r="O15" s="41">
        <v>-2.19E-13</v>
      </c>
      <c r="P15" s="41">
        <v>2E-12</v>
      </c>
      <c r="Q15" s="41">
        <v>-1.3399999999999999E-9</v>
      </c>
      <c r="R15" s="41">
        <v>3.2200000000000003E-11</v>
      </c>
    </row>
    <row r="16" spans="1:18" x14ac:dyDescent="0.2">
      <c r="A16" s="9" t="s">
        <v>49</v>
      </c>
      <c r="B16" s="11" t="s">
        <v>80</v>
      </c>
      <c r="C16" s="4"/>
      <c r="D16" s="6"/>
      <c r="E16" s="57"/>
      <c r="F16" s="13">
        <v>2994</v>
      </c>
      <c r="G16" s="14">
        <v>600</v>
      </c>
      <c r="H16" s="15">
        <v>0.64097222222222217</v>
      </c>
      <c r="I16" s="16">
        <v>990.75</v>
      </c>
      <c r="J16" s="17">
        <v>27.2</v>
      </c>
      <c r="K16" s="18">
        <v>183</v>
      </c>
      <c r="L16" s="12">
        <f t="shared" si="0"/>
        <v>13.527749258468683</v>
      </c>
      <c r="M16" s="14">
        <v>594067</v>
      </c>
      <c r="N16" s="23">
        <f t="shared" si="1"/>
        <v>770.75741968533782</v>
      </c>
      <c r="O16" s="41">
        <v>-3.9900000000000002E-13</v>
      </c>
      <c r="P16" s="41">
        <v>1.75E-12</v>
      </c>
      <c r="Q16" s="41">
        <v>-9.569999999999999E-10</v>
      </c>
      <c r="R16" s="41">
        <v>1.8900000000000001E-11</v>
      </c>
    </row>
    <row r="17" spans="1:20" x14ac:dyDescent="0.2">
      <c r="A17" s="9" t="s">
        <v>62</v>
      </c>
      <c r="B17" s="11" t="s">
        <v>80</v>
      </c>
      <c r="C17" s="4"/>
      <c r="D17" s="6"/>
      <c r="E17" s="57"/>
      <c r="F17" s="13">
        <v>2944.1</v>
      </c>
      <c r="G17" s="14">
        <v>590</v>
      </c>
      <c r="H17" s="15">
        <v>0.64374999999999993</v>
      </c>
      <c r="I17" s="16">
        <v>990.77</v>
      </c>
      <c r="J17" s="17">
        <v>27.2</v>
      </c>
      <c r="K17" s="18">
        <v>151</v>
      </c>
      <c r="L17" s="12">
        <f t="shared" si="0"/>
        <v>12.288205727444508</v>
      </c>
      <c r="M17" s="14">
        <v>388829</v>
      </c>
      <c r="N17" s="23">
        <f t="shared" si="1"/>
        <v>623.56154467702709</v>
      </c>
      <c r="O17" s="41">
        <v>-1.2E-15</v>
      </c>
      <c r="P17" s="41">
        <v>2.9500000000000002E-12</v>
      </c>
      <c r="Q17" s="41">
        <v>-6.7800000000000004E-10</v>
      </c>
      <c r="R17" s="41">
        <v>2.6499999999999999E-11</v>
      </c>
    </row>
    <row r="18" spans="1:20" ht="14" customHeight="1" x14ac:dyDescent="0.2">
      <c r="A18" s="9" t="s">
        <v>63</v>
      </c>
      <c r="B18" s="11" t="s">
        <v>80</v>
      </c>
      <c r="C18" s="4"/>
      <c r="D18" s="6"/>
      <c r="E18" s="57"/>
      <c r="F18" s="13">
        <v>2894.2</v>
      </c>
      <c r="G18" s="14">
        <v>580</v>
      </c>
      <c r="H18" s="15">
        <v>0.64583333333333337</v>
      </c>
      <c r="I18" s="16">
        <v>990.84</v>
      </c>
      <c r="J18" s="17">
        <v>27.2</v>
      </c>
      <c r="K18" s="18">
        <v>193</v>
      </c>
      <c r="L18" s="12">
        <f t="shared" si="0"/>
        <v>13.892443989449804</v>
      </c>
      <c r="M18" s="14">
        <v>199844</v>
      </c>
      <c r="N18" s="23">
        <f t="shared" si="1"/>
        <v>447.03914817384839</v>
      </c>
      <c r="O18" s="41">
        <v>-4.76E-15</v>
      </c>
      <c r="P18" s="41">
        <v>2.36E-12</v>
      </c>
      <c r="Q18" s="41">
        <v>-4.8699999999999997E-10</v>
      </c>
      <c r="R18" s="41">
        <v>1.8100000000000001E-11</v>
      </c>
    </row>
    <row r="19" spans="1:20" ht="15" customHeight="1" x14ac:dyDescent="0.2">
      <c r="A19" s="9" t="s">
        <v>64</v>
      </c>
      <c r="B19" s="11" t="s">
        <v>80</v>
      </c>
      <c r="C19" s="4"/>
      <c r="D19" s="6"/>
      <c r="E19" s="57"/>
      <c r="F19" s="13">
        <v>2844.3</v>
      </c>
      <c r="G19" s="14">
        <v>570</v>
      </c>
      <c r="H19" s="15">
        <v>0.64930555555555558</v>
      </c>
      <c r="I19" s="16">
        <v>990.93</v>
      </c>
      <c r="J19" s="17">
        <v>27.2</v>
      </c>
      <c r="K19" s="18">
        <v>116</v>
      </c>
      <c r="L19" s="12">
        <f t="shared" si="0"/>
        <v>10.770329614269007</v>
      </c>
      <c r="M19" s="14">
        <v>43985</v>
      </c>
      <c r="N19" s="23">
        <f t="shared" si="1"/>
        <v>209.72601173912597</v>
      </c>
      <c r="O19" s="41">
        <v>-2.24E-13</v>
      </c>
      <c r="P19" s="41">
        <v>2.61E-12</v>
      </c>
      <c r="Q19" s="41">
        <v>-3.4699999999999999E-10</v>
      </c>
      <c r="R19" s="41">
        <v>7.9300000000000003E-12</v>
      </c>
    </row>
    <row r="20" spans="1:20" x14ac:dyDescent="0.2">
      <c r="A20" s="9" t="s">
        <v>65</v>
      </c>
      <c r="B20" s="11" t="s">
        <v>80</v>
      </c>
      <c r="C20" s="4"/>
      <c r="D20" s="6"/>
      <c r="E20" s="57"/>
      <c r="F20" s="13">
        <v>2794.4</v>
      </c>
      <c r="G20" s="14">
        <v>560</v>
      </c>
      <c r="H20" s="15">
        <v>0.65208333333333335</v>
      </c>
      <c r="I20" s="16">
        <v>990.82</v>
      </c>
      <c r="J20" s="17">
        <v>27.2</v>
      </c>
      <c r="K20" s="18">
        <v>84</v>
      </c>
      <c r="L20" s="12">
        <f t="shared" si="0"/>
        <v>9.1651513899116797</v>
      </c>
      <c r="M20" s="14">
        <v>3350</v>
      </c>
      <c r="N20" s="23">
        <f t="shared" si="1"/>
        <v>57.879184513951124</v>
      </c>
      <c r="O20" s="41">
        <v>1.13E-13</v>
      </c>
      <c r="P20" s="41">
        <v>1.8699999999999999E-12</v>
      </c>
      <c r="Q20" s="41">
        <v>-2.5000000000000002E-10</v>
      </c>
      <c r="R20" s="41">
        <v>5.9900000000000001E-12</v>
      </c>
    </row>
    <row r="21" spans="1:20" x14ac:dyDescent="0.2">
      <c r="A21" s="9" t="s">
        <v>66</v>
      </c>
      <c r="B21" s="11" t="s">
        <v>80</v>
      </c>
      <c r="C21" s="4"/>
      <c r="D21" s="6"/>
      <c r="E21" s="58"/>
      <c r="F21" s="13">
        <v>2744.5</v>
      </c>
      <c r="G21" s="14">
        <v>550</v>
      </c>
      <c r="H21" s="15">
        <v>0.65555555555555556</v>
      </c>
      <c r="I21" s="16">
        <v>990.78</v>
      </c>
      <c r="J21" s="17">
        <v>27.2</v>
      </c>
      <c r="K21" s="18">
        <v>75</v>
      </c>
      <c r="L21" s="12">
        <f t="shared" si="0"/>
        <v>8.6602540378443873</v>
      </c>
      <c r="M21" s="14">
        <v>286</v>
      </c>
      <c r="N21" s="23">
        <f>SQRT(M21)</f>
        <v>16.911534525287763</v>
      </c>
      <c r="O21" s="41">
        <v>-3.08E-13</v>
      </c>
      <c r="P21" s="41">
        <v>1.33E-11</v>
      </c>
      <c r="Q21" s="41">
        <v>-1.8199999999999999E-10</v>
      </c>
      <c r="R21" s="41">
        <v>1.6100000000000001E-11</v>
      </c>
      <c r="T21" s="2"/>
    </row>
    <row r="22" spans="1:20" x14ac:dyDescent="0.2">
      <c r="A22" s="9" t="s">
        <v>67</v>
      </c>
      <c r="B22" s="11" t="s">
        <v>80</v>
      </c>
      <c r="C22" s="4"/>
      <c r="D22" s="6"/>
    </row>
    <row r="23" spans="1:20" x14ac:dyDescent="0.2">
      <c r="A23" s="9" t="s">
        <v>68</v>
      </c>
      <c r="B23" s="11" t="s">
        <v>80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2"/>
      <c r="K23" s="53"/>
      <c r="L23" s="53"/>
      <c r="M23" s="54"/>
    </row>
    <row r="24" spans="1:20" x14ac:dyDescent="0.2">
      <c r="A24" s="9" t="s">
        <v>69</v>
      </c>
      <c r="B24" s="11" t="s">
        <v>80</v>
      </c>
      <c r="C24" s="5"/>
      <c r="D24" s="6"/>
      <c r="E24" s="19" t="s">
        <v>40</v>
      </c>
      <c r="F24" s="11" t="s">
        <v>80</v>
      </c>
      <c r="G24" s="8">
        <v>196</v>
      </c>
      <c r="H24" s="8">
        <v>322</v>
      </c>
      <c r="I24" s="8">
        <v>346</v>
      </c>
      <c r="J24" s="48" t="s">
        <v>41</v>
      </c>
      <c r="K24" s="48"/>
      <c r="L24" s="49">
        <v>1.602E-19</v>
      </c>
      <c r="M24" s="49"/>
    </row>
    <row r="25" spans="1:20" x14ac:dyDescent="0.2">
      <c r="A25" s="9" t="s">
        <v>70</v>
      </c>
      <c r="B25" s="11" t="s">
        <v>80</v>
      </c>
      <c r="C25" s="5"/>
      <c r="D25" s="6"/>
      <c r="E25" s="19" t="s">
        <v>73</v>
      </c>
      <c r="F25" s="11" t="s">
        <v>80</v>
      </c>
      <c r="G25" s="8">
        <v>1.8</v>
      </c>
      <c r="H25" s="8">
        <v>2.8</v>
      </c>
      <c r="I25" s="8">
        <v>2.9</v>
      </c>
      <c r="J25" s="52"/>
      <c r="K25" s="53"/>
      <c r="L25" s="53"/>
      <c r="M25" s="54"/>
    </row>
    <row r="26" spans="1:20" x14ac:dyDescent="0.2">
      <c r="A26" s="42" t="s">
        <v>0</v>
      </c>
      <c r="B26" s="43"/>
      <c r="D26" s="5"/>
      <c r="E26" s="51" t="s">
        <v>89</v>
      </c>
      <c r="F26" s="51"/>
      <c r="G26" s="51"/>
      <c r="H26" s="51"/>
      <c r="I26" s="51"/>
      <c r="J26" s="51"/>
      <c r="K26" s="51"/>
      <c r="L26" s="51"/>
      <c r="M26" s="51"/>
    </row>
    <row r="27" spans="1:20" x14ac:dyDescent="0.2">
      <c r="A27" s="44"/>
      <c r="B27" s="45"/>
      <c r="E27" s="51"/>
      <c r="F27" s="51"/>
      <c r="G27" s="51"/>
      <c r="H27" s="51"/>
      <c r="I27" s="51"/>
      <c r="J27" s="51"/>
      <c r="K27" s="51"/>
      <c r="L27" s="51"/>
      <c r="M27" s="51"/>
    </row>
    <row r="28" spans="1:20" x14ac:dyDescent="0.2">
      <c r="A28" s="9" t="s">
        <v>56</v>
      </c>
      <c r="B28" s="11" t="s">
        <v>80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 t="s">
        <v>80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 t="s">
        <v>80</v>
      </c>
      <c r="E30" s="29">
        <f t="shared" ref="E30:E45" si="2">G6*(AVERAGE($J$6:$J$21)+273.15)/(AVERAGE($I$6:$I$21))*($I$48/$I$49)</f>
        <v>689.20181802336901</v>
      </c>
      <c r="F30" s="29">
        <f t="shared" ref="F30:F45" si="3">F6*(AVERAGE($J$6:$J$21)+273.15)/(AVERAGE($I$6:$I$21))*($I$48/$I$49)</f>
        <v>3439.1170719366114</v>
      </c>
      <c r="G30" s="29" t="e">
        <f>E30*'Data Summary'!$B$18*(AVERAGE($J$6:$J$21)+273.15)/(AVERAGE($I$6:$I$21))*($I$48/$I$49)</f>
        <v>#VALUE!</v>
      </c>
      <c r="H30" s="31" t="e">
        <f>(M6-K6)/$B$42</f>
        <v>#VALUE!</v>
      </c>
      <c r="I30" s="32" t="e">
        <f>(1/$B$42)*SQRT(N6^2+L6^2)</f>
        <v>#VALUE!</v>
      </c>
      <c r="J30" s="33">
        <f>Q6-O6</f>
        <v>-3.7193960000000003E-8</v>
      </c>
      <c r="K30" s="33">
        <f>SQRT(P6^2+R6^2)</f>
        <v>7.5518246801683636E-10</v>
      </c>
      <c r="L30" s="32" t="e">
        <f>ABS(J30)/($H$30*$F$24*$L$24)</f>
        <v>#VALUE!</v>
      </c>
      <c r="M30" s="33" t="e">
        <f>SQRT( ( 1 / ($H$30*$F$24*$L$24 ) )^2 * (K30^2+J30^2*( ($I$30/$H$30)^2+($F$25/$F$24)^2)))</f>
        <v>#VALUE!</v>
      </c>
    </row>
    <row r="31" spans="1:20" x14ac:dyDescent="0.2">
      <c r="A31" s="9" t="s">
        <v>27</v>
      </c>
      <c r="B31" s="11" t="s">
        <v>80</v>
      </c>
      <c r="E31" s="29">
        <f t="shared" si="2"/>
        <v>679.35607776589234</v>
      </c>
      <c r="F31" s="29">
        <f t="shared" si="3"/>
        <v>3389.9868280518021</v>
      </c>
      <c r="G31" s="29" t="e">
        <f>E31*'Data Summary'!$B$18*(AVERAGE($J$6:$J$21)+273.15)/(AVERAGE($I$6:$I$21))*($I$48/$I$49)</f>
        <v>#VALUE!</v>
      </c>
      <c r="H31" s="31" t="e">
        <f>(M7-K7)/$B$42</f>
        <v>#VALUE!</v>
      </c>
      <c r="I31" s="32" t="e">
        <f t="shared" ref="I31:I45" si="4">(1/$B$42)*SQRT(N7^2+L7^2)</f>
        <v>#VALUE!</v>
      </c>
      <c r="J31" s="33">
        <f t="shared" ref="J31:J45" si="5">Q7-O7</f>
        <v>-2.489572E-8</v>
      </c>
      <c r="K31" s="33">
        <f t="shared" ref="K31:K45" si="6">SQRT(P7^2+R7^2)</f>
        <v>5.2502361889728357E-10</v>
      </c>
      <c r="L31" s="32" t="e">
        <f>ABS(J31)/($H$30*$F$24*$L$24)</f>
        <v>#VALUE!</v>
      </c>
      <c r="M31" s="33" t="e">
        <f t="shared" ref="M31:M45" si="7">SQRT( ( 1 / ($H$30*$F$24*$L$24 ) )^2 * (K31^2+J31^2*( ($I$30/$H$30)^2+($F$25/$F$24)^2)))</f>
        <v>#VALUE!</v>
      </c>
    </row>
    <row r="32" spans="1:20" x14ac:dyDescent="0.2">
      <c r="A32" s="42" t="s">
        <v>52</v>
      </c>
      <c r="B32" s="43"/>
      <c r="E32" s="29">
        <f t="shared" si="2"/>
        <v>669.51033750841555</v>
      </c>
      <c r="F32" s="29">
        <f t="shared" si="3"/>
        <v>3340.8565841669938</v>
      </c>
      <c r="G32" s="29" t="e">
        <f>E32*'Data Summary'!$B$18*(AVERAGE($J$6:$J$21)+273.15)/(AVERAGE($I$6:$I$21))*($I$48/$I$49)</f>
        <v>#VALUE!</v>
      </c>
      <c r="H32" s="31" t="e">
        <f t="shared" ref="H32:H45" si="8">(M8-K8)/$B$42</f>
        <v>#VALUE!</v>
      </c>
      <c r="I32" s="32" t="e">
        <f t="shared" si="4"/>
        <v>#VALUE!</v>
      </c>
      <c r="J32" s="33">
        <f t="shared" si="5"/>
        <v>-1.6896979999999999E-8</v>
      </c>
      <c r="K32" s="33">
        <f t="shared" si="6"/>
        <v>3.8663322412850141E-10</v>
      </c>
      <c r="L32" s="32" t="e">
        <f t="shared" ref="L32:L45" si="9">ABS(J32)/($H$30*$F$24*$L$24)</f>
        <v>#VALUE!</v>
      </c>
      <c r="M32" s="33" t="e">
        <f t="shared" si="7"/>
        <v>#VALUE!</v>
      </c>
    </row>
    <row r="33" spans="1:14" x14ac:dyDescent="0.2">
      <c r="A33" s="44"/>
      <c r="B33" s="45"/>
      <c r="E33" s="29">
        <f t="shared" si="2"/>
        <v>659.66459725093898</v>
      </c>
      <c r="F33" s="29">
        <f t="shared" si="3"/>
        <v>3291.7263402821854</v>
      </c>
      <c r="G33" s="29" t="e">
        <f>E33*'Data Summary'!$B$18*(AVERAGE($J$6:$J$21)+273.15)/(AVERAGE($I$6:$I$21))*($I$48/$I$49)</f>
        <v>#VALUE!</v>
      </c>
      <c r="H33" s="31" t="e">
        <f t="shared" si="8"/>
        <v>#VALUE!</v>
      </c>
      <c r="I33" s="32" t="e">
        <f t="shared" si="4"/>
        <v>#VALUE!</v>
      </c>
      <c r="J33" s="33">
        <f t="shared" si="5"/>
        <v>-1.1496520000000001E-8</v>
      </c>
      <c r="K33" s="33">
        <f t="shared" si="6"/>
        <v>2.4451102224644187E-10</v>
      </c>
      <c r="L33" s="32" t="e">
        <f t="shared" si="9"/>
        <v>#VALUE!</v>
      </c>
      <c r="M33" s="33" t="e">
        <f t="shared" si="7"/>
        <v>#VALUE!</v>
      </c>
    </row>
    <row r="34" spans="1:14" x14ac:dyDescent="0.2">
      <c r="A34" s="9" t="s">
        <v>56</v>
      </c>
      <c r="B34" s="11" t="s">
        <v>80</v>
      </c>
      <c r="E34" s="29">
        <f t="shared" si="2"/>
        <v>649.8188569934623</v>
      </c>
      <c r="F34" s="29">
        <f t="shared" si="3"/>
        <v>3242.5960963973766</v>
      </c>
      <c r="G34" s="29" t="e">
        <f>E34*'Data Summary'!$B$18*(AVERAGE($J$6:$J$21)+273.15)/(AVERAGE($I$6:$I$21))*($I$48/$I$49)</f>
        <v>#VALUE!</v>
      </c>
      <c r="H34" s="31" t="e">
        <f t="shared" si="8"/>
        <v>#VALUE!</v>
      </c>
      <c r="I34" s="32" t="e">
        <f t="shared" si="4"/>
        <v>#VALUE!</v>
      </c>
      <c r="J34" s="33">
        <f t="shared" si="5"/>
        <v>-7.9479200000000004E-9</v>
      </c>
      <c r="K34" s="33">
        <f t="shared" si="6"/>
        <v>1.6970931029262952E-10</v>
      </c>
      <c r="L34" s="32" t="e">
        <f t="shared" si="9"/>
        <v>#VALUE!</v>
      </c>
      <c r="M34" s="33" t="e">
        <f t="shared" si="7"/>
        <v>#VALUE!</v>
      </c>
    </row>
    <row r="35" spans="1:14" x14ac:dyDescent="0.2">
      <c r="A35" s="9" t="s">
        <v>20</v>
      </c>
      <c r="B35" s="11" t="s">
        <v>80</v>
      </c>
      <c r="E35" s="29">
        <f t="shared" si="2"/>
        <v>639.97311673598551</v>
      </c>
      <c r="F35" s="29">
        <f t="shared" si="3"/>
        <v>3193.4658525125678</v>
      </c>
      <c r="G35" s="29" t="e">
        <f>E35*'Data Summary'!$B$18*(AVERAGE($J$6:$J$21)+273.15)/(AVERAGE($I$6:$I$21))*($I$48/$I$49)</f>
        <v>#VALUE!</v>
      </c>
      <c r="H35" s="31" t="e">
        <f t="shared" si="8"/>
        <v>#VALUE!</v>
      </c>
      <c r="I35" s="32" t="e">
        <f t="shared" si="4"/>
        <v>#VALUE!</v>
      </c>
      <c r="J35" s="33">
        <f t="shared" si="5"/>
        <v>-5.4984799999999998E-9</v>
      </c>
      <c r="K35" s="33">
        <f t="shared" si="6"/>
        <v>1.2501747117903163E-10</v>
      </c>
      <c r="L35" s="32" t="e">
        <f t="shared" si="9"/>
        <v>#VALUE!</v>
      </c>
      <c r="M35" s="33" t="e">
        <f t="shared" si="7"/>
        <v>#VALUE!</v>
      </c>
      <c r="N35" s="3"/>
    </row>
    <row r="36" spans="1:14" x14ac:dyDescent="0.2">
      <c r="A36" s="9" t="s">
        <v>21</v>
      </c>
      <c r="B36" s="11" t="s">
        <v>80</v>
      </c>
      <c r="E36" s="29">
        <f t="shared" si="2"/>
        <v>630.12737647850884</v>
      </c>
      <c r="F36" s="29">
        <f t="shared" si="3"/>
        <v>3144.335608627759</v>
      </c>
      <c r="G36" s="29" t="e">
        <f>E36*'Data Summary'!$B$18*(AVERAGE($J$6:$J$21)+273.15)/(AVERAGE($I$6:$I$21))*($I$48/$I$49)</f>
        <v>#VALUE!</v>
      </c>
      <c r="H36" s="31" t="e">
        <f t="shared" si="8"/>
        <v>#VALUE!</v>
      </c>
      <c r="I36" s="32" t="e">
        <f t="shared" si="4"/>
        <v>#VALUE!</v>
      </c>
      <c r="J36" s="33">
        <f t="shared" si="5"/>
        <v>-3.8584100000000005E-9</v>
      </c>
      <c r="K36" s="33">
        <f t="shared" si="6"/>
        <v>7.8233230791013615E-11</v>
      </c>
      <c r="L36" s="32" t="e">
        <f t="shared" si="9"/>
        <v>#VALUE!</v>
      </c>
      <c r="M36" s="33" t="e">
        <f t="shared" si="7"/>
        <v>#VALUE!</v>
      </c>
      <c r="N36" s="3"/>
    </row>
    <row r="37" spans="1:14" x14ac:dyDescent="0.2">
      <c r="A37" s="9" t="s">
        <v>22</v>
      </c>
      <c r="B37" s="11" t="s">
        <v>80</v>
      </c>
      <c r="E37" s="29">
        <f t="shared" si="2"/>
        <v>620.28163622103204</v>
      </c>
      <c r="F37" s="29">
        <f t="shared" si="3"/>
        <v>3095.2053647429502</v>
      </c>
      <c r="G37" s="29" t="e">
        <f>E37*'Data Summary'!$B$18*(AVERAGE($J$6:$J$21)+273.15)/(AVERAGE($I$6:$I$21))*($I$48/$I$49)</f>
        <v>#VALUE!</v>
      </c>
      <c r="H37" s="31" t="e">
        <f t="shared" si="8"/>
        <v>#VALUE!</v>
      </c>
      <c r="I37" s="32" t="e">
        <f t="shared" si="4"/>
        <v>#VALUE!</v>
      </c>
      <c r="J37" s="33">
        <f t="shared" si="5"/>
        <v>-2.69851E-9</v>
      </c>
      <c r="K37" s="33">
        <f t="shared" si="6"/>
        <v>5.253732387550778E-11</v>
      </c>
      <c r="L37" s="32" t="e">
        <f t="shared" si="9"/>
        <v>#VALUE!</v>
      </c>
      <c r="M37" s="33" t="e">
        <f t="shared" si="7"/>
        <v>#VALUE!</v>
      </c>
    </row>
    <row r="38" spans="1:14" x14ac:dyDescent="0.2">
      <c r="A38" s="42" t="s">
        <v>11</v>
      </c>
      <c r="B38" s="43"/>
      <c r="E38" s="29">
        <f t="shared" si="2"/>
        <v>610.43589596355548</v>
      </c>
      <c r="F38" s="29">
        <f t="shared" si="3"/>
        <v>3046.0751208581419</v>
      </c>
      <c r="G38" s="29" t="e">
        <f>E38*'Data Summary'!$B$18*(AVERAGE($J$6:$J$21)+273.15)/(AVERAGE($I$6:$I$21))*($I$48/$I$49)</f>
        <v>#VALUE!</v>
      </c>
      <c r="H38" s="31" t="e">
        <f t="shared" si="8"/>
        <v>#VALUE!</v>
      </c>
      <c r="I38" s="32" t="e">
        <f t="shared" si="4"/>
        <v>#VALUE!</v>
      </c>
      <c r="J38" s="33">
        <f t="shared" si="5"/>
        <v>-1.9997940000000002E-9</v>
      </c>
      <c r="K38" s="33">
        <f t="shared" si="6"/>
        <v>4.3145456307704055E-11</v>
      </c>
      <c r="L38" s="32" t="e">
        <f t="shared" si="9"/>
        <v>#VALUE!</v>
      </c>
      <c r="M38" s="33" t="e">
        <f t="shared" si="7"/>
        <v>#VALUE!</v>
      </c>
    </row>
    <row r="39" spans="1:14" x14ac:dyDescent="0.2">
      <c r="A39" s="46"/>
      <c r="B39" s="47"/>
      <c r="E39" s="29">
        <f t="shared" si="2"/>
        <v>600.5901557060788</v>
      </c>
      <c r="F39" s="29">
        <f t="shared" si="3"/>
        <v>2996.9448769733331</v>
      </c>
      <c r="G39" s="29" t="e">
        <f>E39*'Data Summary'!$B$18*(AVERAGE($J$6:$J$21)+273.15)/(AVERAGE($I$6:$I$21))*($I$48/$I$49)</f>
        <v>#VALUE!</v>
      </c>
      <c r="H39" s="31" t="e">
        <f t="shared" si="8"/>
        <v>#VALUE!</v>
      </c>
      <c r="I39" s="32" t="e">
        <f t="shared" si="4"/>
        <v>#VALUE!</v>
      </c>
      <c r="J39" s="33">
        <f t="shared" si="5"/>
        <v>-1.339781E-9</v>
      </c>
      <c r="K39" s="33">
        <f t="shared" si="6"/>
        <v>3.2262052011612655E-11</v>
      </c>
      <c r="L39" s="32" t="e">
        <f t="shared" si="9"/>
        <v>#VALUE!</v>
      </c>
      <c r="M39" s="33" t="e">
        <f t="shared" si="7"/>
        <v>#VALUE!</v>
      </c>
      <c r="N39" s="3"/>
    </row>
    <row r="40" spans="1:14" x14ac:dyDescent="0.2">
      <c r="A40" s="44"/>
      <c r="B40" s="45"/>
      <c r="E40" s="29">
        <f t="shared" si="2"/>
        <v>590.74441544860201</v>
      </c>
      <c r="F40" s="29">
        <f t="shared" si="3"/>
        <v>2947.8146330885243</v>
      </c>
      <c r="G40" s="29" t="e">
        <f>E40*'Data Summary'!$B$18*(AVERAGE($J$6:$J$21)+273.15)/(AVERAGE($I$6:$I$21))*($I$48/$I$49)</f>
        <v>#VALUE!</v>
      </c>
      <c r="H40" s="31" t="e">
        <f t="shared" si="8"/>
        <v>#VALUE!</v>
      </c>
      <c r="I40" s="32" t="e">
        <f t="shared" si="4"/>
        <v>#VALUE!</v>
      </c>
      <c r="J40" s="33">
        <f t="shared" si="5"/>
        <v>-9.5660099999999989E-10</v>
      </c>
      <c r="K40" s="33">
        <f t="shared" si="6"/>
        <v>1.8980845608138749E-11</v>
      </c>
      <c r="L40" s="32" t="e">
        <f t="shared" si="9"/>
        <v>#VALUE!</v>
      </c>
      <c r="M40" s="33" t="e">
        <f t="shared" si="7"/>
        <v>#VALUE!</v>
      </c>
      <c r="N40" s="3"/>
    </row>
    <row r="41" spans="1:14" x14ac:dyDescent="0.2">
      <c r="A41" s="9" t="s">
        <v>56</v>
      </c>
      <c r="B41" s="11" t="s">
        <v>80</v>
      </c>
      <c r="E41" s="29">
        <f t="shared" si="2"/>
        <v>580.89867519112534</v>
      </c>
      <c r="F41" s="29">
        <f t="shared" si="3"/>
        <v>2898.6843892037155</v>
      </c>
      <c r="G41" s="29" t="e">
        <f>E41*'Data Summary'!$B$18*(AVERAGE($J$6:$J$21)+273.15)/(AVERAGE($I$6:$I$21))*($I$48/$I$49)</f>
        <v>#VALUE!</v>
      </c>
      <c r="H41" s="31" t="e">
        <f t="shared" si="8"/>
        <v>#VALUE!</v>
      </c>
      <c r="I41" s="32" t="e">
        <f t="shared" si="4"/>
        <v>#VALUE!</v>
      </c>
      <c r="J41" s="33">
        <f t="shared" si="5"/>
        <v>-6.7799880000000007E-10</v>
      </c>
      <c r="K41" s="33">
        <f t="shared" si="6"/>
        <v>2.6663692542481809E-11</v>
      </c>
      <c r="L41" s="32" t="e">
        <f t="shared" si="9"/>
        <v>#VALUE!</v>
      </c>
      <c r="M41" s="33" t="e">
        <f t="shared" si="7"/>
        <v>#VALUE!</v>
      </c>
      <c r="N41" s="3"/>
    </row>
    <row r="42" spans="1:14" x14ac:dyDescent="0.2">
      <c r="A42" s="9" t="s">
        <v>24</v>
      </c>
      <c r="B42" s="11" t="s">
        <v>80</v>
      </c>
      <c r="E42" s="29">
        <f t="shared" si="2"/>
        <v>571.05293493364854</v>
      </c>
      <c r="F42" s="29">
        <f t="shared" si="3"/>
        <v>2849.5541453189066</v>
      </c>
      <c r="G42" s="29" t="e">
        <f>E42*'Data Summary'!$B$18*(AVERAGE($J$6:$J$21)+273.15)/(AVERAGE($I$6:$I$21))*($I$48/$I$49)</f>
        <v>#VALUE!</v>
      </c>
      <c r="H42" s="31" t="e">
        <f t="shared" si="8"/>
        <v>#VALUE!</v>
      </c>
      <c r="I42" s="32" t="e">
        <f t="shared" si="4"/>
        <v>#VALUE!</v>
      </c>
      <c r="J42" s="33">
        <f t="shared" si="5"/>
        <v>-4.8699523999999996E-10</v>
      </c>
      <c r="K42" s="33">
        <f t="shared" si="6"/>
        <v>1.8253207937236678E-11</v>
      </c>
      <c r="L42" s="32" t="e">
        <f t="shared" si="9"/>
        <v>#VALUE!</v>
      </c>
      <c r="M42" s="33" t="e">
        <f t="shared" si="7"/>
        <v>#VALUE!</v>
      </c>
      <c r="N42" s="3"/>
    </row>
    <row r="43" spans="1:14" x14ac:dyDescent="0.2">
      <c r="A43" s="42" t="s">
        <v>12</v>
      </c>
      <c r="B43" s="43"/>
      <c r="E43" s="29">
        <f t="shared" si="2"/>
        <v>561.20719467617198</v>
      </c>
      <c r="F43" s="29">
        <f t="shared" si="3"/>
        <v>2800.4239014340978</v>
      </c>
      <c r="G43" s="29" t="e">
        <f>E43*'Data Summary'!$B$18*(AVERAGE($J$6:$J$21)+273.15)/(AVERAGE($I$6:$I$21))*($I$48/$I$49)</f>
        <v>#VALUE!</v>
      </c>
      <c r="H43" s="31" t="e">
        <f t="shared" si="8"/>
        <v>#VALUE!</v>
      </c>
      <c r="I43" s="32" t="e">
        <f t="shared" si="4"/>
        <v>#VALUE!</v>
      </c>
      <c r="J43" s="33">
        <f t="shared" si="5"/>
        <v>-3.4677599999999998E-10</v>
      </c>
      <c r="K43" s="33">
        <f t="shared" si="6"/>
        <v>8.3484729142520436E-12</v>
      </c>
      <c r="L43" s="32" t="e">
        <f t="shared" si="9"/>
        <v>#VALUE!</v>
      </c>
      <c r="M43" s="33" t="e">
        <f t="shared" si="7"/>
        <v>#VALUE!</v>
      </c>
      <c r="N43" s="3"/>
    </row>
    <row r="44" spans="1:14" x14ac:dyDescent="0.2">
      <c r="A44" s="44"/>
      <c r="B44" s="45"/>
      <c r="E44" s="29">
        <f t="shared" si="2"/>
        <v>551.3614544186953</v>
      </c>
      <c r="F44" s="29">
        <f t="shared" si="3"/>
        <v>2751.293657549289</v>
      </c>
      <c r="G44" s="29" t="e">
        <f>E44*'Data Summary'!$B$18*(AVERAGE($J$6:$J$21)+273.15)/(AVERAGE($I$6:$I$21))*($I$48/$I$49)</f>
        <v>#VALUE!</v>
      </c>
      <c r="H44" s="31" t="e">
        <f t="shared" si="8"/>
        <v>#VALUE!</v>
      </c>
      <c r="I44" s="32" t="e">
        <f t="shared" si="4"/>
        <v>#VALUE!</v>
      </c>
      <c r="J44" s="33">
        <f t="shared" si="5"/>
        <v>-2.50113E-10</v>
      </c>
      <c r="K44" s="33">
        <f t="shared" si="6"/>
        <v>6.2751095607965286E-12</v>
      </c>
      <c r="L44" s="32" t="e">
        <f t="shared" si="9"/>
        <v>#VALUE!</v>
      </c>
      <c r="M44" s="33" t="e">
        <f t="shared" si="7"/>
        <v>#VALUE!</v>
      </c>
      <c r="N44" s="3"/>
    </row>
    <row r="45" spans="1:14" x14ac:dyDescent="0.2">
      <c r="A45" s="9" t="s">
        <v>13</v>
      </c>
      <c r="B45" s="11" t="s">
        <v>80</v>
      </c>
      <c r="E45" s="29">
        <f t="shared" si="2"/>
        <v>541.51571416121851</v>
      </c>
      <c r="F45" s="29">
        <f t="shared" si="3"/>
        <v>2702.1634136644807</v>
      </c>
      <c r="G45" s="29" t="e">
        <f>E45*'Data Summary'!$B$18*(AVERAGE($J$6:$J$21)+273.15)/(AVERAGE($I$6:$I$21))*($I$48/$I$49)</f>
        <v>#VALUE!</v>
      </c>
      <c r="H45" s="31" t="e">
        <f t="shared" si="8"/>
        <v>#VALUE!</v>
      </c>
      <c r="I45" s="32" t="e">
        <f t="shared" si="4"/>
        <v>#VALUE!</v>
      </c>
      <c r="J45" s="33">
        <f t="shared" si="5"/>
        <v>-1.8169199999999999E-10</v>
      </c>
      <c r="K45" s="33">
        <f t="shared" si="6"/>
        <v>2.0883007446246819E-11</v>
      </c>
      <c r="L45" s="32" t="e">
        <f t="shared" si="9"/>
        <v>#VALUE!</v>
      </c>
      <c r="M45" s="33" t="e">
        <f t="shared" si="7"/>
        <v>#VALUE!</v>
      </c>
      <c r="N45" s="3"/>
    </row>
    <row r="46" spans="1:14" x14ac:dyDescent="0.2">
      <c r="A46" s="9" t="s">
        <v>30</v>
      </c>
      <c r="B46" s="11" t="s">
        <v>80</v>
      </c>
      <c r="N46" s="3"/>
    </row>
    <row r="47" spans="1:14" x14ac:dyDescent="0.2">
      <c r="A47" s="9" t="s">
        <v>31</v>
      </c>
      <c r="B47" s="11" t="s">
        <v>80</v>
      </c>
      <c r="E47" s="50" t="s">
        <v>76</v>
      </c>
      <c r="F47" s="50"/>
      <c r="H47" s="55" t="s">
        <v>86</v>
      </c>
      <c r="I47" s="55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300.51687499999997</v>
      </c>
      <c r="H48" s="34" t="s">
        <v>87</v>
      </c>
      <c r="I48" s="34">
        <v>964.4</v>
      </c>
      <c r="L48" s="35" t="e">
        <f>CONCATENATE(E30,",",L30,",",M30)</f>
        <v>#VALUE!</v>
      </c>
      <c r="N48" s="3"/>
    </row>
    <row r="49" spans="1:14" x14ac:dyDescent="0.2">
      <c r="A49" s="9" t="s">
        <v>71</v>
      </c>
      <c r="B49" s="11" t="s">
        <v>80</v>
      </c>
      <c r="E49" s="8" t="s">
        <v>90</v>
      </c>
      <c r="F49" s="30">
        <f>_xlfn.STDEV.P(J6:J21)</f>
        <v>0.15983267618043576</v>
      </c>
      <c r="H49" s="34" t="s">
        <v>88</v>
      </c>
      <c r="I49" s="34">
        <f>297.1</f>
        <v>297.10000000000002</v>
      </c>
      <c r="L49" s="35" t="e">
        <f t="shared" ref="L49:L63" si="10">CONCATENATE(E31,",",L31,",",M31)</f>
        <v>#VALUE!</v>
      </c>
      <c r="N49" s="3"/>
    </row>
    <row r="50" spans="1:14" x14ac:dyDescent="0.2">
      <c r="A50" s="9" t="s">
        <v>72</v>
      </c>
      <c r="B50" s="11" t="s">
        <v>80</v>
      </c>
      <c r="E50" s="8" t="s">
        <v>77</v>
      </c>
      <c r="F50" s="30">
        <f>AVERAGE(I6:I21)</f>
        <v>990.77500000000009</v>
      </c>
      <c r="L50" s="35" t="e">
        <f t="shared" si="10"/>
        <v>#VALUE!</v>
      </c>
    </row>
    <row r="51" spans="1:14" x14ac:dyDescent="0.2">
      <c r="A51"/>
      <c r="B51"/>
      <c r="E51" s="8" t="s">
        <v>91</v>
      </c>
      <c r="F51" s="30">
        <f>_xlfn.STDEV.P(I6:I21)</f>
        <v>4.7958315233122842E-2</v>
      </c>
      <c r="H51"/>
      <c r="I51"/>
      <c r="L51" s="35" t="e">
        <f t="shared" si="10"/>
        <v>#VALUE!</v>
      </c>
    </row>
    <row r="52" spans="1:14" x14ac:dyDescent="0.2">
      <c r="E52" s="8" t="s">
        <v>78</v>
      </c>
      <c r="F52" s="30" t="e">
        <f>EXP(INDEX(LINEST(LN(L30:L45),E30:E45),1,2))</f>
        <v>#VALUE!</v>
      </c>
      <c r="L52" s="35" t="e">
        <f t="shared" si="10"/>
        <v>#VALUE!</v>
      </c>
    </row>
    <row r="53" spans="1:14" x14ac:dyDescent="0.2">
      <c r="E53" s="8" t="s">
        <v>79</v>
      </c>
      <c r="F53" s="30" t="e">
        <f>INDEX(LINEST(LN(L30:L45),E30:E45),1)</f>
        <v>#VALUE!</v>
      </c>
      <c r="L53" s="35" t="e">
        <f t="shared" si="10"/>
        <v>#VALUE!</v>
      </c>
      <c r="N53" s="3"/>
    </row>
    <row r="54" spans="1:14" x14ac:dyDescent="0.2">
      <c r="L54" s="35" t="e">
        <f t="shared" si="10"/>
        <v>#VALUE!</v>
      </c>
      <c r="N54" s="3"/>
    </row>
    <row r="55" spans="1:14" x14ac:dyDescent="0.2">
      <c r="L55" s="35" t="e">
        <f t="shared" si="10"/>
        <v>#VALUE!</v>
      </c>
      <c r="N55" s="3"/>
    </row>
    <row r="56" spans="1:14" x14ac:dyDescent="0.2">
      <c r="L56" s="35" t="e">
        <f t="shared" si="10"/>
        <v>#VALUE!</v>
      </c>
      <c r="N56" s="3"/>
    </row>
    <row r="57" spans="1:14" x14ac:dyDescent="0.2">
      <c r="L57" s="35" t="e">
        <f t="shared" si="10"/>
        <v>#VALUE!</v>
      </c>
      <c r="N57" s="3"/>
    </row>
    <row r="58" spans="1:14" x14ac:dyDescent="0.2">
      <c r="L58" s="35" t="e">
        <f t="shared" si="10"/>
        <v>#VALUE!</v>
      </c>
      <c r="N58" s="3"/>
    </row>
    <row r="59" spans="1:14" x14ac:dyDescent="0.2">
      <c r="L59" s="35" t="e">
        <f t="shared" si="10"/>
        <v>#VALUE!</v>
      </c>
      <c r="N59" s="3"/>
    </row>
    <row r="60" spans="1:14" x14ac:dyDescent="0.2">
      <c r="L60" s="35" t="e">
        <f t="shared" si="10"/>
        <v>#VALUE!</v>
      </c>
    </row>
    <row r="61" spans="1:14" x14ac:dyDescent="0.2">
      <c r="L61" s="35" t="e">
        <f t="shared" si="10"/>
        <v>#VALUE!</v>
      </c>
    </row>
    <row r="62" spans="1:14" x14ac:dyDescent="0.2">
      <c r="L62" s="35" t="e">
        <f t="shared" si="10"/>
        <v>#VALUE!</v>
      </c>
    </row>
    <row r="63" spans="1:14" x14ac:dyDescent="0.2">
      <c r="L63" s="35" t="e">
        <f t="shared" si="10"/>
        <v>#VALUE!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K40" sqref="K4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2018-07-12T12:07:50Z</dcterms:modified>
</cp:coreProperties>
</file>