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735386A0-99A5-2540-AB33-3C80FDD1542C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0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 s="1"/>
  <c r="A7" i="25"/>
  <c r="C7" i="14"/>
  <c r="J30" i="1" s="1"/>
  <c r="A7" i="14"/>
  <c r="N21" i="1"/>
  <c r="L21" i="1"/>
  <c r="D7" i="38"/>
  <c r="R21" i="1"/>
  <c r="D7" i="37"/>
  <c r="D7" i="36"/>
  <c r="D7" i="35"/>
  <c r="K42" i="1" s="1"/>
  <c r="D7" i="34"/>
  <c r="D7" i="33"/>
  <c r="D7" i="32"/>
  <c r="D7" i="31"/>
  <c r="K38" i="1" s="1"/>
  <c r="D7" i="30"/>
  <c r="D7" i="29"/>
  <c r="D7" i="28"/>
  <c r="D7" i="39"/>
  <c r="K34" i="1" s="1"/>
  <c r="D7" i="27"/>
  <c r="D7" i="26"/>
  <c r="D7" i="25"/>
  <c r="C7" i="38"/>
  <c r="Q21" i="1" s="1"/>
  <c r="C7" i="37"/>
  <c r="C7" i="36"/>
  <c r="J43" i="1" s="1"/>
  <c r="L43" i="1" s="1"/>
  <c r="C7" i="35"/>
  <c r="J42" i="1"/>
  <c r="L42" i="1" s="1"/>
  <c r="C7" i="34"/>
  <c r="J41" i="1" s="1"/>
  <c r="C7" i="33"/>
  <c r="C7" i="32"/>
  <c r="J39" i="1" s="1"/>
  <c r="L39" i="1" s="1"/>
  <c r="C7" i="31"/>
  <c r="C7" i="30"/>
  <c r="J37" i="1" s="1"/>
  <c r="C7" i="29"/>
  <c r="C7" i="28"/>
  <c r="J35" i="1" s="1"/>
  <c r="L35" i="1" s="1"/>
  <c r="C7" i="39"/>
  <c r="J34" i="1"/>
  <c r="C7" i="27"/>
  <c r="J33" i="1" s="1"/>
  <c r="L33" i="1" s="1"/>
  <c r="C7" i="26"/>
  <c r="B7" i="38"/>
  <c r="P21" i="1" s="1"/>
  <c r="K45" i="1" s="1"/>
  <c r="M45" i="1" s="1"/>
  <c r="B7" i="37"/>
  <c r="K44" i="1"/>
  <c r="B7" i="36"/>
  <c r="K43" i="1" s="1"/>
  <c r="B7" i="35"/>
  <c r="B7" i="34"/>
  <c r="K41" i="1" s="1"/>
  <c r="B7" i="33"/>
  <c r="K40" i="1"/>
  <c r="B7" i="32"/>
  <c r="K39" i="1" s="1"/>
  <c r="B7" i="31"/>
  <c r="B7" i="30"/>
  <c r="K37" i="1" s="1"/>
  <c r="M37" i="1" s="1"/>
  <c r="B7" i="29"/>
  <c r="K36" i="1"/>
  <c r="B7" i="28"/>
  <c r="K35" i="1" s="1"/>
  <c r="B7" i="39"/>
  <c r="B7" i="27"/>
  <c r="K33" i="1" s="1"/>
  <c r="M33" i="1" s="1"/>
  <c r="B7" i="26"/>
  <c r="K32" i="1"/>
  <c r="B7" i="25"/>
  <c r="K31" i="1" s="1"/>
  <c r="M31" i="1" s="1"/>
  <c r="A7" i="38"/>
  <c r="O21" i="1"/>
  <c r="A7" i="37"/>
  <c r="J44" i="1" s="1"/>
  <c r="A7" i="36"/>
  <c r="A7" i="35"/>
  <c r="A7" i="34"/>
  <c r="A7" i="33"/>
  <c r="J40" i="1" s="1"/>
  <c r="L40" i="1" s="1"/>
  <c r="A7" i="32"/>
  <c r="A7" i="31"/>
  <c r="A7" i="30"/>
  <c r="A7" i="29"/>
  <c r="J36" i="1" s="1"/>
  <c r="L36" i="1" s="1"/>
  <c r="A7" i="28"/>
  <c r="A7" i="39"/>
  <c r="A7" i="27"/>
  <c r="A7" i="26"/>
  <c r="J32" i="1" s="1"/>
  <c r="L32" i="1" s="1"/>
  <c r="D7" i="14"/>
  <c r="B7" i="14"/>
  <c r="K30" i="1" s="1"/>
  <c r="M30" i="1" s="1"/>
  <c r="I49" i="1"/>
  <c r="L44" i="1"/>
  <c r="J45" i="1"/>
  <c r="L45" i="1" s="1"/>
  <c r="F51" i="1"/>
  <c r="F49" i="1"/>
  <c r="F48" i="1"/>
  <c r="F50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0" i="1" l="1"/>
  <c r="L58" i="1"/>
  <c r="M32" i="1"/>
  <c r="L50" i="1" s="1"/>
  <c r="M41" i="1"/>
  <c r="L59" i="1" s="1"/>
  <c r="L34" i="1"/>
  <c r="L37" i="1"/>
  <c r="L41" i="1"/>
  <c r="L30" i="1"/>
  <c r="L48" i="1" s="1"/>
  <c r="L31" i="1"/>
  <c r="L63" i="1"/>
  <c r="L49" i="1"/>
  <c r="M35" i="1"/>
  <c r="L53" i="1" s="1"/>
  <c r="M43" i="1"/>
  <c r="L61" i="1" s="1"/>
  <c r="M36" i="1"/>
  <c r="L54" i="1" s="1"/>
  <c r="M44" i="1"/>
  <c r="L62" i="1" s="1"/>
  <c r="J38" i="1"/>
  <c r="L38" i="1" s="1"/>
  <c r="M39" i="1"/>
  <c r="L57" i="1" s="1"/>
  <c r="M34" i="1"/>
  <c r="L52" i="1" s="1"/>
  <c r="M42" i="1"/>
  <c r="L60" i="1" s="1"/>
  <c r="L55" i="1"/>
  <c r="L51" i="1"/>
  <c r="M38" i="1" l="1"/>
  <c r="L56" i="1" s="1"/>
  <c r="F53" i="1"/>
  <c r="F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0" authorId="0" shapeId="0" xr:uid="{2BCBF4D6-5991-CF42-B23A-04F16B9C9D6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Enter values below with multimeter; not this one.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<sst xmlns="http://schemas.openxmlformats.org/spreadsheetml/2006/main" count="459" uniqueCount="108">
  <si>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</si>
  <si>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</si>
  <si>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</si>
  <si>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</si>
  <si>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</si>
  <si>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</si>
  <si>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</si>
  <si>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</si>
  <si>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</si>
  <si>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</si>
  <si>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</si>
  <si>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</si>
  <si>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</si>
  <si>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</si>
  <si>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</si>
  <si>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</si>
  <si>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</si>
  <si>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</si>
  <si>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</si>
  <si>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</si>
  <si>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</si>
  <si>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</si>
  <si>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</si>
  <si>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</si>
  <si>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</si>
  <si>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</si>
  <si>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</si>
  <si>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</si>
  <si>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</si>
  <si>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</si>
  <si>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</si>
  <si>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</si>
  <si>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</si>
  <si>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</si>
  <si>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</si>
  <si>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</si>
  <si>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</si>
  <si>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</si>
  <si>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</si>
  <si>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</si>
  <si>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</si>
  <si>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</si>
  <si>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</si>
  <si>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</si>
  <si>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</si>
  <si>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</si>
  <si>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</si>
  <si>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</si>
  <si>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</si>
  <si>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</si>
  <si>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</si>
  <si>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</si>
  <si>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</si>
  <si>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</si>
  <si>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</si>
  <si>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</si>
  <si>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</si>
  <si>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</si>
  <si>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</si>
  <si>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</si>
  <si>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</si>
  <si>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</si>
  <si>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</si>
  <si>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</si>
  <si>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</si>
  <si>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</si>
  <si>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</si>
  <si>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</si>
  <si>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</si>
  <si>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</si>
  <si>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</si>
  <si>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</si>
  <si>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</si>
  <si>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</si>
  <si>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</si>
  <si>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</si>
  <si>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</si>
  <si>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</si>
  <si>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</si>
  <si>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</si>
  <si>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</si>
  <si>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</si>
  <si>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</si>
  <si>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</si>
  <si>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</si>
  <si>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</si>
  <si>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</si>
  <si>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</si>
  <si>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</si>
  <si>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</si>
  <si>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</si>
  <si>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</si>
  <si>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4,2</t>
  </si>
  <si>
    <t>Ar/CO2</t>
  </si>
  <si>
    <t>70/30</t>
  </si>
  <si>
    <t>Amptek MiniX  Silver target</t>
    <phoneticPr fontId="0" type="noConversion"/>
  </si>
  <si>
    <t>8 layers of Cu tape</t>
    <phoneticPr fontId="0" type="noConversion"/>
  </si>
  <si>
    <t>no</t>
    <phoneticPr fontId="0" type="noConversion"/>
  </si>
  <si>
    <t xml:space="preserve">Archie, Rosma </t>
  </si>
  <si>
    <t>474 Timing Filter Amp - ORTEC</t>
  </si>
  <si>
    <t>GE11-S-X-BARI-0007</t>
  </si>
  <si>
    <t>CAEN Mo. 96</t>
  </si>
  <si>
    <t>kiethley 6487</t>
  </si>
  <si>
    <t>signal</t>
  </si>
  <si>
    <t>shielding</t>
  </si>
  <si>
    <t>gnd</t>
  </si>
  <si>
    <t>CAEN N1145</t>
  </si>
  <si>
    <t>8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</si>
</sst>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right"/>
      <protection locked="0"/>
    </xf>
    <xf numFmtId="20" fontId="4" fillId="2" borderId="1" xfId="0" applyNumberFormat="1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257.6363573385766</c:v>
                  </c:pt>
                  <c:pt idx="1">
                    <c:v>189.50357552512034</c:v>
                  </c:pt>
                  <c:pt idx="2">
                    <c:v>135.56511620284672</c:v>
                  </c:pt>
                  <c:pt idx="3">
                    <c:v>94.191147915579521</c:v>
                  </c:pt>
                  <c:pt idx="4">
                    <c:v>68.251591442351355</c:v>
                  </c:pt>
                  <c:pt idx="5">
                    <c:v>46.572721541791125</c:v>
                  </c:pt>
                  <c:pt idx="6">
                    <c:v>34.599464680772513</c:v>
                  </c:pt>
                  <c:pt idx="7">
                    <c:v>23.99549698739855</c:v>
                  </c:pt>
                  <c:pt idx="8">
                    <c:v>17.706824737394687</c:v>
                  </c:pt>
                  <c:pt idx="9">
                    <c:v>12.346476333112982</c:v>
                  </c:pt>
                  <c:pt idx="10">
                    <c:v>8.8492325775883316</c:v>
                  </c:pt>
                  <c:pt idx="11">
                    <c:v>7.9860816676100352</c:v>
                  </c:pt>
                  <c:pt idx="12">
                    <c:v>4.690341775772751</c:v>
                  </c:pt>
                  <c:pt idx="13">
                    <c:v>3.4546113755846859</c:v>
                  </c:pt>
                  <c:pt idx="14">
                    <c:v>3.1313759716035827</c:v>
                  </c:pt>
                  <c:pt idx="15">
                    <c:v>30.953914259431535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257.6363573385766</c:v>
                  </c:pt>
                  <c:pt idx="1">
                    <c:v>189.50357552512034</c:v>
                  </c:pt>
                  <c:pt idx="2">
                    <c:v>135.56511620284672</c:v>
                  </c:pt>
                  <c:pt idx="3">
                    <c:v>94.191147915579521</c:v>
                  </c:pt>
                  <c:pt idx="4">
                    <c:v>68.251591442351355</c:v>
                  </c:pt>
                  <c:pt idx="5">
                    <c:v>46.572721541791125</c:v>
                  </c:pt>
                  <c:pt idx="6">
                    <c:v>34.599464680772513</c:v>
                  </c:pt>
                  <c:pt idx="7">
                    <c:v>23.99549698739855</c:v>
                  </c:pt>
                  <c:pt idx="8">
                    <c:v>17.706824737394687</c:v>
                  </c:pt>
                  <c:pt idx="9">
                    <c:v>12.346476333112982</c:v>
                  </c:pt>
                  <c:pt idx="10">
                    <c:v>8.8492325775883316</c:v>
                  </c:pt>
                  <c:pt idx="11">
                    <c:v>7.9860816676100352</c:v>
                  </c:pt>
                  <c:pt idx="12">
                    <c:v>4.690341775772751</c:v>
                  </c:pt>
                  <c:pt idx="13">
                    <c:v>3.4546113755846859</c:v>
                  </c:pt>
                  <c:pt idx="14">
                    <c:v>3.1313759716035827</c:v>
                  </c:pt>
                  <c:pt idx="15">
                    <c:v>30.953914259431535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710.2</c:v>
                </c:pt>
                <c:pt idx="2">
                  <c:v>700.15</c:v>
                </c:pt>
                <c:pt idx="3">
                  <c:v>690.3</c:v>
                </c:pt>
                <c:pt idx="4">
                  <c:v>680.1</c:v>
                </c:pt>
                <c:pt idx="5">
                  <c:v>670.15</c:v>
                </c:pt>
                <c:pt idx="6">
                  <c:v>660.1</c:v>
                </c:pt>
                <c:pt idx="7">
                  <c:v>650.1</c:v>
                </c:pt>
                <c:pt idx="8">
                  <c:v>640.04999999999995</c:v>
                </c:pt>
                <c:pt idx="9">
                  <c:v>630.15</c:v>
                </c:pt>
                <c:pt idx="10">
                  <c:v>620.15</c:v>
                </c:pt>
                <c:pt idx="11">
                  <c:v>610.1</c:v>
                </c:pt>
                <c:pt idx="12">
                  <c:v>600</c:v>
                </c:pt>
                <c:pt idx="13">
                  <c:v>590.15</c:v>
                </c:pt>
                <c:pt idx="14">
                  <c:v>580.15</c:v>
                </c:pt>
                <c:pt idx="15">
                  <c:v>570.15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23843.566036736618</c:v>
                </c:pt>
                <c:pt idx="1">
                  <c:v>17443.645367337482</c:v>
                </c:pt>
                <c:pt idx="2" formatCode="General">
                  <c:v>12423.51419842721</c:v>
                </c:pt>
                <c:pt idx="3" formatCode="General">
                  <c:v>8729.8591059533792</c:v>
                </c:pt>
                <c:pt idx="4" formatCode="General">
                  <c:v>6132.5098442092512</c:v>
                </c:pt>
                <c:pt idx="5" formatCode="General">
                  <c:v>4304.8761798024034</c:v>
                </c:pt>
                <c:pt idx="6" formatCode="General">
                  <c:v>3092.4934424469375</c:v>
                </c:pt>
                <c:pt idx="7" formatCode="General">
                  <c:v>2197.147256922879</c:v>
                </c:pt>
                <c:pt idx="8" formatCode="General">
                  <c:v>1577.5999800064692</c:v>
                </c:pt>
                <c:pt idx="9" formatCode="General">
                  <c:v>1121.5963011949507</c:v>
                </c:pt>
                <c:pt idx="10" formatCode="General">
                  <c:v>803.1788000051871</c:v>
                </c:pt>
                <c:pt idx="11" formatCode="General">
                  <c:v>567.338609081767</c:v>
                </c:pt>
                <c:pt idx="12" formatCode="General">
                  <c:v>418.76849142051549</c:v>
                </c:pt>
                <c:pt idx="13" formatCode="General">
                  <c:v>299.96610288299263</c:v>
                </c:pt>
                <c:pt idx="14" formatCode="General">
                  <c:v>219.39632752923089</c:v>
                </c:pt>
                <c:pt idx="15" formatCode="General">
                  <c:v>114.18382326994316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B-BA4F-AD22-09DA6A0D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5.1866548843053835</c:v>
                  </c:pt>
                  <c:pt idx="1">
                    <c:v>5.1606416483052007</c:v>
                  </c:pt>
                  <c:pt idx="2">
                    <c:v>5.1193261275288959</c:v>
                  </c:pt>
                  <c:pt idx="3">
                    <c:v>5.059561904618489</c:v>
                  </c:pt>
                  <c:pt idx="4">
                    <c:v>5.022311331559516</c:v>
                  </c:pt>
                  <c:pt idx="5">
                    <c:v>4.9636176323322889</c:v>
                  </c:pt>
                  <c:pt idx="6">
                    <c:v>4.85818324525171</c:v>
                  </c:pt>
                  <c:pt idx="7">
                    <c:v>4.6485362092694178</c:v>
                  </c:pt>
                  <c:pt idx="8">
                    <c:v>4.0634208358092678</c:v>
                  </c:pt>
                  <c:pt idx="9">
                    <c:v>3.2574700476153442</c:v>
                  </c:pt>
                  <c:pt idx="10">
                    <c:v>2.7311474999835998</c:v>
                  </c:pt>
                  <c:pt idx="11">
                    <c:v>1.9159418919511451</c:v>
                  </c:pt>
                  <c:pt idx="12">
                    <c:v>0.86634609455780176</c:v>
                  </c:pt>
                  <c:pt idx="13">
                    <c:v>0.19860625479688307</c:v>
                  </c:pt>
                  <c:pt idx="14">
                    <c:v>0.10801234497346433</c:v>
                  </c:pt>
                  <c:pt idx="15">
                    <c:v>0.13844373104863458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5.1866548843053835</c:v>
                  </c:pt>
                  <c:pt idx="1">
                    <c:v>5.1606416483052007</c:v>
                  </c:pt>
                  <c:pt idx="2">
                    <c:v>5.1193261275288959</c:v>
                  </c:pt>
                  <c:pt idx="3">
                    <c:v>5.059561904618489</c:v>
                  </c:pt>
                  <c:pt idx="4">
                    <c:v>5.022311331559516</c:v>
                  </c:pt>
                  <c:pt idx="5">
                    <c:v>4.9636176323322889</c:v>
                  </c:pt>
                  <c:pt idx="6">
                    <c:v>4.85818324525171</c:v>
                  </c:pt>
                  <c:pt idx="7">
                    <c:v>4.6485362092694178</c:v>
                  </c:pt>
                  <c:pt idx="8">
                    <c:v>4.0634208358092678</c:v>
                  </c:pt>
                  <c:pt idx="9">
                    <c:v>3.2574700476153442</c:v>
                  </c:pt>
                  <c:pt idx="10">
                    <c:v>2.7311474999835998</c:v>
                  </c:pt>
                  <c:pt idx="11">
                    <c:v>1.9159418919511451</c:v>
                  </c:pt>
                  <c:pt idx="12">
                    <c:v>0.86634609455780176</c:v>
                  </c:pt>
                  <c:pt idx="13">
                    <c:v>0.19860625479688307</c:v>
                  </c:pt>
                  <c:pt idx="14">
                    <c:v>0.10801234497346433</c:v>
                  </c:pt>
                  <c:pt idx="15">
                    <c:v>0.13844373104863458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710.2</c:v>
                </c:pt>
                <c:pt idx="2">
                  <c:v>700.15</c:v>
                </c:pt>
                <c:pt idx="3">
                  <c:v>690.3</c:v>
                </c:pt>
                <c:pt idx="4">
                  <c:v>680.1</c:v>
                </c:pt>
                <c:pt idx="5">
                  <c:v>670.15</c:v>
                </c:pt>
                <c:pt idx="6">
                  <c:v>660.1</c:v>
                </c:pt>
                <c:pt idx="7">
                  <c:v>650.1</c:v>
                </c:pt>
                <c:pt idx="8">
                  <c:v>640.04999999999995</c:v>
                </c:pt>
                <c:pt idx="9">
                  <c:v>630.15</c:v>
                </c:pt>
                <c:pt idx="10">
                  <c:v>620.15</c:v>
                </c:pt>
                <c:pt idx="11">
                  <c:v>610.1</c:v>
                </c:pt>
                <c:pt idx="12">
                  <c:v>600</c:v>
                </c:pt>
                <c:pt idx="13">
                  <c:v>590.15</c:v>
                </c:pt>
                <c:pt idx="14">
                  <c:v>580.15</c:v>
                </c:pt>
                <c:pt idx="15">
                  <c:v>570.15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1604.0166666666667</c:v>
                </c:pt>
                <c:pt idx="1">
                  <c:v>1581.7333333333333</c:v>
                </c:pt>
                <c:pt idx="2">
                  <c:v>1563.1833333333334</c:v>
                </c:pt>
                <c:pt idx="3">
                  <c:v>1528.6833333333334</c:v>
                </c:pt>
                <c:pt idx="4">
                  <c:v>1506.7166666666667</c:v>
                </c:pt>
                <c:pt idx="5">
                  <c:v>1473.3833333333334</c:v>
                </c:pt>
                <c:pt idx="6">
                  <c:v>1412.3833333333334</c:v>
                </c:pt>
                <c:pt idx="7">
                  <c:v>1293.6666666666667</c:v>
                </c:pt>
                <c:pt idx="8">
                  <c:v>989.01666666666665</c:v>
                </c:pt>
                <c:pt idx="9">
                  <c:v>635.4666666666667</c:v>
                </c:pt>
                <c:pt idx="10">
                  <c:v>447.01666666666665</c:v>
                </c:pt>
                <c:pt idx="11">
                  <c:v>219.21666666666667</c:v>
                </c:pt>
                <c:pt idx="12">
                  <c:v>44.333333333333336</c:v>
                </c:pt>
                <c:pt idx="13">
                  <c:v>1.1000000000000001</c:v>
                </c:pt>
                <c:pt idx="14">
                  <c:v>0.23333333333333334</c:v>
                </c:pt>
                <c:pt idx="15">
                  <c:v>0.31666666666666665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B-BA4F-AD22-09DA6A0D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2_QC5_201803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"/>
      <sheetName val="720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A7">
            <v>2.950173378E-12</v>
          </cell>
          <cell r="B7">
            <v>1.1745697337718279E-13</v>
          </cell>
          <cell r="C7">
            <v>-1.6556213825000019E-11</v>
          </cell>
          <cell r="D7">
            <v>1.816780084177414E-13</v>
          </cell>
        </row>
      </sheetData>
      <sheetData sheetId="5">
        <row r="7">
          <cell r="A7">
            <v>2.6386713650000065E-12</v>
          </cell>
          <cell r="B7">
            <v>2.7959081377386955E-14</v>
          </cell>
          <cell r="C7">
            <v>-2.4031123050000004E-11</v>
          </cell>
          <cell r="D7">
            <v>1.9014149607900369E-13</v>
          </cell>
        </row>
      </sheetData>
      <sheetData sheetId="6">
        <row r="7">
          <cell r="A7">
            <v>2.3896973199999972E-12</v>
          </cell>
          <cell r="B7">
            <v>2.8148579542590006E-14</v>
          </cell>
          <cell r="C7">
            <v>-3.4842741499999983E-11</v>
          </cell>
          <cell r="D7">
            <v>2.4744940441172481E-13</v>
          </cell>
        </row>
      </sheetData>
      <sheetData sheetId="7">
        <row r="7">
          <cell r="A7">
            <v>2.4169820885000016E-12</v>
          </cell>
          <cell r="B7">
            <v>1.0760936389931758E-13</v>
          </cell>
          <cell r="C7">
            <v>-4.8024730900000019E-11</v>
          </cell>
          <cell r="D7">
            <v>5.3593776665531642E-13</v>
          </cell>
        </row>
      </sheetData>
      <sheetData sheetId="8">
        <row r="7">
          <cell r="A7">
            <v>2.4976997720000005E-12</v>
          </cell>
          <cell r="B7">
            <v>1.0834521244926313E-13</v>
          </cell>
          <cell r="C7">
            <v>-6.8912413800000028E-11</v>
          </cell>
          <cell r="D7">
            <v>4.4241845731321473E-13</v>
          </cell>
        </row>
      </sheetData>
      <sheetData sheetId="9">
        <row r="7">
          <cell r="A7">
            <v>2.0997958630000004E-12</v>
          </cell>
          <cell r="B7">
            <v>9.3192372035890717E-14</v>
          </cell>
          <cell r="C7">
            <v>-9.7620614149999989E-11</v>
          </cell>
          <cell r="D7">
            <v>6.2749600260706479E-13</v>
          </cell>
        </row>
      </sheetData>
      <sheetData sheetId="10">
        <row r="7">
          <cell r="A7">
            <v>1.7394085365000004E-12</v>
          </cell>
          <cell r="B7">
            <v>1.1431068712791646E-13</v>
          </cell>
          <cell r="C7">
            <v>-1.3852399699999995E-10</v>
          </cell>
          <cell r="D7">
            <v>9.3679128172047636E-13</v>
          </cell>
        </row>
      </sheetData>
      <sheetData sheetId="11">
        <row r="7">
          <cell r="A7">
            <v>1.8712853009999991E-12</v>
          </cell>
          <cell r="B7">
            <v>1.1073152699856843E-13</v>
          </cell>
          <cell r="C7">
            <v>-1.9347567250000002E-10</v>
          </cell>
          <cell r="D7">
            <v>1.2080916000417458E-12</v>
          </cell>
        </row>
      </sheetData>
      <sheetData sheetId="12">
        <row r="7">
          <cell r="A7">
            <v>1.0732036894999998E-12</v>
          </cell>
          <cell r="B7">
            <v>4.3348728307501261E-13</v>
          </cell>
          <cell r="C7">
            <v>-2.7387841099999993E-10</v>
          </cell>
          <cell r="D7">
            <v>1.7815718722120588E-12</v>
          </cell>
        </row>
      </sheetData>
      <sheetData sheetId="13">
        <row r="7">
          <cell r="A7">
            <v>5.5479169450000045E-13</v>
          </cell>
          <cell r="B7">
            <v>1.8331196350196932E-13</v>
          </cell>
          <cell r="C7">
            <v>-3.821889969999998E-10</v>
          </cell>
          <cell r="D7">
            <v>2.299881851171423E-12</v>
          </cell>
        </row>
      </sheetData>
      <sheetData sheetId="14">
        <row r="7">
          <cell r="A7">
            <v>9.9930724450000031E-13</v>
          </cell>
          <cell r="B7">
            <v>1.643879261078048E-13</v>
          </cell>
          <cell r="C7">
            <v>-5.442382220000003E-10</v>
          </cell>
          <cell r="D7">
            <v>3.5782225651700376E-12</v>
          </cell>
        </row>
      </sheetData>
      <sheetData sheetId="15">
        <row r="7">
          <cell r="A7">
            <v>-2.6261658700000001E-13</v>
          </cell>
          <cell r="B7">
            <v>2.1497630082973611E-13</v>
          </cell>
          <cell r="C7">
            <v>-7.7642880799999975E-10</v>
          </cell>
          <cell r="D7">
            <v>4.6331359875357827E-12</v>
          </cell>
        </row>
      </sheetData>
      <sheetData sheetId="16">
        <row r="7">
          <cell r="A7">
            <v>-8.3177007602040811E-13</v>
          </cell>
          <cell r="B7">
            <v>2.7923084086594558E-13</v>
          </cell>
          <cell r="C7">
            <v>-1.1053984741116755E-9</v>
          </cell>
          <cell r="D7">
            <v>6.83600789660757E-12</v>
          </cell>
        </row>
      </sheetData>
      <sheetData sheetId="17">
        <row r="7">
          <cell r="A7">
            <v>-2.5090685079999992E-12</v>
          </cell>
          <cell r="B7">
            <v>2.7650576103377695E-13</v>
          </cell>
          <cell r="C7">
            <v>-1.5534124250000005E-9</v>
          </cell>
          <cell r="D7">
            <v>9.4699269523787167E-12</v>
          </cell>
        </row>
      </sheetData>
      <sheetData sheetId="18">
        <row r="7">
          <cell r="A7">
            <v>-2.661408773000001E-12</v>
          </cell>
          <cell r="B7">
            <v>3.8489111730878862E-13</v>
          </cell>
          <cell r="C7">
            <v>-2.1225776199999997E-9</v>
          </cell>
          <cell r="D7">
            <v>1.2722267648705735E-11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6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1" t="s">
        <v>77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6">
      <c r="A2" s="9" t="s">
        <v>52</v>
      </c>
      <c r="B2" s="11" t="s">
        <v>98</v>
      </c>
      <c r="C2" s="36" t="s">
        <v>91</v>
      </c>
      <c r="D2" s="37" t="s">
        <v>89</v>
      </c>
      <c r="E2"/>
      <c r="F2" s="54" t="s">
        <v>7</v>
      </c>
      <c r="G2" s="55"/>
      <c r="H2" s="55"/>
      <c r="I2" s="55"/>
      <c r="J2" s="56"/>
      <c r="K2" s="57" t="s">
        <v>46</v>
      </c>
      <c r="L2" s="55"/>
      <c r="M2" s="55"/>
      <c r="N2" s="56"/>
      <c r="O2" s="57" t="s">
        <v>47</v>
      </c>
      <c r="P2" s="55"/>
      <c r="Q2" s="55"/>
      <c r="R2" s="58"/>
    </row>
    <row r="3" spans="1:18" ht="16">
      <c r="A3" s="59" t="s">
        <v>1</v>
      </c>
      <c r="B3" s="60"/>
      <c r="C3" s="38" t="s">
        <v>90</v>
      </c>
      <c r="D3" s="39">
        <v>43195</v>
      </c>
      <c r="E3"/>
      <c r="F3" s="19" t="s">
        <v>58</v>
      </c>
      <c r="G3" s="19" t="s">
        <v>57</v>
      </c>
      <c r="H3" s="19" t="s">
        <v>31</v>
      </c>
      <c r="I3" s="19" t="s">
        <v>8</v>
      </c>
      <c r="J3" s="20" t="s">
        <v>9</v>
      </c>
      <c r="K3" s="21" t="s">
        <v>14</v>
      </c>
      <c r="L3" s="19"/>
      <c r="M3" s="19" t="s">
        <v>16</v>
      </c>
      <c r="N3" s="20"/>
      <c r="O3" s="21" t="s">
        <v>14</v>
      </c>
      <c r="P3" s="19"/>
      <c r="Q3" s="19" t="s">
        <v>16</v>
      </c>
      <c r="R3" s="19"/>
    </row>
    <row r="4" spans="1:18">
      <c r="A4" s="61"/>
      <c r="B4" s="62"/>
      <c r="C4"/>
      <c r="D4"/>
      <c r="E4"/>
      <c r="F4" s="19"/>
      <c r="G4" s="19"/>
      <c r="H4" s="19"/>
      <c r="I4" s="19"/>
      <c r="J4" s="20"/>
      <c r="K4" s="21" t="s">
        <v>13</v>
      </c>
      <c r="L4" s="19" t="s">
        <v>17</v>
      </c>
      <c r="M4" s="19" t="s">
        <v>13</v>
      </c>
      <c r="N4" s="20" t="s">
        <v>17</v>
      </c>
      <c r="O4" s="21" t="s">
        <v>35</v>
      </c>
      <c r="P4" s="19" t="s">
        <v>17</v>
      </c>
      <c r="Q4" s="19" t="s">
        <v>35</v>
      </c>
      <c r="R4" s="19" t="s">
        <v>17</v>
      </c>
    </row>
    <row r="5" spans="1:18">
      <c r="A5" s="10" t="s">
        <v>55</v>
      </c>
      <c r="B5" s="11" t="s">
        <v>99</v>
      </c>
      <c r="C5"/>
      <c r="D5"/>
      <c r="F5" s="19" t="s">
        <v>5</v>
      </c>
      <c r="G5" s="19" t="s">
        <v>6</v>
      </c>
      <c r="H5" s="19" t="s">
        <v>32</v>
      </c>
      <c r="I5" s="19" t="s">
        <v>79</v>
      </c>
      <c r="J5" s="20" t="s">
        <v>10</v>
      </c>
      <c r="K5" s="21" t="s">
        <v>18</v>
      </c>
      <c r="L5" s="19" t="s">
        <v>18</v>
      </c>
      <c r="M5" s="19" t="s">
        <v>18</v>
      </c>
      <c r="N5" s="20" t="s">
        <v>18</v>
      </c>
      <c r="O5" s="21" t="s">
        <v>80</v>
      </c>
      <c r="P5" s="19" t="s">
        <v>80</v>
      </c>
      <c r="Q5" s="19" t="s">
        <v>80</v>
      </c>
      <c r="R5" s="19" t="s">
        <v>80</v>
      </c>
    </row>
    <row r="6" spans="1:18">
      <c r="A6" s="10"/>
      <c r="B6" s="11"/>
      <c r="C6"/>
      <c r="D6"/>
      <c r="E6" s="48" t="s">
        <v>59</v>
      </c>
      <c r="F6" s="41">
        <v>3322</v>
      </c>
      <c r="G6" s="41">
        <v>720</v>
      </c>
      <c r="H6" s="43">
        <v>10</v>
      </c>
      <c r="I6" s="41">
        <v>1008</v>
      </c>
      <c r="J6" s="20">
        <v>20.5</v>
      </c>
      <c r="K6" s="21">
        <v>302</v>
      </c>
      <c r="L6" s="12">
        <f>SQRT(K6)</f>
        <v>17.378147196982766</v>
      </c>
      <c r="M6" s="41">
        <v>96543</v>
      </c>
      <c r="N6" s="23">
        <f>SQRT(M6)</f>
        <v>310.71369458071848</v>
      </c>
      <c r="O6" s="44">
        <f>'[1]720'!A7</f>
        <v>-2.661408773000001E-12</v>
      </c>
      <c r="P6" s="45">
        <f>'[1]720'!B7</f>
        <v>3.8489111730878862E-13</v>
      </c>
      <c r="Q6" s="45">
        <f>'[1]720'!C7</f>
        <v>-2.1225776199999997E-9</v>
      </c>
      <c r="R6" s="45">
        <f>'[1]720'!D7</f>
        <v>1.2722267648705735E-11</v>
      </c>
    </row>
    <row r="7" spans="1:18">
      <c r="A7" s="10"/>
      <c r="B7" s="11"/>
      <c r="C7"/>
      <c r="D7"/>
      <c r="E7" s="49"/>
      <c r="F7" s="41">
        <v>3278</v>
      </c>
      <c r="G7" s="41">
        <v>710.2</v>
      </c>
      <c r="H7" s="41"/>
      <c r="I7" s="41">
        <v>1008</v>
      </c>
      <c r="J7" s="20">
        <v>21</v>
      </c>
      <c r="K7" s="21">
        <v>486</v>
      </c>
      <c r="L7" s="12">
        <f t="shared" ref="L7:L19" si="0">SQRT(K7)</f>
        <v>22.045407685048602</v>
      </c>
      <c r="M7" s="41">
        <v>95390</v>
      </c>
      <c r="N7" s="23">
        <f t="shared" ref="N7:N20" si="1">SQRT(M7)</f>
        <v>308.85271570766542</v>
      </c>
      <c r="O7" s="44">
        <f>'[1]710'!A7</f>
        <v>-2.5090685079999992E-12</v>
      </c>
      <c r="P7" s="45">
        <f>'[1]710'!B7</f>
        <v>2.7650576103377695E-13</v>
      </c>
      <c r="Q7" s="45">
        <f>'[1]710'!C7</f>
        <v>-1.5534124250000005E-9</v>
      </c>
      <c r="R7" s="45">
        <f>'[1]710'!D7</f>
        <v>9.4699269523787167E-12</v>
      </c>
    </row>
    <row r="8" spans="1:18">
      <c r="A8" s="9" t="s">
        <v>2</v>
      </c>
      <c r="B8" s="11">
        <v>4</v>
      </c>
      <c r="C8"/>
      <c r="D8"/>
      <c r="E8" s="49"/>
      <c r="F8" s="13">
        <v>3231.8</v>
      </c>
      <c r="G8" s="14">
        <v>700.15</v>
      </c>
      <c r="H8" s="15"/>
      <c r="I8" s="16">
        <v>1008</v>
      </c>
      <c r="J8" s="17">
        <v>21.5</v>
      </c>
      <c r="K8" s="47">
        <v>278</v>
      </c>
      <c r="L8" s="12">
        <f t="shared" si="0"/>
        <v>16.673332000533065</v>
      </c>
      <c r="M8" s="14">
        <v>94069</v>
      </c>
      <c r="N8" s="23">
        <f t="shared" si="1"/>
        <v>306.70670028546817</v>
      </c>
      <c r="O8" s="44">
        <f>'[1]700uA'!A7</f>
        <v>-8.3177007602040811E-13</v>
      </c>
      <c r="P8" s="12">
        <f>'[1]700uA'!B7</f>
        <v>2.7923084086594558E-13</v>
      </c>
      <c r="Q8" s="45">
        <f>'[1]700uA'!C7</f>
        <v>-1.1053984741116755E-9</v>
      </c>
      <c r="R8" s="45">
        <f>'[1]700uA'!D7</f>
        <v>6.83600789660757E-12</v>
      </c>
    </row>
    <row r="9" spans="1:18" ht="15" customHeight="1">
      <c r="A9" s="9" t="s">
        <v>3</v>
      </c>
      <c r="B9" s="11">
        <v>4</v>
      </c>
      <c r="C9" s="4"/>
      <c r="D9" s="6"/>
      <c r="E9" s="49"/>
      <c r="F9" s="13">
        <v>3187</v>
      </c>
      <c r="G9" s="14">
        <v>690.3</v>
      </c>
      <c r="H9" s="15"/>
      <c r="I9" s="16">
        <v>1008</v>
      </c>
      <c r="J9" s="17">
        <v>21.5</v>
      </c>
      <c r="K9" s="18">
        <v>218</v>
      </c>
      <c r="L9" s="12">
        <f t="shared" si="0"/>
        <v>14.7648230602334</v>
      </c>
      <c r="M9" s="14">
        <v>91939</v>
      </c>
      <c r="N9" s="23">
        <f t="shared" si="1"/>
        <v>303.21444556617024</v>
      </c>
      <c r="O9" s="44">
        <f>'[1]690uA'!A7</f>
        <v>-2.6261658700000001E-13</v>
      </c>
      <c r="P9" s="45">
        <f>'[1]690uA'!B7</f>
        <v>2.1497630082973611E-13</v>
      </c>
      <c r="Q9" s="45">
        <f>'[1]690uA'!C7</f>
        <v>-7.7642880799999975E-10</v>
      </c>
      <c r="R9" s="45">
        <f>'[1]690uA'!D7</f>
        <v>4.6331359875357827E-12</v>
      </c>
    </row>
    <row r="10" spans="1:18">
      <c r="A10" s="9" t="s">
        <v>27</v>
      </c>
      <c r="B10" s="11">
        <v>500</v>
      </c>
      <c r="C10" s="4"/>
      <c r="D10" s="6"/>
      <c r="E10" s="49"/>
      <c r="F10" s="13">
        <v>3139.8</v>
      </c>
      <c r="G10" s="14">
        <v>680.1</v>
      </c>
      <c r="H10" s="15"/>
      <c r="I10" s="16">
        <v>1008</v>
      </c>
      <c r="J10" s="17">
        <v>21.8</v>
      </c>
      <c r="K10" s="18">
        <v>201</v>
      </c>
      <c r="L10" s="12">
        <f t="shared" si="0"/>
        <v>14.177446878757825</v>
      </c>
      <c r="M10" s="14">
        <v>90604</v>
      </c>
      <c r="N10" s="23">
        <f t="shared" si="1"/>
        <v>301.00498334745225</v>
      </c>
      <c r="O10" s="44">
        <f>'[1]680uA'!A7</f>
        <v>9.9930724450000031E-13</v>
      </c>
      <c r="P10" s="45">
        <f>'[1]680uA'!B7</f>
        <v>1.643879261078048E-13</v>
      </c>
      <c r="Q10" s="45">
        <f>'[1]680uA'!C7</f>
        <v>-5.442382220000003E-10</v>
      </c>
      <c r="R10" s="45">
        <f>'[1]680uA'!D7</f>
        <v>3.5782225651700376E-12</v>
      </c>
    </row>
    <row r="11" spans="1:18">
      <c r="A11" s="9" t="s">
        <v>28</v>
      </c>
      <c r="B11" s="11">
        <v>500</v>
      </c>
      <c r="C11" s="4"/>
      <c r="D11" s="6"/>
      <c r="E11" s="49"/>
      <c r="F11" s="13">
        <v>3093.8</v>
      </c>
      <c r="G11" s="14">
        <v>670.15</v>
      </c>
      <c r="H11" s="15"/>
      <c r="I11" s="16">
        <v>1008</v>
      </c>
      <c r="J11" s="17">
        <v>22</v>
      </c>
      <c r="K11" s="18">
        <v>146</v>
      </c>
      <c r="L11" s="12">
        <f t="shared" si="0"/>
        <v>12.083045973594572</v>
      </c>
      <c r="M11" s="14">
        <v>88549</v>
      </c>
      <c r="N11" s="23">
        <f t="shared" si="1"/>
        <v>297.57184006555457</v>
      </c>
      <c r="O11" s="44">
        <f>'[1]670uA'!A7</f>
        <v>5.5479169450000045E-13</v>
      </c>
      <c r="P11" s="45">
        <f>'[1]670uA'!B7</f>
        <v>1.8331196350196932E-13</v>
      </c>
      <c r="Q11" s="45">
        <f>'[1]670uA'!C7</f>
        <v>-3.821889969999998E-10</v>
      </c>
      <c r="R11" s="45">
        <f>'[1]670uA'!D7</f>
        <v>2.299881851171423E-12</v>
      </c>
    </row>
    <row r="12" spans="1:18">
      <c r="A12" s="59" t="s">
        <v>22</v>
      </c>
      <c r="B12" s="60"/>
      <c r="C12" s="4"/>
      <c r="D12" s="6"/>
      <c r="E12" s="49"/>
      <c r="F12" s="13">
        <v>3047.8</v>
      </c>
      <c r="G12" s="14">
        <v>660.1</v>
      </c>
      <c r="H12" s="15"/>
      <c r="I12" s="16">
        <v>1008</v>
      </c>
      <c r="J12" s="17">
        <v>22.4</v>
      </c>
      <c r="K12" s="18">
        <v>112</v>
      </c>
      <c r="L12" s="12">
        <f t="shared" si="0"/>
        <v>10.583005244258363</v>
      </c>
      <c r="M12" s="14">
        <v>84855</v>
      </c>
      <c r="N12" s="23">
        <f t="shared" si="1"/>
        <v>291.29881565155733</v>
      </c>
      <c r="O12" s="44">
        <f>'[1]660uA'!A7</f>
        <v>1.0732036894999998E-12</v>
      </c>
      <c r="P12" s="45">
        <f>'[1]660uA'!B7</f>
        <v>4.3348728307501261E-13</v>
      </c>
      <c r="Q12" s="45">
        <f>'[1]660uA'!C7</f>
        <v>-2.7387841099999993E-10</v>
      </c>
      <c r="R12" s="45">
        <f>'[1]660uA'!D7</f>
        <v>1.7815718722120588E-12</v>
      </c>
    </row>
    <row r="13" spans="1:18">
      <c r="A13" s="61"/>
      <c r="B13" s="62"/>
      <c r="C13" s="4"/>
      <c r="D13" s="6"/>
      <c r="E13" s="49"/>
      <c r="F13" s="13">
        <v>3001.8</v>
      </c>
      <c r="G13" s="14">
        <v>650.1</v>
      </c>
      <c r="H13" s="15"/>
      <c r="I13" s="16">
        <v>1008</v>
      </c>
      <c r="J13" s="17">
        <v>22.4</v>
      </c>
      <c r="K13" s="18">
        <v>86</v>
      </c>
      <c r="L13" s="12">
        <f t="shared" si="0"/>
        <v>9.2736184954957039</v>
      </c>
      <c r="M13" s="14">
        <v>77706</v>
      </c>
      <c r="N13" s="23">
        <f t="shared" si="1"/>
        <v>278.75795952761598</v>
      </c>
      <c r="O13" s="44">
        <f>'[1]650uA'!A7</f>
        <v>1.8712853009999991E-12</v>
      </c>
      <c r="P13" s="45">
        <f>'[1]650uA'!B7</f>
        <v>1.1073152699856843E-13</v>
      </c>
      <c r="Q13" s="45">
        <f>'[1]650uA'!C7</f>
        <v>-1.9347567250000002E-10</v>
      </c>
      <c r="R13" s="45">
        <f>'[1]650uA'!D7</f>
        <v>1.2080916000417458E-12</v>
      </c>
    </row>
    <row r="14" spans="1:18">
      <c r="A14" s="9" t="s">
        <v>56</v>
      </c>
      <c r="B14" s="11" t="s">
        <v>100</v>
      </c>
      <c r="C14" s="4"/>
      <c r="D14" s="6"/>
      <c r="E14" s="49"/>
      <c r="F14" s="13">
        <v>2956</v>
      </c>
      <c r="G14" s="14">
        <v>640.04999999999995</v>
      </c>
      <c r="H14" s="15"/>
      <c r="I14" s="16">
        <v>1008</v>
      </c>
      <c r="J14" s="17">
        <v>22.5</v>
      </c>
      <c r="K14" s="18">
        <v>50</v>
      </c>
      <c r="L14" s="12">
        <f t="shared" si="0"/>
        <v>7.0710678118654755</v>
      </c>
      <c r="M14" s="14">
        <v>59391</v>
      </c>
      <c r="N14" s="23">
        <f t="shared" si="1"/>
        <v>243.70268771599544</v>
      </c>
      <c r="O14" s="44">
        <f>'[1]640uA'!A7</f>
        <v>1.7394085365000004E-12</v>
      </c>
      <c r="P14" s="45">
        <f>'[1]640uA'!B7</f>
        <v>1.1431068712791646E-13</v>
      </c>
      <c r="Q14" s="45">
        <f>'[1]640uA'!C7</f>
        <v>-1.3852399699999995E-10</v>
      </c>
      <c r="R14" s="45">
        <f>'[1]640uA'!D7</f>
        <v>9.3679128172047636E-13</v>
      </c>
    </row>
    <row r="15" spans="1:18">
      <c r="A15" s="9" t="s">
        <v>44</v>
      </c>
      <c r="B15" s="11" t="s">
        <v>92</v>
      </c>
      <c r="C15" s="4"/>
      <c r="D15" s="6"/>
      <c r="E15" s="49"/>
      <c r="F15" s="13">
        <v>2910</v>
      </c>
      <c r="G15" s="14">
        <v>630.15</v>
      </c>
      <c r="H15" s="15"/>
      <c r="I15" s="16">
        <v>1008</v>
      </c>
      <c r="J15" s="17">
        <v>22</v>
      </c>
      <c r="K15" s="18">
        <v>36</v>
      </c>
      <c r="L15" s="12">
        <f t="shared" si="0"/>
        <v>6</v>
      </c>
      <c r="M15" s="14">
        <v>38164</v>
      </c>
      <c r="N15" s="23">
        <f t="shared" si="1"/>
        <v>195.35608513685978</v>
      </c>
      <c r="O15" s="44">
        <f>'[1]630uA'!A7</f>
        <v>2.0997958630000004E-12</v>
      </c>
      <c r="P15" s="45">
        <f>'[1]630uA'!B7</f>
        <v>9.3192372035890717E-14</v>
      </c>
      <c r="Q15" s="45">
        <f>'[1]630uA'!C7</f>
        <v>-9.7620614149999989E-11</v>
      </c>
      <c r="R15" s="45">
        <f>'[1]630uA'!D7</f>
        <v>6.2749600260706479E-13</v>
      </c>
    </row>
    <row r="16" spans="1:18">
      <c r="A16" s="9" t="s">
        <v>53</v>
      </c>
      <c r="B16" s="11" t="s">
        <v>93</v>
      </c>
      <c r="C16" s="4"/>
      <c r="D16" s="6"/>
      <c r="E16" s="49"/>
      <c r="F16" s="13">
        <v>2864</v>
      </c>
      <c r="G16" s="14">
        <v>620.15</v>
      </c>
      <c r="H16" s="15"/>
      <c r="I16" s="16">
        <v>1009</v>
      </c>
      <c r="J16" s="17">
        <v>22</v>
      </c>
      <c r="K16" s="18">
        <v>16</v>
      </c>
      <c r="L16" s="12">
        <f t="shared" si="0"/>
        <v>4</v>
      </c>
      <c r="M16" s="14">
        <v>26837</v>
      </c>
      <c r="N16" s="23">
        <f t="shared" si="1"/>
        <v>163.82002319618931</v>
      </c>
      <c r="O16" s="44">
        <f>'[1]620uA'!A7</f>
        <v>2.4976997720000005E-12</v>
      </c>
      <c r="P16" s="45">
        <f>'[1]620uA'!B7</f>
        <v>1.0834521244926313E-13</v>
      </c>
      <c r="Q16" s="45">
        <f>'[1]620uA'!C7</f>
        <v>-6.8912413800000028E-11</v>
      </c>
      <c r="R16" s="45">
        <f>'[1]620uA'!D7</f>
        <v>4.4241845731321473E-13</v>
      </c>
    </row>
    <row r="17" spans="1:20">
      <c r="A17" s="9" t="s">
        <v>54</v>
      </c>
      <c r="B17" s="11" t="s">
        <v>94</v>
      </c>
      <c r="C17" s="4"/>
      <c r="D17" s="6"/>
      <c r="E17" s="49"/>
      <c r="F17" s="13">
        <v>2817</v>
      </c>
      <c r="G17" s="14">
        <v>610.1</v>
      </c>
      <c r="H17" s="15"/>
      <c r="I17" s="16">
        <v>1009</v>
      </c>
      <c r="J17" s="17">
        <v>22.1</v>
      </c>
      <c r="K17" s="18">
        <v>31</v>
      </c>
      <c r="L17" s="12">
        <f t="shared" si="0"/>
        <v>5.5677643628300215</v>
      </c>
      <c r="M17" s="14">
        <v>13184</v>
      </c>
      <c r="N17" s="23">
        <f t="shared" si="1"/>
        <v>114.82160075525859</v>
      </c>
      <c r="O17" s="44">
        <f>'[1]610uA'!A7</f>
        <v>2.4169820885000016E-12</v>
      </c>
      <c r="P17" s="45">
        <f>'[1]610uA'!B7</f>
        <v>1.0760936389931758E-13</v>
      </c>
      <c r="Q17" s="45">
        <f>'[1]610uA'!C7</f>
        <v>-4.8024730900000019E-11</v>
      </c>
      <c r="R17" s="45">
        <f>'[1]610uA'!D7</f>
        <v>5.3593776665531642E-13</v>
      </c>
    </row>
    <row r="18" spans="1:20" ht="14" customHeight="1">
      <c r="A18" s="9" t="s">
        <v>48</v>
      </c>
      <c r="B18" s="11">
        <v>5</v>
      </c>
      <c r="C18" s="4"/>
      <c r="D18" s="6"/>
      <c r="E18" s="49"/>
      <c r="F18" s="13">
        <v>2770</v>
      </c>
      <c r="G18" s="14">
        <v>600</v>
      </c>
      <c r="H18" s="15"/>
      <c r="I18" s="16">
        <v>1009</v>
      </c>
      <c r="J18" s="17">
        <v>22</v>
      </c>
      <c r="K18" s="18">
        <v>21</v>
      </c>
      <c r="L18" s="12">
        <f t="shared" si="0"/>
        <v>4.5825756949558398</v>
      </c>
      <c r="M18" s="14">
        <v>2681</v>
      </c>
      <c r="N18" s="23">
        <f t="shared" si="1"/>
        <v>51.778373863998475</v>
      </c>
      <c r="O18" s="44">
        <f>'[1]600uA'!A7</f>
        <v>2.3896973199999972E-12</v>
      </c>
      <c r="P18" s="45">
        <f>'[1]600uA'!B7</f>
        <v>2.8148579542590006E-14</v>
      </c>
      <c r="Q18" s="45">
        <f>'[1]600uA'!C7</f>
        <v>-3.4842741499999983E-11</v>
      </c>
      <c r="R18" s="45">
        <f>'[1]600uA'!D7</f>
        <v>2.4744940441172481E-13</v>
      </c>
    </row>
    <row r="19" spans="1:20" ht="15" customHeight="1">
      <c r="A19" s="9" t="s">
        <v>61</v>
      </c>
      <c r="B19" s="11">
        <v>4.63</v>
      </c>
      <c r="C19" s="4"/>
      <c r="D19" s="6"/>
      <c r="E19" s="49"/>
      <c r="F19" s="13">
        <v>2724.8</v>
      </c>
      <c r="G19" s="14">
        <v>590.15</v>
      </c>
      <c r="H19" s="15"/>
      <c r="I19" s="16">
        <v>1009</v>
      </c>
      <c r="J19" s="17">
        <v>22.2</v>
      </c>
      <c r="K19" s="18">
        <v>38</v>
      </c>
      <c r="L19" s="12">
        <f t="shared" si="0"/>
        <v>6.164414002968976</v>
      </c>
      <c r="M19" s="14">
        <v>104</v>
      </c>
      <c r="N19" s="23">
        <f t="shared" si="1"/>
        <v>10.198039027185569</v>
      </c>
      <c r="O19" s="44">
        <f>'[1]590uA'!A7</f>
        <v>2.6386713650000065E-12</v>
      </c>
      <c r="P19" s="45">
        <f>'[1]590uA'!B7</f>
        <v>2.7959081377386955E-14</v>
      </c>
      <c r="Q19" s="45">
        <f>'[1]590uA'!C7</f>
        <v>-2.4031123050000004E-11</v>
      </c>
      <c r="R19" s="45">
        <f>'[1]590uA'!D7</f>
        <v>1.9014149607900369E-13</v>
      </c>
    </row>
    <row r="20" spans="1:20">
      <c r="A20" s="9" t="s">
        <v>62</v>
      </c>
      <c r="B20" s="11">
        <v>4.63</v>
      </c>
      <c r="C20" s="4"/>
      <c r="D20" s="6"/>
      <c r="E20" s="49"/>
      <c r="F20" s="13">
        <v>2680.6</v>
      </c>
      <c r="G20" s="14">
        <v>580.15</v>
      </c>
      <c r="H20" s="15"/>
      <c r="I20" s="16">
        <v>1009</v>
      </c>
      <c r="J20" s="17">
        <v>22.1</v>
      </c>
      <c r="K20" s="18">
        <v>14</v>
      </c>
      <c r="L20" s="12">
        <f>SQRT(K20)</f>
        <v>3.7416573867739413</v>
      </c>
      <c r="M20" s="14">
        <v>28</v>
      </c>
      <c r="N20" s="23">
        <f t="shared" si="1"/>
        <v>5.2915026221291814</v>
      </c>
      <c r="O20" s="44">
        <f>'[1]580uA'!A7</f>
        <v>2.950173378E-12</v>
      </c>
      <c r="P20" s="45">
        <f>'[1]580uA'!B7</f>
        <v>1.1745697337718279E-13</v>
      </c>
      <c r="Q20" s="45">
        <f>'[1]580uA'!C7</f>
        <v>-1.6556213825000019E-11</v>
      </c>
      <c r="R20" s="45">
        <f>'[1]580uA'!D7</f>
        <v>1.816780084177414E-13</v>
      </c>
    </row>
    <row r="21" spans="1:20">
      <c r="A21" s="9" t="s">
        <v>63</v>
      </c>
      <c r="B21" s="11">
        <v>0.55000000000000004</v>
      </c>
      <c r="C21" s="4"/>
      <c r="D21" s="6"/>
      <c r="E21" s="50"/>
      <c r="F21" s="13">
        <v>2633</v>
      </c>
      <c r="G21" s="14">
        <v>570.15</v>
      </c>
      <c r="H21" s="15">
        <v>0.56180555555555556</v>
      </c>
      <c r="I21" s="16">
        <v>1011</v>
      </c>
      <c r="J21" s="17">
        <v>23.4</v>
      </c>
      <c r="K21" s="18">
        <v>25</v>
      </c>
      <c r="L21" s="12">
        <f t="shared" ref="L21" si="2">SQRT(K21)</f>
        <v>5</v>
      </c>
      <c r="M21" s="14">
        <v>44</v>
      </c>
      <c r="N21" s="23">
        <f>SQRT(M21)</f>
        <v>6.6332495807107996</v>
      </c>
      <c r="O21" s="40">
        <f>'550uA'!A7</f>
        <v>1.7801120450777208E-12</v>
      </c>
      <c r="P21" s="40">
        <f>'550uA'!B7</f>
        <v>1.8009406735131309E-12</v>
      </c>
      <c r="Q21" s="40">
        <f>'550uA'!C7</f>
        <v>-8.3718986750000024E-12</v>
      </c>
      <c r="R21" s="40">
        <f>'550uA'!D7</f>
        <v>2.0790164249811151E-12</v>
      </c>
      <c r="T21" s="2"/>
    </row>
    <row r="22" spans="1:20">
      <c r="A22" s="9" t="s">
        <v>64</v>
      </c>
      <c r="B22" s="11">
        <v>0.88</v>
      </c>
      <c r="C22" s="4"/>
      <c r="D22" s="6"/>
    </row>
    <row r="23" spans="1:20">
      <c r="A23" s="9" t="s">
        <v>65</v>
      </c>
      <c r="B23" s="11">
        <v>0.53</v>
      </c>
      <c r="C23" s="4"/>
      <c r="D23" s="6"/>
      <c r="E23" s="9"/>
      <c r="F23" s="22"/>
      <c r="G23" s="8" t="s">
        <v>70</v>
      </c>
      <c r="H23" s="8" t="s">
        <v>71</v>
      </c>
      <c r="I23" s="8" t="s">
        <v>81</v>
      </c>
      <c r="J23" s="66"/>
      <c r="K23" s="67"/>
      <c r="L23" s="67"/>
      <c r="M23" s="68"/>
    </row>
    <row r="24" spans="1:20">
      <c r="A24" s="9" t="s">
        <v>66</v>
      </c>
      <c r="B24" s="11">
        <v>0.63</v>
      </c>
      <c r="C24" s="5"/>
      <c r="D24" s="6"/>
      <c r="E24" s="19" t="s">
        <v>39</v>
      </c>
      <c r="F24" s="11">
        <v>346</v>
      </c>
      <c r="G24" s="8">
        <v>196</v>
      </c>
      <c r="H24" s="8">
        <v>322</v>
      </c>
      <c r="I24" s="8">
        <v>346</v>
      </c>
      <c r="J24" s="70" t="s">
        <v>40</v>
      </c>
      <c r="K24" s="70"/>
      <c r="L24" s="63">
        <v>1.602E-19</v>
      </c>
      <c r="M24" s="63"/>
    </row>
    <row r="25" spans="1:20">
      <c r="A25" s="59" t="s">
        <v>0</v>
      </c>
      <c r="B25" s="60"/>
      <c r="C25" s="5"/>
      <c r="D25" s="6"/>
      <c r="E25" s="19" t="s">
        <v>69</v>
      </c>
      <c r="F25" s="11">
        <v>2.9</v>
      </c>
      <c r="G25" s="8">
        <v>1.8</v>
      </c>
      <c r="H25" s="8">
        <v>2.8</v>
      </c>
      <c r="I25" s="8">
        <v>2.9</v>
      </c>
      <c r="J25" s="66"/>
      <c r="K25" s="67"/>
      <c r="L25" s="67"/>
      <c r="M25" s="68"/>
    </row>
    <row r="26" spans="1:20">
      <c r="A26" s="61"/>
      <c r="B26" s="62"/>
      <c r="D26" s="5"/>
      <c r="E26" s="65" t="s">
        <v>85</v>
      </c>
      <c r="F26" s="65"/>
      <c r="G26" s="65"/>
      <c r="H26" s="65"/>
      <c r="I26" s="65"/>
      <c r="J26" s="65"/>
      <c r="K26" s="65"/>
      <c r="L26" s="65"/>
      <c r="M26" s="65"/>
    </row>
    <row r="27" spans="1:20">
      <c r="A27" s="9" t="s">
        <v>55</v>
      </c>
      <c r="B27" s="11" t="s">
        <v>101</v>
      </c>
      <c r="E27" s="65"/>
      <c r="F27" s="65"/>
      <c r="G27" s="65"/>
      <c r="H27" s="65"/>
      <c r="I27" s="65"/>
      <c r="J27" s="65"/>
      <c r="K27" s="65"/>
      <c r="L27" s="65"/>
      <c r="M27" s="65"/>
    </row>
    <row r="28" spans="1:20">
      <c r="A28" s="9" t="s">
        <v>24</v>
      </c>
      <c r="B28" s="11">
        <v>100</v>
      </c>
      <c r="E28" s="29" t="s">
        <v>4</v>
      </c>
      <c r="F28" s="29" t="s">
        <v>60</v>
      </c>
      <c r="G28" s="29" t="s">
        <v>43</v>
      </c>
      <c r="H28" s="29" t="s">
        <v>36</v>
      </c>
      <c r="I28" s="29" t="s">
        <v>38</v>
      </c>
      <c r="J28" s="29" t="s">
        <v>35</v>
      </c>
      <c r="K28" s="29" t="s">
        <v>41</v>
      </c>
      <c r="L28" s="29" t="s">
        <v>42</v>
      </c>
      <c r="M28" s="29" t="s">
        <v>50</v>
      </c>
    </row>
    <row r="29" spans="1:20">
      <c r="A29" s="9"/>
      <c r="B29" s="11"/>
      <c r="E29" s="29" t="s">
        <v>6</v>
      </c>
      <c r="F29" s="29" t="s">
        <v>5</v>
      </c>
      <c r="G29" s="29" t="s">
        <v>5</v>
      </c>
      <c r="H29" s="29" t="s">
        <v>37</v>
      </c>
      <c r="I29" s="29" t="s">
        <v>37</v>
      </c>
      <c r="J29" s="29" t="s">
        <v>80</v>
      </c>
      <c r="K29" s="29" t="s">
        <v>80</v>
      </c>
      <c r="L29" s="29" t="s">
        <v>49</v>
      </c>
      <c r="M29" s="29" t="s">
        <v>49</v>
      </c>
    </row>
    <row r="30" spans="1:20">
      <c r="A30" s="9"/>
      <c r="B30" s="11"/>
      <c r="D30" s="2">
        <v>0</v>
      </c>
      <c r="E30" s="29">
        <f>G6</f>
        <v>720</v>
      </c>
      <c r="F30" s="29">
        <f>F6</f>
        <v>3322</v>
      </c>
      <c r="G30" s="29">
        <f>E30*'Data Summary'!$B$18</f>
        <v>3600</v>
      </c>
      <c r="H30" s="31">
        <f>(M6-K6)/$B$43</f>
        <v>1604.0166666666667</v>
      </c>
      <c r="I30" s="32">
        <f>(1/$B$43)*SQRT(N6^2+L6^2)</f>
        <v>5.1866548843053835</v>
      </c>
      <c r="J30" s="33">
        <f>Q6-O6</f>
        <v>-2.1199162112269997E-9</v>
      </c>
      <c r="K30" s="33">
        <f>SQRT(P6^2+R6^2)</f>
        <v>1.2728088438468982E-11</v>
      </c>
      <c r="L30" s="32">
        <f>ABS(J30)/($H$30*$F$24*$L$24)</f>
        <v>23843.566036736618</v>
      </c>
      <c r="M30" s="33">
        <f>SQRT( ( 1 / ($H$30*$F$24*$L$24 ) )^2 * (K30^2+J30^2*( ($I$30/$H$30)^2+($F$25/$F$24)^2)))</f>
        <v>257.6363573385766</v>
      </c>
    </row>
    <row r="31" spans="1:20">
      <c r="A31" s="9" t="s">
        <v>25</v>
      </c>
      <c r="B31" s="11"/>
      <c r="D31" s="2">
        <v>0</v>
      </c>
      <c r="E31" s="46">
        <f t="shared" ref="E31:E45" si="3">G7</f>
        <v>710.2</v>
      </c>
      <c r="F31" s="46">
        <f t="shared" ref="F31:F45" si="4">F7</f>
        <v>3278</v>
      </c>
      <c r="G31" s="46">
        <f>E31*'Data Summary'!$B$18</f>
        <v>3551</v>
      </c>
      <c r="H31" s="31">
        <f t="shared" ref="H31:H45" si="5">(M7-K7)/$B$43</f>
        <v>1581.7333333333333</v>
      </c>
      <c r="I31" s="32">
        <f t="shared" ref="I31:I45" si="6">(1/$B$43)*SQRT(N7^2+L7^2)</f>
        <v>5.1606416483052007</v>
      </c>
      <c r="J31" s="33">
        <f t="shared" ref="J31:J45" si="7">Q7-O7</f>
        <v>-1.5509033564920004E-9</v>
      </c>
      <c r="K31" s="33">
        <f t="shared" ref="K31:K45" si="8">SQRT(P7^2+R7^2)</f>
        <v>9.4739628413496382E-12</v>
      </c>
      <c r="L31" s="33">
        <f>ABS(J31)/($H$30*$F$24*$L$24)</f>
        <v>17443.645367337482</v>
      </c>
      <c r="M31" s="33">
        <f t="shared" ref="M31:M45" si="9">SQRT( ( 1 / ($H$30*$F$24*$L$24 ) )^2 * (K31^2+J31^2*( ($I$30/$H$30)^2+($F$25/$F$24)^2)))</f>
        <v>189.50357552512034</v>
      </c>
    </row>
    <row r="32" spans="1:20">
      <c r="A32" s="9" t="s">
        <v>26</v>
      </c>
      <c r="B32" s="11"/>
      <c r="D32" s="2">
        <v>0</v>
      </c>
      <c r="E32" s="46">
        <f t="shared" si="3"/>
        <v>700.15</v>
      </c>
      <c r="F32" s="46">
        <f t="shared" si="4"/>
        <v>3231.8</v>
      </c>
      <c r="G32" s="46">
        <f>E32*'Data Summary'!$B$18</f>
        <v>3500.75</v>
      </c>
      <c r="H32" s="31">
        <f t="shared" si="5"/>
        <v>1563.1833333333334</v>
      </c>
      <c r="I32" s="32">
        <f t="shared" si="6"/>
        <v>5.1193261275288959</v>
      </c>
      <c r="J32" s="33">
        <f t="shared" si="7"/>
        <v>-1.104566704035655E-9</v>
      </c>
      <c r="K32" s="33">
        <f t="shared" si="8"/>
        <v>6.8417083995864483E-12</v>
      </c>
      <c r="L32" s="32">
        <f t="shared" ref="L32:L45" si="10">ABS(J32)/($H$30*$F$24*$L$24)</f>
        <v>12423.51419842721</v>
      </c>
      <c r="M32" s="33">
        <f t="shared" si="9"/>
        <v>135.56511620284672</v>
      </c>
    </row>
    <row r="33" spans="1:14">
      <c r="A33" s="59" t="s">
        <v>51</v>
      </c>
      <c r="B33" s="60"/>
      <c r="D33" s="2">
        <v>0</v>
      </c>
      <c r="E33" s="46">
        <f t="shared" si="3"/>
        <v>690.3</v>
      </c>
      <c r="F33" s="46">
        <f t="shared" si="4"/>
        <v>3187</v>
      </c>
      <c r="G33" s="46">
        <f>E33*'Data Summary'!$B$18</f>
        <v>3451.5</v>
      </c>
      <c r="H33" s="31">
        <f t="shared" si="5"/>
        <v>1528.6833333333334</v>
      </c>
      <c r="I33" s="32">
        <f t="shared" si="6"/>
        <v>5.059561904618489</v>
      </c>
      <c r="J33" s="33">
        <f t="shared" si="7"/>
        <v>-7.7616619141299975E-10</v>
      </c>
      <c r="K33" s="33">
        <f t="shared" si="8"/>
        <v>4.6381207281524714E-12</v>
      </c>
      <c r="L33" s="32">
        <f t="shared" si="10"/>
        <v>8729.8591059533792</v>
      </c>
      <c r="M33" s="33">
        <f t="shared" si="9"/>
        <v>94.191147915579521</v>
      </c>
    </row>
    <row r="34" spans="1:14">
      <c r="A34" s="61"/>
      <c r="B34" s="62"/>
      <c r="D34" s="2">
        <v>0</v>
      </c>
      <c r="E34" s="46">
        <f t="shared" si="3"/>
        <v>680.1</v>
      </c>
      <c r="F34" s="46">
        <f t="shared" si="4"/>
        <v>3139.8</v>
      </c>
      <c r="G34" s="46">
        <f>E34*'Data Summary'!$B$18</f>
        <v>3400.5</v>
      </c>
      <c r="H34" s="31">
        <f t="shared" si="5"/>
        <v>1506.7166666666667</v>
      </c>
      <c r="I34" s="32">
        <f t="shared" si="6"/>
        <v>5.022311331559516</v>
      </c>
      <c r="J34" s="33">
        <f t="shared" si="7"/>
        <v>-5.452375292445003E-10</v>
      </c>
      <c r="K34" s="33">
        <f t="shared" si="8"/>
        <v>3.5819966661265989E-12</v>
      </c>
      <c r="L34" s="32">
        <f t="shared" si="10"/>
        <v>6132.5098442092512</v>
      </c>
      <c r="M34" s="33">
        <f t="shared" si="9"/>
        <v>68.251591442351355</v>
      </c>
    </row>
    <row r="35" spans="1:14">
      <c r="A35" s="9" t="s">
        <v>55</v>
      </c>
      <c r="B35" s="11" t="s">
        <v>102</v>
      </c>
      <c r="D35" s="2">
        <v>0</v>
      </c>
      <c r="E35" s="46">
        <f t="shared" si="3"/>
        <v>670.15</v>
      </c>
      <c r="F35" s="46">
        <f t="shared" si="4"/>
        <v>3093.8</v>
      </c>
      <c r="G35" s="46">
        <f>E35*'Data Summary'!$B$18</f>
        <v>3350.75</v>
      </c>
      <c r="H35" s="31">
        <f t="shared" si="5"/>
        <v>1473.3833333333334</v>
      </c>
      <c r="I35" s="32">
        <f t="shared" si="6"/>
        <v>4.9636176323322889</v>
      </c>
      <c r="J35" s="33">
        <f t="shared" si="7"/>
        <v>-3.8274378869449981E-10</v>
      </c>
      <c r="K35" s="33">
        <f t="shared" si="8"/>
        <v>2.3071757205099568E-12</v>
      </c>
      <c r="L35" s="32">
        <f t="shared" si="10"/>
        <v>4304.8761798024034</v>
      </c>
      <c r="M35" s="33">
        <f t="shared" si="9"/>
        <v>46.572721541791125</v>
      </c>
      <c r="N35" s="3"/>
    </row>
    <row r="36" spans="1:14">
      <c r="A36" s="9" t="s">
        <v>19</v>
      </c>
      <c r="B36" s="11" t="s">
        <v>103</v>
      </c>
      <c r="D36" s="2">
        <v>0</v>
      </c>
      <c r="E36" s="46">
        <f t="shared" si="3"/>
        <v>660.1</v>
      </c>
      <c r="F36" s="46">
        <f t="shared" si="4"/>
        <v>3047.8</v>
      </c>
      <c r="G36" s="46">
        <f>E36*'Data Summary'!$B$18</f>
        <v>3300.5</v>
      </c>
      <c r="H36" s="31">
        <f t="shared" si="5"/>
        <v>1412.3833333333334</v>
      </c>
      <c r="I36" s="32">
        <f t="shared" si="6"/>
        <v>4.85818324525171</v>
      </c>
      <c r="J36" s="33">
        <f t="shared" si="7"/>
        <v>-2.7495161468949995E-10</v>
      </c>
      <c r="K36" s="33">
        <f t="shared" si="8"/>
        <v>1.8335510793116553E-12</v>
      </c>
      <c r="L36" s="32">
        <f t="shared" si="10"/>
        <v>3092.4934424469375</v>
      </c>
      <c r="M36" s="33">
        <f t="shared" si="9"/>
        <v>34.599464680772513</v>
      </c>
      <c r="N36" s="3"/>
    </row>
    <row r="37" spans="1:14">
      <c r="A37" s="9" t="s">
        <v>20</v>
      </c>
      <c r="B37" s="11" t="s">
        <v>104</v>
      </c>
      <c r="D37" s="2">
        <v>0</v>
      </c>
      <c r="E37" s="46">
        <f t="shared" si="3"/>
        <v>650.1</v>
      </c>
      <c r="F37" s="46">
        <f t="shared" si="4"/>
        <v>3001.8</v>
      </c>
      <c r="G37" s="46">
        <f>E37*'Data Summary'!$B$18</f>
        <v>3250.5</v>
      </c>
      <c r="H37" s="31">
        <f t="shared" si="5"/>
        <v>1293.6666666666667</v>
      </c>
      <c r="I37" s="32">
        <f t="shared" si="6"/>
        <v>4.6485362092694178</v>
      </c>
      <c r="J37" s="33">
        <f t="shared" si="7"/>
        <v>-1.9534695780100001E-10</v>
      </c>
      <c r="K37" s="33">
        <f t="shared" si="8"/>
        <v>1.2131557134856435E-12</v>
      </c>
      <c r="L37" s="32">
        <f t="shared" si="10"/>
        <v>2197.147256922879</v>
      </c>
      <c r="M37" s="33">
        <f t="shared" si="9"/>
        <v>23.99549698739855</v>
      </c>
    </row>
    <row r="38" spans="1:14">
      <c r="A38" s="9" t="s">
        <v>21</v>
      </c>
      <c r="B38" s="11" t="s">
        <v>105</v>
      </c>
      <c r="D38" s="2">
        <v>0</v>
      </c>
      <c r="E38" s="46">
        <f t="shared" si="3"/>
        <v>640.04999999999995</v>
      </c>
      <c r="F38" s="46">
        <f t="shared" si="4"/>
        <v>2956</v>
      </c>
      <c r="G38" s="46">
        <f>E38*'Data Summary'!$B$18</f>
        <v>3200.25</v>
      </c>
      <c r="H38" s="31">
        <f t="shared" si="5"/>
        <v>989.01666666666665</v>
      </c>
      <c r="I38" s="32">
        <f t="shared" si="6"/>
        <v>4.0634208358092678</v>
      </c>
      <c r="J38" s="33">
        <f t="shared" si="7"/>
        <v>-1.4026340553649995E-10</v>
      </c>
      <c r="K38" s="33">
        <f t="shared" si="8"/>
        <v>9.4373981514989053E-13</v>
      </c>
      <c r="L38" s="32">
        <f t="shared" si="10"/>
        <v>1577.5999800064692</v>
      </c>
      <c r="M38" s="33">
        <f t="shared" si="9"/>
        <v>17.706824737394687</v>
      </c>
    </row>
    <row r="39" spans="1:14">
      <c r="A39" s="59" t="s">
        <v>11</v>
      </c>
      <c r="B39" s="60"/>
      <c r="D39" s="2">
        <v>0</v>
      </c>
      <c r="E39" s="46">
        <f t="shared" si="3"/>
        <v>630.15</v>
      </c>
      <c r="F39" s="46">
        <f t="shared" si="4"/>
        <v>2910</v>
      </c>
      <c r="G39" s="46">
        <f>E39*'Data Summary'!$B$18</f>
        <v>3150.75</v>
      </c>
      <c r="H39" s="31">
        <f t="shared" si="5"/>
        <v>635.4666666666667</v>
      </c>
      <c r="I39" s="32">
        <f t="shared" si="6"/>
        <v>3.2574700476153442</v>
      </c>
      <c r="J39" s="33">
        <f t="shared" si="7"/>
        <v>-9.9720410012999993E-11</v>
      </c>
      <c r="K39" s="33">
        <f t="shared" si="8"/>
        <v>6.3437847653709161E-13</v>
      </c>
      <c r="L39" s="32">
        <f t="shared" si="10"/>
        <v>1121.5963011949507</v>
      </c>
      <c r="M39" s="33">
        <f t="shared" si="9"/>
        <v>12.346476333112982</v>
      </c>
      <c r="N39" s="3"/>
    </row>
    <row r="40" spans="1:14">
      <c r="A40" s="71"/>
      <c r="B40" s="72"/>
      <c r="D40" s="2">
        <v>0</v>
      </c>
      <c r="E40" s="46">
        <f t="shared" si="3"/>
        <v>620.15</v>
      </c>
      <c r="F40" s="46">
        <f t="shared" si="4"/>
        <v>2864</v>
      </c>
      <c r="G40" s="46">
        <f>E40*'Data Summary'!$B$18</f>
        <v>3100.75</v>
      </c>
      <c r="H40" s="31">
        <f t="shared" si="5"/>
        <v>447.01666666666665</v>
      </c>
      <c r="I40" s="32">
        <f t="shared" si="6"/>
        <v>2.7311474999835998</v>
      </c>
      <c r="J40" s="33">
        <f t="shared" si="7"/>
        <v>-7.141011357200003E-11</v>
      </c>
      <c r="K40" s="33">
        <f t="shared" si="8"/>
        <v>4.5549179622917554E-13</v>
      </c>
      <c r="L40" s="32">
        <f t="shared" si="10"/>
        <v>803.1788000051871</v>
      </c>
      <c r="M40" s="33">
        <f t="shared" si="9"/>
        <v>8.8492325775883316</v>
      </c>
      <c r="N40" s="3"/>
    </row>
    <row r="41" spans="1:14">
      <c r="A41" s="61"/>
      <c r="B41" s="62"/>
      <c r="D41" s="2">
        <v>0</v>
      </c>
      <c r="E41" s="46">
        <f t="shared" si="3"/>
        <v>610.1</v>
      </c>
      <c r="F41" s="46">
        <f t="shared" si="4"/>
        <v>2817</v>
      </c>
      <c r="G41" s="46">
        <f>E41*'Data Summary'!$B$18</f>
        <v>3050.5</v>
      </c>
      <c r="H41" s="31">
        <f t="shared" si="5"/>
        <v>219.21666666666667</v>
      </c>
      <c r="I41" s="32">
        <f t="shared" si="6"/>
        <v>1.9159418919511451</v>
      </c>
      <c r="J41" s="33">
        <f t="shared" si="7"/>
        <v>-5.0441712988500021E-11</v>
      </c>
      <c r="K41" s="33">
        <f t="shared" si="8"/>
        <v>5.4663430639350122E-13</v>
      </c>
      <c r="L41" s="32">
        <f t="shared" si="10"/>
        <v>567.338609081767</v>
      </c>
      <c r="M41" s="33">
        <f t="shared" si="9"/>
        <v>7.9860816676100352</v>
      </c>
      <c r="N41" s="3"/>
    </row>
    <row r="42" spans="1:14">
      <c r="A42" s="9" t="s">
        <v>55</v>
      </c>
      <c r="B42" s="11" t="s">
        <v>106</v>
      </c>
      <c r="D42" s="2">
        <v>0</v>
      </c>
      <c r="E42" s="46">
        <f t="shared" si="3"/>
        <v>600</v>
      </c>
      <c r="F42" s="46">
        <f t="shared" si="4"/>
        <v>2770</v>
      </c>
      <c r="G42" s="46">
        <f>E42*'Data Summary'!$B$18</f>
        <v>3000</v>
      </c>
      <c r="H42" s="31">
        <f t="shared" si="5"/>
        <v>44.333333333333336</v>
      </c>
      <c r="I42" s="32">
        <f t="shared" si="6"/>
        <v>0.86634609455780176</v>
      </c>
      <c r="J42" s="33">
        <f t="shared" si="7"/>
        <v>-3.7232438819999983E-11</v>
      </c>
      <c r="K42" s="33">
        <f t="shared" si="8"/>
        <v>2.4904527755808349E-13</v>
      </c>
      <c r="L42" s="32">
        <f t="shared" si="10"/>
        <v>418.76849142051549</v>
      </c>
      <c r="M42" s="33">
        <f t="shared" si="9"/>
        <v>4.690341775772751</v>
      </c>
      <c r="N42" s="3"/>
    </row>
    <row r="43" spans="1:14">
      <c r="A43" s="9" t="s">
        <v>23</v>
      </c>
      <c r="B43" s="11">
        <v>60</v>
      </c>
      <c r="D43" s="2">
        <v>0</v>
      </c>
      <c r="E43" s="46">
        <f t="shared" si="3"/>
        <v>590.15</v>
      </c>
      <c r="F43" s="46">
        <f t="shared" si="4"/>
        <v>2724.8</v>
      </c>
      <c r="G43" s="46">
        <f>E43*'Data Summary'!$B$18</f>
        <v>2950.75</v>
      </c>
      <c r="H43" s="31">
        <f t="shared" si="5"/>
        <v>1.1000000000000001</v>
      </c>
      <c r="I43" s="32">
        <f t="shared" si="6"/>
        <v>0.19860625479688307</v>
      </c>
      <c r="J43" s="33">
        <f t="shared" si="7"/>
        <v>-2.666979441500001E-11</v>
      </c>
      <c r="K43" s="33">
        <f t="shared" si="8"/>
        <v>1.9218610449933452E-13</v>
      </c>
      <c r="L43" s="32">
        <f t="shared" si="10"/>
        <v>299.96610288299263</v>
      </c>
      <c r="M43" s="33">
        <f t="shared" si="9"/>
        <v>3.4546113755846859</v>
      </c>
      <c r="N43" s="3"/>
    </row>
    <row r="44" spans="1:14">
      <c r="A44" s="9" t="s">
        <v>29</v>
      </c>
      <c r="B44" s="11">
        <v>40</v>
      </c>
      <c r="D44" s="2">
        <v>0</v>
      </c>
      <c r="E44" s="46">
        <f t="shared" si="3"/>
        <v>580.15</v>
      </c>
      <c r="F44" s="46">
        <f t="shared" si="4"/>
        <v>2680.6</v>
      </c>
      <c r="G44" s="46">
        <f>E44*'Data Summary'!$B$18</f>
        <v>2900.75</v>
      </c>
      <c r="H44" s="31">
        <f t="shared" si="5"/>
        <v>0.23333333333333334</v>
      </c>
      <c r="I44" s="32">
        <f t="shared" si="6"/>
        <v>0.10801234497346433</v>
      </c>
      <c r="J44" s="33">
        <f t="shared" si="7"/>
        <v>-1.950638720300002E-11</v>
      </c>
      <c r="K44" s="33">
        <f t="shared" si="8"/>
        <v>2.1634010108522446E-13</v>
      </c>
      <c r="L44" s="32">
        <f t="shared" si="10"/>
        <v>219.39632752923089</v>
      </c>
      <c r="M44" s="33">
        <f t="shared" si="9"/>
        <v>3.1313759716035827</v>
      </c>
      <c r="N44" s="3"/>
    </row>
    <row r="45" spans="1:14">
      <c r="A45" s="9" t="s">
        <v>30</v>
      </c>
      <c r="B45" s="11">
        <v>5</v>
      </c>
      <c r="D45" s="2">
        <v>0</v>
      </c>
      <c r="E45" s="46">
        <f t="shared" si="3"/>
        <v>570.15</v>
      </c>
      <c r="F45" s="46">
        <f t="shared" si="4"/>
        <v>2633</v>
      </c>
      <c r="G45" s="46">
        <f>E45*'Data Summary'!$B$18</f>
        <v>2850.75</v>
      </c>
      <c r="H45" s="31">
        <f t="shared" si="5"/>
        <v>0.31666666666666665</v>
      </c>
      <c r="I45" s="32">
        <f t="shared" si="6"/>
        <v>0.13844373104863458</v>
      </c>
      <c r="J45" s="33">
        <f t="shared" si="7"/>
        <v>-1.0152010720077723E-11</v>
      </c>
      <c r="K45" s="33">
        <f t="shared" si="8"/>
        <v>2.7505811394785623E-12</v>
      </c>
      <c r="L45" s="32">
        <f t="shared" si="10"/>
        <v>114.18382326994316</v>
      </c>
      <c r="M45" s="33">
        <f t="shared" si="9"/>
        <v>30.953914259431535</v>
      </c>
      <c r="N45" s="3"/>
    </row>
    <row r="46" spans="1:14">
      <c r="A46" s="9" t="s">
        <v>45</v>
      </c>
      <c r="B46" s="11" t="s">
        <v>76</v>
      </c>
      <c r="N46" s="3"/>
    </row>
    <row r="47" spans="1:14">
      <c r="A47" s="9" t="s">
        <v>67</v>
      </c>
      <c r="B47" s="11" t="s">
        <v>107</v>
      </c>
      <c r="E47" s="64" t="s">
        <v>72</v>
      </c>
      <c r="F47" s="64"/>
      <c r="H47" s="69" t="s">
        <v>82</v>
      </c>
      <c r="I47" s="69"/>
      <c r="L47" s="8" t="s">
        <v>88</v>
      </c>
      <c r="N47" s="3"/>
    </row>
    <row r="48" spans="1:14">
      <c r="A48" s="9" t="s">
        <v>68</v>
      </c>
      <c r="B48" s="11" t="s">
        <v>76</v>
      </c>
      <c r="E48" s="8" t="s">
        <v>78</v>
      </c>
      <c r="F48" s="30">
        <f>AVERAGE(J6:J21)+273.15</f>
        <v>295.11249999999995</v>
      </c>
      <c r="H48" s="34" t="s">
        <v>83</v>
      </c>
      <c r="I48" s="34">
        <v>964.4</v>
      </c>
      <c r="L48" s="35" t="str">
        <f>CONCATENATE(E30,",",L30,",",D30,",",M30)</f>
        <v>720,23843.5660367366,0,257.636357338577</v>
      </c>
      <c r="N48" s="3"/>
    </row>
    <row r="49" spans="1:14">
      <c r="A49" s="9" t="s">
        <v>12</v>
      </c>
      <c r="B49" s="42" t="s">
        <v>95</v>
      </c>
      <c r="E49" s="8" t="s">
        <v>86</v>
      </c>
      <c r="F49" s="30">
        <f>_xlfn.STDEV.P(J6:J21)</f>
        <v>0.63035208415614807</v>
      </c>
      <c r="H49" s="34" t="s">
        <v>84</v>
      </c>
      <c r="I49" s="34">
        <f>297.1</f>
        <v>297.10000000000002</v>
      </c>
      <c r="L49" s="35" t="str">
        <f t="shared" ref="L49:L63" si="11">CONCATENATE(E31,",",L31,",",M31)</f>
        <v>710.2,17443.6453673375,189.50357552512</v>
      </c>
      <c r="N49" s="3"/>
    </row>
    <row r="50" spans="1:14">
      <c r="A50" s="9" t="s">
        <v>29</v>
      </c>
      <c r="B50" s="11">
        <v>40</v>
      </c>
      <c r="E50" s="8" t="s">
        <v>73</v>
      </c>
      <c r="F50" s="30">
        <f>AVERAGE(I6:I21)</f>
        <v>1008.5</v>
      </c>
      <c r="L50" s="35" t="str">
        <f t="shared" si="11"/>
        <v>700.15,12423.5141984272,135.565116202847</v>
      </c>
    </row>
    <row r="51" spans="1:14">
      <c r="A51" s="9" t="s">
        <v>30</v>
      </c>
      <c r="B51" s="11">
        <v>5</v>
      </c>
      <c r="E51" s="8" t="s">
        <v>87</v>
      </c>
      <c r="F51" s="30">
        <f>_xlfn.STDEV.P(I6:I21)</f>
        <v>0.79056941504209488</v>
      </c>
      <c r="H51"/>
      <c r="I51"/>
      <c r="L51" s="35" t="str">
        <f t="shared" si="11"/>
        <v>690.3,8729.85910595338,94.1911479155795</v>
      </c>
    </row>
    <row r="52" spans="1:14">
      <c r="A52" s="9" t="s">
        <v>45</v>
      </c>
      <c r="B52" s="11"/>
      <c r="E52" s="8" t="s">
        <v>74</v>
      </c>
      <c r="F52" s="30">
        <f>EXP(INDEX(LINEST(LN(L30:L45),E30:E45),1,2))</f>
        <v>4.3717134851684797E-7</v>
      </c>
      <c r="L52" s="35" t="str">
        <f t="shared" si="11"/>
        <v>680.1,6132.50984420925,68.2515914423514</v>
      </c>
    </row>
    <row r="53" spans="1:14">
      <c r="A53" s="9" t="s">
        <v>67</v>
      </c>
      <c r="B53" s="42" t="s">
        <v>96</v>
      </c>
      <c r="E53" s="8" t="s">
        <v>75</v>
      </c>
      <c r="F53" s="30">
        <f>INDEX(LINEST(LN(L30:L45),E30:E45),1)</f>
        <v>3.4367447313900269E-2</v>
      </c>
      <c r="L53" s="35" t="str">
        <f t="shared" si="11"/>
        <v>670.15,4304.8761798024,46.5727215417911</v>
      </c>
      <c r="N53" s="3"/>
    </row>
    <row r="54" spans="1:14">
      <c r="A54" s="9" t="s">
        <v>68</v>
      </c>
      <c r="B54" s="42" t="s">
        <v>97</v>
      </c>
      <c r="L54" s="35" t="str">
        <f t="shared" si="11"/>
        <v>660.1,3092.49344244694,34.5994646807725</v>
      </c>
      <c r="N54" s="3"/>
    </row>
    <row r="55" spans="1:14">
      <c r="L55" s="35" t="str">
        <f t="shared" si="11"/>
        <v>650.1,2197.14725692288,23.9954969873985</v>
      </c>
      <c r="N55" s="3"/>
    </row>
    <row r="56" spans="1:14">
      <c r="L56" s="35" t="str">
        <f t="shared" si="11"/>
        <v>640.05,1577.59998000647,17.7068247373947</v>
      </c>
      <c r="N56" s="3"/>
    </row>
    <row r="57" spans="1:14">
      <c r="L57" s="35" t="str">
        <f t="shared" si="11"/>
        <v>630.15,1121.59630119495,12.346476333113</v>
      </c>
      <c r="N57" s="3"/>
    </row>
    <row r="58" spans="1:14">
      <c r="L58" s="35" t="str">
        <f t="shared" si="11"/>
        <v>620.15,803.178800005187,8.84923257758833</v>
      </c>
      <c r="N58" s="3"/>
    </row>
    <row r="59" spans="1:14">
      <c r="L59" s="35" t="str">
        <f t="shared" si="11"/>
        <v>610.1,567.338609081767,7.98608166761004</v>
      </c>
      <c r="N59" s="3"/>
    </row>
    <row r="60" spans="1:14">
      <c r="L60" s="35" t="str">
        <f t="shared" si="11"/>
        <v>600,418.768491420515,4.69034177577275</v>
      </c>
    </row>
    <row r="61" spans="1:14">
      <c r="L61" s="35" t="str">
        <f t="shared" si="11"/>
        <v>590.15,299.966102882993,3.45461137558469</v>
      </c>
    </row>
    <row r="62" spans="1:14">
      <c r="L62" s="35" t="str">
        <f t="shared" si="11"/>
        <v>580.15,219.396327529231,3.13137597160358</v>
      </c>
    </row>
    <row r="63" spans="1:14">
      <c r="L63" s="35" t="str">
        <f t="shared" si="11"/>
        <v>570.15,114.183823269943,30.9539142594315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A25:B26"/>
    <mergeCell ref="A33:B34"/>
    <mergeCell ref="A39:B41"/>
    <mergeCell ref="L24:M24"/>
    <mergeCell ref="E47:F47"/>
    <mergeCell ref="E26:M27"/>
    <mergeCell ref="J23:M23"/>
    <mergeCell ref="J25:M25"/>
    <mergeCell ref="H47:I47"/>
    <mergeCell ref="J24:K24"/>
    <mergeCell ref="E6:E21"/>
    <mergeCell ref="A1:R1"/>
    <mergeCell ref="F2:J2"/>
    <mergeCell ref="K2:N2"/>
    <mergeCell ref="O2:R2"/>
    <mergeCell ref="A3:B4"/>
    <mergeCell ref="A12:B13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15</v>
      </c>
      <c r="B8" s="28"/>
      <c r="C8" s="28" t="s">
        <v>15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4" t="s">
        <v>14</v>
      </c>
      <c r="B4" s="74"/>
      <c r="C4" s="74" t="s">
        <v>16</v>
      </c>
      <c r="D4" s="74"/>
    </row>
    <row r="5" spans="1:4">
      <c r="A5" t="s">
        <v>33</v>
      </c>
      <c r="B5" t="s">
        <v>34</v>
      </c>
      <c r="C5" t="s">
        <v>33</v>
      </c>
      <c r="D5" t="s">
        <v>34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4" t="s">
        <v>15</v>
      </c>
      <c r="B8" s="74"/>
      <c r="C8" s="74" t="s">
        <v>15</v>
      </c>
      <c r="D8" s="74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3" t="s">
        <v>14</v>
      </c>
      <c r="B4" s="73"/>
      <c r="C4" s="73" t="s">
        <v>16</v>
      </c>
      <c r="D4" s="73"/>
    </row>
    <row r="5" spans="1:4">
      <c r="A5" s="26" t="s">
        <v>33</v>
      </c>
      <c r="B5" s="26" t="s">
        <v>34</v>
      </c>
      <c r="C5" s="26" t="s">
        <v>33</v>
      </c>
      <c r="D5" s="26" t="s">
        <v>34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73" t="s">
        <v>15</v>
      </c>
      <c r="B8" s="73"/>
      <c r="C8" s="73" t="s">
        <v>15</v>
      </c>
      <c r="D8" s="73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2018-07-14T10:36:42Z</dcterms:modified>
</cp:coreProperties>
</file>