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25D35B40-5321-5B42-9AFC-2111D2EF786C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0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 s="1"/>
  <c r="A7" i="25"/>
  <c r="C7" i="14"/>
  <c r="J30" i="1" s="1"/>
  <c r="A7" i="14"/>
  <c r="D7" i="38"/>
  <c r="D7" i="37"/>
  <c r="D7" i="36"/>
  <c r="D7" i="35"/>
  <c r="K42" i="1" s="1"/>
  <c r="D7" i="34"/>
  <c r="D7" i="33"/>
  <c r="D7" i="32"/>
  <c r="D7" i="31"/>
  <c r="K38" i="1" s="1"/>
  <c r="D7" i="30"/>
  <c r="D7" i="29"/>
  <c r="D7" i="28"/>
  <c r="D7" i="39"/>
  <c r="K34" i="1" s="1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B7" i="38"/>
  <c r="K45" i="1" s="1"/>
  <c r="B7" i="37"/>
  <c r="K44" i="1"/>
  <c r="B7" i="36"/>
  <c r="K43" i="1" s="1"/>
  <c r="B7" i="35"/>
  <c r="B7" i="34"/>
  <c r="K41" i="1" s="1"/>
  <c r="B7" i="33"/>
  <c r="K40" i="1"/>
  <c r="B7" i="32"/>
  <c r="K39" i="1" s="1"/>
  <c r="B7" i="31"/>
  <c r="B7" i="30"/>
  <c r="K37" i="1" s="1"/>
  <c r="B7" i="29"/>
  <c r="K36" i="1"/>
  <c r="B7" i="28"/>
  <c r="K35" i="1" s="1"/>
  <c r="B7" i="39"/>
  <c r="B7" i="27"/>
  <c r="K33" i="1" s="1"/>
  <c r="B7" i="26"/>
  <c r="K32" i="1"/>
  <c r="B7" i="25"/>
  <c r="K31" i="1" s="1"/>
  <c r="M31" i="1" s="1"/>
  <c r="A7" i="38"/>
  <c r="A7" i="37"/>
  <c r="J44" i="1" s="1"/>
  <c r="L44" i="1" s="1"/>
  <c r="A7" i="36"/>
  <c r="A7" i="35"/>
  <c r="A7" i="34"/>
  <c r="A7" i="33"/>
  <c r="J40" i="1" s="1"/>
  <c r="L40" i="1" s="1"/>
  <c r="A7" i="32"/>
  <c r="A7" i="31"/>
  <c r="A7" i="30"/>
  <c r="A7" i="29"/>
  <c r="J36" i="1" s="1"/>
  <c r="L36" i="1" s="1"/>
  <c r="A7" i="28"/>
  <c r="A7" i="39"/>
  <c r="A7" i="27"/>
  <c r="A7" i="26"/>
  <c r="J32" i="1" s="1"/>
  <c r="L32" i="1" s="1"/>
  <c r="D7" i="14"/>
  <c r="B7" i="14"/>
  <c r="K30" i="1" s="1"/>
  <c r="M30" i="1" s="1"/>
  <c r="I49" i="1"/>
  <c r="F51" i="1"/>
  <c r="F49" i="1"/>
  <c r="F48" i="1"/>
  <c r="F50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4" i="1" l="1"/>
  <c r="L31" i="1"/>
  <c r="L49" i="1" s="1"/>
  <c r="L62" i="1"/>
  <c r="M32" i="1"/>
  <c r="L50" i="1" s="1"/>
  <c r="L30" i="1"/>
  <c r="M36" i="1"/>
  <c r="L54" i="1" s="1"/>
  <c r="M40" i="1"/>
  <c r="L58" i="1" s="1"/>
  <c r="J34" i="1"/>
  <c r="L34" i="1" s="1"/>
  <c r="J39" i="1"/>
  <c r="L39" i="1" s="1"/>
  <c r="J42" i="1"/>
  <c r="L42" i="1" s="1"/>
  <c r="M43" i="1"/>
  <c r="J37" i="1"/>
  <c r="L37" i="1" s="1"/>
  <c r="J45" i="1"/>
  <c r="L45" i="1" s="1"/>
  <c r="M41" i="1"/>
  <c r="J35" i="1"/>
  <c r="L35" i="1" s="1"/>
  <c r="J38" i="1"/>
  <c r="L38" i="1" s="1"/>
  <c r="J43" i="1"/>
  <c r="L43" i="1" s="1"/>
  <c r="J33" i="1"/>
  <c r="L33" i="1" s="1"/>
  <c r="J41" i="1"/>
  <c r="L41" i="1" s="1"/>
  <c r="M42" i="1"/>
  <c r="L48" i="1"/>
  <c r="L59" i="1" l="1"/>
  <c r="M39" i="1"/>
  <c r="L57" i="1" s="1"/>
  <c r="M34" i="1"/>
  <c r="L61" i="1"/>
  <c r="M37" i="1"/>
  <c r="L55" i="1" s="1"/>
  <c r="L60" i="1"/>
  <c r="M33" i="1"/>
  <c r="L51" i="1" s="1"/>
  <c r="L52" i="1"/>
  <c r="M38" i="1"/>
  <c r="L56" i="1" s="1"/>
  <c r="M35" i="1"/>
  <c r="L53" i="1" s="1"/>
  <c r="M45" i="1"/>
  <c r="L63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<sst xmlns="http://schemas.openxmlformats.org/spreadsheetml/2006/main" count="453" uniqueCount="103">
  <si>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</si>
  <si>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</si>
  <si>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</si>
  <si>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</si>
  <si>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</si>
  <si>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</si>
  <si>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</si>
  <si>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</si>
  <si>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</si>
  <si>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</si>
  <si>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</si>
  <si>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</si>
  <si>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</si>
  <si>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</si>
  <si>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</si>
  <si>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</si>
  <si>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</si>
  <si>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</si>
  <si>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</si>
  <si>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</si>
  <si>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</si>
  <si>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</si>
  <si>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</si>
  <si>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</si>
  <si>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</si>
  <si>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</si>
  <si>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</si>
  <si>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</si>
  <si>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</si>
  <si>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</si>
  <si>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</si>
  <si>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</si>
  <si>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</si>
  <si>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</si>
  <si>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</si>
  <si>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</si>
  <si>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</si>
  <si>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</si>
  <si>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</si>
  <si>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</si>
  <si>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</si>
  <si>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</si>
  <si>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</si>
  <si>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</si>
  <si>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</si>
  <si>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</si>
  <si>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</si>
  <si>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</si>
  <si>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</si>
  <si>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</si>
  <si>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</si>
  <si>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</si>
  <si>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</si>
  <si>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</si>
  <si>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</si>
  <si>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</si>
  <si>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</si>
  <si>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</si>
  <si>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</si>
  <si>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</si>
  <si>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</si>
  <si>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</si>
  <si>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</si>
  <si>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</si>
  <si>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</si>
  <si>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</si>
  <si>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</si>
  <si>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</si>
  <si>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</si>
  <si>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</si>
  <si>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</si>
  <si>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</si>
  <si>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</si>
  <si>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</si>
  <si>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</si>
  <si>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</si>
  <si>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</si>
  <si>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</si>
  <si>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</si>
  <si>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</si>
  <si>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</si>
  <si>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</si>
  <si>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</si>
  <si>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</si>
  <si>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</si>
  <si>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</si>
  <si>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</si>
  <si>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</si>
  <si>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</si>
  <si>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</si>
  <si>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</si>
  <si>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4,2</t>
  </si>
  <si>
    <t>Ar, CO2</t>
  </si>
  <si>
    <t xml:space="preserve">Archie, Rosma </t>
  </si>
  <si>
    <t>474 Timing Filter Amp - ORTEC</t>
  </si>
  <si>
    <r>
      <t>GE11-X-S-BARI-000</t>
    </r>
    <r>
      <rPr>
        <sz val="11"/>
        <color indexed="10"/>
        <rFont val="Calibri"/>
        <family val="2"/>
      </rPr>
      <t>3</t>
    </r>
  </si>
  <si>
    <t>CAEN Mod 96</t>
  </si>
  <si>
    <t>kiethley 6487</t>
  </si>
  <si>
    <t>signal</t>
  </si>
  <si>
    <t>shielding</t>
  </si>
  <si>
    <t>gnd</t>
  </si>
  <si>
    <t>CAEN N1145</t>
  </si>
  <si>
    <t>8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</si>
</sst>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Protection="1">
      <protection locked="0"/>
    </xf>
    <xf numFmtId="20" fontId="12" fillId="4" borderId="1" xfId="0" applyNumberFormat="1" applyFont="1" applyFill="1" applyBorder="1" applyAlignment="1" applyProtection="1">
      <alignment horizontal="right" vertical="center"/>
      <protection locked="0"/>
    </xf>
    <xf numFmtId="0" fontId="12" fillId="4" borderId="1" xfId="0" applyFont="1" applyFill="1" applyBorder="1" applyAlignment="1" applyProtection="1">
      <alignment horizontal="right" vertical="center"/>
      <protection locked="0"/>
    </xf>
    <xf numFmtId="0" fontId="12" fillId="4" borderId="3" xfId="0" applyFont="1" applyFill="1" applyBorder="1" applyAlignment="1" applyProtection="1">
      <alignment horizontal="right" vertical="center"/>
      <protection locked="0"/>
    </xf>
    <xf numFmtId="0" fontId="12" fillId="4" borderId="12" xfId="0" applyFont="1" applyFill="1" applyBorder="1" applyProtection="1">
      <protection locked="0"/>
    </xf>
    <xf numFmtId="0" fontId="12" fillId="4" borderId="1" xfId="0" applyFont="1" applyFill="1" applyBorder="1"/>
    <xf numFmtId="0" fontId="12" fillId="4" borderId="3" xfId="0" applyFont="1" applyFill="1" applyBorder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250.82282883815978</c:v>
                  </c:pt>
                  <c:pt idx="1">
                    <c:v>185.01188609945586</c:v>
                  </c:pt>
                  <c:pt idx="2">
                    <c:v>129.49756153992024</c:v>
                  </c:pt>
                  <c:pt idx="3">
                    <c:v>93.836926826168863</c:v>
                  </c:pt>
                  <c:pt idx="4">
                    <c:v>62.475436326003468</c:v>
                  </c:pt>
                  <c:pt idx="5">
                    <c:v>45.503515315757944</c:v>
                  </c:pt>
                  <c:pt idx="6">
                    <c:v>32.323100767909978</c:v>
                  </c:pt>
                  <c:pt idx="7">
                    <c:v>22.693695250313667</c:v>
                  </c:pt>
                  <c:pt idx="8">
                    <c:v>15.812907607202201</c:v>
                  </c:pt>
                  <c:pt idx="9">
                    <c:v>12.995076659935849</c:v>
                  </c:pt>
                  <c:pt idx="10">
                    <c:v>8.0593875991141903</c:v>
                  </c:pt>
                  <c:pt idx="11">
                    <c:v>6.1353808321716841</c:v>
                  </c:pt>
                  <c:pt idx="12">
                    <c:v>4.4162273104578125</c:v>
                  </c:pt>
                  <c:pt idx="13">
                    <c:v>3.3578784185397286</c:v>
                  </c:pt>
                  <c:pt idx="14">
                    <c:v>2.5763275063395992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250.82282883815978</c:v>
                  </c:pt>
                  <c:pt idx="1">
                    <c:v>185.01188609945586</c:v>
                  </c:pt>
                  <c:pt idx="2">
                    <c:v>129.49756153992024</c:v>
                  </c:pt>
                  <c:pt idx="3">
                    <c:v>93.836926826168863</c:v>
                  </c:pt>
                  <c:pt idx="4">
                    <c:v>62.475436326003468</c:v>
                  </c:pt>
                  <c:pt idx="5">
                    <c:v>45.503515315757944</c:v>
                  </c:pt>
                  <c:pt idx="6">
                    <c:v>32.323100767909978</c:v>
                  </c:pt>
                  <c:pt idx="7">
                    <c:v>22.693695250313667</c:v>
                  </c:pt>
                  <c:pt idx="8">
                    <c:v>15.812907607202201</c:v>
                  </c:pt>
                  <c:pt idx="9">
                    <c:v>12.995076659935849</c:v>
                  </c:pt>
                  <c:pt idx="10">
                    <c:v>8.0593875991141903</c:v>
                  </c:pt>
                  <c:pt idx="11">
                    <c:v>6.1353808321716841</c:v>
                  </c:pt>
                  <c:pt idx="12">
                    <c:v>4.4162273104578125</c:v>
                  </c:pt>
                  <c:pt idx="13">
                    <c:v>3.3578784185397286</c:v>
                  </c:pt>
                  <c:pt idx="14">
                    <c:v>2.5763275063395992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720.25</c:v>
                </c:pt>
                <c:pt idx="1">
                  <c:v>710.45</c:v>
                </c:pt>
                <c:pt idx="2">
                  <c:v>700.55</c:v>
                </c:pt>
                <c:pt idx="3">
                  <c:v>690.75</c:v>
                </c:pt>
                <c:pt idx="4">
                  <c:v>680.45</c:v>
                </c:pt>
                <c:pt idx="5">
                  <c:v>670.45</c:v>
                </c:pt>
                <c:pt idx="6">
                  <c:v>660.45</c:v>
                </c:pt>
                <c:pt idx="7">
                  <c:v>650.4</c:v>
                </c:pt>
                <c:pt idx="8">
                  <c:v>640.4</c:v>
                </c:pt>
                <c:pt idx="9">
                  <c:v>630.25</c:v>
                </c:pt>
                <c:pt idx="10">
                  <c:v>620.15</c:v>
                </c:pt>
                <c:pt idx="11">
                  <c:v>610.4</c:v>
                </c:pt>
                <c:pt idx="12">
                  <c:v>600.4</c:v>
                </c:pt>
                <c:pt idx="13">
                  <c:v>590.1</c:v>
                </c:pt>
                <c:pt idx="14">
                  <c:v>580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22688.906452393669</c:v>
                </c:pt>
                <c:pt idx="1">
                  <c:v>15991.769452580525</c:v>
                </c:pt>
                <c:pt idx="2" formatCode="General">
                  <c:v>11493.058806883337</c:v>
                </c:pt>
                <c:pt idx="3" formatCode="General">
                  <c:v>8046.5611268006005</c:v>
                </c:pt>
                <c:pt idx="4" formatCode="General">
                  <c:v>5640.656843865675</c:v>
                </c:pt>
                <c:pt idx="5" formatCode="General">
                  <c:v>4017.124541691684</c:v>
                </c:pt>
                <c:pt idx="6" formatCode="General">
                  <c:v>2843.6011629181203</c:v>
                </c:pt>
                <c:pt idx="7" formatCode="General">
                  <c:v>1992.2357072702807</c:v>
                </c:pt>
                <c:pt idx="8" formatCode="General">
                  <c:v>1430.482041535992</c:v>
                </c:pt>
                <c:pt idx="9" formatCode="General">
                  <c:v>1023.7203647433417</c:v>
                </c:pt>
                <c:pt idx="10" formatCode="General">
                  <c:v>712.52374278628668</c:v>
                </c:pt>
                <c:pt idx="11" formatCode="General">
                  <c:v>524.2951526337265</c:v>
                </c:pt>
                <c:pt idx="12" formatCode="General">
                  <c:v>376.42648636263459</c:v>
                </c:pt>
                <c:pt idx="13" formatCode="General">
                  <c:v>268.30365236733189</c:v>
                </c:pt>
                <c:pt idx="14" formatCode="General">
                  <c:v>193.67848130870985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E-FE48-BB64-F276A2C9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4.7352402262187283</c:v>
                  </c:pt>
                  <c:pt idx="1">
                    <c:v>4.7246693005966032</c:v>
                  </c:pt>
                  <c:pt idx="2">
                    <c:v>4.6845787193490267</c:v>
                  </c:pt>
                  <c:pt idx="3">
                    <c:v>4.6684520394285336</c:v>
                  </c:pt>
                  <c:pt idx="4">
                    <c:v>4.622829821176154</c:v>
                  </c:pt>
                  <c:pt idx="5">
                    <c:v>4.5394260528054522</c:v>
                  </c:pt>
                  <c:pt idx="6">
                    <c:v>4.3986740426329991</c:v>
                  </c:pt>
                  <c:pt idx="7">
                    <c:v>4.1382699015141311</c:v>
                  </c:pt>
                  <c:pt idx="8">
                    <c:v>3.3430691155151293</c:v>
                  </c:pt>
                  <c:pt idx="9">
                    <c:v>2.7819857016966218</c:v>
                  </c:pt>
                  <c:pt idx="10">
                    <c:v>2.1186342560978075</c:v>
                  </c:pt>
                  <c:pt idx="11">
                    <c:v>1.260731709938496</c:v>
                  </c:pt>
                  <c:pt idx="12">
                    <c:v>0.43397388554305122</c:v>
                  </c:pt>
                  <c:pt idx="13">
                    <c:v>7.9930525388545323E-2</c:v>
                  </c:pt>
                  <c:pt idx="14">
                    <c:v>6.6666666666666666E-2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4.7352402262187283</c:v>
                  </c:pt>
                  <c:pt idx="1">
                    <c:v>4.7246693005966032</c:v>
                  </c:pt>
                  <c:pt idx="2">
                    <c:v>4.6845787193490267</c:v>
                  </c:pt>
                  <c:pt idx="3">
                    <c:v>4.6684520394285336</c:v>
                  </c:pt>
                  <c:pt idx="4">
                    <c:v>4.622829821176154</c:v>
                  </c:pt>
                  <c:pt idx="5">
                    <c:v>4.5394260528054522</c:v>
                  </c:pt>
                  <c:pt idx="6">
                    <c:v>4.3986740426329991</c:v>
                  </c:pt>
                  <c:pt idx="7">
                    <c:v>4.1382699015141311</c:v>
                  </c:pt>
                  <c:pt idx="8">
                    <c:v>3.3430691155151293</c:v>
                  </c:pt>
                  <c:pt idx="9">
                    <c:v>2.7819857016966218</c:v>
                  </c:pt>
                  <c:pt idx="10">
                    <c:v>2.1186342560978075</c:v>
                  </c:pt>
                  <c:pt idx="11">
                    <c:v>1.260731709938496</c:v>
                  </c:pt>
                  <c:pt idx="12">
                    <c:v>0.43397388554305122</c:v>
                  </c:pt>
                  <c:pt idx="13">
                    <c:v>7.9930525388545323E-2</c:v>
                  </c:pt>
                  <c:pt idx="14">
                    <c:v>6.6666666666666666E-2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720.25</c:v>
                </c:pt>
                <c:pt idx="1">
                  <c:v>710.45</c:v>
                </c:pt>
                <c:pt idx="2">
                  <c:v>700.55</c:v>
                </c:pt>
                <c:pt idx="3">
                  <c:v>690.75</c:v>
                </c:pt>
                <c:pt idx="4">
                  <c:v>680.45</c:v>
                </c:pt>
                <c:pt idx="5">
                  <c:v>670.45</c:v>
                </c:pt>
                <c:pt idx="6">
                  <c:v>660.45</c:v>
                </c:pt>
                <c:pt idx="7">
                  <c:v>650.4</c:v>
                </c:pt>
                <c:pt idx="8">
                  <c:v>640.4</c:v>
                </c:pt>
                <c:pt idx="9">
                  <c:v>630.25</c:v>
                </c:pt>
                <c:pt idx="10">
                  <c:v>620.15</c:v>
                </c:pt>
                <c:pt idx="11">
                  <c:v>610.4</c:v>
                </c:pt>
                <c:pt idx="12">
                  <c:v>600.4</c:v>
                </c:pt>
                <c:pt idx="13">
                  <c:v>590.1</c:v>
                </c:pt>
                <c:pt idx="14">
                  <c:v>580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1336.0166666666667</c:v>
                </c:pt>
                <c:pt idx="1">
                  <c:v>1332.1166666666666</c:v>
                </c:pt>
                <c:pt idx="2">
                  <c:v>1310.45</c:v>
                </c:pt>
                <c:pt idx="3">
                  <c:v>1302.1666666666667</c:v>
                </c:pt>
                <c:pt idx="4">
                  <c:v>1277.8666666666666</c:v>
                </c:pt>
                <c:pt idx="5">
                  <c:v>1232.7833333333333</c:v>
                </c:pt>
                <c:pt idx="6">
                  <c:v>1157.8</c:v>
                </c:pt>
                <c:pt idx="7">
                  <c:v>1025.6166666666666</c:v>
                </c:pt>
                <c:pt idx="8">
                  <c:v>669.2</c:v>
                </c:pt>
                <c:pt idx="9">
                  <c:v>463.3</c:v>
                </c:pt>
                <c:pt idx="10">
                  <c:v>268.58333333333331</c:v>
                </c:pt>
                <c:pt idx="11">
                  <c:v>94.766666666666666</c:v>
                </c:pt>
                <c:pt idx="12">
                  <c:v>10.6</c:v>
                </c:pt>
                <c:pt idx="13">
                  <c:v>0.18333333333333332</c:v>
                </c:pt>
                <c:pt idx="14">
                  <c:v>3.3333333333333333E-2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E-FE48-BB64-F276A2C9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>
        <row r="7">
          <cell r="A7">
            <v>-4.1040945900000007E-13</v>
          </cell>
          <cell r="B7">
            <v>7.7529485011324657E-14</v>
          </cell>
          <cell r="C7">
            <v>-1.4753140600000007E-11</v>
          </cell>
          <cell r="D7">
            <v>1.1555871562329574E-13</v>
          </cell>
        </row>
      </sheetData>
      <sheetData sheetId="5">
        <row r="7">
          <cell r="A7">
            <v>-2.3078424049999983E-13</v>
          </cell>
          <cell r="B7">
            <v>7.9134374502383714E-14</v>
          </cell>
          <cell r="C7">
            <v>-2.0099832800000014E-11</v>
          </cell>
          <cell r="D7">
            <v>1.5126122094748345E-13</v>
          </cell>
        </row>
      </sheetData>
      <sheetData sheetId="6">
        <row r="7">
          <cell r="A7">
            <v>-1.5916118499999982E-14</v>
          </cell>
          <cell r="B7">
            <v>9.0484244511832294E-14</v>
          </cell>
          <cell r="C7">
            <v>-2.7891929250000004E-11</v>
          </cell>
          <cell r="D7">
            <v>1.8551997272230316E-13</v>
          </cell>
        </row>
      </sheetData>
      <sheetData sheetId="7">
        <row r="7">
          <cell r="A7">
            <v>-3.410617500000035E-15</v>
          </cell>
          <cell r="B7">
            <v>8.1956612252280535E-14</v>
          </cell>
          <cell r="C7">
            <v>-3.8829739500000018E-11</v>
          </cell>
          <cell r="D7">
            <v>2.7364437662604926E-13</v>
          </cell>
        </row>
      </sheetData>
      <sheetData sheetId="8">
        <row r="7">
          <cell r="A7">
            <v>-1.7280399200000002E-13</v>
          </cell>
          <cell r="B7">
            <v>8.4420034500582822E-14</v>
          </cell>
          <cell r="C7">
            <v>-5.2938275949999989E-11</v>
          </cell>
          <cell r="D7">
            <v>3.4426538889524818E-13</v>
          </cell>
        </row>
      </sheetData>
      <sheetData sheetId="9">
        <row r="7">
          <cell r="A7">
            <v>9.4928510749999904E-13</v>
          </cell>
          <cell r="B7">
            <v>4.5434853587163957E-13</v>
          </cell>
          <cell r="C7">
            <v>-7.4861645750000034E-11</v>
          </cell>
          <cell r="D7">
            <v>4.936861327637515E-13</v>
          </cell>
        </row>
      </sheetData>
      <sheetData sheetId="10">
        <row r="7">
          <cell r="A7">
            <v>6.3550939399999932E-13</v>
          </cell>
          <cell r="B7">
            <v>9.3863461437875047E-14</v>
          </cell>
          <cell r="C7">
            <v>-1.0529788694999991E-10</v>
          </cell>
          <cell r="D7">
            <v>6.5815020263589482E-13</v>
          </cell>
        </row>
      </sheetData>
      <sheetData sheetId="11">
        <row r="7">
          <cell r="A7">
            <v>-2.5920599499999978E-13</v>
          </cell>
          <cell r="B7">
            <v>1.1792717113692353E-13</v>
          </cell>
          <cell r="C7">
            <v>-1.4779289650000003E-10</v>
          </cell>
          <cell r="D7">
            <v>1.0039438416243038E-12</v>
          </cell>
        </row>
      </sheetData>
      <sheetData sheetId="12">
        <row r="7">
          <cell r="A7">
            <v>2.4897418200000012E-13</v>
          </cell>
          <cell r="B7">
            <v>1.076128321179353E-13</v>
          </cell>
          <cell r="C7">
            <v>-2.103320190000001E-10</v>
          </cell>
          <cell r="D7">
            <v>1.4303239691555546E-12</v>
          </cell>
        </row>
      </sheetData>
      <sheetData sheetId="13">
        <row r="7">
          <cell r="A7">
            <v>4.6611627499999953E-14</v>
          </cell>
          <cell r="B7">
            <v>1.4766580639547185E-13</v>
          </cell>
          <cell r="C7">
            <v>-2.9743887499999996E-10</v>
          </cell>
          <cell r="D7">
            <v>2.0011647405261266E-12</v>
          </cell>
        </row>
      </sheetData>
      <sheetData sheetId="14">
        <row r="7">
          <cell r="A7">
            <v>1.2287364848484834E-13</v>
          </cell>
          <cell r="B7">
            <v>1.7286372142900663E-13</v>
          </cell>
          <cell r="C7">
            <v>-4.1759221799999972E-10</v>
          </cell>
          <cell r="D7">
            <v>2.6317046935682435E-12</v>
          </cell>
        </row>
      </sheetData>
      <sheetData sheetId="15">
        <row r="7">
          <cell r="A7">
            <v>-5.1386455700000038E-13</v>
          </cell>
          <cell r="B7">
            <v>1.9697892573071438E-13</v>
          </cell>
          <cell r="C7">
            <v>-5.963965980000004E-10</v>
          </cell>
          <cell r="D7">
            <v>4.3411739468324399E-12</v>
          </cell>
        </row>
      </sheetData>
      <sheetData sheetId="16">
        <row r="7">
          <cell r="A7">
            <v>-5.9799271049999977E-13</v>
          </cell>
          <cell r="B7">
            <v>2.2558021498276441E-13</v>
          </cell>
          <cell r="C7">
            <v>-8.5170882000000007E-10</v>
          </cell>
          <cell r="D7">
            <v>5.6503591301955692E-12</v>
          </cell>
        </row>
      </sheetData>
      <sheetData sheetId="17">
        <row r="7">
          <cell r="A7">
            <v>-1.2619238959999999E-12</v>
          </cell>
          <cell r="B7">
            <v>3.0864253213106174E-13</v>
          </cell>
          <cell r="C7">
            <v>-1.1855217765000002E-9</v>
          </cell>
          <cell r="D7">
            <v>8.4545452209121039E-12</v>
          </cell>
        </row>
      </sheetData>
      <sheetData sheetId="18">
        <row r="7">
          <cell r="A7">
            <v>-2.4158453369999994E-12</v>
          </cell>
          <cell r="B7">
            <v>4.5513119883901625E-13</v>
          </cell>
          <cell r="C7">
            <v>-1.6826277250000005E-9</v>
          </cell>
          <cell r="D7">
            <v>1.0536557930131739E-11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6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9" t="s">
        <v>76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8" ht="16">
      <c r="A2" s="9" t="s">
        <v>51</v>
      </c>
      <c r="B2" s="11" t="s">
        <v>93</v>
      </c>
      <c r="C2" s="36" t="s">
        <v>90</v>
      </c>
      <c r="D2" s="37" t="s">
        <v>88</v>
      </c>
      <c r="E2"/>
      <c r="F2" s="72" t="s">
        <v>7</v>
      </c>
      <c r="G2" s="73"/>
      <c r="H2" s="73"/>
      <c r="I2" s="73"/>
      <c r="J2" s="74"/>
      <c r="K2" s="75" t="s">
        <v>45</v>
      </c>
      <c r="L2" s="73"/>
      <c r="M2" s="73"/>
      <c r="N2" s="74"/>
      <c r="O2" s="75" t="s">
        <v>46</v>
      </c>
      <c r="P2" s="73"/>
      <c r="Q2" s="73"/>
      <c r="R2" s="76"/>
    </row>
    <row r="3" spans="1:18" ht="16">
      <c r="A3" s="53" t="s">
        <v>1</v>
      </c>
      <c r="B3" s="54"/>
      <c r="C3" s="38" t="s">
        <v>89</v>
      </c>
      <c r="D3" s="39">
        <v>43195</v>
      </c>
      <c r="E3"/>
      <c r="F3" s="19" t="s">
        <v>57</v>
      </c>
      <c r="G3" s="19" t="s">
        <v>56</v>
      </c>
      <c r="H3" s="19" t="s">
        <v>30</v>
      </c>
      <c r="I3" s="19" t="s">
        <v>8</v>
      </c>
      <c r="J3" s="20" t="s">
        <v>9</v>
      </c>
      <c r="K3" s="21" t="s">
        <v>13</v>
      </c>
      <c r="L3" s="19"/>
      <c r="M3" s="19" t="s">
        <v>15</v>
      </c>
      <c r="N3" s="20"/>
      <c r="O3" s="21" t="s">
        <v>13</v>
      </c>
      <c r="P3" s="19"/>
      <c r="Q3" s="19" t="s">
        <v>15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12</v>
      </c>
      <c r="L4" s="19" t="s">
        <v>16</v>
      </c>
      <c r="M4" s="19" t="s">
        <v>12</v>
      </c>
      <c r="N4" s="20" t="s">
        <v>16</v>
      </c>
      <c r="O4" s="21" t="s">
        <v>34</v>
      </c>
      <c r="P4" s="19" t="s">
        <v>16</v>
      </c>
      <c r="Q4" s="19" t="s">
        <v>34</v>
      </c>
      <c r="R4" s="19" t="s">
        <v>16</v>
      </c>
    </row>
    <row r="5" spans="1:18">
      <c r="A5" s="10" t="s">
        <v>54</v>
      </c>
      <c r="B5" s="11" t="s">
        <v>94</v>
      </c>
      <c r="C5"/>
      <c r="D5"/>
      <c r="F5" s="19" t="s">
        <v>5</v>
      </c>
      <c r="G5" s="19" t="s">
        <v>6</v>
      </c>
      <c r="H5" s="19" t="s">
        <v>31</v>
      </c>
      <c r="I5" s="19" t="s">
        <v>78</v>
      </c>
      <c r="J5" s="20" t="s">
        <v>10</v>
      </c>
      <c r="K5" s="21" t="s">
        <v>17</v>
      </c>
      <c r="L5" s="19" t="s">
        <v>17</v>
      </c>
      <c r="M5" s="19" t="s">
        <v>17</v>
      </c>
      <c r="N5" s="20" t="s">
        <v>17</v>
      </c>
      <c r="O5" s="21" t="s">
        <v>79</v>
      </c>
      <c r="P5" s="19" t="s">
        <v>79</v>
      </c>
      <c r="Q5" s="19" t="s">
        <v>79</v>
      </c>
      <c r="R5" s="19" t="s">
        <v>79</v>
      </c>
    </row>
    <row r="6" spans="1:18">
      <c r="A6" s="10"/>
      <c r="B6" s="11"/>
      <c r="C6"/>
      <c r="D6"/>
      <c r="E6" s="66" t="s">
        <v>58</v>
      </c>
      <c r="F6" s="13">
        <v>3319.2</v>
      </c>
      <c r="G6" s="43">
        <v>720.25</v>
      </c>
      <c r="H6" s="44"/>
      <c r="I6" s="45">
        <v>1012.7</v>
      </c>
      <c r="J6" s="46">
        <v>20.5</v>
      </c>
      <c r="K6" s="47">
        <v>280</v>
      </c>
      <c r="L6" s="48">
        <f>SQRT(K6)</f>
        <v>16.733200530681511</v>
      </c>
      <c r="M6" s="43">
        <v>80441</v>
      </c>
      <c r="N6" s="49">
        <f>SQRT(M6)</f>
        <v>283.6212262860451</v>
      </c>
      <c r="O6" s="50">
        <f>'[1]720'!A7</f>
        <v>-2.4158453369999994E-12</v>
      </c>
      <c r="P6" s="51">
        <f>'[1]720'!B7</f>
        <v>4.5513119883901625E-13</v>
      </c>
      <c r="Q6" s="51">
        <f>'[1]720'!C7</f>
        <v>-1.6826277250000005E-9</v>
      </c>
      <c r="R6" s="51">
        <f>'[1]720'!D7</f>
        <v>1.0536557930131739E-11</v>
      </c>
    </row>
    <row r="7" spans="1:18">
      <c r="A7" s="10"/>
      <c r="B7" s="11"/>
      <c r="C7"/>
      <c r="D7"/>
      <c r="E7" s="67"/>
      <c r="F7" s="13">
        <v>3275</v>
      </c>
      <c r="G7" s="43">
        <v>710.45</v>
      </c>
      <c r="H7" s="44"/>
      <c r="I7" s="45"/>
      <c r="J7" s="46"/>
      <c r="K7" s="47">
        <v>217</v>
      </c>
      <c r="L7" s="48">
        <f t="shared" ref="L7:L20" si="0">SQRT(K7)</f>
        <v>14.730919862656235</v>
      </c>
      <c r="M7" s="47">
        <v>80144</v>
      </c>
      <c r="N7" s="49">
        <f t="shared" ref="N7:N20" si="1">SQRT(M7)</f>
        <v>283.09715646752795</v>
      </c>
      <c r="O7" s="50">
        <f>'[1]710'!A7</f>
        <v>-1.2619238959999999E-12</v>
      </c>
      <c r="P7" s="51">
        <f>'[1]710'!B7</f>
        <v>3.0864253213106174E-13</v>
      </c>
      <c r="Q7" s="51">
        <f>'[1]710'!C7</f>
        <v>-1.1855217765000002E-9</v>
      </c>
      <c r="R7" s="51">
        <f>'[1]710'!D7</f>
        <v>8.4545452209121039E-12</v>
      </c>
    </row>
    <row r="8" spans="1:18">
      <c r="A8" s="9" t="s">
        <v>2</v>
      </c>
      <c r="B8" s="11">
        <v>4</v>
      </c>
      <c r="C8"/>
      <c r="D8"/>
      <c r="E8" s="67"/>
      <c r="F8" s="13">
        <v>3230</v>
      </c>
      <c r="G8" s="43">
        <v>700.55</v>
      </c>
      <c r="H8" s="44"/>
      <c r="I8" s="45">
        <v>1012.6</v>
      </c>
      <c r="J8" s="46">
        <v>21</v>
      </c>
      <c r="K8" s="47">
        <v>188</v>
      </c>
      <c r="L8" s="48">
        <f t="shared" si="0"/>
        <v>13.711309200802088</v>
      </c>
      <c r="M8" s="43">
        <v>78815</v>
      </c>
      <c r="N8" s="49">
        <f t="shared" si="1"/>
        <v>280.74009332476896</v>
      </c>
      <c r="O8" s="50">
        <f>'[1]700uA'!A7</f>
        <v>-5.9799271049999977E-13</v>
      </c>
      <c r="P8" s="51">
        <f>'[1]700uA'!B7</f>
        <v>2.2558021498276441E-13</v>
      </c>
      <c r="Q8" s="51">
        <f>'[1]700uA'!C7</f>
        <v>-8.5170882000000007E-10</v>
      </c>
      <c r="R8" s="51">
        <f>'[1]700uA'!D7</f>
        <v>5.6503591301955692E-12</v>
      </c>
    </row>
    <row r="9" spans="1:18" ht="15" customHeight="1">
      <c r="A9" s="9" t="s">
        <v>3</v>
      </c>
      <c r="B9" s="11">
        <v>4</v>
      </c>
      <c r="C9" s="4"/>
      <c r="D9" s="6"/>
      <c r="E9" s="67"/>
      <c r="F9" s="13">
        <v>3185</v>
      </c>
      <c r="G9" s="43">
        <v>690.75</v>
      </c>
      <c r="H9" s="44"/>
      <c r="I9" s="45">
        <v>1012.2</v>
      </c>
      <c r="J9" s="46">
        <v>21.5</v>
      </c>
      <c r="K9" s="47">
        <v>165</v>
      </c>
      <c r="L9" s="48">
        <f t="shared" si="0"/>
        <v>12.845232578665129</v>
      </c>
      <c r="M9" s="43">
        <v>78295</v>
      </c>
      <c r="N9" s="49">
        <f t="shared" si="1"/>
        <v>279.81243717890737</v>
      </c>
      <c r="O9" s="50">
        <f>'[1]690uA'!A7</f>
        <v>-5.1386455700000038E-13</v>
      </c>
      <c r="P9" s="51">
        <f>'[1]690uA'!B7</f>
        <v>1.9697892573071438E-13</v>
      </c>
      <c r="Q9" s="51">
        <f>'[1]690uA'!C7</f>
        <v>-5.963965980000004E-10</v>
      </c>
      <c r="R9" s="51">
        <f>'[1]690uA'!D7</f>
        <v>4.3411739468324399E-12</v>
      </c>
    </row>
    <row r="10" spans="1:18">
      <c r="A10" s="9" t="s">
        <v>26</v>
      </c>
      <c r="B10" s="11">
        <v>500</v>
      </c>
      <c r="C10" s="4"/>
      <c r="D10" s="6"/>
      <c r="E10" s="67"/>
      <c r="F10" s="13">
        <v>3138</v>
      </c>
      <c r="G10" s="43">
        <v>680.45</v>
      </c>
      <c r="H10" s="44"/>
      <c r="I10" s="45"/>
      <c r="J10" s="46"/>
      <c r="K10" s="47">
        <v>131</v>
      </c>
      <c r="L10" s="48">
        <f t="shared" si="0"/>
        <v>11.445523142259598</v>
      </c>
      <c r="M10" s="43">
        <v>76803</v>
      </c>
      <c r="N10" s="49">
        <f t="shared" si="1"/>
        <v>277.13354181693705</v>
      </c>
      <c r="O10" s="50">
        <f>'[1]680uA'!A7</f>
        <v>1.2287364848484834E-13</v>
      </c>
      <c r="P10" s="51">
        <f>'[1]680uA'!B7</f>
        <v>1.7286372142900663E-13</v>
      </c>
      <c r="Q10" s="51">
        <f>'[1]680uA'!C7</f>
        <v>-4.1759221799999972E-10</v>
      </c>
      <c r="R10" s="51">
        <f>'[1]680uA'!D7</f>
        <v>2.6317046935682435E-12</v>
      </c>
    </row>
    <row r="11" spans="1:18">
      <c r="A11" s="9" t="s">
        <v>27</v>
      </c>
      <c r="B11" s="11">
        <v>500</v>
      </c>
      <c r="C11" s="4"/>
      <c r="D11" s="6"/>
      <c r="E11" s="67"/>
      <c r="F11" s="13">
        <v>3092</v>
      </c>
      <c r="G11" s="43">
        <v>670.45</v>
      </c>
      <c r="H11" s="44"/>
      <c r="I11" s="45"/>
      <c r="J11" s="46"/>
      <c r="K11" s="47">
        <v>108</v>
      </c>
      <c r="L11" s="48">
        <f t="shared" si="0"/>
        <v>10.392304845413264</v>
      </c>
      <c r="M11" s="43">
        <v>74075</v>
      </c>
      <c r="N11" s="49">
        <f t="shared" si="1"/>
        <v>272.16722800513656</v>
      </c>
      <c r="O11" s="50">
        <f>'[1]670uA'!A7</f>
        <v>4.6611627499999953E-14</v>
      </c>
      <c r="P11" s="51">
        <f>'[1]670uA'!B7</f>
        <v>1.4766580639547185E-13</v>
      </c>
      <c r="Q11" s="51">
        <f>'[1]670uA'!C7</f>
        <v>-2.9743887499999996E-10</v>
      </c>
      <c r="R11" s="51">
        <f>'[1]670uA'!D7</f>
        <v>2.0011647405261266E-12</v>
      </c>
    </row>
    <row r="12" spans="1:18">
      <c r="A12" s="53" t="s">
        <v>21</v>
      </c>
      <c r="B12" s="54"/>
      <c r="C12" s="4"/>
      <c r="D12" s="6"/>
      <c r="E12" s="67"/>
      <c r="F12" s="13">
        <v>3046</v>
      </c>
      <c r="G12" s="43">
        <v>660.45</v>
      </c>
      <c r="H12" s="44"/>
      <c r="I12" s="45">
        <v>1012.3</v>
      </c>
      <c r="J12" s="46">
        <v>21.8</v>
      </c>
      <c r="K12" s="47">
        <v>93</v>
      </c>
      <c r="L12" s="48">
        <f t="shared" si="0"/>
        <v>9.6436507609929549</v>
      </c>
      <c r="M12" s="43">
        <v>69561</v>
      </c>
      <c r="N12" s="49">
        <f t="shared" si="1"/>
        <v>263.74419424889714</v>
      </c>
      <c r="O12" s="50">
        <f>'[1]660uA'!A7</f>
        <v>2.4897418200000012E-13</v>
      </c>
      <c r="P12" s="51">
        <f>'[1]660uA'!B7</f>
        <v>1.076128321179353E-13</v>
      </c>
      <c r="Q12" s="51">
        <f>'[1]660uA'!C7</f>
        <v>-2.103320190000001E-10</v>
      </c>
      <c r="R12" s="51">
        <f>'[1]660uA'!D7</f>
        <v>1.4303239691555546E-12</v>
      </c>
    </row>
    <row r="13" spans="1:18">
      <c r="A13" s="55"/>
      <c r="B13" s="56"/>
      <c r="C13" s="4"/>
      <c r="D13" s="6"/>
      <c r="E13" s="67"/>
      <c r="F13" s="13">
        <v>3000</v>
      </c>
      <c r="G13" s="43">
        <v>650.4</v>
      </c>
      <c r="H13" s="44"/>
      <c r="I13" s="45">
        <v>1012</v>
      </c>
      <c r="J13" s="46">
        <v>22</v>
      </c>
      <c r="K13" s="47">
        <v>57</v>
      </c>
      <c r="L13" s="48">
        <f t="shared" si="0"/>
        <v>7.5498344352707498</v>
      </c>
      <c r="M13" s="43">
        <v>61594</v>
      </c>
      <c r="N13" s="49">
        <f t="shared" si="1"/>
        <v>248.18138528100772</v>
      </c>
      <c r="O13" s="50">
        <f>'[1]650uA'!A7</f>
        <v>-2.5920599499999978E-13</v>
      </c>
      <c r="P13" s="51">
        <f>'[1]650uA'!B7</f>
        <v>1.1792717113692353E-13</v>
      </c>
      <c r="Q13" s="51">
        <f>'[1]650uA'!C7</f>
        <v>-1.4779289650000003E-10</v>
      </c>
      <c r="R13" s="51">
        <f>'[1]650uA'!D7</f>
        <v>1.0039438416243038E-12</v>
      </c>
    </row>
    <row r="14" spans="1:18">
      <c r="A14" s="9" t="s">
        <v>55</v>
      </c>
      <c r="B14" s="11" t="s">
        <v>95</v>
      </c>
      <c r="C14" s="4"/>
      <c r="D14" s="6"/>
      <c r="E14" s="67"/>
      <c r="F14" s="13">
        <v>2954</v>
      </c>
      <c r="G14" s="43">
        <v>640.4</v>
      </c>
      <c r="H14" s="44"/>
      <c r="I14" s="45"/>
      <c r="J14" s="46"/>
      <c r="K14" s="47">
        <v>41</v>
      </c>
      <c r="L14" s="48">
        <f t="shared" si="0"/>
        <v>6.4031242374328485</v>
      </c>
      <c r="M14" s="43">
        <v>40193</v>
      </c>
      <c r="N14" s="49">
        <f t="shared" si="1"/>
        <v>200.48191938426766</v>
      </c>
      <c r="O14" s="50">
        <f>'[1]640uA'!A7</f>
        <v>6.3550939399999932E-13</v>
      </c>
      <c r="P14" s="51">
        <f>'[1]640uA'!B7</f>
        <v>9.3863461437875047E-14</v>
      </c>
      <c r="Q14" s="51">
        <f>'[1]640uA'!C7</f>
        <v>-1.0529788694999991E-10</v>
      </c>
      <c r="R14" s="51">
        <f>'[1]640uA'!D7</f>
        <v>6.5815020263589482E-13</v>
      </c>
    </row>
    <row r="15" spans="1:18">
      <c r="A15" s="9" t="s">
        <v>43</v>
      </c>
      <c r="B15" s="11" t="s">
        <v>91</v>
      </c>
      <c r="C15" s="4"/>
      <c r="D15" s="6"/>
      <c r="E15" s="67"/>
      <c r="F15" s="13">
        <v>2907</v>
      </c>
      <c r="G15" s="43">
        <v>630.25</v>
      </c>
      <c r="H15" s="44"/>
      <c r="I15" s="45"/>
      <c r="J15" s="46"/>
      <c r="K15" s="47">
        <v>32</v>
      </c>
      <c r="L15" s="48">
        <f>SQRT(K15)</f>
        <v>5.6568542494923806</v>
      </c>
      <c r="M15" s="43">
        <v>27830</v>
      </c>
      <c r="N15" s="49">
        <f t="shared" si="1"/>
        <v>166.82325976913413</v>
      </c>
      <c r="O15" s="50">
        <f>'[1]630uA'!A7</f>
        <v>9.4928510749999904E-13</v>
      </c>
      <c r="P15" s="51">
        <f>'[1]630uA'!B7</f>
        <v>4.5434853587163957E-13</v>
      </c>
      <c r="Q15" s="51">
        <f>'[1]630uA'!C7</f>
        <v>-7.4861645750000034E-11</v>
      </c>
      <c r="R15" s="51">
        <f>'[1]630uA'!D7</f>
        <v>4.936861327637515E-13</v>
      </c>
    </row>
    <row r="16" spans="1:18">
      <c r="A16" s="9" t="s">
        <v>52</v>
      </c>
      <c r="B16" s="11" t="s">
        <v>92</v>
      </c>
      <c r="C16" s="4"/>
      <c r="D16" s="6"/>
      <c r="E16" s="67"/>
      <c r="F16" s="13">
        <v>2859.8</v>
      </c>
      <c r="G16" s="43">
        <v>620.15</v>
      </c>
      <c r="H16" s="44"/>
      <c r="I16" s="45">
        <v>1012.1</v>
      </c>
      <c r="J16" s="46">
        <v>21.9</v>
      </c>
      <c r="K16" s="47">
        <v>22</v>
      </c>
      <c r="L16" s="48">
        <f>SQRT(K16)</f>
        <v>4.6904157598234297</v>
      </c>
      <c r="M16" s="43">
        <v>16137</v>
      </c>
      <c r="N16" s="49">
        <f t="shared" si="1"/>
        <v>127.03149215844077</v>
      </c>
      <c r="O16" s="50">
        <f>'[1]620uA'!A7</f>
        <v>-1.7280399200000002E-13</v>
      </c>
      <c r="P16" s="51">
        <f>'[1]620uA'!B7</f>
        <v>8.4420034500582822E-14</v>
      </c>
      <c r="Q16" s="51">
        <f>'[1]620uA'!C7</f>
        <v>-5.2938275949999989E-11</v>
      </c>
      <c r="R16" s="51">
        <f>'[1]620uA'!D7</f>
        <v>3.4426538889524818E-13</v>
      </c>
    </row>
    <row r="17" spans="1:20">
      <c r="A17" s="9" t="s">
        <v>53</v>
      </c>
      <c r="B17" s="41">
        <v>2.9375</v>
      </c>
      <c r="C17" s="4"/>
      <c r="D17" s="6"/>
      <c r="E17" s="67"/>
      <c r="F17" s="13">
        <v>2815</v>
      </c>
      <c r="G17" s="43">
        <v>610.4</v>
      </c>
      <c r="H17" s="44"/>
      <c r="I17" s="45"/>
      <c r="J17" s="46"/>
      <c r="K17" s="47">
        <v>18</v>
      </c>
      <c r="L17" s="48">
        <f t="shared" si="0"/>
        <v>4.2426406871192848</v>
      </c>
      <c r="M17" s="43">
        <v>5704</v>
      </c>
      <c r="N17" s="49">
        <f t="shared" si="1"/>
        <v>75.524830353996819</v>
      </c>
      <c r="O17" s="50">
        <f>'[1]610uA'!A7</f>
        <v>-3.410617500000035E-15</v>
      </c>
      <c r="P17" s="51">
        <f>'[1]610uA'!B7</f>
        <v>8.1956612252280535E-14</v>
      </c>
      <c r="Q17" s="51">
        <f>'[1]610uA'!C7</f>
        <v>-3.8829739500000018E-11</v>
      </c>
      <c r="R17" s="51">
        <f>'[1]610uA'!D7</f>
        <v>2.7364437662604926E-13</v>
      </c>
    </row>
    <row r="18" spans="1:20" ht="14" customHeight="1">
      <c r="A18" s="9" t="s">
        <v>47</v>
      </c>
      <c r="B18" s="11">
        <v>5</v>
      </c>
      <c r="C18" s="4"/>
      <c r="D18" s="6"/>
      <c r="E18" s="67"/>
      <c r="F18" s="13">
        <v>2769</v>
      </c>
      <c r="G18" s="43">
        <v>600.4</v>
      </c>
      <c r="H18" s="44"/>
      <c r="I18" s="45">
        <v>1012</v>
      </c>
      <c r="J18" s="46">
        <v>22.1</v>
      </c>
      <c r="K18" s="47">
        <v>21</v>
      </c>
      <c r="L18" s="48">
        <f t="shared" si="0"/>
        <v>4.5825756949558398</v>
      </c>
      <c r="M18" s="43">
        <v>657</v>
      </c>
      <c r="N18" s="49">
        <f t="shared" si="1"/>
        <v>25.632011235952593</v>
      </c>
      <c r="O18" s="50">
        <f>'[1]600uA'!A7</f>
        <v>-1.5916118499999982E-14</v>
      </c>
      <c r="P18" s="51">
        <f>'[1]600uA'!B7</f>
        <v>9.0484244511832294E-14</v>
      </c>
      <c r="Q18" s="51">
        <f>'[1]600uA'!C7</f>
        <v>-2.7891929250000004E-11</v>
      </c>
      <c r="R18" s="51">
        <f>'[1]600uA'!D7</f>
        <v>1.8551997272230316E-13</v>
      </c>
    </row>
    <row r="19" spans="1:20" ht="15" customHeight="1">
      <c r="A19" s="9" t="s">
        <v>60</v>
      </c>
      <c r="B19" s="11">
        <v>4.57</v>
      </c>
      <c r="C19" s="4"/>
      <c r="D19" s="6"/>
      <c r="E19" s="67"/>
      <c r="F19" s="13">
        <v>2721.8</v>
      </c>
      <c r="G19" s="43">
        <v>590.1</v>
      </c>
      <c r="H19" s="44"/>
      <c r="I19" s="45"/>
      <c r="J19" s="46"/>
      <c r="K19" s="47">
        <v>6</v>
      </c>
      <c r="L19" s="48">
        <f t="shared" si="0"/>
        <v>2.4494897427831779</v>
      </c>
      <c r="M19" s="43">
        <v>17</v>
      </c>
      <c r="N19" s="49">
        <f t="shared" si="1"/>
        <v>4.1231056256176606</v>
      </c>
      <c r="O19" s="50">
        <f>'[1]590uA'!A7</f>
        <v>-2.3078424049999983E-13</v>
      </c>
      <c r="P19" s="51">
        <f>'[1]590uA'!B7</f>
        <v>7.9134374502383714E-14</v>
      </c>
      <c r="Q19" s="51">
        <f>'[1]590uA'!C7</f>
        <v>-2.0099832800000014E-11</v>
      </c>
      <c r="R19" s="51">
        <f>'[1]590uA'!D7</f>
        <v>1.5126122094748345E-13</v>
      </c>
    </row>
    <row r="20" spans="1:20">
      <c r="A20" s="9" t="s">
        <v>61</v>
      </c>
      <c r="B20" s="11">
        <v>4.57</v>
      </c>
      <c r="C20" s="4"/>
      <c r="D20" s="6"/>
      <c r="E20" s="67"/>
      <c r="F20" s="13">
        <v>2679.8</v>
      </c>
      <c r="G20" s="43">
        <v>580</v>
      </c>
      <c r="H20" s="44"/>
      <c r="I20" s="45"/>
      <c r="J20" s="46"/>
      <c r="K20" s="47">
        <v>7</v>
      </c>
      <c r="L20" s="48">
        <f t="shared" si="0"/>
        <v>2.6457513110645907</v>
      </c>
      <c r="M20" s="43">
        <v>9</v>
      </c>
      <c r="N20" s="49">
        <f t="shared" si="1"/>
        <v>3</v>
      </c>
      <c r="O20" s="50">
        <f>'[1]580uA'!A7</f>
        <v>-4.1040945900000007E-13</v>
      </c>
      <c r="P20" s="51">
        <f>'[1]580uA'!B7</f>
        <v>7.7529485011324657E-14</v>
      </c>
      <c r="Q20" s="51">
        <f>'[1]580uA'!C7</f>
        <v>-1.4753140600000007E-11</v>
      </c>
      <c r="R20" s="51">
        <f>'[1]580uA'!D7</f>
        <v>1.1555871562329574E-13</v>
      </c>
    </row>
    <row r="21" spans="1:20">
      <c r="A21" s="9" t="s">
        <v>62</v>
      </c>
      <c r="B21" s="11">
        <v>0.55400000000000005</v>
      </c>
      <c r="C21" s="4"/>
      <c r="D21" s="6"/>
      <c r="E21" s="68"/>
      <c r="F21" s="13"/>
      <c r="G21" s="14"/>
      <c r="H21" s="15"/>
      <c r="I21" s="16"/>
      <c r="J21" s="17"/>
      <c r="K21" s="18"/>
      <c r="L21" s="12"/>
      <c r="M21" s="14"/>
      <c r="N21" s="23"/>
      <c r="O21" s="40"/>
      <c r="P21" s="40"/>
      <c r="Q21" s="40"/>
      <c r="R21" s="40"/>
      <c r="T21" s="2"/>
    </row>
    <row r="22" spans="1:20">
      <c r="A22" s="9" t="s">
        <v>63</v>
      </c>
      <c r="B22" s="11">
        <v>0.879</v>
      </c>
      <c r="C22" s="4"/>
      <c r="D22" s="6"/>
    </row>
    <row r="23" spans="1:20">
      <c r="A23" s="9" t="s">
        <v>64</v>
      </c>
      <c r="B23" s="11">
        <v>0.52900000000000003</v>
      </c>
      <c r="C23" s="4"/>
      <c r="D23" s="6"/>
      <c r="E23" s="9"/>
      <c r="F23" s="22"/>
      <c r="G23" s="8" t="s">
        <v>69</v>
      </c>
      <c r="H23" s="8" t="s">
        <v>70</v>
      </c>
      <c r="I23" s="8" t="s">
        <v>80</v>
      </c>
      <c r="J23" s="62"/>
      <c r="K23" s="63"/>
      <c r="L23" s="63"/>
      <c r="M23" s="64"/>
    </row>
    <row r="24" spans="1:20">
      <c r="A24" s="9" t="s">
        <v>65</v>
      </c>
      <c r="B24" s="11">
        <v>0.63</v>
      </c>
      <c r="C24" s="5"/>
      <c r="D24" s="6"/>
      <c r="E24" s="19" t="s">
        <v>38</v>
      </c>
      <c r="F24" s="11">
        <v>346</v>
      </c>
      <c r="G24" s="8">
        <v>196</v>
      </c>
      <c r="H24" s="8">
        <v>322</v>
      </c>
      <c r="I24" s="8">
        <v>346</v>
      </c>
      <c r="J24" s="52" t="s">
        <v>39</v>
      </c>
      <c r="K24" s="52"/>
      <c r="L24" s="59">
        <v>1.602E-19</v>
      </c>
      <c r="M24" s="59"/>
    </row>
    <row r="25" spans="1:20">
      <c r="A25" s="53" t="s">
        <v>0</v>
      </c>
      <c r="B25" s="54"/>
      <c r="C25" s="5"/>
      <c r="D25" s="6"/>
      <c r="E25" s="19" t="s">
        <v>68</v>
      </c>
      <c r="F25" s="1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/>
      <c r="B26" s="56"/>
      <c r="D26" s="5"/>
      <c r="E26" s="61" t="s">
        <v>84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9" t="s">
        <v>54</v>
      </c>
      <c r="B27" s="11" t="s">
        <v>96</v>
      </c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23</v>
      </c>
      <c r="B28" s="11">
        <v>100</v>
      </c>
      <c r="E28" s="29" t="s">
        <v>4</v>
      </c>
      <c r="F28" s="29" t="s">
        <v>59</v>
      </c>
      <c r="G28" s="29" t="s">
        <v>42</v>
      </c>
      <c r="H28" s="29" t="s">
        <v>35</v>
      </c>
      <c r="I28" s="29" t="s">
        <v>37</v>
      </c>
      <c r="J28" s="29" t="s">
        <v>34</v>
      </c>
      <c r="K28" s="29" t="s">
        <v>40</v>
      </c>
      <c r="L28" s="29" t="s">
        <v>41</v>
      </c>
      <c r="M28" s="29" t="s">
        <v>49</v>
      </c>
    </row>
    <row r="29" spans="1:20">
      <c r="A29" s="9"/>
      <c r="B29" s="11"/>
      <c r="E29" s="29" t="s">
        <v>6</v>
      </c>
      <c r="F29" s="29" t="s">
        <v>5</v>
      </c>
      <c r="G29" s="29" t="s">
        <v>5</v>
      </c>
      <c r="H29" s="29" t="s">
        <v>36</v>
      </c>
      <c r="I29" s="29" t="s">
        <v>36</v>
      </c>
      <c r="J29" s="29" t="s">
        <v>79</v>
      </c>
      <c r="K29" s="29" t="s">
        <v>79</v>
      </c>
      <c r="L29" s="29" t="s">
        <v>48</v>
      </c>
      <c r="M29" s="29" t="s">
        <v>48</v>
      </c>
    </row>
    <row r="30" spans="1:20">
      <c r="A30" s="9"/>
      <c r="B30" s="11"/>
      <c r="D30" s="2">
        <v>0</v>
      </c>
      <c r="E30" s="29">
        <f>G6</f>
        <v>720.25</v>
      </c>
      <c r="F30" s="29">
        <f>F6</f>
        <v>3319.2</v>
      </c>
      <c r="G30" s="29">
        <f>E30*'Data Summary'!$B$18</f>
        <v>3601.25</v>
      </c>
      <c r="H30" s="31">
        <f>(M6-K6)/$B$43</f>
        <v>1336.0166666666667</v>
      </c>
      <c r="I30" s="32">
        <f>(1/$B$43)*SQRT(N6^2+L6^2)</f>
        <v>4.7352402262187283</v>
      </c>
      <c r="J30" s="33">
        <f>Q6-O6</f>
        <v>-1.6802118796630004E-9</v>
      </c>
      <c r="K30" s="33">
        <f>SQRT(P6^2+R6^2)</f>
        <v>1.0546383144148456E-11</v>
      </c>
      <c r="L30" s="32">
        <f>ABS(J30)/($H$30*$F$24*$L$24)</f>
        <v>22688.906452393669</v>
      </c>
      <c r="M30" s="33">
        <f>SQRT( ( 1 / ($H$30*$F$24*$L$24 ) )^2 * (K30^2+J30^2*( ($I$30/$H$30)^2+($F$25/$F$24)^2)))</f>
        <v>250.82282883815978</v>
      </c>
    </row>
    <row r="31" spans="1:20">
      <c r="A31" s="9" t="s">
        <v>24</v>
      </c>
      <c r="B31" s="11">
        <v>-6.0000000000000001E-3</v>
      </c>
      <c r="D31" s="2">
        <v>0</v>
      </c>
      <c r="E31" s="42">
        <f t="shared" ref="E31:E45" si="2">G7</f>
        <v>710.45</v>
      </c>
      <c r="F31" s="42">
        <f t="shared" ref="F31:F45" si="3">F7</f>
        <v>3275</v>
      </c>
      <c r="G31" s="42">
        <f>E31*'Data Summary'!$B$18</f>
        <v>3552.25</v>
      </c>
      <c r="H31" s="31">
        <f t="shared" ref="H31:H45" si="4">(M7-K7)/$B$43</f>
        <v>1332.1166666666666</v>
      </c>
      <c r="I31" s="32">
        <f t="shared" ref="I31:I45" si="5">(1/$B$43)*SQRT(N7^2+L7^2)</f>
        <v>4.7246693005966032</v>
      </c>
      <c r="J31" s="33">
        <f t="shared" ref="J31:J45" si="6">Q7-O7</f>
        <v>-1.1842598526040003E-9</v>
      </c>
      <c r="K31" s="33">
        <f t="shared" ref="K31:K45" si="7">SQRT(P7^2+R7^2)</f>
        <v>8.4601770138152534E-12</v>
      </c>
      <c r="L31" s="33">
        <f>ABS(J31)/($H$30*$F$24*$L$24)</f>
        <v>15991.769452580525</v>
      </c>
      <c r="M31" s="33">
        <f t="shared" ref="M31:M45" si="8">SQRT( ( 1 / ($H$30*$F$24*$L$24 ) )^2 * (K31^2+J31^2*( ($I$30/$H$30)^2+($F$25/$F$24)^2)))</f>
        <v>185.01188609945586</v>
      </c>
    </row>
    <row r="32" spans="1:20">
      <c r="A32" s="9" t="s">
        <v>25</v>
      </c>
      <c r="B32" s="11">
        <v>400</v>
      </c>
      <c r="D32" s="2">
        <v>0</v>
      </c>
      <c r="E32" s="42">
        <f t="shared" si="2"/>
        <v>700.55</v>
      </c>
      <c r="F32" s="42">
        <f t="shared" si="3"/>
        <v>3230</v>
      </c>
      <c r="G32" s="42">
        <f>E32*'Data Summary'!$B$18</f>
        <v>3502.75</v>
      </c>
      <c r="H32" s="31">
        <f t="shared" si="4"/>
        <v>1310.45</v>
      </c>
      <c r="I32" s="32">
        <f t="shared" si="5"/>
        <v>4.6845787193490267</v>
      </c>
      <c r="J32" s="33">
        <f t="shared" si="6"/>
        <v>-8.511108272895001E-10</v>
      </c>
      <c r="K32" s="33">
        <f t="shared" si="7"/>
        <v>5.6548602753362616E-12</v>
      </c>
      <c r="L32" s="32">
        <f t="shared" ref="L32:L45" si="9">ABS(J32)/($H$30*$F$24*$L$24)</f>
        <v>11493.058806883337</v>
      </c>
      <c r="M32" s="33">
        <f t="shared" si="8"/>
        <v>129.49756153992024</v>
      </c>
    </row>
    <row r="33" spans="1:14">
      <c r="A33" s="53" t="s">
        <v>50</v>
      </c>
      <c r="B33" s="54"/>
      <c r="D33" s="2">
        <v>0</v>
      </c>
      <c r="E33" s="42">
        <f t="shared" si="2"/>
        <v>690.75</v>
      </c>
      <c r="F33" s="42">
        <f t="shared" si="3"/>
        <v>3185</v>
      </c>
      <c r="G33" s="42">
        <f>E33*'Data Summary'!$B$18</f>
        <v>3453.75</v>
      </c>
      <c r="H33" s="31">
        <f t="shared" si="4"/>
        <v>1302.1666666666667</v>
      </c>
      <c r="I33" s="32">
        <f t="shared" si="5"/>
        <v>4.6684520394285336</v>
      </c>
      <c r="J33" s="33">
        <f t="shared" si="6"/>
        <v>-5.9588273344300041E-10</v>
      </c>
      <c r="K33" s="33">
        <f t="shared" si="7"/>
        <v>4.3456405665722941E-12</v>
      </c>
      <c r="L33" s="32">
        <f t="shared" si="9"/>
        <v>8046.5611268006005</v>
      </c>
      <c r="M33" s="33">
        <f t="shared" si="8"/>
        <v>93.836926826168863</v>
      </c>
    </row>
    <row r="34" spans="1:14">
      <c r="A34" s="55"/>
      <c r="B34" s="56"/>
      <c r="D34" s="2">
        <v>0</v>
      </c>
      <c r="E34" s="42">
        <f t="shared" si="2"/>
        <v>680.45</v>
      </c>
      <c r="F34" s="42">
        <f t="shared" si="3"/>
        <v>3138</v>
      </c>
      <c r="G34" s="42">
        <f>E34*'Data Summary'!$B$18</f>
        <v>3402.25</v>
      </c>
      <c r="H34" s="31">
        <f t="shared" si="4"/>
        <v>1277.8666666666666</v>
      </c>
      <c r="I34" s="32">
        <f t="shared" si="5"/>
        <v>4.622829821176154</v>
      </c>
      <c r="J34" s="33">
        <f t="shared" si="6"/>
        <v>-4.1771509164848455E-10</v>
      </c>
      <c r="K34" s="33">
        <f t="shared" si="7"/>
        <v>2.6373758663367285E-12</v>
      </c>
      <c r="L34" s="32">
        <f t="shared" si="9"/>
        <v>5640.656843865675</v>
      </c>
      <c r="M34" s="33">
        <f t="shared" si="8"/>
        <v>62.475436326003468</v>
      </c>
    </row>
    <row r="35" spans="1:14">
      <c r="A35" s="9" t="s">
        <v>54</v>
      </c>
      <c r="B35" s="11" t="s">
        <v>97</v>
      </c>
      <c r="D35" s="2">
        <v>0</v>
      </c>
      <c r="E35" s="42">
        <f t="shared" si="2"/>
        <v>670.45</v>
      </c>
      <c r="F35" s="42">
        <f t="shared" si="3"/>
        <v>3092</v>
      </c>
      <c r="G35" s="42">
        <f>E35*'Data Summary'!$B$18</f>
        <v>3352.25</v>
      </c>
      <c r="H35" s="31">
        <f t="shared" si="4"/>
        <v>1232.7833333333333</v>
      </c>
      <c r="I35" s="32">
        <f t="shared" si="5"/>
        <v>4.5394260528054522</v>
      </c>
      <c r="J35" s="33">
        <f t="shared" si="6"/>
        <v>-2.9748548662749995E-10</v>
      </c>
      <c r="K35" s="33">
        <f t="shared" si="7"/>
        <v>2.0066054692199522E-12</v>
      </c>
      <c r="L35" s="32">
        <f t="shared" si="9"/>
        <v>4017.124541691684</v>
      </c>
      <c r="M35" s="33">
        <f t="shared" si="8"/>
        <v>45.503515315757944</v>
      </c>
      <c r="N35" s="3"/>
    </row>
    <row r="36" spans="1:14">
      <c r="A36" s="9" t="s">
        <v>18</v>
      </c>
      <c r="B36" s="11" t="s">
        <v>98</v>
      </c>
      <c r="D36" s="2">
        <v>0</v>
      </c>
      <c r="E36" s="42">
        <f t="shared" si="2"/>
        <v>660.45</v>
      </c>
      <c r="F36" s="42">
        <f t="shared" si="3"/>
        <v>3046</v>
      </c>
      <c r="G36" s="42">
        <f>E36*'Data Summary'!$B$18</f>
        <v>3302.25</v>
      </c>
      <c r="H36" s="31">
        <f t="shared" si="4"/>
        <v>1157.8</v>
      </c>
      <c r="I36" s="32">
        <f t="shared" si="5"/>
        <v>4.3986740426329991</v>
      </c>
      <c r="J36" s="33">
        <f t="shared" si="6"/>
        <v>-2.1058099318200009E-10</v>
      </c>
      <c r="K36" s="33">
        <f t="shared" si="7"/>
        <v>1.4343664728295008E-12</v>
      </c>
      <c r="L36" s="32">
        <f t="shared" si="9"/>
        <v>2843.6011629181203</v>
      </c>
      <c r="M36" s="33">
        <f t="shared" si="8"/>
        <v>32.323100767909978</v>
      </c>
      <c r="N36" s="3"/>
    </row>
    <row r="37" spans="1:14">
      <c r="A37" s="9" t="s">
        <v>19</v>
      </c>
      <c r="B37" s="11" t="s">
        <v>99</v>
      </c>
      <c r="D37" s="2">
        <v>0</v>
      </c>
      <c r="E37" s="42">
        <f t="shared" si="2"/>
        <v>650.4</v>
      </c>
      <c r="F37" s="42">
        <f t="shared" si="3"/>
        <v>3000</v>
      </c>
      <c r="G37" s="42">
        <f>E37*'Data Summary'!$B$18</f>
        <v>3252</v>
      </c>
      <c r="H37" s="31">
        <f t="shared" si="4"/>
        <v>1025.6166666666666</v>
      </c>
      <c r="I37" s="32">
        <f t="shared" si="5"/>
        <v>4.1382699015141311</v>
      </c>
      <c r="J37" s="33">
        <f t="shared" si="6"/>
        <v>-1.4753369050500002E-10</v>
      </c>
      <c r="K37" s="33">
        <f t="shared" si="7"/>
        <v>1.0108462073073839E-12</v>
      </c>
      <c r="L37" s="32">
        <f t="shared" si="9"/>
        <v>1992.2357072702807</v>
      </c>
      <c r="M37" s="33">
        <f t="shared" si="8"/>
        <v>22.693695250313667</v>
      </c>
    </row>
    <row r="38" spans="1:14">
      <c r="A38" s="9" t="s">
        <v>20</v>
      </c>
      <c r="B38" s="11" t="s">
        <v>100</v>
      </c>
      <c r="D38" s="2">
        <v>0</v>
      </c>
      <c r="E38" s="42">
        <f t="shared" si="2"/>
        <v>640.4</v>
      </c>
      <c r="F38" s="42">
        <f t="shared" si="3"/>
        <v>2954</v>
      </c>
      <c r="G38" s="42">
        <f>E38*'Data Summary'!$B$18</f>
        <v>3202</v>
      </c>
      <c r="H38" s="31">
        <f t="shared" si="4"/>
        <v>669.2</v>
      </c>
      <c r="I38" s="32">
        <f t="shared" si="5"/>
        <v>3.3430691155151293</v>
      </c>
      <c r="J38" s="33">
        <f t="shared" si="6"/>
        <v>-1.0593339634399991E-10</v>
      </c>
      <c r="K38" s="33">
        <f t="shared" si="7"/>
        <v>6.6480977626894811E-13</v>
      </c>
      <c r="L38" s="32">
        <f t="shared" si="9"/>
        <v>1430.482041535992</v>
      </c>
      <c r="M38" s="33">
        <f t="shared" si="8"/>
        <v>15.812907607202201</v>
      </c>
    </row>
    <row r="39" spans="1:14">
      <c r="A39" s="53" t="s">
        <v>11</v>
      </c>
      <c r="B39" s="54"/>
      <c r="D39" s="2">
        <v>0</v>
      </c>
      <c r="E39" s="42">
        <f t="shared" si="2"/>
        <v>630.25</v>
      </c>
      <c r="F39" s="42">
        <f t="shared" si="3"/>
        <v>2907</v>
      </c>
      <c r="G39" s="42">
        <f>E39*'Data Summary'!$B$18</f>
        <v>3151.25</v>
      </c>
      <c r="H39" s="31">
        <f t="shared" si="4"/>
        <v>463.3</v>
      </c>
      <c r="I39" s="32">
        <f t="shared" si="5"/>
        <v>2.7819857016966218</v>
      </c>
      <c r="J39" s="33">
        <f t="shared" si="6"/>
        <v>-7.5810930857500028E-11</v>
      </c>
      <c r="K39" s="33">
        <f t="shared" si="7"/>
        <v>6.709385886442447E-13</v>
      </c>
      <c r="L39" s="32">
        <f t="shared" si="9"/>
        <v>1023.7203647433417</v>
      </c>
      <c r="M39" s="33">
        <f t="shared" si="8"/>
        <v>12.995076659935849</v>
      </c>
      <c r="N39" s="3"/>
    </row>
    <row r="40" spans="1:14">
      <c r="A40" s="57"/>
      <c r="B40" s="58"/>
      <c r="D40" s="2">
        <v>0</v>
      </c>
      <c r="E40" s="42">
        <f t="shared" si="2"/>
        <v>620.15</v>
      </c>
      <c r="F40" s="42">
        <f t="shared" si="3"/>
        <v>2859.8</v>
      </c>
      <c r="G40" s="42">
        <f>E40*'Data Summary'!$B$18</f>
        <v>3100.75</v>
      </c>
      <c r="H40" s="31">
        <f t="shared" si="4"/>
        <v>268.58333333333331</v>
      </c>
      <c r="I40" s="32">
        <f t="shared" si="5"/>
        <v>2.1186342560978075</v>
      </c>
      <c r="J40" s="33">
        <f t="shared" si="6"/>
        <v>-5.2765471957999988E-11</v>
      </c>
      <c r="K40" s="33">
        <f t="shared" si="7"/>
        <v>3.5446494920693646E-13</v>
      </c>
      <c r="L40" s="32">
        <f t="shared" si="9"/>
        <v>712.52374278628668</v>
      </c>
      <c r="M40" s="33">
        <f t="shared" si="8"/>
        <v>8.0593875991141903</v>
      </c>
      <c r="N40" s="3"/>
    </row>
    <row r="41" spans="1:14">
      <c r="A41" s="55"/>
      <c r="B41" s="56"/>
      <c r="D41" s="2">
        <v>0</v>
      </c>
      <c r="E41" s="42">
        <f t="shared" si="2"/>
        <v>610.4</v>
      </c>
      <c r="F41" s="42">
        <f t="shared" si="3"/>
        <v>2815</v>
      </c>
      <c r="G41" s="42">
        <f>E41*'Data Summary'!$B$18</f>
        <v>3052</v>
      </c>
      <c r="H41" s="31">
        <f t="shared" si="4"/>
        <v>94.766666666666666</v>
      </c>
      <c r="I41" s="32">
        <f t="shared" si="5"/>
        <v>1.260731709938496</v>
      </c>
      <c r="J41" s="33">
        <f t="shared" si="6"/>
        <v>-3.8826328882500019E-11</v>
      </c>
      <c r="K41" s="33">
        <f t="shared" si="7"/>
        <v>2.8565386598281803E-13</v>
      </c>
      <c r="L41" s="32">
        <f t="shared" si="9"/>
        <v>524.2951526337265</v>
      </c>
      <c r="M41" s="33">
        <f t="shared" si="8"/>
        <v>6.1353808321716841</v>
      </c>
      <c r="N41" s="3"/>
    </row>
    <row r="42" spans="1:14">
      <c r="A42" s="9" t="s">
        <v>54</v>
      </c>
      <c r="B42" s="11" t="s">
        <v>101</v>
      </c>
      <c r="D42" s="2">
        <v>0</v>
      </c>
      <c r="E42" s="42">
        <f t="shared" si="2"/>
        <v>600.4</v>
      </c>
      <c r="F42" s="42">
        <f t="shared" si="3"/>
        <v>2769</v>
      </c>
      <c r="G42" s="42">
        <f>E42*'Data Summary'!$B$18</f>
        <v>3002</v>
      </c>
      <c r="H42" s="31">
        <f t="shared" si="4"/>
        <v>10.6</v>
      </c>
      <c r="I42" s="32">
        <f t="shared" si="5"/>
        <v>0.43397388554305122</v>
      </c>
      <c r="J42" s="33">
        <f t="shared" si="6"/>
        <v>-2.7876013131500005E-11</v>
      </c>
      <c r="K42" s="33">
        <f t="shared" si="7"/>
        <v>2.0640992898540797E-13</v>
      </c>
      <c r="L42" s="32">
        <f t="shared" si="9"/>
        <v>376.42648636263459</v>
      </c>
      <c r="M42" s="33">
        <f t="shared" si="8"/>
        <v>4.4162273104578125</v>
      </c>
      <c r="N42" s="3"/>
    </row>
    <row r="43" spans="1:14">
      <c r="A43" s="9" t="s">
        <v>22</v>
      </c>
      <c r="B43" s="11">
        <v>60</v>
      </c>
      <c r="D43" s="2">
        <v>0</v>
      </c>
      <c r="E43" s="42">
        <f t="shared" si="2"/>
        <v>590.1</v>
      </c>
      <c r="F43" s="42">
        <f t="shared" si="3"/>
        <v>2721.8</v>
      </c>
      <c r="G43" s="42">
        <f>E43*'Data Summary'!$B$18</f>
        <v>2950.5</v>
      </c>
      <c r="H43" s="31">
        <f t="shared" si="4"/>
        <v>0.18333333333333332</v>
      </c>
      <c r="I43" s="32">
        <f t="shared" si="5"/>
        <v>7.9930525388545323E-2</v>
      </c>
      <c r="J43" s="33">
        <f t="shared" si="6"/>
        <v>-1.9869048559500014E-11</v>
      </c>
      <c r="K43" s="33">
        <f t="shared" si="7"/>
        <v>1.7071088480353829E-13</v>
      </c>
      <c r="L43" s="32">
        <f t="shared" si="9"/>
        <v>268.30365236733189</v>
      </c>
      <c r="M43" s="33">
        <f t="shared" si="8"/>
        <v>3.3578784185397286</v>
      </c>
      <c r="N43" s="3"/>
    </row>
    <row r="44" spans="1:14">
      <c r="A44" s="9" t="s">
        <v>28</v>
      </c>
      <c r="B44" s="11">
        <v>40</v>
      </c>
      <c r="D44" s="2">
        <v>0</v>
      </c>
      <c r="E44" s="42">
        <f t="shared" si="2"/>
        <v>580</v>
      </c>
      <c r="F44" s="42">
        <f t="shared" si="3"/>
        <v>2679.8</v>
      </c>
      <c r="G44" s="42">
        <f>E44*'Data Summary'!$B$18</f>
        <v>2900</v>
      </c>
      <c r="H44" s="31">
        <f t="shared" si="4"/>
        <v>3.3333333333333333E-2</v>
      </c>
      <c r="I44" s="32">
        <f t="shared" si="5"/>
        <v>6.6666666666666666E-2</v>
      </c>
      <c r="J44" s="33">
        <f t="shared" si="6"/>
        <v>-1.4342731141000007E-11</v>
      </c>
      <c r="K44" s="33">
        <f t="shared" si="7"/>
        <v>1.3915688198083109E-13</v>
      </c>
      <c r="L44" s="32">
        <f t="shared" si="9"/>
        <v>193.67848130870985</v>
      </c>
      <c r="M44" s="33">
        <f t="shared" si="8"/>
        <v>2.5763275063395992</v>
      </c>
      <c r="N44" s="3"/>
    </row>
    <row r="45" spans="1:14">
      <c r="A45" s="9" t="s">
        <v>29</v>
      </c>
      <c r="B45" s="11">
        <v>5</v>
      </c>
      <c r="D45" s="2">
        <v>0</v>
      </c>
      <c r="E45" s="42">
        <f t="shared" si="2"/>
        <v>0</v>
      </c>
      <c r="F45" s="42">
        <f t="shared" si="3"/>
        <v>0</v>
      </c>
      <c r="G45" s="42">
        <f>E45*'Data Summary'!$B$18</f>
        <v>0</v>
      </c>
      <c r="H45" s="31">
        <f t="shared" si="4"/>
        <v>0</v>
      </c>
      <c r="I45" s="32">
        <f t="shared" si="5"/>
        <v>0</v>
      </c>
      <c r="J45" s="33">
        <f t="shared" si="6"/>
        <v>0</v>
      </c>
      <c r="K45" s="33">
        <f t="shared" si="7"/>
        <v>0</v>
      </c>
      <c r="L45" s="32">
        <f t="shared" si="9"/>
        <v>0</v>
      </c>
      <c r="M45" s="33">
        <f t="shared" si="8"/>
        <v>0</v>
      </c>
      <c r="N45" s="3"/>
    </row>
    <row r="46" spans="1:14">
      <c r="A46" s="9" t="s">
        <v>44</v>
      </c>
      <c r="B46" s="11" t="s">
        <v>75</v>
      </c>
      <c r="N46" s="3"/>
    </row>
    <row r="47" spans="1:14">
      <c r="A47" s="9" t="s">
        <v>66</v>
      </c>
      <c r="B47" s="11" t="s">
        <v>102</v>
      </c>
      <c r="E47" s="60" t="s">
        <v>71</v>
      </c>
      <c r="F47" s="60"/>
      <c r="H47" s="65" t="s">
        <v>81</v>
      </c>
      <c r="I47" s="65"/>
      <c r="L47" s="8" t="s">
        <v>87</v>
      </c>
      <c r="N47" s="3"/>
    </row>
    <row r="48" spans="1:14">
      <c r="A48" s="9" t="s">
        <v>67</v>
      </c>
      <c r="B48" s="11" t="s">
        <v>75</v>
      </c>
      <c r="E48" s="8" t="s">
        <v>77</v>
      </c>
      <c r="F48" s="30">
        <f>AVERAGE(J6:J21)+273.15</f>
        <v>294.69285714285712</v>
      </c>
      <c r="H48" s="34" t="s">
        <v>82</v>
      </c>
      <c r="I48" s="34">
        <v>964.4</v>
      </c>
      <c r="L48" s="35" t="str">
        <f>CONCATENATE(E30,",",L30,",",D30,",",M30)</f>
        <v>720.25,22688.9064523937,0,250.82282883816</v>
      </c>
      <c r="N48" s="3"/>
    </row>
    <row r="49" spans="1:14">
      <c r="A49" s="9" t="s">
        <v>66</v>
      </c>
      <c r="B49" s="11" t="s">
        <v>75</v>
      </c>
      <c r="E49" s="8" t="s">
        <v>85</v>
      </c>
      <c r="F49" s="30">
        <f>_xlfn.STDEV.P(J6:J21)</f>
        <v>0.54734983030480067</v>
      </c>
      <c r="H49" s="34" t="s">
        <v>83</v>
      </c>
      <c r="I49" s="34">
        <f>297.1</f>
        <v>297.10000000000002</v>
      </c>
      <c r="L49" s="35" t="str">
        <f t="shared" ref="L49:L63" si="10">CONCATENATE(E31,",",L31,",",M31)</f>
        <v>710.45,15991.7694525805,185.011886099456</v>
      </c>
      <c r="N49" s="3"/>
    </row>
    <row r="50" spans="1:14">
      <c r="A50" s="9" t="s">
        <v>67</v>
      </c>
      <c r="B50" s="11" t="s">
        <v>75</v>
      </c>
      <c r="E50" s="8" t="s">
        <v>72</v>
      </c>
      <c r="F50" s="30">
        <f>AVERAGE(I6:I21)</f>
        <v>1012.2714285714286</v>
      </c>
      <c r="L50" s="35" t="str">
        <f t="shared" si="10"/>
        <v>700.55,11493.0588068833,129.49756153992</v>
      </c>
    </row>
    <row r="51" spans="1:14">
      <c r="A51"/>
      <c r="B51"/>
      <c r="E51" s="8" t="s">
        <v>86</v>
      </c>
      <c r="F51" s="30">
        <f>_xlfn.STDEV.P(I6:I21)</f>
        <v>0.26029810226127587</v>
      </c>
      <c r="H51"/>
      <c r="I51"/>
      <c r="L51" s="35" t="str">
        <f t="shared" si="10"/>
        <v>690.75,8046.5611268006,93.8369268261689</v>
      </c>
    </row>
    <row r="52" spans="1:14">
      <c r="E52" s="8" t="s">
        <v>73</v>
      </c>
      <c r="F52" s="30" t="e">
        <f>EXP(INDEX(LINEST(LN(L30:L45),E30:E45),1,2))</f>
        <v>#VALUE!</v>
      </c>
      <c r="L52" s="35" t="str">
        <f t="shared" si="10"/>
        <v>680.45,5640.65684386568,62.4754363260035</v>
      </c>
    </row>
    <row r="53" spans="1:14">
      <c r="E53" s="8" t="s">
        <v>74</v>
      </c>
      <c r="F53" s="30" t="e">
        <f>INDEX(LINEST(LN(L30:L45),E30:E45),1)</f>
        <v>#VALUE!</v>
      </c>
      <c r="L53" s="35" t="str">
        <f t="shared" si="10"/>
        <v>670.45,4017.12454169168,45.5035153157579</v>
      </c>
      <c r="N53" s="3"/>
    </row>
    <row r="54" spans="1:14">
      <c r="L54" s="35" t="str">
        <f t="shared" si="10"/>
        <v>660.45,2843.60116291812,32.32310076791</v>
      </c>
      <c r="N54" s="3"/>
    </row>
    <row r="55" spans="1:14">
      <c r="L55" s="35" t="str">
        <f t="shared" si="10"/>
        <v>650.4,1992.23570727028,22.6936952503137</v>
      </c>
      <c r="N55" s="3"/>
    </row>
    <row r="56" spans="1:14">
      <c r="L56" s="35" t="str">
        <f t="shared" si="10"/>
        <v>640.4,1430.48204153599,15.8129076072022</v>
      </c>
      <c r="N56" s="3"/>
    </row>
    <row r="57" spans="1:14">
      <c r="L57" s="35" t="str">
        <f t="shared" si="10"/>
        <v>630.25,1023.72036474334,12.9950766599358</v>
      </c>
      <c r="N57" s="3"/>
    </row>
    <row r="58" spans="1:14">
      <c r="L58" s="35" t="str">
        <f t="shared" si="10"/>
        <v>620.15,712.523742786287,8.05938759911419</v>
      </c>
      <c r="N58" s="3"/>
    </row>
    <row r="59" spans="1:14">
      <c r="L59" s="35" t="str">
        <f t="shared" si="10"/>
        <v>610.4,524.295152633727,6.13538083217168</v>
      </c>
      <c r="N59" s="3"/>
    </row>
    <row r="60" spans="1:14">
      <c r="L60" s="35" t="str">
        <f t="shared" si="10"/>
        <v>600.4,376.426486362635,4.41622731045781</v>
      </c>
    </row>
    <row r="61" spans="1:14">
      <c r="L61" s="35" t="str">
        <f t="shared" si="10"/>
        <v>590.1,268.303652367332,3.35787841853973</v>
      </c>
    </row>
    <row r="62" spans="1:14">
      <c r="L62" s="35" t="str">
        <f t="shared" si="10"/>
        <v>580,193.67848130871,2.5763275063396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E6:E21"/>
    <mergeCell ref="A1:R1"/>
    <mergeCell ref="F2:J2"/>
    <mergeCell ref="K2:N2"/>
    <mergeCell ref="O2:R2"/>
    <mergeCell ref="A3:B4"/>
    <mergeCell ref="A12:B13"/>
    <mergeCell ref="E47:F47"/>
    <mergeCell ref="E26:M27"/>
    <mergeCell ref="J23:M23"/>
    <mergeCell ref="J25:M25"/>
    <mergeCell ref="H47:I47"/>
    <mergeCell ref="J24:K24"/>
    <mergeCell ref="A25:B26"/>
    <mergeCell ref="A33:B34"/>
    <mergeCell ref="A39:B41"/>
    <mergeCell ref="L24:M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14</v>
      </c>
      <c r="B8" s="28"/>
      <c r="C8" s="28" t="s">
        <v>14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8" t="s">
        <v>13</v>
      </c>
      <c r="B4" s="78"/>
      <c r="C4" s="78" t="s">
        <v>15</v>
      </c>
      <c r="D4" s="78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8" t="s">
        <v>14</v>
      </c>
      <c r="B8" s="78"/>
      <c r="C8" s="78" t="s">
        <v>14</v>
      </c>
      <c r="D8" s="7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7" t="s">
        <v>13</v>
      </c>
      <c r="B4" s="77"/>
      <c r="C4" s="77" t="s">
        <v>15</v>
      </c>
      <c r="D4" s="77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77" t="s">
        <v>14</v>
      </c>
      <c r="B8" s="77"/>
      <c r="C8" s="77" t="s">
        <v>14</v>
      </c>
      <c r="D8" s="77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2018-07-14T10:31:14Z</dcterms:modified>
</cp:coreProperties>
</file>