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A407E757-D013-AD41-BA59-8513A41BA603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F51" i="1"/>
  <c r="F49" i="1"/>
  <c r="F48" i="1"/>
  <c r="I49" i="1"/>
  <c r="C7" i="25"/>
  <c r="A7" i="25"/>
  <c r="B7" i="25"/>
  <c r="H31" i="1"/>
  <c r="F50" i="1"/>
  <c r="D7" i="25"/>
  <c r="D7" i="35"/>
  <c r="C7" i="35"/>
  <c r="J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A7" i="26"/>
  <c r="C7" i="39"/>
  <c r="J34" i="1" s="1"/>
  <c r="L34" i="1" s="1"/>
  <c r="A7" i="39"/>
  <c r="C7" i="28"/>
  <c r="J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5" i="1" l="1"/>
  <c r="L32" i="1"/>
  <c r="L50" i="1" s="1"/>
  <c r="L43" i="1"/>
  <c r="L42" i="1"/>
  <c r="L60" i="1" s="1"/>
  <c r="M42" i="1"/>
  <c r="J39" i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52" i="1"/>
  <c r="J37" i="1"/>
  <c r="L37" i="1" s="1"/>
  <c r="M30" i="1"/>
  <c r="L48" i="1" s="1"/>
  <c r="F52" i="1"/>
  <c r="M43" i="1"/>
  <c r="M41" i="1"/>
  <c r="M39" i="1"/>
  <c r="M35" i="1"/>
  <c r="M33" i="1"/>
  <c r="L49" i="1" l="1"/>
  <c r="F53" i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<sst xmlns="http://schemas.openxmlformats.org/spreadsheetml/2006/main" count="456" uniqueCount="110">
  <si>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</si>
  <si>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</si>
  <si>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</si>
  <si>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</si>
  <si>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</si>
  <si>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</si>
  <si>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</si>
  <si>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</si>
  <si>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</si>
  <si>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</si>
  <si>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</si>
  <si>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</si>
  <si>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</si>
  <si>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</si>
  <si>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</si>
  <si>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</si>
  <si>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</si>
  <si>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</si>
  <si>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</si>
  <si>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</si>
  <si>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</si>
  <si>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</si>
  <si>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</si>
  <si>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</si>
  <si>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</si>
  <si>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</si>
  <si>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</si>
  <si>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</si>
  <si>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</si>
  <si>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</si>
  <si>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</si>
  <si>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</si>
  <si>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</si>
  <si>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</si>
  <si>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</si>
  <si>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</si>
  <si>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</si>
  <si>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</si>
  <si>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</si>
  <si>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</si>
  <si>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</si>
  <si>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</si>
  <si>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</si>
  <si>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</si>
  <si>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</si>
  <si>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</si>
  <si>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</si>
  <si>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</si>
  <si>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</si>
  <si>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</si>
  <si>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</si>
  <si>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</si>
  <si>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</si>
  <si>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</si>
  <si>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</si>
  <si>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</si>
  <si>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</si>
  <si>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</si>
  <si>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</si>
  <si>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</si>
  <si>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</si>
  <si>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</si>
  <si>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</si>
  <si>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</si>
  <si>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</si>
  <si>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</si>
  <si>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</si>
  <si>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</si>
  <si>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</si>
  <si>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</si>
  <si>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</si>
  <si>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</si>
  <si>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</si>
  <si>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</si>
  <si>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</si>
  <si>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</si>
  <si>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</si>
  <si>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</si>
  <si>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</si>
  <si>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</si>
  <si>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</si>
  <si>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</si>
  <si>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</si>
  <si>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</si>
  <si>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</si>
  <si>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</si>
  <si>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</si>
  <si>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</si>
  <si>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</si>
  <si>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</si>
  <si>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</si>
  <si>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</si>
  <si>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</si>
  <si>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</si>
  <si>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</si>
  <si>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</si>
  <si>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</si>
  <si>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</si>
  <si>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</si>
  <si>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</si>
  <si>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</si>
  <si>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</si>
  <si>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</si>
  <si>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</si>
  <si>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</si>
  <si>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</si>
  <si>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</si>
  <si>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Francesco Dhanush</t>
  </si>
  <si>
    <t>GE1/1-X-S-CERN-0004</t>
  </si>
  <si>
    <t>6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</si>
</sst>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1547.331563767259</c:v>
                  </c:pt>
                  <c:pt idx="1">
                    <c:v>1201.0537529353071</c:v>
                  </c:pt>
                  <c:pt idx="2">
                    <c:v>876.86104144209878</c:v>
                  </c:pt>
                  <c:pt idx="3">
                    <c:v>587.27626886796895</c:v>
                  </c:pt>
                  <c:pt idx="4">
                    <c:v>384.2676575736196</c:v>
                  </c:pt>
                  <c:pt idx="5">
                    <c:v>276.24251589174088</c:v>
                  </c:pt>
                  <c:pt idx="6">
                    <c:v>212.54399188158609</c:v>
                  </c:pt>
                  <c:pt idx="7">
                    <c:v>122.9728408562808</c:v>
                  </c:pt>
                  <c:pt idx="8">
                    <c:v>92.439924840106514</c:v>
                  </c:pt>
                  <c:pt idx="9">
                    <c:v>66.265677542013378</c:v>
                  </c:pt>
                  <c:pt idx="10">
                    <c:v>53.250992987051248</c:v>
                  </c:pt>
                  <c:pt idx="11">
                    <c:v>35.080232032339602</c:v>
                  </c:pt>
                  <c:pt idx="12">
                    <c:v>33.929452310581077</c:v>
                  </c:pt>
                  <c:pt idx="13">
                    <c:v>32.678416352535642</c:v>
                  </c:pt>
                  <c:pt idx="14">
                    <c:v>24.412103410308127</c:v>
                  </c:pt>
                  <c:pt idx="15">
                    <c:v>20.770305900645461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1547.331563767259</c:v>
                  </c:pt>
                  <c:pt idx="1">
                    <c:v>1201.0537529353071</c:v>
                  </c:pt>
                  <c:pt idx="2">
                    <c:v>876.86104144209878</c:v>
                  </c:pt>
                  <c:pt idx="3">
                    <c:v>587.27626886796895</c:v>
                  </c:pt>
                  <c:pt idx="4">
                    <c:v>384.2676575736196</c:v>
                  </c:pt>
                  <c:pt idx="5">
                    <c:v>276.24251589174088</c:v>
                  </c:pt>
                  <c:pt idx="6">
                    <c:v>212.54399188158609</c:v>
                  </c:pt>
                  <c:pt idx="7">
                    <c:v>122.9728408562808</c:v>
                  </c:pt>
                  <c:pt idx="8">
                    <c:v>92.439924840106514</c:v>
                  </c:pt>
                  <c:pt idx="9">
                    <c:v>66.265677542013378</c:v>
                  </c:pt>
                  <c:pt idx="10">
                    <c:v>53.250992987051248</c:v>
                  </c:pt>
                  <c:pt idx="11">
                    <c:v>35.080232032339602</c:v>
                  </c:pt>
                  <c:pt idx="12">
                    <c:v>33.929452310581077</c:v>
                  </c:pt>
                  <c:pt idx="13">
                    <c:v>32.678416352535642</c:v>
                  </c:pt>
                  <c:pt idx="14">
                    <c:v>24.412103410308127</c:v>
                  </c:pt>
                  <c:pt idx="15">
                    <c:v>20.770305900645461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27910.665505802237</c:v>
                </c:pt>
                <c:pt idx="1">
                  <c:v>19773.86041949748</c:v>
                </c:pt>
                <c:pt idx="2">
                  <c:v>13641.98239478042</c:v>
                </c:pt>
                <c:pt idx="3">
                  <c:v>9432.362892281426</c:v>
                </c:pt>
                <c:pt idx="4">
                  <c:v>6522.6851721467838</c:v>
                </c:pt>
                <c:pt idx="5">
                  <c:v>4544.1678813664894</c:v>
                </c:pt>
                <c:pt idx="6">
                  <c:v>3162.9121120368641</c:v>
                </c:pt>
                <c:pt idx="7">
                  <c:v>2206.786651024478</c:v>
                </c:pt>
                <c:pt idx="8">
                  <c:v>1560.0149646284833</c:v>
                </c:pt>
                <c:pt idx="9">
                  <c:v>1102.2464639232667</c:v>
                </c:pt>
                <c:pt idx="10">
                  <c:v>777.38807876083615</c:v>
                </c:pt>
                <c:pt idx="11">
                  <c:v>551.60183110032267</c:v>
                </c:pt>
                <c:pt idx="12">
                  <c:v>398.6550990127655</c:v>
                </c:pt>
                <c:pt idx="13">
                  <c:v>287.89089101330779</c:v>
                </c:pt>
                <c:pt idx="14">
                  <c:v>206.88540007137522</c:v>
                </c:pt>
                <c:pt idx="15">
                  <c:v>151.47954547294808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7.3714916325591036</c:v>
                  </c:pt>
                  <c:pt idx="1">
                    <c:v>7.3587438541582024</c:v>
                  </c:pt>
                  <c:pt idx="2">
                    <c:v>7.2903474997195197</c:v>
                  </c:pt>
                  <c:pt idx="3">
                    <c:v>7.2025844127106353</c:v>
                  </c:pt>
                  <c:pt idx="4">
                    <c:v>7.0267741927256742</c:v>
                  </c:pt>
                  <c:pt idx="5">
                    <c:v>6.7365297693495974</c:v>
                  </c:pt>
                  <c:pt idx="6">
                    <c:v>5.9941174867068163</c:v>
                  </c:pt>
                  <c:pt idx="7">
                    <c:v>4.6557908983210252</c:v>
                  </c:pt>
                  <c:pt idx="8">
                    <c:v>3.8284751823960179</c:v>
                  </c:pt>
                  <c:pt idx="9">
                    <c:v>2.4753787588973126</c:v>
                  </c:pt>
                  <c:pt idx="10">
                    <c:v>0.94516312525052171</c:v>
                  </c:pt>
                  <c:pt idx="11">
                    <c:v>0.17716909687891083</c:v>
                  </c:pt>
                  <c:pt idx="12">
                    <c:v>8.819171036881969E-2</c:v>
                  </c:pt>
                  <c:pt idx="13">
                    <c:v>9.8601329718326941E-2</c:v>
                  </c:pt>
                  <c:pt idx="14">
                    <c:v>8.9752746785575058E-2</c:v>
                  </c:pt>
                  <c:pt idx="15">
                    <c:v>8.819171036881969E-2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7.3714916325591036</c:v>
                  </c:pt>
                  <c:pt idx="1">
                    <c:v>7.3587438541582024</c:v>
                  </c:pt>
                  <c:pt idx="2">
                    <c:v>7.2903474997195197</c:v>
                  </c:pt>
                  <c:pt idx="3">
                    <c:v>7.2025844127106353</c:v>
                  </c:pt>
                  <c:pt idx="4">
                    <c:v>7.0267741927256742</c:v>
                  </c:pt>
                  <c:pt idx="5">
                    <c:v>6.7365297693495974</c:v>
                  </c:pt>
                  <c:pt idx="6">
                    <c:v>5.9941174867068163</c:v>
                  </c:pt>
                  <c:pt idx="7">
                    <c:v>4.6557908983210252</c:v>
                  </c:pt>
                  <c:pt idx="8">
                    <c:v>3.8284751823960179</c:v>
                  </c:pt>
                  <c:pt idx="9">
                    <c:v>2.4753787588973126</c:v>
                  </c:pt>
                  <c:pt idx="10">
                    <c:v>0.94516312525052171</c:v>
                  </c:pt>
                  <c:pt idx="11">
                    <c:v>0.17716909687891083</c:v>
                  </c:pt>
                  <c:pt idx="12">
                    <c:v>8.819171036881969E-2</c:v>
                  </c:pt>
                  <c:pt idx="13">
                    <c:v>9.8601329718326941E-2</c:v>
                  </c:pt>
                  <c:pt idx="14">
                    <c:v>8.9752746785575058E-2</c:v>
                  </c:pt>
                  <c:pt idx="15">
                    <c:v>8.819171036881969E-2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3254</c:v>
                </c:pt>
                <c:pt idx="1">
                  <c:v>3244.1666666666665</c:v>
                </c:pt>
                <c:pt idx="2">
                  <c:v>3185.3166666666666</c:v>
                </c:pt>
                <c:pt idx="3">
                  <c:v>3109.3</c:v>
                </c:pt>
                <c:pt idx="4">
                  <c:v>2960.0333333333333</c:v>
                </c:pt>
                <c:pt idx="5">
                  <c:v>2721.25</c:v>
                </c:pt>
                <c:pt idx="6">
                  <c:v>2153.9333333333334</c:v>
                </c:pt>
                <c:pt idx="7">
                  <c:v>1298.75</c:v>
                </c:pt>
                <c:pt idx="8">
                  <c:v>877.7</c:v>
                </c:pt>
                <c:pt idx="9">
                  <c:v>366.55</c:v>
                </c:pt>
                <c:pt idx="10">
                  <c:v>52.93333333333333</c:v>
                </c:pt>
                <c:pt idx="11">
                  <c:v>1.45</c:v>
                </c:pt>
                <c:pt idx="12">
                  <c:v>0.13333333333333333</c:v>
                </c:pt>
                <c:pt idx="13">
                  <c:v>0.21666666666666667</c:v>
                </c:pt>
                <c:pt idx="14">
                  <c:v>0.28333333333333333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04_QC5_201707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5.0801775604761884E-12</v>
          </cell>
          <cell r="B7">
            <v>2.3729293644659915E-12</v>
          </cell>
          <cell r="C7">
            <v>-2.2241675570881213E-11</v>
          </cell>
          <cell r="D7">
            <v>2.8891993105277824E-12</v>
          </cell>
        </row>
      </sheetData>
      <sheetData sheetId="2">
        <row r="7">
          <cell r="A7">
            <v>5.529167554976301E-12</v>
          </cell>
          <cell r="B7">
            <v>2.6014516889652165E-12</v>
          </cell>
          <cell r="C7">
            <v>-3.1786052121212123E-11</v>
          </cell>
          <cell r="D7">
            <v>3.5376583540251238E-12</v>
          </cell>
        </row>
      </sheetData>
      <sheetData sheetId="3">
        <row r="7">
          <cell r="A7">
            <v>5.3738526386554587E-12</v>
          </cell>
          <cell r="B7">
            <v>3.2093429702333158E-12</v>
          </cell>
          <cell r="C7">
            <v>-4.6552053380952389E-11</v>
          </cell>
          <cell r="D7">
            <v>4.9231318559436507E-12</v>
          </cell>
        </row>
      </sheetData>
      <sheetData sheetId="4">
        <row r="7">
          <cell r="A7">
            <v>5.1795505827751189E-12</v>
          </cell>
          <cell r="B7">
            <v>3.7171850962952695E-12</v>
          </cell>
          <cell r="C7">
            <v>-6.6724520896226414E-11</v>
          </cell>
          <cell r="D7">
            <v>4.8212054655703216E-12</v>
          </cell>
        </row>
      </sheetData>
      <sheetData sheetId="5">
        <row r="7">
          <cell r="A7">
            <v>4.6911118450424942E-12</v>
          </cell>
          <cell r="B7">
            <v>2.4838488238447081E-12</v>
          </cell>
          <cell r="C7">
            <v>-9.4799444251207721E-11</v>
          </cell>
          <cell r="D7">
            <v>5.7549197817276879E-12</v>
          </cell>
        </row>
      </sheetData>
      <sheetData sheetId="6">
        <row r="7">
          <cell r="A7">
            <v>4.9559413274336263E-12</v>
          </cell>
          <cell r="B7">
            <v>2.5010020038494287E-12</v>
          </cell>
          <cell r="C7">
            <v>-1.3525891637931031E-10</v>
          </cell>
          <cell r="D7">
            <v>9.1931095814771283E-12</v>
          </cell>
        </row>
      </sheetData>
      <sheetData sheetId="7">
        <row r="7">
          <cell r="A7">
            <v>4.3517344965217397E-12</v>
          </cell>
          <cell r="B7">
            <v>2.8243342644033644E-12</v>
          </cell>
          <cell r="C7">
            <v>-1.944567310810811E-10</v>
          </cell>
          <cell r="D7">
            <v>1.1484632203826748E-11</v>
          </cell>
        </row>
      </sheetData>
      <sheetData sheetId="8">
        <row r="7">
          <cell r="A7">
            <v>4.9102379172727274E-12</v>
          </cell>
          <cell r="B7">
            <v>2.4740643367498875E-12</v>
          </cell>
          <cell r="C7">
            <v>-2.7646438341013848E-10</v>
          </cell>
          <cell r="D7">
            <v>1.630651431014161E-11</v>
          </cell>
        </row>
      </sheetData>
      <sheetData sheetId="9">
        <row r="7">
          <cell r="A7">
            <v>4.8906790867924554E-12</v>
          </cell>
          <cell r="B7">
            <v>2.9016456953929588E-12</v>
          </cell>
          <cell r="C7">
            <v>-3.9313996315789488E-10</v>
          </cell>
          <cell r="D7">
            <v>2.1716329122347697E-11</v>
          </cell>
        </row>
      </sheetData>
      <sheetData sheetId="10">
        <row r="7">
          <cell r="A7">
            <v>3.9779064076411951E-12</v>
          </cell>
          <cell r="B7">
            <v>1.2811122314744411E-11</v>
          </cell>
          <cell r="C7">
            <v>-5.6650585047619057E-10</v>
          </cell>
          <cell r="D7">
            <v>3.5790764230370881E-11</v>
          </cell>
        </row>
      </sheetData>
      <sheetData sheetId="11">
        <row r="7">
          <cell r="A7">
            <v>4.2880753948356822E-12</v>
          </cell>
          <cell r="B7">
            <v>3.2467864547402907E-12</v>
          </cell>
          <cell r="C7">
            <v>-8.1532811153846182E-10</v>
          </cell>
          <cell r="D7">
            <v>4.9207141478150171E-11</v>
          </cell>
        </row>
      </sheetData>
      <sheetData sheetId="12">
        <row r="7">
          <cell r="A7">
            <v>5.4612787109004742E-12</v>
          </cell>
          <cell r="B7">
            <v>3.3475827987391649E-12</v>
          </cell>
          <cell r="C7">
            <v>-1.1710133782407405E-9</v>
          </cell>
          <cell r="D7">
            <v>6.8470462212432369E-11</v>
          </cell>
        </row>
      </sheetData>
      <sheetData sheetId="13">
        <row r="7">
          <cell r="A7">
            <v>3.1263880500000005E-12</v>
          </cell>
          <cell r="B7">
            <v>3.8663902063432787E-12</v>
          </cell>
          <cell r="C7">
            <v>-1.6981569952606634E-9</v>
          </cell>
          <cell r="D7">
            <v>1.0481880712437141E-10</v>
          </cell>
        </row>
      </sheetData>
      <sheetData sheetId="14">
        <row r="7">
          <cell r="A7">
            <v>4.282630039325844E-12</v>
          </cell>
          <cell r="B7">
            <v>4.3826042325367127E-12</v>
          </cell>
          <cell r="C7">
            <v>-2.4562755809523805E-9</v>
          </cell>
          <cell r="D7">
            <v>1.5664569239588812E-10</v>
          </cell>
        </row>
      </sheetData>
      <sheetData sheetId="15">
        <row r="7">
          <cell r="A7">
            <v>3.4813192942583741E-12</v>
          </cell>
          <cell r="B7">
            <v>1.0860042285723693E-11</v>
          </cell>
          <cell r="C7">
            <v>-3.5630629856459307E-9</v>
          </cell>
          <cell r="D7">
            <v>2.141302106424355E-10</v>
          </cell>
        </row>
      </sheetData>
      <sheetData sheetId="16">
        <row r="7">
          <cell r="A7">
            <v>2.5215847995260673E-12</v>
          </cell>
          <cell r="B7">
            <v>9.0854045529740013E-12</v>
          </cell>
          <cell r="C7">
            <v>-5.0316307251184838E-9</v>
          </cell>
          <cell r="D7">
            <v>2.7549340696152236E-10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7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107</v>
      </c>
      <c r="C2" s="35" t="s">
        <v>95</v>
      </c>
      <c r="D2" s="36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>
      <c r="A4" s="57"/>
      <c r="B4" s="58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>
      <c r="A5" s="10" t="s">
        <v>56</v>
      </c>
      <c r="B5" s="11" t="s">
        <v>96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43">
        <v>3699.6</v>
      </c>
      <c r="G6" s="13">
        <v>700</v>
      </c>
      <c r="H6" s="14">
        <v>0.67013888888888884</v>
      </c>
      <c r="I6" s="15">
        <v>971</v>
      </c>
      <c r="J6" s="16">
        <v>22.5</v>
      </c>
      <c r="K6" s="17">
        <v>190</v>
      </c>
      <c r="L6" s="12">
        <f>SQRT(K6)</f>
        <v>13.784048752090222</v>
      </c>
      <c r="M6" s="13">
        <v>195430</v>
      </c>
      <c r="N6" s="22">
        <f>SQRT(M6)</f>
        <v>442.07465432888142</v>
      </c>
      <c r="O6" s="39">
        <f>'[1]700uA'!A7</f>
        <v>2.5215847995260673E-12</v>
      </c>
      <c r="P6" s="12">
        <f>'[1]700uA'!B7</f>
        <v>9.0854045529740013E-12</v>
      </c>
      <c r="Q6" s="40">
        <f>'[1]700uA'!C7</f>
        <v>-5.0316307251184838E-9</v>
      </c>
      <c r="R6" s="40">
        <f>'[1]700uA'!D7</f>
        <v>2.7549340696152236E-10</v>
      </c>
    </row>
    <row r="7" spans="1:18">
      <c r="A7" s="9" t="s">
        <v>3</v>
      </c>
      <c r="B7" s="11">
        <v>4</v>
      </c>
      <c r="C7"/>
      <c r="D7"/>
      <c r="E7" s="45"/>
      <c r="F7" s="43">
        <v>3650</v>
      </c>
      <c r="G7" s="13">
        <v>690</v>
      </c>
      <c r="H7" s="14"/>
      <c r="I7" s="15">
        <v>971</v>
      </c>
      <c r="J7" s="16">
        <v>22.5</v>
      </c>
      <c r="K7" s="17">
        <v>147</v>
      </c>
      <c r="L7" s="12">
        <f t="shared" ref="L7:L21" si="0">SQRT(K7)</f>
        <v>12.124355652982141</v>
      </c>
      <c r="M7" s="17">
        <v>194797</v>
      </c>
      <c r="N7" s="22">
        <f t="shared" ref="N7:N21" si="1">SQRT(M7)</f>
        <v>441.35813122678502</v>
      </c>
      <c r="O7" s="39">
        <f>'[1]690uA'!A7</f>
        <v>3.4813192942583741E-12</v>
      </c>
      <c r="P7" s="40">
        <f>'[1]690uA'!B7</f>
        <v>1.0860042285723693E-11</v>
      </c>
      <c r="Q7" s="40">
        <f>'[1]690uA'!C7</f>
        <v>-3.5630629856459307E-9</v>
      </c>
      <c r="R7" s="40">
        <f>'[1]690uA'!D7</f>
        <v>2.141302106424355E-10</v>
      </c>
    </row>
    <row r="8" spans="1:18">
      <c r="A8" s="9" t="s">
        <v>28</v>
      </c>
      <c r="B8" s="11">
        <v>100</v>
      </c>
      <c r="C8"/>
      <c r="D8"/>
      <c r="E8" s="45"/>
      <c r="F8" s="43">
        <v>3598</v>
      </c>
      <c r="G8" s="13">
        <v>680</v>
      </c>
      <c r="H8" s="14"/>
      <c r="I8" s="15">
        <v>971</v>
      </c>
      <c r="J8" s="16">
        <v>22.5</v>
      </c>
      <c r="K8" s="17">
        <v>109</v>
      </c>
      <c r="L8" s="12">
        <f t="shared" si="0"/>
        <v>10.440306508910551</v>
      </c>
      <c r="M8" s="13">
        <v>191228</v>
      </c>
      <c r="N8" s="22">
        <f t="shared" si="1"/>
        <v>437.29623826417713</v>
      </c>
      <c r="O8" s="39">
        <f>'[1]680uA'!A7</f>
        <v>4.282630039325844E-12</v>
      </c>
      <c r="P8" s="40">
        <f>'[1]680uA'!B7</f>
        <v>4.3826042325367127E-12</v>
      </c>
      <c r="Q8" s="40">
        <f>'[1]680uA'!C7</f>
        <v>-2.4562755809523805E-9</v>
      </c>
      <c r="R8" s="40">
        <f>'[1]680uA'!D7</f>
        <v>1.5664569239588812E-10</v>
      </c>
    </row>
    <row r="9" spans="1:18" ht="15" customHeight="1">
      <c r="A9" s="9" t="s">
        <v>29</v>
      </c>
      <c r="B9" s="11">
        <v>100</v>
      </c>
      <c r="C9" s="4"/>
      <c r="D9" s="6"/>
      <c r="E9" s="45"/>
      <c r="F9" s="43">
        <v>3545</v>
      </c>
      <c r="G9" s="13">
        <v>670</v>
      </c>
      <c r="H9" s="14"/>
      <c r="I9" s="15">
        <v>971</v>
      </c>
      <c r="J9" s="16">
        <v>22.5</v>
      </c>
      <c r="K9" s="17">
        <v>100</v>
      </c>
      <c r="L9" s="12">
        <f t="shared" si="0"/>
        <v>10</v>
      </c>
      <c r="M9" s="13">
        <v>186658</v>
      </c>
      <c r="N9" s="22">
        <f t="shared" si="1"/>
        <v>432.03935005969072</v>
      </c>
      <c r="O9" s="39">
        <f>'[1]670uA'!A7</f>
        <v>3.1263880500000005E-12</v>
      </c>
      <c r="P9" s="40">
        <f>'[1]670uA'!B7</f>
        <v>3.8663902063432787E-12</v>
      </c>
      <c r="Q9" s="40">
        <f>'[1]670uA'!C7</f>
        <v>-1.6981569952606634E-9</v>
      </c>
      <c r="R9" s="40">
        <f>'[1]670uA'!D7</f>
        <v>1.0481880712437141E-10</v>
      </c>
    </row>
    <row r="10" spans="1:18">
      <c r="A10" s="55" t="s">
        <v>23</v>
      </c>
      <c r="B10" s="56"/>
      <c r="C10" s="4"/>
      <c r="D10" s="6"/>
      <c r="E10" s="45"/>
      <c r="F10" s="43">
        <v>3492</v>
      </c>
      <c r="G10" s="13">
        <v>660</v>
      </c>
      <c r="H10" s="14"/>
      <c r="I10" s="15">
        <v>971</v>
      </c>
      <c r="J10" s="16">
        <v>22.5</v>
      </c>
      <c r="K10" s="17">
        <v>75</v>
      </c>
      <c r="L10" s="12">
        <f t="shared" si="0"/>
        <v>8.6602540378443873</v>
      </c>
      <c r="M10" s="13">
        <v>177677</v>
      </c>
      <c r="N10" s="22">
        <f t="shared" si="1"/>
        <v>421.51749667125324</v>
      </c>
      <c r="O10" s="39">
        <f>'[1]660uA'!A7</f>
        <v>5.4612787109004742E-12</v>
      </c>
      <c r="P10" s="40">
        <f>'[1]660uA'!B7</f>
        <v>3.3475827987391649E-12</v>
      </c>
      <c r="Q10" s="40">
        <f>'[1]660uA'!C7</f>
        <v>-1.1710133782407405E-9</v>
      </c>
      <c r="R10" s="40">
        <f>'[1]660uA'!D7</f>
        <v>6.8470462212432369E-11</v>
      </c>
    </row>
    <row r="11" spans="1:18">
      <c r="A11" s="57"/>
      <c r="B11" s="58"/>
      <c r="C11" s="4"/>
      <c r="D11" s="6"/>
      <c r="E11" s="45"/>
      <c r="F11" s="43">
        <v>3540</v>
      </c>
      <c r="G11" s="13">
        <v>650</v>
      </c>
      <c r="H11" s="14"/>
      <c r="I11" s="15">
        <v>971</v>
      </c>
      <c r="J11" s="16">
        <v>22.5</v>
      </c>
      <c r="K11" s="17">
        <v>48</v>
      </c>
      <c r="L11" s="12">
        <f t="shared" si="0"/>
        <v>6.9282032302755088</v>
      </c>
      <c r="M11" s="13">
        <v>163323</v>
      </c>
      <c r="N11" s="22">
        <f t="shared" si="1"/>
        <v>404.13240404600077</v>
      </c>
      <c r="O11" s="39">
        <f>'[1]650uA'!A7</f>
        <v>4.2880753948356822E-12</v>
      </c>
      <c r="P11" s="40">
        <f>'[1]650uA'!B7</f>
        <v>3.2467864547402907E-12</v>
      </c>
      <c r="Q11" s="40">
        <f>'[1]650uA'!C7</f>
        <v>-8.1532811153846182E-10</v>
      </c>
      <c r="R11" s="40">
        <f>'[1]650uA'!D7</f>
        <v>4.9207141478150171E-11</v>
      </c>
    </row>
    <row r="12" spans="1:18">
      <c r="A12" s="9" t="s">
        <v>57</v>
      </c>
      <c r="B12" s="11" t="s">
        <v>108</v>
      </c>
      <c r="C12" s="4"/>
      <c r="D12" s="6"/>
      <c r="E12" s="45"/>
      <c r="F12" s="43">
        <v>3386</v>
      </c>
      <c r="G12" s="13">
        <v>640</v>
      </c>
      <c r="H12" s="14"/>
      <c r="I12" s="15">
        <v>971</v>
      </c>
      <c r="J12" s="16">
        <v>22.5</v>
      </c>
      <c r="K12" s="17">
        <v>55</v>
      </c>
      <c r="L12" s="12">
        <f t="shared" si="0"/>
        <v>7.416198487095663</v>
      </c>
      <c r="M12" s="13">
        <v>129291</v>
      </c>
      <c r="N12" s="22">
        <f t="shared" si="1"/>
        <v>359.57057721676841</v>
      </c>
      <c r="O12" s="39">
        <f>'[1]640uA'!A7</f>
        <v>3.9779064076411951E-12</v>
      </c>
      <c r="P12" s="40">
        <f>'[1]640uA'!B7</f>
        <v>1.2811122314744411E-11</v>
      </c>
      <c r="Q12" s="40">
        <f>'[1]640uA'!C7</f>
        <v>-5.6650585047619057E-10</v>
      </c>
      <c r="R12" s="40">
        <f>'[1]640uA'!D7</f>
        <v>3.5790764230370881E-11</v>
      </c>
    </row>
    <row r="13" spans="1:18">
      <c r="A13" s="9" t="s">
        <v>45</v>
      </c>
      <c r="B13" s="11">
        <v>4.2</v>
      </c>
      <c r="C13" s="4"/>
      <c r="D13" s="6"/>
      <c r="E13" s="45"/>
      <c r="F13" s="43">
        <v>3333.2</v>
      </c>
      <c r="G13" s="13">
        <v>630</v>
      </c>
      <c r="H13" s="14"/>
      <c r="I13" s="15">
        <v>971</v>
      </c>
      <c r="J13" s="16">
        <v>22.5</v>
      </c>
      <c r="K13" s="17">
        <v>55</v>
      </c>
      <c r="L13" s="12">
        <f t="shared" si="0"/>
        <v>7.416198487095663</v>
      </c>
      <c r="M13" s="13">
        <v>77980</v>
      </c>
      <c r="N13" s="22">
        <f t="shared" si="1"/>
        <v>279.24899283614258</v>
      </c>
      <c r="O13" s="39">
        <f>'[1]630uA'!A7</f>
        <v>4.8906790867924554E-12</v>
      </c>
      <c r="P13" s="40">
        <f>'[1]630uA'!B7</f>
        <v>2.9016456953929588E-12</v>
      </c>
      <c r="Q13" s="40">
        <f>'[1]630uA'!C7</f>
        <v>-3.9313996315789488E-10</v>
      </c>
      <c r="R13" s="40">
        <f>'[1]630uA'!D7</f>
        <v>2.1716329122347697E-11</v>
      </c>
    </row>
    <row r="14" spans="1:18">
      <c r="A14" s="9" t="s">
        <v>54</v>
      </c>
      <c r="B14" s="11" t="s">
        <v>97</v>
      </c>
      <c r="C14" s="4"/>
      <c r="D14" s="6"/>
      <c r="E14" s="45"/>
      <c r="F14" s="43">
        <v>3280</v>
      </c>
      <c r="G14" s="13">
        <v>620</v>
      </c>
      <c r="H14" s="14"/>
      <c r="I14" s="15">
        <v>971</v>
      </c>
      <c r="J14" s="16">
        <v>22.5</v>
      </c>
      <c r="K14" s="17">
        <v>52</v>
      </c>
      <c r="L14" s="12">
        <f t="shared" si="0"/>
        <v>7.2111025509279782</v>
      </c>
      <c r="M14" s="13">
        <v>52714</v>
      </c>
      <c r="N14" s="22">
        <f t="shared" si="1"/>
        <v>229.59529611906251</v>
      </c>
      <c r="O14" s="39">
        <f>'[1]620uA'!A7</f>
        <v>4.9102379172727274E-12</v>
      </c>
      <c r="P14" s="40">
        <f>'[1]620uA'!B7</f>
        <v>2.4740643367498875E-12</v>
      </c>
      <c r="Q14" s="40">
        <f>'[1]620uA'!C7</f>
        <v>-2.7646438341013848E-10</v>
      </c>
      <c r="R14" s="40">
        <f>'[1]620uA'!D7</f>
        <v>1.630651431014161E-11</v>
      </c>
    </row>
    <row r="15" spans="1:18">
      <c r="A15" s="9" t="s">
        <v>55</v>
      </c>
      <c r="B15" s="11" t="s">
        <v>98</v>
      </c>
      <c r="C15" s="4"/>
      <c r="D15" s="6"/>
      <c r="E15" s="45"/>
      <c r="F15" s="43">
        <v>3227.6</v>
      </c>
      <c r="G15" s="13">
        <v>610</v>
      </c>
      <c r="H15" s="14"/>
      <c r="I15" s="15">
        <v>971</v>
      </c>
      <c r="J15" s="16">
        <v>22.5</v>
      </c>
      <c r="K15" s="17">
        <v>33</v>
      </c>
      <c r="L15" s="12">
        <f t="shared" si="0"/>
        <v>5.7445626465380286</v>
      </c>
      <c r="M15" s="13">
        <v>22026</v>
      </c>
      <c r="N15" s="22">
        <f t="shared" si="1"/>
        <v>148.41158984392021</v>
      </c>
      <c r="O15" s="39">
        <f>'[1]610uA'!A7</f>
        <v>4.3517344965217397E-12</v>
      </c>
      <c r="P15" s="40">
        <f>'[1]610uA'!B7</f>
        <v>2.8243342644033644E-12</v>
      </c>
      <c r="Q15" s="40">
        <f>'[1]610uA'!C7</f>
        <v>-1.944567310810811E-10</v>
      </c>
      <c r="R15" s="40">
        <f>'[1]610uA'!D7</f>
        <v>1.1484632203826748E-11</v>
      </c>
    </row>
    <row r="16" spans="1:18">
      <c r="A16" s="9" t="s">
        <v>49</v>
      </c>
      <c r="B16" s="11">
        <v>5</v>
      </c>
      <c r="C16" s="4"/>
      <c r="D16" s="6"/>
      <c r="E16" s="45"/>
      <c r="F16" s="43">
        <v>3174</v>
      </c>
      <c r="G16" s="13">
        <v>600</v>
      </c>
      <c r="H16" s="14"/>
      <c r="I16" s="15">
        <v>970</v>
      </c>
      <c r="J16" s="16">
        <v>22.7</v>
      </c>
      <c r="K16" s="17">
        <v>20</v>
      </c>
      <c r="L16" s="12">
        <f t="shared" si="0"/>
        <v>4.4721359549995796</v>
      </c>
      <c r="M16" s="13">
        <v>3196</v>
      </c>
      <c r="N16" s="22">
        <f t="shared" si="1"/>
        <v>56.53317610041028</v>
      </c>
      <c r="O16" s="39">
        <f>'[1]600uA'!A7</f>
        <v>4.9559413274336263E-12</v>
      </c>
      <c r="P16" s="40">
        <f>'[1]600uA'!B7</f>
        <v>2.5010020038494287E-12</v>
      </c>
      <c r="Q16" s="40">
        <f>'[1]600uA'!C7</f>
        <v>-1.3525891637931031E-10</v>
      </c>
      <c r="R16" s="40">
        <f>'[1]600uA'!D7</f>
        <v>9.1931095814771283E-12</v>
      </c>
    </row>
    <row r="17" spans="1:20">
      <c r="A17" s="9" t="s">
        <v>62</v>
      </c>
      <c r="B17" s="11">
        <v>5.0449999999999999</v>
      </c>
      <c r="C17" s="4"/>
      <c r="D17" s="6"/>
      <c r="E17" s="45"/>
      <c r="F17" s="43">
        <v>3121.2</v>
      </c>
      <c r="G17" s="13">
        <v>590</v>
      </c>
      <c r="H17" s="14"/>
      <c r="I17" s="15">
        <v>970</v>
      </c>
      <c r="J17" s="16">
        <v>22.7</v>
      </c>
      <c r="K17" s="17">
        <v>13</v>
      </c>
      <c r="L17" s="12">
        <f t="shared" si="0"/>
        <v>3.6055512754639891</v>
      </c>
      <c r="M17" s="13">
        <v>100</v>
      </c>
      <c r="N17" s="22">
        <f t="shared" si="1"/>
        <v>10</v>
      </c>
      <c r="O17" s="39">
        <f>'[1]590uA'!A7</f>
        <v>4.6911118450424942E-12</v>
      </c>
      <c r="P17" s="40">
        <f>'[1]590uA'!B7</f>
        <v>2.4838488238447081E-12</v>
      </c>
      <c r="Q17" s="40">
        <f>'[1]590uA'!C7</f>
        <v>-9.4799444251207721E-11</v>
      </c>
      <c r="R17" s="40">
        <f>'[1]590uA'!D7</f>
        <v>5.7549197817276879E-12</v>
      </c>
    </row>
    <row r="18" spans="1:20" ht="14" customHeight="1">
      <c r="A18" s="9" t="s">
        <v>63</v>
      </c>
      <c r="B18" s="11">
        <v>4.4450000000000003</v>
      </c>
      <c r="C18" s="4"/>
      <c r="D18" s="6"/>
      <c r="E18" s="45"/>
      <c r="F18" s="43">
        <v>3069.2</v>
      </c>
      <c r="G18" s="13">
        <v>580</v>
      </c>
      <c r="H18" s="14"/>
      <c r="I18" s="15">
        <v>970</v>
      </c>
      <c r="J18" s="16">
        <v>22.7</v>
      </c>
      <c r="K18" s="17">
        <v>10</v>
      </c>
      <c r="L18" s="12">
        <f t="shared" si="0"/>
        <v>3.1622776601683795</v>
      </c>
      <c r="M18" s="13">
        <v>18</v>
      </c>
      <c r="N18" s="22">
        <f t="shared" si="1"/>
        <v>4.2426406871192848</v>
      </c>
      <c r="O18" s="39">
        <f>'[1]580uA'!A7</f>
        <v>5.1795505827751189E-12</v>
      </c>
      <c r="P18" s="40">
        <f>'[1]580uA'!B7</f>
        <v>3.7171850962952695E-12</v>
      </c>
      <c r="Q18" s="40">
        <f>'[1]580uA'!C7</f>
        <v>-6.6724520896226414E-11</v>
      </c>
      <c r="R18" s="40">
        <f>'[1]580uA'!D7</f>
        <v>4.8212054655703216E-12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5"/>
      <c r="F19" s="43">
        <v>3017.2</v>
      </c>
      <c r="G19" s="13">
        <v>570</v>
      </c>
      <c r="H19" s="14"/>
      <c r="I19" s="15">
        <v>970</v>
      </c>
      <c r="J19" s="16">
        <v>22.7</v>
      </c>
      <c r="K19" s="17">
        <v>11</v>
      </c>
      <c r="L19" s="12">
        <f t="shared" si="0"/>
        <v>3.3166247903553998</v>
      </c>
      <c r="M19" s="13">
        <v>24</v>
      </c>
      <c r="N19" s="22">
        <f t="shared" si="1"/>
        <v>4.8989794855663558</v>
      </c>
      <c r="O19" s="39">
        <f>'[1]570uA'!A7</f>
        <v>5.3738526386554587E-12</v>
      </c>
      <c r="P19" s="40">
        <f>'[1]570uA'!B7</f>
        <v>3.2093429702333158E-12</v>
      </c>
      <c r="Q19" s="40">
        <f>'[1]570uA'!C7</f>
        <v>-4.6552053380952389E-11</v>
      </c>
      <c r="R19" s="40">
        <f>'[1]570uA'!D7</f>
        <v>4.9231318559436507E-12</v>
      </c>
    </row>
    <row r="20" spans="1:20">
      <c r="A20" s="9" t="s">
        <v>65</v>
      </c>
      <c r="B20" s="11">
        <v>0.55500000000000005</v>
      </c>
      <c r="C20" s="4"/>
      <c r="D20" s="6"/>
      <c r="E20" s="45"/>
      <c r="F20" s="43">
        <v>2964</v>
      </c>
      <c r="G20" s="13">
        <v>560</v>
      </c>
      <c r="H20" s="14"/>
      <c r="I20" s="15">
        <v>970</v>
      </c>
      <c r="J20" s="16">
        <v>22.7</v>
      </c>
      <c r="K20" s="17">
        <v>6</v>
      </c>
      <c r="L20" s="12">
        <f t="shared" si="0"/>
        <v>2.4494897427831779</v>
      </c>
      <c r="M20" s="13">
        <v>23</v>
      </c>
      <c r="N20" s="22">
        <f t="shared" si="1"/>
        <v>4.7958315233127191</v>
      </c>
      <c r="O20" s="39">
        <f>'[1]560uA'!A7</f>
        <v>5.529167554976301E-12</v>
      </c>
      <c r="P20" s="40">
        <f>'[1]560uA'!B7</f>
        <v>2.6014516889652165E-12</v>
      </c>
      <c r="Q20" s="40">
        <f>'[1]560uA'!C7</f>
        <v>-3.1786052121212123E-11</v>
      </c>
      <c r="R20" s="40">
        <f>'[1]560uA'!D7</f>
        <v>3.5376583540251238E-12</v>
      </c>
    </row>
    <row r="21" spans="1:20">
      <c r="A21" s="9" t="s">
        <v>66</v>
      </c>
      <c r="B21" s="11">
        <v>0.436</v>
      </c>
      <c r="C21" s="4"/>
      <c r="D21" s="6"/>
      <c r="E21" s="46"/>
      <c r="F21" s="43">
        <v>2912</v>
      </c>
      <c r="G21" s="13">
        <v>550</v>
      </c>
      <c r="H21" s="14"/>
      <c r="I21" s="15">
        <v>970</v>
      </c>
      <c r="J21" s="16">
        <v>22.7</v>
      </c>
      <c r="K21" s="17">
        <v>8</v>
      </c>
      <c r="L21" s="12">
        <f t="shared" si="0"/>
        <v>2.8284271247461903</v>
      </c>
      <c r="M21" s="13">
        <v>20</v>
      </c>
      <c r="N21" s="22">
        <f t="shared" si="1"/>
        <v>4.4721359549995796</v>
      </c>
      <c r="O21" s="39">
        <f>'[1]550uA'!A7</f>
        <v>5.0801775604761884E-12</v>
      </c>
      <c r="P21" s="40">
        <f>'[1]550uA'!B7</f>
        <v>2.3729293644659915E-12</v>
      </c>
      <c r="Q21" s="40">
        <f>'[1]550uA'!C7</f>
        <v>-2.2241675570881213E-11</v>
      </c>
      <c r="R21" s="40">
        <f>'[1]550uA'!D7</f>
        <v>2.8891993105277824E-12</v>
      </c>
      <c r="T21" s="2"/>
    </row>
    <row r="22" spans="1:20">
      <c r="A22" s="9" t="s">
        <v>67</v>
      </c>
      <c r="B22" s="11">
        <v>0.54400000000000004</v>
      </c>
      <c r="C22" s="4"/>
      <c r="D22" s="6"/>
    </row>
    <row r="23" spans="1:20">
      <c r="A23" s="9" t="s">
        <v>68</v>
      </c>
      <c r="B23" s="11">
        <v>0.86499999999999999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</v>
      </c>
      <c r="C24" s="5"/>
      <c r="D24" s="6"/>
      <c r="E24" s="18" t="s">
        <v>40</v>
      </c>
      <c r="F24" s="4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0.61899999999999999</v>
      </c>
      <c r="C25" s="5"/>
      <c r="D25" s="6"/>
      <c r="E25" s="18" t="s">
        <v>73</v>
      </c>
      <c r="F25" s="4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99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100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700</v>
      </c>
      <c r="F30" s="30">
        <f>F6</f>
        <v>3699.6</v>
      </c>
      <c r="G30" s="28">
        <f>E30*'Data Summary'!$B$18</f>
        <v>3111.5</v>
      </c>
      <c r="H30" s="30">
        <f>(M6-K6)/$B$42</f>
        <v>3254</v>
      </c>
      <c r="I30" s="31">
        <f>(1/$B$42)*SQRT(N6^2+L6^2)</f>
        <v>7.3714916325591036</v>
      </c>
      <c r="J30" s="32">
        <f>Q6-O6</f>
        <v>-5.03415230991801E-9</v>
      </c>
      <c r="K30" s="32">
        <f>SQRT(P6^2+R6^2)</f>
        <v>2.7564317850285752E-10</v>
      </c>
      <c r="L30" s="31">
        <f>ABS(J30)/($H$30*$F$24*$L$24)</f>
        <v>27910.665505802237</v>
      </c>
      <c r="M30" s="32">
        <f>SQRT( ( 1 / ($H$30*$F$24*$L$24 ) )^2 * (K30^2+J30^2*( ($I$30/$H$30)^2+($F$25/$F$24)^2)))</f>
        <v>1547.331563767259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30">
        <f t="shared" ref="F31:F45" si="3">F7</f>
        <v>3650</v>
      </c>
      <c r="G31" s="42">
        <f>E31*'Data Summary'!$B$18</f>
        <v>3067.05</v>
      </c>
      <c r="H31" s="30">
        <f>(M7-K7)/$B$42</f>
        <v>3244.1666666666665</v>
      </c>
      <c r="I31" s="31">
        <f t="shared" ref="I31:I45" si="4">(1/$B$42)*SQRT(N7^2+L7^2)</f>
        <v>7.3587438541582024</v>
      </c>
      <c r="J31" s="32">
        <f t="shared" ref="J31:J45" si="5">Q7-O7</f>
        <v>-3.5665443049401891E-9</v>
      </c>
      <c r="K31" s="32">
        <f t="shared" ref="K31:K45" si="6">SQRT(P7^2+R7^2)</f>
        <v>2.144054281687418E-10</v>
      </c>
      <c r="L31" s="31">
        <f>ABS(J31)/($H$30*$F$24*$L$24)</f>
        <v>19773.86041949748</v>
      </c>
      <c r="M31" s="32">
        <f t="shared" ref="M31:M45" si="7">SQRT( ( 1 / ($H$30*$F$24*$L$24 ) )^2 * (K31^2+J31^2*( ($I$30/$H$30)^2+($F$25/$F$24)^2)))</f>
        <v>1201.0537529353071</v>
      </c>
    </row>
    <row r="32" spans="1:20">
      <c r="A32" s="55" t="s">
        <v>52</v>
      </c>
      <c r="B32" s="56"/>
      <c r="E32" s="42">
        <f t="shared" si="2"/>
        <v>680</v>
      </c>
      <c r="F32" s="30">
        <f t="shared" si="3"/>
        <v>3598</v>
      </c>
      <c r="G32" s="42">
        <f>E32*'Data Summary'!$B$18</f>
        <v>3022.6000000000004</v>
      </c>
      <c r="H32" s="30">
        <f t="shared" ref="H32:H45" si="8">(M8-K8)/$B$42</f>
        <v>3185.3166666666666</v>
      </c>
      <c r="I32" s="31">
        <f t="shared" si="4"/>
        <v>7.2903474997195197</v>
      </c>
      <c r="J32" s="32">
        <f t="shared" si="5"/>
        <v>-2.4605582109917061E-9</v>
      </c>
      <c r="K32" s="32">
        <f t="shared" si="6"/>
        <v>1.5670698824891712E-10</v>
      </c>
      <c r="L32" s="31">
        <f t="shared" ref="L32:L45" si="9">ABS(J32)/($H$30*$F$24*$L$24)</f>
        <v>13641.98239478042</v>
      </c>
      <c r="M32" s="32">
        <f t="shared" si="7"/>
        <v>876.86104144209878</v>
      </c>
    </row>
    <row r="33" spans="1:14">
      <c r="A33" s="57"/>
      <c r="B33" s="58"/>
      <c r="E33" s="42">
        <f t="shared" si="2"/>
        <v>670</v>
      </c>
      <c r="F33" s="30">
        <f t="shared" si="3"/>
        <v>3545</v>
      </c>
      <c r="G33" s="42">
        <f>E33*'Data Summary'!$B$18</f>
        <v>2978.15</v>
      </c>
      <c r="H33" s="30">
        <f t="shared" si="8"/>
        <v>3109.3</v>
      </c>
      <c r="I33" s="31">
        <f t="shared" si="4"/>
        <v>7.2025844127106353</v>
      </c>
      <c r="J33" s="32">
        <f t="shared" si="5"/>
        <v>-1.7012833833106635E-9</v>
      </c>
      <c r="K33" s="32">
        <f t="shared" si="6"/>
        <v>1.0489009152538615E-10</v>
      </c>
      <c r="L33" s="31">
        <f t="shared" si="9"/>
        <v>9432.362892281426</v>
      </c>
      <c r="M33" s="32">
        <f t="shared" si="7"/>
        <v>587.27626886796895</v>
      </c>
    </row>
    <row r="34" spans="1:14">
      <c r="A34" s="9" t="s">
        <v>56</v>
      </c>
      <c r="B34" s="11" t="s">
        <v>101</v>
      </c>
      <c r="E34" s="42">
        <f t="shared" si="2"/>
        <v>660</v>
      </c>
      <c r="F34" s="30">
        <f t="shared" si="3"/>
        <v>3492</v>
      </c>
      <c r="G34" s="42">
        <f>E34*'Data Summary'!$B$18</f>
        <v>2933.7000000000003</v>
      </c>
      <c r="H34" s="30">
        <f t="shared" si="8"/>
        <v>2960.0333333333333</v>
      </c>
      <c r="I34" s="31">
        <f t="shared" si="4"/>
        <v>7.0267741927256742</v>
      </c>
      <c r="J34" s="32">
        <f t="shared" si="5"/>
        <v>-1.176474656951641E-9</v>
      </c>
      <c r="K34" s="32">
        <f t="shared" si="6"/>
        <v>6.8552246543629357E-11</v>
      </c>
      <c r="L34" s="31">
        <f t="shared" si="9"/>
        <v>6522.6851721467838</v>
      </c>
      <c r="M34" s="32">
        <f t="shared" si="7"/>
        <v>384.2676575736196</v>
      </c>
    </row>
    <row r="35" spans="1:14">
      <c r="A35" s="9" t="s">
        <v>20</v>
      </c>
      <c r="B35" s="11" t="s">
        <v>102</v>
      </c>
      <c r="E35" s="42">
        <f t="shared" si="2"/>
        <v>650</v>
      </c>
      <c r="F35" s="30">
        <f t="shared" si="3"/>
        <v>3540</v>
      </c>
      <c r="G35" s="42">
        <f>E35*'Data Summary'!$B$18</f>
        <v>2889.25</v>
      </c>
      <c r="H35" s="30">
        <f t="shared" si="8"/>
        <v>2721.25</v>
      </c>
      <c r="I35" s="31">
        <f t="shared" si="4"/>
        <v>6.7365297693495974</v>
      </c>
      <c r="J35" s="32">
        <f t="shared" si="5"/>
        <v>-8.1961618693329746E-10</v>
      </c>
      <c r="K35" s="32">
        <f t="shared" si="6"/>
        <v>4.9314139906657322E-11</v>
      </c>
      <c r="L35" s="31">
        <f t="shared" si="9"/>
        <v>4544.1678813664894</v>
      </c>
      <c r="M35" s="32">
        <f t="shared" si="7"/>
        <v>276.24251589174088</v>
      </c>
      <c r="N35" s="3"/>
    </row>
    <row r="36" spans="1:14">
      <c r="A36" s="9" t="s">
        <v>21</v>
      </c>
      <c r="B36" s="11" t="s">
        <v>103</v>
      </c>
      <c r="E36" s="42">
        <f t="shared" si="2"/>
        <v>640</v>
      </c>
      <c r="F36" s="30">
        <f t="shared" si="3"/>
        <v>3386</v>
      </c>
      <c r="G36" s="42">
        <f>E36*'Data Summary'!$B$18</f>
        <v>2844.8</v>
      </c>
      <c r="H36" s="30">
        <f t="shared" si="8"/>
        <v>2153.9333333333334</v>
      </c>
      <c r="I36" s="31">
        <f t="shared" si="4"/>
        <v>5.9941174867068163</v>
      </c>
      <c r="J36" s="32">
        <f t="shared" si="5"/>
        <v>-5.7048375688383173E-10</v>
      </c>
      <c r="K36" s="32">
        <f t="shared" si="6"/>
        <v>3.8014519057293597E-11</v>
      </c>
      <c r="L36" s="31">
        <f t="shared" si="9"/>
        <v>3162.9121120368641</v>
      </c>
      <c r="M36" s="32">
        <f t="shared" si="7"/>
        <v>212.54399188158609</v>
      </c>
      <c r="N36" s="3"/>
    </row>
    <row r="37" spans="1:14">
      <c r="A37" s="9" t="s">
        <v>22</v>
      </c>
      <c r="B37" s="11" t="s">
        <v>104</v>
      </c>
      <c r="E37" s="42">
        <f t="shared" si="2"/>
        <v>630</v>
      </c>
      <c r="F37" s="30">
        <f t="shared" si="3"/>
        <v>3333.2</v>
      </c>
      <c r="G37" s="42">
        <f>E37*'Data Summary'!$B$18</f>
        <v>2800.3500000000004</v>
      </c>
      <c r="H37" s="30">
        <f t="shared" si="8"/>
        <v>1298.75</v>
      </c>
      <c r="I37" s="31">
        <f t="shared" si="4"/>
        <v>4.6557908983210252</v>
      </c>
      <c r="J37" s="32">
        <f t="shared" si="5"/>
        <v>-3.9803064224468733E-10</v>
      </c>
      <c r="K37" s="32">
        <f t="shared" si="6"/>
        <v>2.1909324459958122E-11</v>
      </c>
      <c r="L37" s="31">
        <f t="shared" si="9"/>
        <v>2206.786651024478</v>
      </c>
      <c r="M37" s="32">
        <f t="shared" si="7"/>
        <v>122.9728408562808</v>
      </c>
    </row>
    <row r="38" spans="1:14">
      <c r="A38" s="55" t="s">
        <v>11</v>
      </c>
      <c r="B38" s="56"/>
      <c r="E38" s="42">
        <f t="shared" si="2"/>
        <v>620</v>
      </c>
      <c r="F38" s="30">
        <f t="shared" si="3"/>
        <v>3280</v>
      </c>
      <c r="G38" s="42">
        <f>E38*'Data Summary'!$B$18</f>
        <v>2755.9</v>
      </c>
      <c r="H38" s="30">
        <f t="shared" si="8"/>
        <v>877.7</v>
      </c>
      <c r="I38" s="31">
        <f t="shared" si="4"/>
        <v>3.8284751823960179</v>
      </c>
      <c r="J38" s="32">
        <f t="shared" si="5"/>
        <v>-2.813746213274112E-10</v>
      </c>
      <c r="K38" s="32">
        <f t="shared" si="6"/>
        <v>1.6493132003632019E-11</v>
      </c>
      <c r="L38" s="31">
        <f t="shared" si="9"/>
        <v>1560.0149646284833</v>
      </c>
      <c r="M38" s="32">
        <f t="shared" si="7"/>
        <v>92.439924840106514</v>
      </c>
    </row>
    <row r="39" spans="1:14">
      <c r="A39" s="66"/>
      <c r="B39" s="67"/>
      <c r="E39" s="42">
        <f t="shared" si="2"/>
        <v>610</v>
      </c>
      <c r="F39" s="30">
        <f t="shared" si="3"/>
        <v>3227.6</v>
      </c>
      <c r="G39" s="42">
        <f>E39*'Data Summary'!$B$18</f>
        <v>2711.4500000000003</v>
      </c>
      <c r="H39" s="30">
        <f t="shared" si="8"/>
        <v>366.55</v>
      </c>
      <c r="I39" s="31">
        <f t="shared" si="4"/>
        <v>2.4753787588973126</v>
      </c>
      <c r="J39" s="32">
        <f t="shared" si="5"/>
        <v>-1.9880846557760285E-10</v>
      </c>
      <c r="K39" s="32">
        <f t="shared" si="6"/>
        <v>1.1826818714018462E-11</v>
      </c>
      <c r="L39" s="31">
        <f t="shared" si="9"/>
        <v>1102.2464639232667</v>
      </c>
      <c r="M39" s="32">
        <f t="shared" si="7"/>
        <v>66.265677542013378</v>
      </c>
      <c r="N39" s="3"/>
    </row>
    <row r="40" spans="1:14">
      <c r="A40" s="57"/>
      <c r="B40" s="58"/>
      <c r="E40" s="42">
        <f t="shared" si="2"/>
        <v>600</v>
      </c>
      <c r="F40" s="30">
        <f t="shared" si="3"/>
        <v>3174</v>
      </c>
      <c r="G40" s="42">
        <f>E40*'Data Summary'!$B$18</f>
        <v>2667</v>
      </c>
      <c r="H40" s="30">
        <f t="shared" si="8"/>
        <v>52.93333333333333</v>
      </c>
      <c r="I40" s="31">
        <f t="shared" si="4"/>
        <v>0.94516312525052171</v>
      </c>
      <c r="J40" s="32">
        <f t="shared" si="5"/>
        <v>-1.4021485770674395E-10</v>
      </c>
      <c r="K40" s="32">
        <f t="shared" si="6"/>
        <v>9.5272385716064363E-12</v>
      </c>
      <c r="L40" s="31">
        <f t="shared" si="9"/>
        <v>777.38807876083615</v>
      </c>
      <c r="M40" s="32">
        <f t="shared" si="7"/>
        <v>53.250992987051248</v>
      </c>
      <c r="N40" s="3"/>
    </row>
    <row r="41" spans="1:14">
      <c r="A41" s="9" t="s">
        <v>56</v>
      </c>
      <c r="B41" s="11" t="s">
        <v>105</v>
      </c>
      <c r="E41" s="42">
        <f t="shared" si="2"/>
        <v>590</v>
      </c>
      <c r="F41" s="30">
        <f t="shared" si="3"/>
        <v>3121.2</v>
      </c>
      <c r="G41" s="42">
        <f>E41*'Data Summary'!$B$18</f>
        <v>2622.55</v>
      </c>
      <c r="H41" s="30">
        <f t="shared" si="8"/>
        <v>1.45</v>
      </c>
      <c r="I41" s="31">
        <f t="shared" si="4"/>
        <v>0.17716909687891083</v>
      </c>
      <c r="J41" s="32">
        <f t="shared" si="5"/>
        <v>-9.9490556096250214E-11</v>
      </c>
      <c r="K41" s="32">
        <f t="shared" si="6"/>
        <v>6.2680624337856905E-12</v>
      </c>
      <c r="L41" s="31">
        <f t="shared" si="9"/>
        <v>551.60183110032267</v>
      </c>
      <c r="M41" s="32">
        <f t="shared" si="7"/>
        <v>35.080232032339602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30">
        <f t="shared" si="3"/>
        <v>3069.2</v>
      </c>
      <c r="G42" s="42">
        <f>E42*'Data Summary'!$B$18</f>
        <v>2578.1000000000004</v>
      </c>
      <c r="H42" s="30">
        <f t="shared" si="8"/>
        <v>0.13333333333333333</v>
      </c>
      <c r="I42" s="31">
        <f t="shared" si="4"/>
        <v>8.819171036881969E-2</v>
      </c>
      <c r="J42" s="32">
        <f t="shared" si="5"/>
        <v>-7.1904071479001535E-11</v>
      </c>
      <c r="K42" s="32">
        <f t="shared" si="6"/>
        <v>6.0878146474219151E-12</v>
      </c>
      <c r="L42" s="31">
        <f t="shared" si="9"/>
        <v>398.6550990127655</v>
      </c>
      <c r="M42" s="32">
        <f t="shared" si="7"/>
        <v>33.929452310581077</v>
      </c>
      <c r="N42" s="3"/>
    </row>
    <row r="43" spans="1:14">
      <c r="A43" s="55" t="s">
        <v>12</v>
      </c>
      <c r="B43" s="56"/>
      <c r="E43" s="42">
        <f t="shared" si="2"/>
        <v>570</v>
      </c>
      <c r="F43" s="30">
        <f t="shared" si="3"/>
        <v>3017.2</v>
      </c>
      <c r="G43" s="42">
        <f>E43*'Data Summary'!$B$18</f>
        <v>2533.65</v>
      </c>
      <c r="H43" s="30">
        <f t="shared" si="8"/>
        <v>0.21666666666666667</v>
      </c>
      <c r="I43" s="31">
        <f t="shared" si="4"/>
        <v>9.8601329718326941E-2</v>
      </c>
      <c r="J43" s="32">
        <f t="shared" si="5"/>
        <v>-5.1925906019607848E-11</v>
      </c>
      <c r="K43" s="32">
        <f t="shared" si="6"/>
        <v>5.8768281897289778E-12</v>
      </c>
      <c r="L43" s="31">
        <f t="shared" si="9"/>
        <v>287.89089101330779</v>
      </c>
      <c r="M43" s="32">
        <f t="shared" si="7"/>
        <v>32.678416352535642</v>
      </c>
      <c r="N43" s="3"/>
    </row>
    <row r="44" spans="1:14">
      <c r="A44" s="57"/>
      <c r="B44" s="58"/>
      <c r="E44" s="42">
        <f t="shared" si="2"/>
        <v>560</v>
      </c>
      <c r="F44" s="30">
        <f t="shared" si="3"/>
        <v>2964</v>
      </c>
      <c r="G44" s="42">
        <f>E44*'Data Summary'!$B$18</f>
        <v>2489.2000000000003</v>
      </c>
      <c r="H44" s="30">
        <f t="shared" si="8"/>
        <v>0.28333333333333333</v>
      </c>
      <c r="I44" s="31">
        <f t="shared" si="4"/>
        <v>8.9752746785575058E-2</v>
      </c>
      <c r="J44" s="32">
        <f t="shared" si="5"/>
        <v>-3.7315219676188427E-11</v>
      </c>
      <c r="K44" s="32">
        <f t="shared" si="6"/>
        <v>4.3911931772382459E-12</v>
      </c>
      <c r="L44" s="31">
        <f t="shared" si="9"/>
        <v>206.88540007137522</v>
      </c>
      <c r="M44" s="32">
        <f t="shared" si="7"/>
        <v>24.412103410308127</v>
      </c>
      <c r="N44" s="3"/>
    </row>
    <row r="45" spans="1:14">
      <c r="A45" s="9" t="s">
        <v>13</v>
      </c>
      <c r="B45" s="11" t="s">
        <v>106</v>
      </c>
      <c r="E45" s="42">
        <f t="shared" si="2"/>
        <v>550</v>
      </c>
      <c r="F45" s="30">
        <f t="shared" si="3"/>
        <v>2912</v>
      </c>
      <c r="G45" s="42">
        <f>E45*'Data Summary'!$B$18</f>
        <v>2444.75</v>
      </c>
      <c r="H45" s="30">
        <f t="shared" si="8"/>
        <v>0.2</v>
      </c>
      <c r="I45" s="31">
        <f t="shared" si="4"/>
        <v>8.819171036881969E-2</v>
      </c>
      <c r="J45" s="32">
        <f t="shared" si="5"/>
        <v>-2.7321853131357402E-11</v>
      </c>
      <c r="K45" s="32">
        <f t="shared" si="6"/>
        <v>3.7387519875887979E-12</v>
      </c>
      <c r="L45" s="31">
        <f t="shared" si="9"/>
        <v>151.47954547294808</v>
      </c>
      <c r="M45" s="32">
        <f t="shared" si="7"/>
        <v>20.770305900645461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29">
        <f>AVERAGE(J6:J21)+273.15</f>
        <v>295.72499999999997</v>
      </c>
      <c r="H48" s="33" t="s">
        <v>87</v>
      </c>
      <c r="I48" s="33">
        <v>964.4</v>
      </c>
      <c r="L48" s="34" t="str">
        <f>CONCATENATE(E30,",",L30,",",M30)</f>
        <v>700,27910.6655058022,1547.33156376726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29">
        <f>_xlfn.STDEV.P(J6:J21)</f>
        <v>9.6824583655185079E-2</v>
      </c>
      <c r="H49" s="33" t="s">
        <v>88</v>
      </c>
      <c r="I49" s="33">
        <f>297.1</f>
        <v>297.10000000000002</v>
      </c>
      <c r="L49" s="34" t="str">
        <f t="shared" ref="L49:L63" si="10">CONCATENATE(E31,",",L31,",",M31)</f>
        <v>690,19773.8604194975,1201.05375293531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29">
        <f>AVERAGE(I6:I21)</f>
        <v>970.625</v>
      </c>
      <c r="L50" s="34" t="str">
        <f t="shared" si="10"/>
        <v>680,13641.9823947804,876.861041442099</v>
      </c>
    </row>
    <row r="51" spans="1:14">
      <c r="A51"/>
      <c r="B51"/>
      <c r="E51" s="8" t="s">
        <v>91</v>
      </c>
      <c r="F51" s="29">
        <f>_xlfn.STDEV.P(I6:I21)</f>
        <v>0.48412291827592713</v>
      </c>
      <c r="H51"/>
      <c r="I51"/>
      <c r="L51" s="34" t="str">
        <f t="shared" si="10"/>
        <v>670,9432.36289228143,587.276268867969</v>
      </c>
    </row>
    <row r="52" spans="1:14">
      <c r="E52" s="8" t="s">
        <v>78</v>
      </c>
      <c r="F52" s="29">
        <f>EXP(INDEX(LINEST(LN(L30:L45),E30:E45),1,2))</f>
        <v>6.0809538167823254E-7</v>
      </c>
      <c r="L52" s="34" t="str">
        <f t="shared" si="10"/>
        <v>660,6522.68517214678,384.26765757362</v>
      </c>
    </row>
    <row r="53" spans="1:14">
      <c r="E53" s="8" t="s">
        <v>79</v>
      </c>
      <c r="F53" s="29">
        <f>INDEX(LINEST(LN(L30:L45),E30:E45),1)</f>
        <v>3.5010143368655967E-2</v>
      </c>
      <c r="L53" s="34" t="str">
        <f t="shared" si="10"/>
        <v>650,4544.16788136649,276.242515891741</v>
      </c>
      <c r="N53" s="3"/>
    </row>
    <row r="54" spans="1:14">
      <c r="L54" s="34" t="str">
        <f t="shared" si="10"/>
        <v>640,3162.91211203686,212.543991881586</v>
      </c>
      <c r="N54" s="3"/>
    </row>
    <row r="55" spans="1:14">
      <c r="L55" s="34" t="str">
        <f t="shared" si="10"/>
        <v>630,2206.78665102448,122.972840856281</v>
      </c>
      <c r="N55" s="3"/>
    </row>
    <row r="56" spans="1:14">
      <c r="L56" s="34" t="str">
        <f t="shared" si="10"/>
        <v>620,1560.01496462848,92.4399248401065</v>
      </c>
      <c r="N56" s="3"/>
    </row>
    <row r="57" spans="1:14">
      <c r="L57" s="34" t="str">
        <f t="shared" si="10"/>
        <v>610,1102.24646392327,66.2656775420134</v>
      </c>
      <c r="N57" s="3"/>
    </row>
    <row r="58" spans="1:14">
      <c r="L58" s="34" t="str">
        <f t="shared" si="10"/>
        <v>600,777.388078760836,53.2509929870512</v>
      </c>
      <c r="N58" s="3"/>
    </row>
    <row r="59" spans="1:14">
      <c r="L59" s="34" t="str">
        <f t="shared" si="10"/>
        <v>590,551.601831100323,35.0802320323396</v>
      </c>
      <c r="N59" s="3"/>
    </row>
    <row r="60" spans="1:14">
      <c r="L60" s="34" t="str">
        <f t="shared" si="10"/>
        <v>580,398.655099012766,33.9294523105811</v>
      </c>
    </row>
    <row r="61" spans="1:14">
      <c r="L61" s="34" t="str">
        <f t="shared" si="10"/>
        <v>570,287.890891013308,32.6784163525356</v>
      </c>
    </row>
    <row r="62" spans="1:14">
      <c r="L62" s="34" t="str">
        <f t="shared" si="10"/>
        <v>560,206.885400071375,24.4121034103081</v>
      </c>
    </row>
    <row r="63" spans="1:14">
      <c r="L63" s="34" t="str">
        <f t="shared" si="10"/>
        <v>550,151.479545472948,20.7703059006455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2018-07-14T09:52:12Z</dcterms:modified>
</cp:coreProperties>
</file>