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0F714E8D-51A3-C844-93B0-C92CBC469DD0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N6" i="1"/>
  <c r="O6" i="1"/>
  <c r="P6" i="1"/>
  <c r="Q6" i="1"/>
  <c r="R6" i="1"/>
  <c r="L7" i="1"/>
  <c r="N7" i="1"/>
  <c r="O7" i="1"/>
  <c r="P7" i="1"/>
  <c r="Q7" i="1"/>
  <c r="R7" i="1"/>
  <c r="L8" i="1"/>
  <c r="N8" i="1"/>
  <c r="O8" i="1"/>
  <c r="P8" i="1"/>
  <c r="Q8" i="1"/>
  <c r="R8" i="1"/>
  <c r="L9" i="1"/>
  <c r="N9" i="1"/>
  <c r="O9" i="1"/>
  <c r="P9" i="1"/>
  <c r="Q9" i="1"/>
  <c r="R9" i="1"/>
  <c r="L10" i="1"/>
  <c r="N10" i="1"/>
  <c r="O10" i="1"/>
  <c r="P10" i="1"/>
  <c r="Q10" i="1"/>
  <c r="R10" i="1"/>
  <c r="L11" i="1"/>
  <c r="N11" i="1"/>
  <c r="O11" i="1"/>
  <c r="P11" i="1"/>
  <c r="Q11" i="1"/>
  <c r="R11" i="1"/>
  <c r="L12" i="1"/>
  <c r="N12" i="1"/>
  <c r="O12" i="1"/>
  <c r="P12" i="1"/>
  <c r="Q12" i="1"/>
  <c r="R12" i="1"/>
  <c r="L13" i="1"/>
  <c r="N13" i="1"/>
  <c r="O13" i="1"/>
  <c r="P13" i="1"/>
  <c r="Q13" i="1"/>
  <c r="R13" i="1"/>
  <c r="L14" i="1"/>
  <c r="N14" i="1"/>
  <c r="O14" i="1"/>
  <c r="P14" i="1"/>
  <c r="Q14" i="1"/>
  <c r="R14" i="1"/>
  <c r="L15" i="1"/>
  <c r="N15" i="1"/>
  <c r="O15" i="1"/>
  <c r="P15" i="1"/>
  <c r="Q15" i="1"/>
  <c r="R15" i="1"/>
  <c r="L16" i="1"/>
  <c r="N16" i="1"/>
  <c r="O16" i="1"/>
  <c r="P16" i="1"/>
  <c r="Q16" i="1"/>
  <c r="R16" i="1"/>
  <c r="L17" i="1"/>
  <c r="N17" i="1"/>
  <c r="O17" i="1"/>
  <c r="P17" i="1"/>
  <c r="Q17" i="1"/>
  <c r="R17" i="1"/>
  <c r="L18" i="1"/>
  <c r="N18" i="1"/>
  <c r="O18" i="1"/>
  <c r="P18" i="1"/>
  <c r="Q18" i="1"/>
  <c r="R18" i="1"/>
  <c r="L19" i="1"/>
  <c r="N19" i="1"/>
  <c r="O19" i="1"/>
  <c r="P19" i="1"/>
  <c r="Q19" i="1"/>
  <c r="R19" i="1"/>
  <c r="L20" i="1"/>
  <c r="N20" i="1"/>
  <c r="O20" i="1"/>
  <c r="P20" i="1"/>
  <c r="Q20" i="1"/>
  <c r="R20" i="1"/>
  <c r="L21" i="1"/>
  <c r="N21" i="1"/>
  <c r="O21" i="1"/>
  <c r="P21" i="1"/>
  <c r="Q21" i="1"/>
  <c r="R21" i="1"/>
  <c r="I31" i="1" l="1"/>
  <c r="I35" i="1"/>
  <c r="I39" i="1"/>
  <c r="I43" i="1"/>
  <c r="H30" i="1"/>
  <c r="I30" i="1"/>
  <c r="E32" i="1"/>
  <c r="E34" i="1"/>
  <c r="E36" i="1"/>
  <c r="E38" i="1"/>
  <c r="E40" i="1"/>
  <c r="G40" i="1" s="1"/>
  <c r="E42" i="1"/>
  <c r="E44" i="1"/>
  <c r="E30" i="1"/>
  <c r="F51" i="1"/>
  <c r="F49" i="1"/>
  <c r="F48" i="1"/>
  <c r="I49" i="1"/>
  <c r="E31" i="1" s="1"/>
  <c r="G32" i="1"/>
  <c r="G36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C7" i="25"/>
  <c r="A7" i="25"/>
  <c r="B7" i="25"/>
  <c r="H31" i="1"/>
  <c r="F50" i="1"/>
  <c r="D7" i="25"/>
  <c r="D7" i="35"/>
  <c r="C7" i="35"/>
  <c r="J42" i="1" s="1"/>
  <c r="L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L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L32" i="1" s="1"/>
  <c r="A7" i="26"/>
  <c r="C7" i="39"/>
  <c r="J34" i="1" s="1"/>
  <c r="L34" i="1" s="1"/>
  <c r="A7" i="39"/>
  <c r="C7" i="28"/>
  <c r="J35" i="1" s="1"/>
  <c r="L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M42" i="1" l="1"/>
  <c r="J39" i="1"/>
  <c r="L39" i="1" s="1"/>
  <c r="J31" i="1"/>
  <c r="L31" i="1" s="1"/>
  <c r="G31" i="1"/>
  <c r="K32" i="1"/>
  <c r="M32" i="1" s="1"/>
  <c r="J45" i="1"/>
  <c r="L45" i="1" s="1"/>
  <c r="J41" i="1"/>
  <c r="L41" i="1" s="1"/>
  <c r="K44" i="1"/>
  <c r="M44" i="1" s="1"/>
  <c r="L62" i="1" s="1"/>
  <c r="L50" i="1"/>
  <c r="K33" i="1"/>
  <c r="K43" i="1"/>
  <c r="J33" i="1"/>
  <c r="L33" i="1" s="1"/>
  <c r="K30" i="1"/>
  <c r="J40" i="1"/>
  <c r="L40" i="1" s="1"/>
  <c r="J38" i="1"/>
  <c r="L38" i="1" s="1"/>
  <c r="J36" i="1"/>
  <c r="L36" i="1" s="1"/>
  <c r="K31" i="1"/>
  <c r="M31" i="1" s="1"/>
  <c r="L49" i="1" s="1"/>
  <c r="L60" i="1"/>
  <c r="L52" i="1"/>
  <c r="J37" i="1"/>
  <c r="L37" i="1" s="1"/>
  <c r="M30" i="1"/>
  <c r="L48" i="1" s="1"/>
  <c r="E45" i="1"/>
  <c r="E43" i="1"/>
  <c r="E41" i="1"/>
  <c r="E39" i="1"/>
  <c r="E37" i="1"/>
  <c r="E35" i="1"/>
  <c r="E33" i="1"/>
  <c r="F52" i="1" s="1"/>
  <c r="G44" i="1"/>
  <c r="G30" i="1"/>
  <c r="G42" i="1"/>
  <c r="G38" i="1"/>
  <c r="G34" i="1"/>
  <c r="M43" i="1"/>
  <c r="M41" i="1"/>
  <c r="M39" i="1"/>
  <c r="M35" i="1"/>
  <c r="M33" i="1" l="1"/>
  <c r="F53" i="1"/>
  <c r="M36" i="1"/>
  <c r="L54" i="1" s="1"/>
  <c r="G33" i="1"/>
  <c r="L51" i="1"/>
  <c r="G41" i="1"/>
  <c r="L59" i="1"/>
  <c r="G35" i="1"/>
  <c r="L53" i="1"/>
  <c r="M38" i="1"/>
  <c r="L56" i="1" s="1"/>
  <c r="G39" i="1"/>
  <c r="L57" i="1"/>
  <c r="G43" i="1"/>
  <c r="L61" i="1"/>
  <c r="M37" i="1"/>
  <c r="L55" i="1" s="1"/>
  <c r="M45" i="1"/>
  <c r="L63" i="1" s="1"/>
  <c r="G37" i="1"/>
  <c r="G45" i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<sst xmlns="http://schemas.openxmlformats.org/spreadsheetml/2006/main" count="457" uniqueCount="111">
  <si>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</si>
  <si>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</si>
  <si>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</si>
  <si>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</si>
  <si>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</si>
  <si>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</si>
  <si>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</si>
  <si>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</si>
  <si>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</si>
  <si>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</si>
  <si>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</si>
  <si>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</si>
  <si>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</si>
  <si>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</si>
  <si>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</si>
  <si>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</si>
  <si>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</si>
  <si>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</si>
  <si>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</si>
  <si>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</si>
  <si>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</si>
  <si>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</si>
  <si>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</si>
  <si>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</si>
  <si>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</si>
  <si>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</si>
  <si>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</si>
  <si>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</si>
  <si>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</si>
  <si>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</si>
  <si>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</si>
  <si>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</si>
  <si>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</si>
  <si>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</si>
  <si>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</si>
  <si>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</si>
  <si>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</si>
  <si>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</si>
  <si>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</si>
  <si>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</si>
  <si>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</si>
  <si>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</si>
  <si>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</si>
  <si>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</si>
  <si>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</si>
  <si>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</si>
  <si>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</si>
  <si>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</si>
  <si>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</si>
  <si>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</si>
  <si>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</si>
  <si>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</si>
  <si>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</si>
  <si>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</si>
  <si>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</si>
  <si>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</si>
  <si>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</si>
  <si>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</si>
  <si>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</si>
  <si>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</si>
  <si>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</si>
  <si>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</si>
  <si>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</si>
  <si>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</si>
  <si>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</si>
  <si>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</si>
  <si>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</si>
  <si>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</si>
  <si>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</si>
  <si>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</si>
  <si>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</si>
  <si>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</si>
  <si>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</si>
  <si>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</si>
  <si>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</si>
  <si>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</si>
  <si>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</si>
  <si>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</si>
  <si>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</si>
  <si>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</si>
  <si>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</si>
  <si>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</si>
  <si>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</si>
  <si>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</si>
  <si>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</si>
  <si>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</si>
  <si>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</si>
  <si>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</si>
  <si>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</si>
  <si>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</si>
  <si>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</si>
  <si>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</si>
  <si>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</si>
  <si>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</si>
  <si>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</si>
  <si>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</si>
  <si>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Francesco, Dhanush</t>
  </si>
  <si>
    <t>474 Timing Filter Amp - ORTEC</t>
  </si>
  <si>
    <t>GE11-X-S-CERN-0001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</si>
  <si>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</si>
  <si>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</si>
  <si>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</si>
  <si>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</si>
  <si>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</si>
  <si>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</si>
  <si>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</si>
  <si>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</si>
  <si>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</si>
  <si>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</si>
  <si>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</si>
  <si>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2 layers Cu tape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</si>
</sst>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1" fillId="3" borderId="1" xfId="0" applyFont="1" applyFill="1" applyBorder="1" applyProtection="1"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479.04881944072383</c:v>
                  </c:pt>
                  <c:pt idx="1">
                    <c:v>320.07863533505542</c:v>
                  </c:pt>
                  <c:pt idx="2">
                    <c:v>215.99320245584599</c:v>
                  </c:pt>
                  <c:pt idx="3">
                    <c:v>147.4317821140634</c:v>
                  </c:pt>
                  <c:pt idx="4">
                    <c:v>97.039544132273846</c:v>
                  </c:pt>
                  <c:pt idx="5">
                    <c:v>66.795412656045514</c:v>
                  </c:pt>
                  <c:pt idx="6">
                    <c:v>46.142986817875105</c:v>
                  </c:pt>
                  <c:pt idx="7">
                    <c:v>31.515408182563025</c:v>
                  </c:pt>
                  <c:pt idx="8">
                    <c:v>21.92420098783958</c:v>
                  </c:pt>
                  <c:pt idx="9">
                    <c:v>15.201027366176611</c:v>
                  </c:pt>
                  <c:pt idx="10">
                    <c:v>10.809868896443286</c:v>
                  </c:pt>
                  <c:pt idx="11">
                    <c:v>7.4561400075144482</c:v>
                  </c:pt>
                  <c:pt idx="12">
                    <c:v>5.4508161920461378</c:v>
                  </c:pt>
                  <c:pt idx="13">
                    <c:v>4.0768758826570792</c:v>
                  </c:pt>
                  <c:pt idx="14">
                    <c:v>2.8633569170601509</c:v>
                  </c:pt>
                  <c:pt idx="15">
                    <c:v>2.2479381068687205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479.04881944072383</c:v>
                  </c:pt>
                  <c:pt idx="1">
                    <c:v>320.07863533505542</c:v>
                  </c:pt>
                  <c:pt idx="2">
                    <c:v>215.99320245584599</c:v>
                  </c:pt>
                  <c:pt idx="3">
                    <c:v>147.4317821140634</c:v>
                  </c:pt>
                  <c:pt idx="4">
                    <c:v>97.039544132273846</c:v>
                  </c:pt>
                  <c:pt idx="5">
                    <c:v>66.795412656045514</c:v>
                  </c:pt>
                  <c:pt idx="6">
                    <c:v>46.142986817875105</c:v>
                  </c:pt>
                  <c:pt idx="7">
                    <c:v>31.515408182563025</c:v>
                  </c:pt>
                  <c:pt idx="8">
                    <c:v>21.92420098783958</c:v>
                  </c:pt>
                  <c:pt idx="9">
                    <c:v>15.201027366176611</c:v>
                  </c:pt>
                  <c:pt idx="10">
                    <c:v>10.809868896443286</c:v>
                  </c:pt>
                  <c:pt idx="11">
                    <c:v>7.4561400075144482</c:v>
                  </c:pt>
                  <c:pt idx="12">
                    <c:v>5.4508161920461378</c:v>
                  </c:pt>
                  <c:pt idx="13">
                    <c:v>4.0768758826570792</c:v>
                  </c:pt>
                  <c:pt idx="14">
                    <c:v>2.8633569170601509</c:v>
                  </c:pt>
                  <c:pt idx="15">
                    <c:v>2.2479381068687205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692.80786161654157</c:v>
                </c:pt>
                <c:pt idx="1">
                  <c:v>682.91060645059088</c:v>
                </c:pt>
                <c:pt idx="2">
                  <c:v>673.01335128464029</c:v>
                </c:pt>
                <c:pt idx="3">
                  <c:v>663.11609611868971</c:v>
                </c:pt>
                <c:pt idx="4">
                  <c:v>653.21884095273913</c:v>
                </c:pt>
                <c:pt idx="5">
                  <c:v>643.32158578678855</c:v>
                </c:pt>
                <c:pt idx="6">
                  <c:v>633.42433062083796</c:v>
                </c:pt>
                <c:pt idx="7">
                  <c:v>623.52707545488738</c:v>
                </c:pt>
                <c:pt idx="8">
                  <c:v>613.62982028893668</c:v>
                </c:pt>
                <c:pt idx="9">
                  <c:v>603.73256512298622</c:v>
                </c:pt>
                <c:pt idx="10">
                  <c:v>593.83530995703552</c:v>
                </c:pt>
                <c:pt idx="11">
                  <c:v>583.93805479108505</c:v>
                </c:pt>
                <c:pt idx="12">
                  <c:v>574.04079962513435</c:v>
                </c:pt>
                <c:pt idx="13">
                  <c:v>564.14354445918377</c:v>
                </c:pt>
                <c:pt idx="14">
                  <c:v>554.24628929323319</c:v>
                </c:pt>
                <c:pt idx="15">
                  <c:v>544.34903412728261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48827.53117602742</c:v>
                </c:pt>
                <c:pt idx="1">
                  <c:v>33506.752930752875</c:v>
                </c:pt>
                <c:pt idx="2">
                  <c:v>22309.977166961646</c:v>
                </c:pt>
                <c:pt idx="3">
                  <c:v>15089.117715136425</c:v>
                </c:pt>
                <c:pt idx="4">
                  <c:v>10179.924782989776</c:v>
                </c:pt>
                <c:pt idx="5">
                  <c:v>6910.8260818107392</c:v>
                </c:pt>
                <c:pt idx="6">
                  <c:v>4789.0509250548994</c:v>
                </c:pt>
                <c:pt idx="7">
                  <c:v>3285.3105879167865</c:v>
                </c:pt>
                <c:pt idx="8">
                  <c:v>2282.3824949433156</c:v>
                </c:pt>
                <c:pt idx="9">
                  <c:v>1572.4190464741064</c:v>
                </c:pt>
                <c:pt idx="10">
                  <c:v>1104.6548277503568</c:v>
                </c:pt>
                <c:pt idx="11">
                  <c:v>770.69836640468407</c:v>
                </c:pt>
                <c:pt idx="12">
                  <c:v>553.94002838991207</c:v>
                </c:pt>
                <c:pt idx="13">
                  <c:v>391.19073068181712</c:v>
                </c:pt>
                <c:pt idx="14">
                  <c:v>273.98039289872668</c:v>
                </c:pt>
                <c:pt idx="15">
                  <c:v>195.28324550045068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7.4819969111045328</c:v>
                  </c:pt>
                  <c:pt idx="1">
                    <c:v>7.501870137209492</c:v>
                  </c:pt>
                  <c:pt idx="2">
                    <c:v>7.4670014805885181</c:v>
                  </c:pt>
                  <c:pt idx="3">
                    <c:v>7.4150747355190783</c:v>
                  </c:pt>
                  <c:pt idx="4">
                    <c:v>7.3246918782370027</c:v>
                  </c:pt>
                  <c:pt idx="5">
                    <c:v>7.20744214144118</c:v>
                  </c:pt>
                  <c:pt idx="6">
                    <c:v>7.0013490763487063</c:v>
                  </c:pt>
                  <c:pt idx="7">
                    <c:v>6.6091897301324982</c:v>
                  </c:pt>
                  <c:pt idx="8">
                    <c:v>5.438188015220593</c:v>
                  </c:pt>
                  <c:pt idx="9">
                    <c:v>4.3927338994197118</c:v>
                  </c:pt>
                  <c:pt idx="10">
                    <c:v>3.3446889906902322</c:v>
                  </c:pt>
                  <c:pt idx="11">
                    <c:v>1.6691647944739043</c:v>
                  </c:pt>
                  <c:pt idx="12">
                    <c:v>0.33952581312438934</c:v>
                  </c:pt>
                  <c:pt idx="13">
                    <c:v>0.1092906420717</c:v>
                  </c:pt>
                  <c:pt idx="14">
                    <c:v>0.10929064207170001</c:v>
                  </c:pt>
                  <c:pt idx="15">
                    <c:v>0.10274023338281627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7.4819969111045328</c:v>
                  </c:pt>
                  <c:pt idx="1">
                    <c:v>7.501870137209492</c:v>
                  </c:pt>
                  <c:pt idx="2">
                    <c:v>7.4670014805885181</c:v>
                  </c:pt>
                  <c:pt idx="3">
                    <c:v>7.4150747355190783</c:v>
                  </c:pt>
                  <c:pt idx="4">
                    <c:v>7.3246918782370027</c:v>
                  </c:pt>
                  <c:pt idx="5">
                    <c:v>7.20744214144118</c:v>
                  </c:pt>
                  <c:pt idx="6">
                    <c:v>7.0013490763487063</c:v>
                  </c:pt>
                  <c:pt idx="7">
                    <c:v>6.6091897301324982</c:v>
                  </c:pt>
                  <c:pt idx="8">
                    <c:v>5.438188015220593</c:v>
                  </c:pt>
                  <c:pt idx="9">
                    <c:v>4.3927338994197118</c:v>
                  </c:pt>
                  <c:pt idx="10">
                    <c:v>3.3446889906902322</c:v>
                  </c:pt>
                  <c:pt idx="11">
                    <c:v>1.6691647944739043</c:v>
                  </c:pt>
                  <c:pt idx="12">
                    <c:v>0.33952581312438934</c:v>
                  </c:pt>
                  <c:pt idx="13">
                    <c:v>0.1092906420717</c:v>
                  </c:pt>
                  <c:pt idx="14">
                    <c:v>0.10929064207170001</c:v>
                  </c:pt>
                  <c:pt idx="15">
                    <c:v>0.10274023338281627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692.80786161654157</c:v>
                </c:pt>
                <c:pt idx="1">
                  <c:v>682.91060645059088</c:v>
                </c:pt>
                <c:pt idx="2">
                  <c:v>673.01335128464029</c:v>
                </c:pt>
                <c:pt idx="3">
                  <c:v>663.11609611868971</c:v>
                </c:pt>
                <c:pt idx="4">
                  <c:v>653.21884095273913</c:v>
                </c:pt>
                <c:pt idx="5">
                  <c:v>643.32158578678855</c:v>
                </c:pt>
                <c:pt idx="6">
                  <c:v>633.42433062083796</c:v>
                </c:pt>
                <c:pt idx="7">
                  <c:v>623.52707545488738</c:v>
                </c:pt>
                <c:pt idx="8">
                  <c:v>613.62982028893668</c:v>
                </c:pt>
                <c:pt idx="9">
                  <c:v>603.73256512298622</c:v>
                </c:pt>
                <c:pt idx="10">
                  <c:v>593.83530995703552</c:v>
                </c:pt>
                <c:pt idx="11">
                  <c:v>583.93805479108505</c:v>
                </c:pt>
                <c:pt idx="12">
                  <c:v>574.04079962513435</c:v>
                </c:pt>
                <c:pt idx="13">
                  <c:v>564.14354445918377</c:v>
                </c:pt>
                <c:pt idx="14">
                  <c:v>554.24628929323319</c:v>
                </c:pt>
                <c:pt idx="15">
                  <c:v>544.34903412728261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3351.35</c:v>
                </c:pt>
                <c:pt idx="1">
                  <c:v>3369.8166666666666</c:v>
                </c:pt>
                <c:pt idx="2">
                  <c:v>3338.7666666666669</c:v>
                </c:pt>
                <c:pt idx="3">
                  <c:v>3294.7</c:v>
                </c:pt>
                <c:pt idx="4">
                  <c:v>3215.9</c:v>
                </c:pt>
                <c:pt idx="5">
                  <c:v>3113.7</c:v>
                </c:pt>
                <c:pt idx="6">
                  <c:v>2938.7666666666669</c:v>
                </c:pt>
                <c:pt idx="7">
                  <c:v>2618.9833333333331</c:v>
                </c:pt>
                <c:pt idx="8">
                  <c:v>1773.1</c:v>
                </c:pt>
                <c:pt idx="9">
                  <c:v>1156.7666666666667</c:v>
                </c:pt>
                <c:pt idx="10">
                  <c:v>670.15</c:v>
                </c:pt>
                <c:pt idx="11">
                  <c:v>166.43333333333334</c:v>
                </c:pt>
                <c:pt idx="12">
                  <c:v>6.416666666666667</c:v>
                </c:pt>
                <c:pt idx="13">
                  <c:v>0.25</c:v>
                </c:pt>
                <c:pt idx="14">
                  <c:v>0.35</c:v>
                </c:pt>
                <c:pt idx="15">
                  <c:v>0.23333333333333334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cr7/Desktop/QC5-T:P_Study/QC5_Excel/QC5_GE11-X-S-CERN-0001_QC5_201706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3.3207925215000008E-12</v>
          </cell>
          <cell r="B7">
            <v>1.3924108648994989E-13</v>
          </cell>
          <cell r="C7">
            <v>-3.2955540550000001E-11</v>
          </cell>
          <cell r="D7">
            <v>2.3660482329622138E-13</v>
          </cell>
        </row>
      </sheetData>
      <sheetData sheetId="2">
        <row r="7">
          <cell r="A7">
            <v>3.7437075739999994E-12</v>
          </cell>
          <cell r="B7">
            <v>1.4989720283711893E-13</v>
          </cell>
          <cell r="C7">
            <v>-4.7151616100000012E-11</v>
          </cell>
          <cell r="D7">
            <v>2.5607199287051549E-13</v>
          </cell>
        </row>
      </sheetData>
      <sheetData sheetId="3">
        <row r="7">
          <cell r="A7">
            <v>4.5986326099999993E-12</v>
          </cell>
          <cell r="B7">
            <v>2.1371786849638695E-13</v>
          </cell>
          <cell r="C7">
            <v>-6.8069993950000021E-11</v>
          </cell>
          <cell r="D7">
            <v>3.6136689842968165E-13</v>
          </cell>
        </row>
      </sheetData>
      <sheetData sheetId="4">
        <row r="7">
          <cell r="A7">
            <v>4.5258729934999979E-12</v>
          </cell>
          <cell r="B7">
            <v>2.007307571128784E-13</v>
          </cell>
          <cell r="C7">
            <v>-9.8375494300000065E-11</v>
          </cell>
          <cell r="D7">
            <v>4.3399722208074278E-13</v>
          </cell>
        </row>
      </sheetData>
      <sheetData sheetId="5">
        <row r="7">
          <cell r="A7">
            <v>3.6243364469999991E-12</v>
          </cell>
          <cell r="B7">
            <v>1.6609958720730187E-13</v>
          </cell>
          <cell r="C7">
            <v>-1.39542634E-10</v>
          </cell>
          <cell r="D7">
            <v>5.9058081349682631E-13</v>
          </cell>
        </row>
      </sheetData>
      <sheetData sheetId="6">
        <row r="7">
          <cell r="A7">
            <v>3.9949554975000009E-12</v>
          </cell>
          <cell r="B7">
            <v>1.5836393180313444E-13</v>
          </cell>
          <cell r="C7">
            <v>-2.0120865200000002E-10</v>
          </cell>
          <cell r="D7">
            <v>9.1612330199749479E-13</v>
          </cell>
        </row>
      </sheetData>
      <sheetData sheetId="7">
        <row r="7">
          <cell r="A7">
            <v>3.9983660714999979E-12</v>
          </cell>
          <cell r="B7">
            <v>1.4278189738350588E-13</v>
          </cell>
          <cell r="C7">
            <v>-2.8809836200000009E-10</v>
          </cell>
          <cell r="D7">
            <v>1.2387008831845932E-12</v>
          </cell>
        </row>
      </sheetData>
      <sheetData sheetId="8">
        <row r="7">
          <cell r="A7">
            <v>3.5606717504999962E-12</v>
          </cell>
          <cell r="B7">
            <v>1.4254664975711583E-13</v>
          </cell>
          <cell r="C7">
            <v>-4.204207475E-10</v>
          </cell>
          <cell r="D7">
            <v>1.744276956573017E-12</v>
          </cell>
        </row>
      </sheetData>
      <sheetData sheetId="9">
        <row r="7">
          <cell r="A7">
            <v>4.0472514790000013E-12</v>
          </cell>
          <cell r="B7">
            <v>2.4172304659422388E-13</v>
          </cell>
          <cell r="C7">
            <v>-6.0624074750000004E-10</v>
          </cell>
          <cell r="D7">
            <v>2.4888688727455239E-12</v>
          </cell>
        </row>
      </sheetData>
      <sheetData sheetId="10">
        <row r="7">
          <cell r="A7">
            <v>3.3242030455000026E-12</v>
          </cell>
          <cell r="B7">
            <v>2.0767060078020762E-13</v>
          </cell>
          <cell r="C7">
            <v>-8.8630258499999997E-10</v>
          </cell>
          <cell r="D7">
            <v>3.7265570969189996E-12</v>
          </cell>
        </row>
      </sheetData>
      <sheetData sheetId="11">
        <row r="7">
          <cell r="A7">
            <v>2.447677638000001E-12</v>
          </cell>
          <cell r="B7">
            <v>2.2664685759545544E-13</v>
          </cell>
          <cell r="C7">
            <v>-1.2813256850000005E-9</v>
          </cell>
          <cell r="D7">
            <v>5.4697843235505799E-12</v>
          </cell>
        </row>
      </sheetData>
      <sheetData sheetId="12">
        <row r="7">
          <cell r="A7">
            <v>2.9319835844999987E-12</v>
          </cell>
          <cell r="B7">
            <v>2.4005354549868657E-13</v>
          </cell>
          <cell r="C7">
            <v>-1.8881178149999989E-9</v>
          </cell>
          <cell r="D7">
            <v>7.4732479959350781E-12</v>
          </cell>
        </row>
      </sheetData>
      <sheetData sheetId="13">
        <row r="7">
          <cell r="A7">
            <v>2.9353941739999985E-12</v>
          </cell>
          <cell r="B7">
            <v>3.3949228839539682E-13</v>
          </cell>
          <cell r="C7">
            <v>-2.8000590899999986E-9</v>
          </cell>
          <cell r="D7">
            <v>1.2603759682030255E-11</v>
          </cell>
        </row>
      </sheetData>
      <sheetData sheetId="14">
        <row r="7">
          <cell r="A7">
            <v>1.0459203450000016E-13</v>
          </cell>
          <cell r="B7">
            <v>2.6878152641605128E-12</v>
          </cell>
          <cell r="C7">
            <v>-4.1442558750000007E-9</v>
          </cell>
          <cell r="D7">
            <v>1.762026258959207E-11</v>
          </cell>
        </row>
      </sheetData>
      <sheetData sheetId="15">
        <row r="7">
          <cell r="A7">
            <v>-6.6165712199999998E-13</v>
          </cell>
          <cell r="B7">
            <v>2.6806363485805254E-12</v>
          </cell>
          <cell r="C7">
            <v>-6.2249648550000039E-9</v>
          </cell>
          <cell r="D7">
            <v>2.4767763206217594E-11</v>
          </cell>
        </row>
      </sheetData>
      <sheetData sheetId="16">
        <row r="7">
          <cell r="A7">
            <v>4.8430589649999995E-13</v>
          </cell>
          <cell r="B7">
            <v>7.5405857587092001E-13</v>
          </cell>
          <cell r="C7">
            <v>-9.0698472500000013E-9</v>
          </cell>
          <cell r="D7">
            <v>4.1581101414548565E-11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H15" workbookViewId="0">
      <selection activeCell="F6" sqref="F6:R21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60" t="s">
        <v>81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63" t="s">
        <v>7</v>
      </c>
      <c r="G2" s="64"/>
      <c r="H2" s="64"/>
      <c r="I2" s="64"/>
      <c r="J2" s="65"/>
      <c r="K2" s="66" t="s">
        <v>47</v>
      </c>
      <c r="L2" s="64"/>
      <c r="M2" s="64"/>
      <c r="N2" s="65"/>
      <c r="O2" s="66" t="s">
        <v>48</v>
      </c>
      <c r="P2" s="64"/>
      <c r="Q2" s="64"/>
      <c r="R2" s="67"/>
    </row>
    <row r="3" spans="1:18" ht="16">
      <c r="A3" s="43" t="s">
        <v>1</v>
      </c>
      <c r="B3" s="44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5"/>
      <c r="B4" s="46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57" t="s">
        <v>60</v>
      </c>
      <c r="F6" s="13">
        <v>3696.6</v>
      </c>
      <c r="G6" s="14">
        <v>700</v>
      </c>
      <c r="H6" s="15">
        <v>2</v>
      </c>
      <c r="I6" s="16">
        <v>969</v>
      </c>
      <c r="J6" s="17">
        <v>22.3</v>
      </c>
      <c r="K6" s="18">
        <v>224</v>
      </c>
      <c r="L6" s="12">
        <f>SQRT(K6)</f>
        <v>14.966629547095765</v>
      </c>
      <c r="M6" s="14">
        <v>201305</v>
      </c>
      <c r="N6" s="23">
        <f>SQRT(M6)</f>
        <v>448.67025753887452</v>
      </c>
      <c r="O6" s="40">
        <f>'[1]700uA'!A7</f>
        <v>4.8430589649999995E-13</v>
      </c>
      <c r="P6" s="12">
        <f>'[1]700uA'!B7</f>
        <v>7.5405857587092001E-13</v>
      </c>
      <c r="Q6" s="41">
        <f>'[1]700uA'!C7</f>
        <v>-9.0698472500000013E-9</v>
      </c>
      <c r="R6" s="41">
        <f>'[1]700uA'!D7</f>
        <v>4.1581101414548565E-11</v>
      </c>
    </row>
    <row r="7" spans="1:18">
      <c r="A7" s="9" t="s">
        <v>3</v>
      </c>
      <c r="B7" s="11">
        <v>4</v>
      </c>
      <c r="C7"/>
      <c r="D7"/>
      <c r="E7" s="58"/>
      <c r="F7" s="13">
        <v>3646.8</v>
      </c>
      <c r="G7" s="14">
        <v>690</v>
      </c>
      <c r="H7" s="15"/>
      <c r="I7" s="16">
        <v>969</v>
      </c>
      <c r="J7" s="17">
        <v>22.3</v>
      </c>
      <c r="K7" s="18">
        <v>206</v>
      </c>
      <c r="L7" s="12">
        <f t="shared" ref="L7:L21" si="0">SQRT(K7)</f>
        <v>14.352700094407323</v>
      </c>
      <c r="M7" s="18">
        <v>202395</v>
      </c>
      <c r="N7" s="23">
        <f t="shared" ref="N7:N21" si="1">SQRT(M7)</f>
        <v>449.88331820595437</v>
      </c>
      <c r="O7" s="40">
        <f>'[1]690uA'!A7</f>
        <v>-6.6165712199999998E-13</v>
      </c>
      <c r="P7" s="41">
        <f>'[1]690uA'!B7</f>
        <v>2.6806363485805254E-12</v>
      </c>
      <c r="Q7" s="41">
        <f>'[1]690uA'!C7</f>
        <v>-6.2249648550000039E-9</v>
      </c>
      <c r="R7" s="41">
        <f>'[1]690uA'!D7</f>
        <v>2.4767763206217594E-11</v>
      </c>
    </row>
    <row r="8" spans="1:18">
      <c r="A8" s="9" t="s">
        <v>28</v>
      </c>
      <c r="B8" s="11">
        <v>500</v>
      </c>
      <c r="C8"/>
      <c r="D8"/>
      <c r="E8" s="58"/>
      <c r="F8" s="13">
        <v>3593.8</v>
      </c>
      <c r="G8" s="14">
        <v>680</v>
      </c>
      <c r="H8" s="15"/>
      <c r="I8" s="16">
        <v>969</v>
      </c>
      <c r="J8" s="17">
        <v>22.3</v>
      </c>
      <c r="K8" s="18">
        <v>198</v>
      </c>
      <c r="L8" s="12">
        <f t="shared" si="0"/>
        <v>14.071247279470288</v>
      </c>
      <c r="M8" s="14">
        <v>200524</v>
      </c>
      <c r="N8" s="23">
        <f t="shared" si="1"/>
        <v>447.79906208030405</v>
      </c>
      <c r="O8" s="40">
        <f>'[1]680uA'!A7</f>
        <v>1.0459203450000016E-13</v>
      </c>
      <c r="P8" s="41">
        <f>'[1]680uA'!B7</f>
        <v>2.6878152641605128E-12</v>
      </c>
      <c r="Q8" s="41">
        <f>'[1]680uA'!C7</f>
        <v>-4.1442558750000007E-9</v>
      </c>
      <c r="R8" s="41">
        <f>'[1]680uA'!D7</f>
        <v>1.762026258959207E-11</v>
      </c>
    </row>
    <row r="9" spans="1:18" ht="15" customHeight="1">
      <c r="A9" s="9" t="s">
        <v>29</v>
      </c>
      <c r="B9" s="11">
        <v>500</v>
      </c>
      <c r="C9" s="4"/>
      <c r="D9" s="6"/>
      <c r="E9" s="58"/>
      <c r="F9" s="13">
        <v>3541.6</v>
      </c>
      <c r="G9" s="14">
        <v>670</v>
      </c>
      <c r="H9" s="15"/>
      <c r="I9" s="16">
        <v>969</v>
      </c>
      <c r="J9" s="17">
        <v>22.3</v>
      </c>
      <c r="K9" s="18">
        <v>129</v>
      </c>
      <c r="L9" s="12">
        <f t="shared" si="0"/>
        <v>11.357816691600547</v>
      </c>
      <c r="M9" s="14">
        <v>197811</v>
      </c>
      <c r="N9" s="23">
        <f t="shared" si="1"/>
        <v>444.75948556495115</v>
      </c>
      <c r="O9" s="40">
        <f>'[1]670uA'!A7</f>
        <v>2.9353941739999985E-12</v>
      </c>
      <c r="P9" s="41">
        <f>'[1]670uA'!B7</f>
        <v>3.3949228839539682E-13</v>
      </c>
      <c r="Q9" s="41">
        <f>'[1]670uA'!C7</f>
        <v>-2.8000590899999986E-9</v>
      </c>
      <c r="R9" s="41">
        <f>'[1]670uA'!D7</f>
        <v>1.2603759682030255E-11</v>
      </c>
    </row>
    <row r="10" spans="1:18">
      <c r="A10" s="43" t="s">
        <v>23</v>
      </c>
      <c r="B10" s="44"/>
      <c r="C10" s="4"/>
      <c r="D10" s="6"/>
      <c r="E10" s="58"/>
      <c r="F10" s="13">
        <v>3487.6</v>
      </c>
      <c r="G10" s="14">
        <v>660</v>
      </c>
      <c r="H10" s="15"/>
      <c r="I10" s="16">
        <v>969</v>
      </c>
      <c r="J10" s="17">
        <v>22.3</v>
      </c>
      <c r="K10" s="18">
        <v>95</v>
      </c>
      <c r="L10" s="12">
        <f t="shared" si="0"/>
        <v>9.7467943448089631</v>
      </c>
      <c r="M10" s="14">
        <v>193049</v>
      </c>
      <c r="N10" s="23">
        <f t="shared" si="1"/>
        <v>439.37341749359393</v>
      </c>
      <c r="O10" s="40">
        <f>'[1]660uA'!A7</f>
        <v>2.9319835844999987E-12</v>
      </c>
      <c r="P10" s="41">
        <f>'[1]660uA'!B7</f>
        <v>2.4005354549868657E-13</v>
      </c>
      <c r="Q10" s="41">
        <f>'[1]660uA'!C7</f>
        <v>-1.8881178149999989E-9</v>
      </c>
      <c r="R10" s="41">
        <f>'[1]660uA'!D7</f>
        <v>7.4732479959350781E-12</v>
      </c>
    </row>
    <row r="11" spans="1:18">
      <c r="A11" s="45"/>
      <c r="B11" s="46"/>
      <c r="C11" s="4"/>
      <c r="D11" s="6"/>
      <c r="E11" s="58"/>
      <c r="F11" s="13">
        <v>3434.6</v>
      </c>
      <c r="G11" s="14">
        <v>650</v>
      </c>
      <c r="H11" s="15"/>
      <c r="I11" s="16">
        <v>969</v>
      </c>
      <c r="J11" s="17">
        <v>22.3</v>
      </c>
      <c r="K11" s="18">
        <v>94</v>
      </c>
      <c r="L11" s="12">
        <f t="shared" si="0"/>
        <v>9.6953597148326587</v>
      </c>
      <c r="M11" s="14">
        <v>186916</v>
      </c>
      <c r="N11" s="23">
        <f t="shared" si="1"/>
        <v>432.33783086840782</v>
      </c>
      <c r="O11" s="40">
        <f>'[1]650uA'!A7</f>
        <v>2.447677638000001E-12</v>
      </c>
      <c r="P11" s="41">
        <f>'[1]650uA'!B7</f>
        <v>2.2664685759545544E-13</v>
      </c>
      <c r="Q11" s="41">
        <f>'[1]650uA'!C7</f>
        <v>-1.2813256850000005E-9</v>
      </c>
      <c r="R11" s="41">
        <f>'[1]650uA'!D7</f>
        <v>5.4697843235505799E-12</v>
      </c>
    </row>
    <row r="12" spans="1:18">
      <c r="A12" s="9" t="s">
        <v>57</v>
      </c>
      <c r="B12" s="11" t="s">
        <v>98</v>
      </c>
      <c r="C12" s="4"/>
      <c r="D12" s="6"/>
      <c r="E12" s="58"/>
      <c r="F12" s="13">
        <v>3381.8</v>
      </c>
      <c r="G12" s="14">
        <v>640</v>
      </c>
      <c r="H12" s="15"/>
      <c r="I12" s="16">
        <v>969</v>
      </c>
      <c r="J12" s="17">
        <v>22.3</v>
      </c>
      <c r="K12" s="18">
        <v>71</v>
      </c>
      <c r="L12" s="12">
        <f t="shared" si="0"/>
        <v>8.426149773176359</v>
      </c>
      <c r="M12" s="14">
        <v>176397</v>
      </c>
      <c r="N12" s="23">
        <f t="shared" si="1"/>
        <v>419.99642855624381</v>
      </c>
      <c r="O12" s="40">
        <f>'[1]640uA'!A7</f>
        <v>3.3242030455000026E-12</v>
      </c>
      <c r="P12" s="41">
        <f>'[1]640uA'!B7</f>
        <v>2.0767060078020762E-13</v>
      </c>
      <c r="Q12" s="41">
        <f>'[1]640uA'!C7</f>
        <v>-8.8630258499999997E-10</v>
      </c>
      <c r="R12" s="41">
        <f>'[1]640uA'!D7</f>
        <v>3.7265570969189996E-12</v>
      </c>
    </row>
    <row r="13" spans="1:18">
      <c r="A13" s="9" t="s">
        <v>45</v>
      </c>
      <c r="B13" s="11" t="s">
        <v>99</v>
      </c>
      <c r="C13" s="4"/>
      <c r="D13" s="6"/>
      <c r="E13" s="58"/>
      <c r="F13" s="13">
        <v>3329.4</v>
      </c>
      <c r="G13" s="14">
        <v>630</v>
      </c>
      <c r="H13" s="15"/>
      <c r="I13" s="16">
        <v>969</v>
      </c>
      <c r="J13" s="17">
        <v>22.3</v>
      </c>
      <c r="K13" s="18">
        <v>57</v>
      </c>
      <c r="L13" s="12">
        <f t="shared" si="0"/>
        <v>7.5498344352707498</v>
      </c>
      <c r="M13" s="14">
        <v>157196</v>
      </c>
      <c r="N13" s="23">
        <f t="shared" si="1"/>
        <v>396.47950766716809</v>
      </c>
      <c r="O13" s="40">
        <f>'[1]630uA'!A7</f>
        <v>4.0472514790000013E-12</v>
      </c>
      <c r="P13" s="41">
        <f>'[1]630uA'!B7</f>
        <v>2.4172304659422388E-13</v>
      </c>
      <c r="Q13" s="41">
        <f>'[1]630uA'!C7</f>
        <v>-6.0624074750000004E-10</v>
      </c>
      <c r="R13" s="41">
        <f>'[1]630uA'!D7</f>
        <v>2.4888688727455239E-12</v>
      </c>
    </row>
    <row r="14" spans="1:18">
      <c r="A14" s="9" t="s">
        <v>54</v>
      </c>
      <c r="B14" s="11" t="s">
        <v>100</v>
      </c>
      <c r="C14" s="4"/>
      <c r="D14" s="6"/>
      <c r="E14" s="58"/>
      <c r="F14" s="13">
        <v>3276.4</v>
      </c>
      <c r="G14" s="14">
        <v>620</v>
      </c>
      <c r="H14" s="15"/>
      <c r="I14" s="16">
        <v>969</v>
      </c>
      <c r="J14" s="17">
        <v>22.3</v>
      </c>
      <c r="K14" s="18">
        <v>40</v>
      </c>
      <c r="L14" s="12">
        <f t="shared" si="0"/>
        <v>6.324555320336759</v>
      </c>
      <c r="M14" s="14">
        <v>106426</v>
      </c>
      <c r="N14" s="23">
        <f t="shared" si="1"/>
        <v>326.22998022867245</v>
      </c>
      <c r="O14" s="40">
        <f>'[1]620uA'!A7</f>
        <v>3.5606717504999962E-12</v>
      </c>
      <c r="P14" s="41">
        <f>'[1]620uA'!B7</f>
        <v>1.4254664975711583E-13</v>
      </c>
      <c r="Q14" s="41">
        <f>'[1]620uA'!C7</f>
        <v>-4.204207475E-10</v>
      </c>
      <c r="R14" s="41">
        <f>'[1]620uA'!D7</f>
        <v>1.744276956573017E-12</v>
      </c>
    </row>
    <row r="15" spans="1:18">
      <c r="A15" s="9" t="s">
        <v>55</v>
      </c>
      <c r="B15" s="11" t="s">
        <v>101</v>
      </c>
      <c r="C15" s="4"/>
      <c r="D15" s="6"/>
      <c r="E15" s="58"/>
      <c r="F15" s="13">
        <v>3223.6</v>
      </c>
      <c r="G15" s="14">
        <v>610</v>
      </c>
      <c r="H15" s="15"/>
      <c r="I15" s="16">
        <v>969</v>
      </c>
      <c r="J15" s="17">
        <v>22.3</v>
      </c>
      <c r="K15" s="18">
        <v>30</v>
      </c>
      <c r="L15" s="12">
        <f t="shared" si="0"/>
        <v>5.4772255750516612</v>
      </c>
      <c r="M15" s="14">
        <v>69436</v>
      </c>
      <c r="N15" s="23">
        <f t="shared" si="1"/>
        <v>263.50711565344869</v>
      </c>
      <c r="O15" s="40">
        <f>'[1]610uA'!A7</f>
        <v>3.9983660714999979E-12</v>
      </c>
      <c r="P15" s="41">
        <f>'[1]610uA'!B7</f>
        <v>1.4278189738350588E-13</v>
      </c>
      <c r="Q15" s="41">
        <f>'[1]610uA'!C7</f>
        <v>-2.8809836200000009E-10</v>
      </c>
      <c r="R15" s="41">
        <f>'[1]610uA'!D7</f>
        <v>1.2387008831845932E-12</v>
      </c>
    </row>
    <row r="16" spans="1:18">
      <c r="A16" s="9" t="s">
        <v>49</v>
      </c>
      <c r="B16" s="11">
        <v>5</v>
      </c>
      <c r="C16" s="4"/>
      <c r="D16" s="6"/>
      <c r="E16" s="58"/>
      <c r="F16" s="13">
        <v>3170.8</v>
      </c>
      <c r="G16" s="14">
        <v>600</v>
      </c>
      <c r="H16" s="15"/>
      <c r="I16" s="16">
        <v>969</v>
      </c>
      <c r="J16" s="17">
        <v>22.3</v>
      </c>
      <c r="K16" s="18">
        <v>32</v>
      </c>
      <c r="L16" s="12">
        <f t="shared" si="0"/>
        <v>5.6568542494923806</v>
      </c>
      <c r="M16" s="14">
        <v>40241</v>
      </c>
      <c r="N16" s="23">
        <f t="shared" si="1"/>
        <v>200.60159520801423</v>
      </c>
      <c r="O16" s="40">
        <f>'[1]600uA'!A7</f>
        <v>3.9949554975000009E-12</v>
      </c>
      <c r="P16" s="41">
        <f>'[1]600uA'!B7</f>
        <v>1.5836393180313444E-13</v>
      </c>
      <c r="Q16" s="41">
        <f>'[1]600uA'!C7</f>
        <v>-2.0120865200000002E-10</v>
      </c>
      <c r="R16" s="41">
        <f>'[1]600uA'!D7</f>
        <v>9.1612330199749479E-13</v>
      </c>
    </row>
    <row r="17" spans="1:20">
      <c r="A17" s="9" t="s">
        <v>62</v>
      </c>
      <c r="B17" s="11">
        <v>5.2380000000000004</v>
      </c>
      <c r="C17" s="4"/>
      <c r="D17" s="6"/>
      <c r="E17" s="58"/>
      <c r="F17" s="13">
        <v>3118.4</v>
      </c>
      <c r="G17" s="14">
        <v>590</v>
      </c>
      <c r="H17" s="15"/>
      <c r="I17" s="16">
        <v>969</v>
      </c>
      <c r="J17" s="17">
        <v>22.3</v>
      </c>
      <c r="K17" s="18">
        <v>22</v>
      </c>
      <c r="L17" s="12">
        <f t="shared" si="0"/>
        <v>4.6904157598234297</v>
      </c>
      <c r="M17" s="14">
        <v>10008</v>
      </c>
      <c r="N17" s="23">
        <f t="shared" si="1"/>
        <v>100.03999200319841</v>
      </c>
      <c r="O17" s="40">
        <f>'[1]590uA'!A7</f>
        <v>3.6243364469999991E-12</v>
      </c>
      <c r="P17" s="41">
        <f>'[1]590uA'!B7</f>
        <v>1.6609958720730187E-13</v>
      </c>
      <c r="Q17" s="41">
        <f>'[1]590uA'!C7</f>
        <v>-1.39542634E-10</v>
      </c>
      <c r="R17" s="41">
        <f>'[1]590uA'!D7</f>
        <v>5.9058081349682631E-13</v>
      </c>
    </row>
    <row r="18" spans="1:20" ht="14" customHeight="1">
      <c r="A18" s="9" t="s">
        <v>63</v>
      </c>
      <c r="B18" s="11">
        <v>4.6379999999999999</v>
      </c>
      <c r="C18" s="4"/>
      <c r="D18" s="6"/>
      <c r="E18" s="58"/>
      <c r="F18" s="13">
        <v>3065.4</v>
      </c>
      <c r="G18" s="14">
        <v>580</v>
      </c>
      <c r="H18" s="15"/>
      <c r="I18" s="16">
        <v>969</v>
      </c>
      <c r="J18" s="17">
        <v>22.3</v>
      </c>
      <c r="K18" s="18">
        <v>15</v>
      </c>
      <c r="L18" s="12">
        <f t="shared" si="0"/>
        <v>3.872983346207417</v>
      </c>
      <c r="M18" s="14">
        <v>400</v>
      </c>
      <c r="N18" s="23">
        <f t="shared" si="1"/>
        <v>20</v>
      </c>
      <c r="O18" s="40">
        <f>'[1]580uA'!A7</f>
        <v>4.5258729934999979E-12</v>
      </c>
      <c r="P18" s="41">
        <f>'[1]580uA'!B7</f>
        <v>2.007307571128784E-13</v>
      </c>
      <c r="Q18" s="41">
        <f>'[1]580uA'!C7</f>
        <v>-9.8375494300000065E-11</v>
      </c>
      <c r="R18" s="41">
        <f>'[1]580uA'!D7</f>
        <v>4.3399722208074278E-13</v>
      </c>
    </row>
    <row r="19" spans="1:20" ht="15" customHeight="1">
      <c r="A19" s="9" t="s">
        <v>64</v>
      </c>
      <c r="B19" s="11">
        <v>1.123</v>
      </c>
      <c r="C19" s="4"/>
      <c r="D19" s="6"/>
      <c r="E19" s="58"/>
      <c r="F19" s="13">
        <v>3012.8</v>
      </c>
      <c r="G19" s="14">
        <v>570</v>
      </c>
      <c r="H19" s="15"/>
      <c r="I19" s="16">
        <v>969</v>
      </c>
      <c r="J19" s="17">
        <v>22.3</v>
      </c>
      <c r="K19" s="18">
        <v>14</v>
      </c>
      <c r="L19" s="12">
        <f t="shared" si="0"/>
        <v>3.7416573867739413</v>
      </c>
      <c r="M19" s="14">
        <v>29</v>
      </c>
      <c r="N19" s="23">
        <f t="shared" si="1"/>
        <v>5.3851648071345037</v>
      </c>
      <c r="O19" s="40">
        <f>'[1]570uA'!A7</f>
        <v>4.5986326099999993E-12</v>
      </c>
      <c r="P19" s="41">
        <f>'[1]570uA'!B7</f>
        <v>2.1371786849638695E-13</v>
      </c>
      <c r="Q19" s="41">
        <f>'[1]570uA'!C7</f>
        <v>-6.8069993950000021E-11</v>
      </c>
      <c r="R19" s="41">
        <f>'[1]570uA'!D7</f>
        <v>3.6136689842968165E-13</v>
      </c>
    </row>
    <row r="20" spans="1:20">
      <c r="A20" s="9" t="s">
        <v>65</v>
      </c>
      <c r="B20" s="11">
        <v>0.56200000000000006</v>
      </c>
      <c r="C20" s="4"/>
      <c r="D20" s="6"/>
      <c r="E20" s="58"/>
      <c r="F20" s="13">
        <v>2960.2</v>
      </c>
      <c r="G20" s="14">
        <v>560</v>
      </c>
      <c r="H20" s="15"/>
      <c r="I20" s="16">
        <v>969</v>
      </c>
      <c r="J20" s="17">
        <v>22.3</v>
      </c>
      <c r="K20" s="18">
        <v>11</v>
      </c>
      <c r="L20" s="12">
        <f t="shared" si="0"/>
        <v>3.3166247903553998</v>
      </c>
      <c r="M20" s="14">
        <v>32</v>
      </c>
      <c r="N20" s="23">
        <f t="shared" si="1"/>
        <v>5.6568542494923806</v>
      </c>
      <c r="O20" s="40">
        <f>'[1]560uA'!A7</f>
        <v>3.7437075739999994E-12</v>
      </c>
      <c r="P20" s="41">
        <f>'[1]560uA'!B7</f>
        <v>1.4989720283711893E-13</v>
      </c>
      <c r="Q20" s="41">
        <f>'[1]560uA'!C7</f>
        <v>-4.7151616100000012E-11</v>
      </c>
      <c r="R20" s="41">
        <f>'[1]560uA'!D7</f>
        <v>2.5607199287051549E-13</v>
      </c>
    </row>
    <row r="21" spans="1:20">
      <c r="A21" s="9" t="s">
        <v>66</v>
      </c>
      <c r="B21" s="11">
        <v>0.437</v>
      </c>
      <c r="C21" s="4"/>
      <c r="D21" s="6"/>
      <c r="E21" s="59"/>
      <c r="F21" s="13">
        <v>2907.4</v>
      </c>
      <c r="G21" s="14">
        <v>550</v>
      </c>
      <c r="H21" s="15"/>
      <c r="I21" s="16">
        <v>969</v>
      </c>
      <c r="J21" s="17">
        <v>22.3</v>
      </c>
      <c r="K21" s="18">
        <v>12</v>
      </c>
      <c r="L21" s="12">
        <f t="shared" si="0"/>
        <v>3.4641016151377544</v>
      </c>
      <c r="M21" s="14">
        <v>26</v>
      </c>
      <c r="N21" s="23">
        <f t="shared" si="1"/>
        <v>5.0990195135927845</v>
      </c>
      <c r="O21" s="40">
        <f>'[1]550uA'!A7</f>
        <v>3.3207925215000008E-12</v>
      </c>
      <c r="P21" s="41">
        <f>'[1]550uA'!B7</f>
        <v>1.3924108648994989E-13</v>
      </c>
      <c r="Q21" s="41">
        <f>'[1]550uA'!C7</f>
        <v>-3.2955540550000001E-11</v>
      </c>
      <c r="R21" s="41">
        <f>'[1]550uA'!D7</f>
        <v>2.3660482329622138E-13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0.874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3"/>
      <c r="K23" s="54"/>
      <c r="L23" s="54"/>
      <c r="M23" s="55"/>
    </row>
    <row r="24" spans="1:20">
      <c r="A24" s="9" t="s">
        <v>69</v>
      </c>
      <c r="B24" s="11">
        <v>0.52500000000000002</v>
      </c>
      <c r="C24" s="5"/>
      <c r="D24" s="6"/>
      <c r="E24" s="19" t="s">
        <v>40</v>
      </c>
      <c r="F24" s="42">
        <v>346</v>
      </c>
      <c r="G24" s="8">
        <v>196</v>
      </c>
      <c r="H24" s="8">
        <v>322</v>
      </c>
      <c r="I24" s="8">
        <v>346</v>
      </c>
      <c r="J24" s="49" t="s">
        <v>41</v>
      </c>
      <c r="K24" s="49"/>
      <c r="L24" s="50">
        <v>1.602E-19</v>
      </c>
      <c r="M24" s="50"/>
    </row>
    <row r="25" spans="1:20">
      <c r="A25" s="9" t="s">
        <v>70</v>
      </c>
      <c r="B25" s="11">
        <v>0.625</v>
      </c>
      <c r="C25" s="5"/>
      <c r="D25" s="6"/>
      <c r="E25" s="19" t="s">
        <v>73</v>
      </c>
      <c r="F25" s="42">
        <v>2.9</v>
      </c>
      <c r="G25" s="8">
        <v>1.8</v>
      </c>
      <c r="H25" s="8">
        <v>2.8</v>
      </c>
      <c r="I25" s="8">
        <v>2.9</v>
      </c>
      <c r="J25" s="53"/>
      <c r="K25" s="54"/>
      <c r="L25" s="54"/>
      <c r="M25" s="55"/>
    </row>
    <row r="26" spans="1:20">
      <c r="A26" s="43" t="s">
        <v>0</v>
      </c>
      <c r="B26" s="44"/>
      <c r="D26" s="5"/>
      <c r="E26" s="52" t="s">
        <v>89</v>
      </c>
      <c r="F26" s="52"/>
      <c r="G26" s="52"/>
      <c r="H26" s="52"/>
      <c r="I26" s="52"/>
      <c r="J26" s="52"/>
      <c r="K26" s="52"/>
      <c r="L26" s="52"/>
      <c r="M26" s="52"/>
    </row>
    <row r="27" spans="1:20">
      <c r="A27" s="45"/>
      <c r="B27" s="46"/>
      <c r="E27" s="52"/>
      <c r="F27" s="52"/>
      <c r="G27" s="52"/>
      <c r="H27" s="52"/>
      <c r="I27" s="52"/>
      <c r="J27" s="52"/>
      <c r="K27" s="52"/>
      <c r="L27" s="52"/>
      <c r="M27" s="52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103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 t="shared" ref="E30:E45" si="2">G6*(AVERAGE($J$6:$J$21)+273.15)/(AVERAGE($I$6:$I$21))*($I$48/$I$49)</f>
        <v>692.80786161654157</v>
      </c>
      <c r="F30" s="29">
        <f t="shared" ref="F30:F45" si="3">F6*(AVERAGE($J$6:$J$21)+273.15)/(AVERAGE($I$6:$I$21))*($I$48/$I$49)</f>
        <v>3658.6193446452958</v>
      </c>
      <c r="G30" s="29">
        <f>E30*'Data Summary'!$B$18*(AVERAGE($J$6:$J$21)+273.15)/(AVERAGE($I$6:$I$21))*($I$48/$I$49)</f>
        <v>3180.2284517140329</v>
      </c>
      <c r="H30" s="31">
        <f>(M6-K6)/$B$42</f>
        <v>3351.35</v>
      </c>
      <c r="I30" s="32">
        <f>(1/$B$42)*SQRT(N6^2+L6^2)</f>
        <v>7.4819969111045328</v>
      </c>
      <c r="J30" s="33">
        <f>Q6-O6</f>
        <v>-9.0703315558965009E-9</v>
      </c>
      <c r="K30" s="33">
        <f>SQRT(P6^2+R6^2)</f>
        <v>4.1587938145366343E-11</v>
      </c>
      <c r="L30" s="32">
        <f>ABS(J30)/($H$30*$F$24*$L$24)</f>
        <v>48827.53117602742</v>
      </c>
      <c r="M30" s="33">
        <f>SQRT( ( 1 / ($H$30*$F$24*$L$24 ) )^2 * (K30^2+J30^2*( ($I$30/$H$30)^2+($F$25/$F$24)^2)))</f>
        <v>479.04881944072383</v>
      </c>
    </row>
    <row r="31" spans="1:20">
      <c r="A31" s="9" t="s">
        <v>27</v>
      </c>
      <c r="B31" s="11">
        <v>400</v>
      </c>
      <c r="E31" s="29">
        <f t="shared" si="2"/>
        <v>682.91060645059088</v>
      </c>
      <c r="F31" s="29">
        <f t="shared" si="3"/>
        <v>3609.3310139188625</v>
      </c>
      <c r="G31" s="29">
        <f>E31*'Data Summary'!$B$18*(AVERAGE($J$6:$J$21)+273.15)/(AVERAGE($I$6:$I$21))*($I$48/$I$49)</f>
        <v>3134.7966166895462</v>
      </c>
      <c r="H31" s="31">
        <f>(M7-K7)/$B$42</f>
        <v>3369.8166666666666</v>
      </c>
      <c r="I31" s="32">
        <f t="shared" ref="I31:I45" si="4">(1/$B$42)*SQRT(N7^2+L7^2)</f>
        <v>7.501870137209492</v>
      </c>
      <c r="J31" s="33">
        <f t="shared" ref="J31:J45" si="5">Q7-O7</f>
        <v>-6.2243031978780037E-9</v>
      </c>
      <c r="K31" s="33">
        <f t="shared" ref="K31:K45" si="6">SQRT(P7^2+R7^2)</f>
        <v>2.4912404650547026E-11</v>
      </c>
      <c r="L31" s="32">
        <f>ABS(J31)/($H$30*$F$24*$L$24)</f>
        <v>33506.752930752875</v>
      </c>
      <c r="M31" s="33">
        <f t="shared" ref="M31:M45" si="7">SQRT( ( 1 / ($H$30*$F$24*$L$24 ) )^2 * (K31^2+J31^2*( ($I$30/$H$30)^2+($F$25/$F$24)^2)))</f>
        <v>320.07863533505542</v>
      </c>
    </row>
    <row r="32" spans="1:20">
      <c r="A32" s="43" t="s">
        <v>52</v>
      </c>
      <c r="B32" s="44"/>
      <c r="E32" s="29">
        <f t="shared" si="2"/>
        <v>673.01335128464029</v>
      </c>
      <c r="F32" s="29">
        <f t="shared" si="3"/>
        <v>3556.8755615393238</v>
      </c>
      <c r="G32" s="29">
        <f>E32*'Data Summary'!$B$18*(AVERAGE($J$6:$J$21)+273.15)/(AVERAGE($I$6:$I$21))*($I$48/$I$49)</f>
        <v>3089.3647816650596</v>
      </c>
      <c r="H32" s="31">
        <f t="shared" ref="H32:H45" si="8">(M8-K8)/$B$42</f>
        <v>3338.7666666666669</v>
      </c>
      <c r="I32" s="32">
        <f t="shared" si="4"/>
        <v>7.4670014805885181</v>
      </c>
      <c r="J32" s="33">
        <f t="shared" si="5"/>
        <v>-4.1443604670345006E-9</v>
      </c>
      <c r="K32" s="33">
        <f t="shared" si="6"/>
        <v>1.7824084958853628E-11</v>
      </c>
      <c r="L32" s="32">
        <f t="shared" ref="L32:L45" si="9">ABS(J32)/($H$30*$F$24*$L$24)</f>
        <v>22309.977166961646</v>
      </c>
      <c r="M32" s="33">
        <f t="shared" si="7"/>
        <v>215.99320245584599</v>
      </c>
    </row>
    <row r="33" spans="1:14">
      <c r="A33" s="45"/>
      <c r="B33" s="46"/>
      <c r="E33" s="29">
        <f t="shared" si="2"/>
        <v>663.11609611868971</v>
      </c>
      <c r="F33" s="29">
        <f t="shared" si="3"/>
        <v>3505.2118895730619</v>
      </c>
      <c r="G33" s="29">
        <f>E33*'Data Summary'!$B$18*(AVERAGE($J$6:$J$21)+273.15)/(AVERAGE($I$6:$I$21))*($I$48/$I$49)</f>
        <v>3043.9329466405738</v>
      </c>
      <c r="H33" s="31">
        <f t="shared" si="8"/>
        <v>3294.7</v>
      </c>
      <c r="I33" s="32">
        <f t="shared" si="4"/>
        <v>7.4150747355190783</v>
      </c>
      <c r="J33" s="33">
        <f t="shared" si="5"/>
        <v>-2.8029944841739986E-9</v>
      </c>
      <c r="K33" s="33">
        <f t="shared" si="6"/>
        <v>1.2608331100357864E-11</v>
      </c>
      <c r="L33" s="32">
        <f t="shared" si="9"/>
        <v>15089.117715136425</v>
      </c>
      <c r="M33" s="33">
        <f t="shared" si="7"/>
        <v>147.4317821140634</v>
      </c>
    </row>
    <row r="34" spans="1:14">
      <c r="A34" s="9" t="s">
        <v>56</v>
      </c>
      <c r="B34" s="11" t="s">
        <v>104</v>
      </c>
      <c r="E34" s="29">
        <f t="shared" si="2"/>
        <v>653.21884095273913</v>
      </c>
      <c r="F34" s="29">
        <f t="shared" si="3"/>
        <v>3451.7667116769285</v>
      </c>
      <c r="G34" s="29">
        <f>E34*'Data Summary'!$B$18*(AVERAGE($J$6:$J$21)+273.15)/(AVERAGE($I$6:$I$21))*($I$48/$I$49)</f>
        <v>2998.5011116160877</v>
      </c>
      <c r="H34" s="31">
        <f t="shared" si="8"/>
        <v>3215.9</v>
      </c>
      <c r="I34" s="32">
        <f t="shared" si="4"/>
        <v>7.3246918782370027</v>
      </c>
      <c r="J34" s="33">
        <f t="shared" si="5"/>
        <v>-1.8910497985844991E-9</v>
      </c>
      <c r="K34" s="33">
        <f t="shared" si="6"/>
        <v>7.4771024677647787E-12</v>
      </c>
      <c r="L34" s="32">
        <f t="shared" si="9"/>
        <v>10179.924782989776</v>
      </c>
      <c r="M34" s="33">
        <f t="shared" si="7"/>
        <v>97.039544132273846</v>
      </c>
    </row>
    <row r="35" spans="1:14">
      <c r="A35" s="9" t="s">
        <v>20</v>
      </c>
      <c r="B35" s="11" t="s">
        <v>105</v>
      </c>
      <c r="E35" s="29">
        <f t="shared" si="2"/>
        <v>643.32158578678855</v>
      </c>
      <c r="F35" s="29">
        <f t="shared" si="3"/>
        <v>3399.3112592973907</v>
      </c>
      <c r="G35" s="29">
        <f>E35*'Data Summary'!$B$18*(AVERAGE($J$6:$J$21)+273.15)/(AVERAGE($I$6:$I$21))*($I$48/$I$49)</f>
        <v>2953.0692765916015</v>
      </c>
      <c r="H35" s="31">
        <f t="shared" si="8"/>
        <v>3113.7</v>
      </c>
      <c r="I35" s="32">
        <f t="shared" si="4"/>
        <v>7.20744214144118</v>
      </c>
      <c r="J35" s="33">
        <f t="shared" si="5"/>
        <v>-1.2837733626380004E-9</v>
      </c>
      <c r="K35" s="33">
        <f t="shared" si="6"/>
        <v>5.474477997418345E-12</v>
      </c>
      <c r="L35" s="32">
        <f t="shared" si="9"/>
        <v>6910.8260818107392</v>
      </c>
      <c r="M35" s="33">
        <f t="shared" si="7"/>
        <v>66.795412656045514</v>
      </c>
      <c r="N35" s="3"/>
    </row>
    <row r="36" spans="1:14">
      <c r="A36" s="9" t="s">
        <v>21</v>
      </c>
      <c r="B36" s="11" t="s">
        <v>106</v>
      </c>
      <c r="E36" s="29">
        <f t="shared" si="2"/>
        <v>633.42433062083796</v>
      </c>
      <c r="F36" s="29">
        <f t="shared" si="3"/>
        <v>3347.0537520211719</v>
      </c>
      <c r="G36" s="29">
        <f>E36*'Data Summary'!$B$18*(AVERAGE($J$6:$J$21)+273.15)/(AVERAGE($I$6:$I$21))*($I$48/$I$49)</f>
        <v>2907.6374415671153</v>
      </c>
      <c r="H36" s="31">
        <f t="shared" si="8"/>
        <v>2938.7666666666669</v>
      </c>
      <c r="I36" s="32">
        <f t="shared" si="4"/>
        <v>7.0013490763487063</v>
      </c>
      <c r="J36" s="33">
        <f t="shared" si="5"/>
        <v>-8.8962678804549994E-10</v>
      </c>
      <c r="K36" s="33">
        <f t="shared" si="6"/>
        <v>3.7323390621734483E-12</v>
      </c>
      <c r="L36" s="32">
        <f t="shared" si="9"/>
        <v>4789.0509250548994</v>
      </c>
      <c r="M36" s="33">
        <f t="shared" si="7"/>
        <v>46.142986817875105</v>
      </c>
      <c r="N36" s="3"/>
    </row>
    <row r="37" spans="1:14">
      <c r="A37" s="9" t="s">
        <v>22</v>
      </c>
      <c r="B37" s="11" t="s">
        <v>107</v>
      </c>
      <c r="E37" s="29">
        <f t="shared" si="2"/>
        <v>623.52707545488738</v>
      </c>
      <c r="F37" s="29">
        <f t="shared" si="3"/>
        <v>3295.1921349515906</v>
      </c>
      <c r="G37" s="29">
        <f>E37*'Data Summary'!$B$18*(AVERAGE($J$6:$J$21)+273.15)/(AVERAGE($I$6:$I$21))*($I$48/$I$49)</f>
        <v>2862.2056065426291</v>
      </c>
      <c r="H37" s="31">
        <f t="shared" si="8"/>
        <v>2618.9833333333331</v>
      </c>
      <c r="I37" s="32">
        <f t="shared" si="4"/>
        <v>6.6091897301324982</v>
      </c>
      <c r="J37" s="33">
        <f t="shared" si="5"/>
        <v>-6.1028799897900006E-10</v>
      </c>
      <c r="K37" s="33">
        <f t="shared" si="6"/>
        <v>2.5005795922098477E-12</v>
      </c>
      <c r="L37" s="32">
        <f t="shared" si="9"/>
        <v>3285.3105879167865</v>
      </c>
      <c r="M37" s="33">
        <f t="shared" si="7"/>
        <v>31.515408182563025</v>
      </c>
    </row>
    <row r="38" spans="1:14">
      <c r="A38" s="43" t="s">
        <v>11</v>
      </c>
      <c r="B38" s="44"/>
      <c r="E38" s="29">
        <f t="shared" si="2"/>
        <v>613.62982028893668</v>
      </c>
      <c r="F38" s="29">
        <f t="shared" si="3"/>
        <v>3242.7366825720524</v>
      </c>
      <c r="G38" s="29">
        <f>E38*'Data Summary'!$B$18*(AVERAGE($J$6:$J$21)+273.15)/(AVERAGE($I$6:$I$21))*($I$48/$I$49)</f>
        <v>2816.7737715181424</v>
      </c>
      <c r="H38" s="31">
        <f t="shared" si="8"/>
        <v>1773.1</v>
      </c>
      <c r="I38" s="32">
        <f t="shared" si="4"/>
        <v>5.438188015220593</v>
      </c>
      <c r="J38" s="33">
        <f t="shared" si="5"/>
        <v>-4.2398141925050001E-10</v>
      </c>
      <c r="K38" s="33">
        <f t="shared" si="6"/>
        <v>1.7500918971838605E-12</v>
      </c>
      <c r="L38" s="32">
        <f t="shared" si="9"/>
        <v>2282.3824949433156</v>
      </c>
      <c r="M38" s="33">
        <f t="shared" si="7"/>
        <v>21.92420098783958</v>
      </c>
    </row>
    <row r="39" spans="1:14">
      <c r="A39" s="47"/>
      <c r="B39" s="48"/>
      <c r="E39" s="29">
        <f t="shared" si="2"/>
        <v>603.73256512298622</v>
      </c>
      <c r="F39" s="29">
        <f t="shared" si="3"/>
        <v>3190.4791752958326</v>
      </c>
      <c r="G39" s="29">
        <f>E39*'Data Summary'!$B$18*(AVERAGE($J$6:$J$21)+273.15)/(AVERAGE($I$6:$I$21))*($I$48/$I$49)</f>
        <v>2771.3419364936572</v>
      </c>
      <c r="H39" s="31">
        <f t="shared" si="8"/>
        <v>1156.7666666666667</v>
      </c>
      <c r="I39" s="32">
        <f t="shared" si="4"/>
        <v>4.3927338994197118</v>
      </c>
      <c r="J39" s="33">
        <f t="shared" si="5"/>
        <v>-2.9209672807150007E-10</v>
      </c>
      <c r="K39" s="33">
        <f t="shared" si="6"/>
        <v>1.2469027821858146E-12</v>
      </c>
      <c r="L39" s="32">
        <f t="shared" si="9"/>
        <v>1572.4190464741064</v>
      </c>
      <c r="M39" s="33">
        <f t="shared" si="7"/>
        <v>15.201027366176611</v>
      </c>
      <c r="N39" s="3"/>
    </row>
    <row r="40" spans="1:14">
      <c r="A40" s="45"/>
      <c r="B40" s="46"/>
      <c r="E40" s="29">
        <f t="shared" si="2"/>
        <v>593.83530995703552</v>
      </c>
      <c r="F40" s="29">
        <f t="shared" si="3"/>
        <v>3138.2216680196138</v>
      </c>
      <c r="G40" s="29">
        <f>E40*'Data Summary'!$B$18*(AVERAGE($J$6:$J$21)+273.15)/(AVERAGE($I$6:$I$21))*($I$48/$I$49)</f>
        <v>2725.9101014691705</v>
      </c>
      <c r="H40" s="31">
        <f t="shared" si="8"/>
        <v>670.15</v>
      </c>
      <c r="I40" s="32">
        <f t="shared" si="4"/>
        <v>3.3446889906902322</v>
      </c>
      <c r="J40" s="33">
        <f t="shared" si="5"/>
        <v>-2.0520360749750002E-10</v>
      </c>
      <c r="K40" s="33">
        <f t="shared" si="6"/>
        <v>9.297101910589886E-13</v>
      </c>
      <c r="L40" s="32">
        <f t="shared" si="9"/>
        <v>1104.6548277503568</v>
      </c>
      <c r="M40" s="33">
        <f t="shared" si="7"/>
        <v>10.809868896443286</v>
      </c>
      <c r="N40" s="3"/>
    </row>
    <row r="41" spans="1:14">
      <c r="A41" s="9" t="s">
        <v>56</v>
      </c>
      <c r="B41" s="11" t="s">
        <v>108</v>
      </c>
      <c r="E41" s="29">
        <f t="shared" si="2"/>
        <v>583.93805479108505</v>
      </c>
      <c r="F41" s="29">
        <f t="shared" si="3"/>
        <v>3086.3600509500329</v>
      </c>
      <c r="G41" s="29">
        <f>E41*'Data Summary'!$B$18*(AVERAGE($J$6:$J$21)+273.15)/(AVERAGE($I$6:$I$21))*($I$48/$I$49)</f>
        <v>2680.4782664446843</v>
      </c>
      <c r="H41" s="31">
        <f t="shared" si="8"/>
        <v>166.43333333333334</v>
      </c>
      <c r="I41" s="32">
        <f t="shared" si="4"/>
        <v>1.6691647944739043</v>
      </c>
      <c r="J41" s="33">
        <f t="shared" si="5"/>
        <v>-1.4316697044700001E-10</v>
      </c>
      <c r="K41" s="33">
        <f t="shared" si="6"/>
        <v>6.1349390391511569E-13</v>
      </c>
      <c r="L41" s="32">
        <f t="shared" si="9"/>
        <v>770.69836640468407</v>
      </c>
      <c r="M41" s="33">
        <f t="shared" si="7"/>
        <v>7.4561400075144482</v>
      </c>
      <c r="N41" s="3"/>
    </row>
    <row r="42" spans="1:14">
      <c r="A42" s="9" t="s">
        <v>24</v>
      </c>
      <c r="B42" s="11">
        <v>60</v>
      </c>
      <c r="E42" s="29">
        <f t="shared" si="2"/>
        <v>574.04079962513435</v>
      </c>
      <c r="F42" s="29">
        <f t="shared" si="3"/>
        <v>3033.9045985704947</v>
      </c>
      <c r="G42" s="29">
        <f>E42*'Data Summary'!$B$18*(AVERAGE($J$6:$J$21)+273.15)/(AVERAGE($I$6:$I$21))*($I$48/$I$49)</f>
        <v>2635.0464314201977</v>
      </c>
      <c r="H42" s="31">
        <f t="shared" si="8"/>
        <v>6.416666666666667</v>
      </c>
      <c r="I42" s="32">
        <f t="shared" si="4"/>
        <v>0.33952581312438934</v>
      </c>
      <c r="J42" s="33">
        <f t="shared" si="5"/>
        <v>-1.0290136729350007E-10</v>
      </c>
      <c r="K42" s="33">
        <f t="shared" si="6"/>
        <v>4.7816987109698887E-13</v>
      </c>
      <c r="L42" s="32">
        <f t="shared" si="9"/>
        <v>553.94002838991207</v>
      </c>
      <c r="M42" s="33">
        <f t="shared" si="7"/>
        <v>5.4508161920461378</v>
      </c>
      <c r="N42" s="3"/>
    </row>
    <row r="43" spans="1:14">
      <c r="A43" s="43" t="s">
        <v>12</v>
      </c>
      <c r="B43" s="44"/>
      <c r="E43" s="29">
        <f t="shared" si="2"/>
        <v>564.14354445918377</v>
      </c>
      <c r="F43" s="29">
        <f t="shared" si="3"/>
        <v>2981.8450363975949</v>
      </c>
      <c r="G43" s="29">
        <f>E43*'Data Summary'!$B$18*(AVERAGE($J$6:$J$21)+273.15)/(AVERAGE($I$6:$I$21))*($I$48/$I$49)</f>
        <v>2589.6145963957119</v>
      </c>
      <c r="H43" s="31">
        <f t="shared" si="8"/>
        <v>0.25</v>
      </c>
      <c r="I43" s="32">
        <f t="shared" si="4"/>
        <v>0.1092906420717</v>
      </c>
      <c r="J43" s="33">
        <f t="shared" si="5"/>
        <v>-7.2668626560000022E-11</v>
      </c>
      <c r="K43" s="33">
        <f t="shared" si="6"/>
        <v>4.198349230296675E-13</v>
      </c>
      <c r="L43" s="32">
        <f t="shared" si="9"/>
        <v>391.19073068181712</v>
      </c>
      <c r="M43" s="33">
        <f t="shared" si="7"/>
        <v>4.0768758826570792</v>
      </c>
      <c r="N43" s="3"/>
    </row>
    <row r="44" spans="1:14">
      <c r="A44" s="45"/>
      <c r="B44" s="46"/>
      <c r="E44" s="29">
        <f t="shared" si="2"/>
        <v>554.24628929323319</v>
      </c>
      <c r="F44" s="29">
        <f t="shared" si="3"/>
        <v>2929.7854742246941</v>
      </c>
      <c r="G44" s="29">
        <f>E44*'Data Summary'!$B$18*(AVERAGE($J$6:$J$21)+273.15)/(AVERAGE($I$6:$I$21))*($I$48/$I$49)</f>
        <v>2544.1827613712258</v>
      </c>
      <c r="H44" s="31">
        <f t="shared" si="8"/>
        <v>0.35</v>
      </c>
      <c r="I44" s="32">
        <f t="shared" si="4"/>
        <v>0.10929064207170001</v>
      </c>
      <c r="J44" s="33">
        <f t="shared" si="5"/>
        <v>-5.0895323674000012E-11</v>
      </c>
      <c r="K44" s="33">
        <f t="shared" si="6"/>
        <v>2.9671878429090013E-13</v>
      </c>
      <c r="L44" s="32">
        <f t="shared" si="9"/>
        <v>273.98039289872668</v>
      </c>
      <c r="M44" s="33">
        <f t="shared" si="7"/>
        <v>2.8633569170601509</v>
      </c>
      <c r="N44" s="3"/>
    </row>
    <row r="45" spans="1:14">
      <c r="A45" s="9" t="s">
        <v>13</v>
      </c>
      <c r="B45" s="11" t="s">
        <v>109</v>
      </c>
      <c r="E45" s="29">
        <f t="shared" si="2"/>
        <v>544.34903412728261</v>
      </c>
      <c r="F45" s="29">
        <f t="shared" si="3"/>
        <v>2877.5279669484753</v>
      </c>
      <c r="G45" s="29">
        <f>E45*'Data Summary'!$B$18*(AVERAGE($J$6:$J$21)+273.15)/(AVERAGE($I$6:$I$21))*($I$48/$I$49)</f>
        <v>2498.7509263467396</v>
      </c>
      <c r="H45" s="31">
        <f t="shared" si="8"/>
        <v>0.23333333333333334</v>
      </c>
      <c r="I45" s="32">
        <f t="shared" si="4"/>
        <v>0.10274023338281627</v>
      </c>
      <c r="J45" s="33">
        <f t="shared" si="5"/>
        <v>-3.6276333071500005E-11</v>
      </c>
      <c r="K45" s="33">
        <f t="shared" si="6"/>
        <v>2.7453583112944991E-13</v>
      </c>
      <c r="L45" s="32">
        <f t="shared" si="9"/>
        <v>195.28324550045068</v>
      </c>
      <c r="M45" s="33">
        <f t="shared" si="7"/>
        <v>2.2479381068687205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1" t="s">
        <v>76</v>
      </c>
      <c r="F47" s="51"/>
      <c r="H47" s="56" t="s">
        <v>86</v>
      </c>
      <c r="I47" s="56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str">
        <f>CONCATENATE(E30,",",L30,",",M30)</f>
        <v>692.807861616542,48827.5311760274,479.048819440724</v>
      </c>
      <c r="N48" s="3"/>
    </row>
    <row r="49" spans="1:14">
      <c r="A49" s="9" t="s">
        <v>71</v>
      </c>
      <c r="B49" s="11" t="s">
        <v>110</v>
      </c>
      <c r="E49" s="8" t="s">
        <v>90</v>
      </c>
      <c r="F49" s="30">
        <f>_xlfn.STDEV.P(J6:J21)</f>
        <v>7.1054273576010019E-15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682.910606450591,33506.7529307529,320.078635335055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969</v>
      </c>
      <c r="L50" s="35" t="str">
        <f t="shared" si="10"/>
        <v>673.01335128464,22309.9771669616,215.993202455846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663.11609611869,15089.1177151364,147.431782114063</v>
      </c>
    </row>
    <row r="52" spans="1:14">
      <c r="E52" s="8" t="s">
        <v>78</v>
      </c>
      <c r="F52" s="30">
        <f>EXP(INDEX(LINEST(LN(L30:L45),E30:E45),1,2))</f>
        <v>2.8873343793511452E-7</v>
      </c>
      <c r="L52" s="35" t="str">
        <f t="shared" si="10"/>
        <v>653.218840952739,10179.9247829898,97.0395441322738</v>
      </c>
    </row>
    <row r="53" spans="1:14">
      <c r="E53" s="8" t="s">
        <v>79</v>
      </c>
      <c r="F53" s="30">
        <f>INDEX(LINEST(LN(L30:L45),E30:E45),1)</f>
        <v>3.721600247027116E-2</v>
      </c>
      <c r="L53" s="35" t="str">
        <f t="shared" si="10"/>
        <v>643.321585786789,6910.82608181074,66.7954126560455</v>
      </c>
      <c r="N53" s="3"/>
    </row>
    <row r="54" spans="1:14">
      <c r="L54" s="35" t="str">
        <f t="shared" si="10"/>
        <v>633.424330620838,4789.0509250549,46.1429868178751</v>
      </c>
      <c r="N54" s="3"/>
    </row>
    <row r="55" spans="1:14">
      <c r="L55" s="35" t="str">
        <f t="shared" si="10"/>
        <v>623.527075454887,3285.31058791679,31.515408182563</v>
      </c>
      <c r="N55" s="3"/>
    </row>
    <row r="56" spans="1:14">
      <c r="L56" s="35" t="str">
        <f t="shared" si="10"/>
        <v>613.629820288937,2282.38249494332,21.9242009878396</v>
      </c>
      <c r="N56" s="3"/>
    </row>
    <row r="57" spans="1:14">
      <c r="L57" s="35" t="str">
        <f t="shared" si="10"/>
        <v>603.732565122986,1572.41904647411,15.2010273661766</v>
      </c>
      <c r="N57" s="3"/>
    </row>
    <row r="58" spans="1:14">
      <c r="L58" s="35" t="str">
        <f t="shared" si="10"/>
        <v>593.835309957036,1104.65482775036,10.8098688964433</v>
      </c>
      <c r="N58" s="3"/>
    </row>
    <row r="59" spans="1:14">
      <c r="L59" s="35" t="str">
        <f t="shared" si="10"/>
        <v>583.938054791085,770.698366404684,7.45614000751445</v>
      </c>
      <c r="N59" s="3"/>
    </row>
    <row r="60" spans="1:14">
      <c r="L60" s="35" t="str">
        <f t="shared" si="10"/>
        <v>574.040799625134,553.940028389912,5.45081619204614</v>
      </c>
    </row>
    <row r="61" spans="1:14">
      <c r="L61" s="35" t="str">
        <f t="shared" si="10"/>
        <v>564.143544459184,391.190730681817,4.07687588265708</v>
      </c>
    </row>
    <row r="62" spans="1:14">
      <c r="L62" s="35" t="str">
        <f t="shared" si="10"/>
        <v>554.246289293233,273.980392898727,2.86335691706015</v>
      </c>
    </row>
    <row r="63" spans="1:14">
      <c r="L63" s="35" t="str">
        <f t="shared" si="10"/>
        <v>544.349034127283,195.283245500451,2.24793810686872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2018-07-14T08:54:46Z</dcterms:modified>
</cp:coreProperties>
</file>