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387E8F89-9B18-8347-8FF8-0436B3397D25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E32" i="1"/>
  <c r="E34" i="1"/>
  <c r="E36" i="1"/>
  <c r="E38" i="1"/>
  <c r="E40" i="1"/>
  <c r="G40" i="1" s="1"/>
  <c r="E42" i="1"/>
  <c r="E44" i="1"/>
  <c r="E30" i="1"/>
  <c r="F51" i="1"/>
  <c r="F49" i="1"/>
  <c r="F48" i="1"/>
  <c r="I49" i="1"/>
  <c r="E31" i="1" s="1"/>
  <c r="G32" i="1"/>
  <c r="G3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G31" i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E45" i="1"/>
  <c r="E43" i="1"/>
  <c r="E41" i="1"/>
  <c r="E39" i="1"/>
  <c r="E37" i="1"/>
  <c r="E35" i="1"/>
  <c r="E33" i="1"/>
  <c r="F52" i="1" s="1"/>
  <c r="G44" i="1"/>
  <c r="G30" i="1"/>
  <c r="G42" i="1"/>
  <c r="G38" i="1"/>
  <c r="G34" i="1"/>
  <c r="M43" i="1"/>
  <c r="M41" i="1"/>
  <c r="M39" i="1"/>
  <c r="M35" i="1"/>
  <c r="M33" i="1"/>
  <c r="F53" i="1" l="1"/>
  <c r="M36" i="1"/>
  <c r="L54" i="1" s="1"/>
  <c r="G33" i="1"/>
  <c r="L51" i="1"/>
  <c r="G41" i="1"/>
  <c r="L59" i="1"/>
  <c r="G35" i="1"/>
  <c r="L53" i="1"/>
  <c r="M38" i="1"/>
  <c r="L56" i="1" s="1"/>
  <c r="G39" i="1"/>
  <c r="L57" i="1"/>
  <c r="G43" i="1"/>
  <c r="L61" i="1"/>
  <c r="M37" i="1"/>
  <c r="L55" i="1" s="1"/>
  <c r="M45" i="1"/>
  <c r="L63" i="1" s="1"/>
  <c r="G37" i="1"/>
  <c r="G45" i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<sst xmlns="http://schemas.openxmlformats.org/spreadsheetml/2006/main" count="456" uniqueCount="110">
  <si>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</si>
  <si>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</si>
  <si>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</si>
  <si>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</si>
  <si>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</si>
  <si>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</si>
  <si>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</si>
  <si>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</si>
  <si>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</si>
  <si>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</si>
  <si>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</si>
  <si>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</si>
  <si>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</si>
  <si>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</si>
  <si>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</si>
  <si>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</si>
  <si>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</si>
  <si>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</si>
  <si>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</si>
  <si>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</si>
  <si>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</si>
  <si>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</si>
  <si>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</si>
  <si>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</si>
  <si>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</si>
  <si>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</si>
  <si>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</si>
  <si>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</si>
  <si>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</si>
  <si>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</si>
  <si>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</si>
  <si>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</si>
  <si>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</si>
  <si>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</si>
  <si>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</si>
  <si>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</si>
  <si>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</si>
  <si>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</si>
  <si>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</si>
  <si>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</si>
  <si>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</si>
  <si>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</si>
  <si>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</si>
  <si>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</si>
  <si>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</si>
  <si>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</si>
  <si>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</si>
  <si>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</si>
  <si>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</si>
  <si>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</si>
  <si>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</si>
  <si>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</si>
  <si>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</si>
  <si>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</si>
  <si>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</si>
  <si>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</si>
  <si>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</si>
  <si>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</si>
  <si>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</si>
  <si>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</si>
  <si>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</si>
  <si>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</si>
  <si>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</si>
  <si>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</si>
  <si>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</si>
  <si>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</si>
  <si>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</si>
  <si>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</si>
  <si>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</si>
  <si>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</si>
  <si>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</si>
  <si>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</si>
  <si>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</si>
  <si>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</si>
  <si>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</si>
  <si>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</si>
  <si>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</si>
  <si>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</si>
  <si>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</si>
  <si>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</si>
  <si>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</si>
  <si>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</si>
  <si>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</si>
  <si>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</si>
  <si>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</si>
  <si>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</si>
  <si>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</si>
  <si>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</si>
  <si>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</si>
  <si>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</si>
  <si>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</si>
  <si>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</si>
  <si>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</si>
  <si>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</si>
  <si>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</si>
  <si>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</si>
  <si>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</si>
  <si>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</si>
  <si>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</si>
  <si>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</si>
  <si>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</si>
  <si>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kiethley 6487</t>
  </si>
  <si>
    <t>signal</t>
  </si>
  <si>
    <t>shielding</t>
  </si>
  <si>
    <t>gnd</t>
  </si>
  <si>
    <t>CAEN N1145</t>
  </si>
  <si>
    <t>Ag X-Ray</t>
  </si>
  <si>
    <t>2 layers Cu tape</t>
  </si>
  <si>
    <t>Marek</t>
  </si>
  <si>
    <t>GE11-X-S-CERN-0006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</si>
</sst>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259.4718385216072</c:v>
                  </c:pt>
                  <c:pt idx="1">
                    <c:v>166.18891547078061</c:v>
                  </c:pt>
                  <c:pt idx="2">
                    <c:v>115.43338301388133</c:v>
                  </c:pt>
                  <c:pt idx="3">
                    <c:v>80.823658433241533</c:v>
                  </c:pt>
                  <c:pt idx="4">
                    <c:v>56.524977521961247</c:v>
                  </c:pt>
                  <c:pt idx="5">
                    <c:v>38.779167810324253</c:v>
                  </c:pt>
                  <c:pt idx="6">
                    <c:v>28.336209822211792</c:v>
                  </c:pt>
                  <c:pt idx="7">
                    <c:v>19.953527407834308</c:v>
                  </c:pt>
                  <c:pt idx="8">
                    <c:v>14.870393199048621</c:v>
                  </c:pt>
                  <c:pt idx="9">
                    <c:v>10.846091643082952</c:v>
                  </c:pt>
                  <c:pt idx="10">
                    <c:v>8.3374859117305249</c:v>
                  </c:pt>
                  <c:pt idx="11">
                    <c:v>6.6936406167384765</c:v>
                  </c:pt>
                  <c:pt idx="12">
                    <c:v>5.3207775895884666</c:v>
                  </c:pt>
                  <c:pt idx="13">
                    <c:v>4.9419346411899365</c:v>
                  </c:pt>
                  <c:pt idx="14">
                    <c:v>4.4571023967162384</c:v>
                  </c:pt>
                  <c:pt idx="15">
                    <c:v>4.0199883336434574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259.4718385216072</c:v>
                  </c:pt>
                  <c:pt idx="1">
                    <c:v>166.18891547078061</c:v>
                  </c:pt>
                  <c:pt idx="2">
                    <c:v>115.43338301388133</c:v>
                  </c:pt>
                  <c:pt idx="3">
                    <c:v>80.823658433241533</c:v>
                  </c:pt>
                  <c:pt idx="4">
                    <c:v>56.524977521961247</c:v>
                  </c:pt>
                  <c:pt idx="5">
                    <c:v>38.779167810324253</c:v>
                  </c:pt>
                  <c:pt idx="6">
                    <c:v>28.336209822211792</c:v>
                  </c:pt>
                  <c:pt idx="7">
                    <c:v>19.953527407834308</c:v>
                  </c:pt>
                  <c:pt idx="8">
                    <c:v>14.870393199048621</c:v>
                  </c:pt>
                  <c:pt idx="9">
                    <c:v>10.846091643082952</c:v>
                  </c:pt>
                  <c:pt idx="10">
                    <c:v>8.3374859117305249</c:v>
                  </c:pt>
                  <c:pt idx="11">
                    <c:v>6.6936406167384765</c:v>
                  </c:pt>
                  <c:pt idx="12">
                    <c:v>5.3207775895884666</c:v>
                  </c:pt>
                  <c:pt idx="13">
                    <c:v>4.9419346411899365</c:v>
                  </c:pt>
                  <c:pt idx="14">
                    <c:v>4.4571023967162384</c:v>
                  </c:pt>
                  <c:pt idx="15">
                    <c:v>4.0199883336434574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687.60006573265184</c:v>
                </c:pt>
                <c:pt idx="1">
                  <c:v>677.77720765075685</c:v>
                </c:pt>
                <c:pt idx="2">
                  <c:v>667.95434956886186</c:v>
                </c:pt>
                <c:pt idx="3">
                  <c:v>658.13149148696687</c:v>
                </c:pt>
                <c:pt idx="4">
                  <c:v>648.30863340507176</c:v>
                </c:pt>
                <c:pt idx="5">
                  <c:v>638.48577532317677</c:v>
                </c:pt>
                <c:pt idx="6">
                  <c:v>628.66291724128178</c:v>
                </c:pt>
                <c:pt idx="7">
                  <c:v>618.84005915938678</c:v>
                </c:pt>
                <c:pt idx="8">
                  <c:v>609.01720107749179</c:v>
                </c:pt>
                <c:pt idx="9">
                  <c:v>599.1943429955968</c:v>
                </c:pt>
                <c:pt idx="10">
                  <c:v>589.37148491370169</c:v>
                </c:pt>
                <c:pt idx="11">
                  <c:v>579.5486268318067</c:v>
                </c:pt>
                <c:pt idx="12">
                  <c:v>569.72576874991159</c:v>
                </c:pt>
                <c:pt idx="13">
                  <c:v>559.9029106680166</c:v>
                </c:pt>
                <c:pt idx="14">
                  <c:v>550.08005258612161</c:v>
                </c:pt>
                <c:pt idx="15">
                  <c:v>540.25719450422662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23593.887493741709</c:v>
                </c:pt>
                <c:pt idx="1">
                  <c:v>15474.419818911758</c:v>
                </c:pt>
                <c:pt idx="2">
                  <c:v>10807.519163236098</c:v>
                </c:pt>
                <c:pt idx="3">
                  <c:v>7516.2467380601229</c:v>
                </c:pt>
                <c:pt idx="4">
                  <c:v>5260.42497440443</c:v>
                </c:pt>
                <c:pt idx="5">
                  <c:v>3693.4237192785663</c:v>
                </c:pt>
                <c:pt idx="6">
                  <c:v>2594.4627052670062</c:v>
                </c:pt>
                <c:pt idx="7">
                  <c:v>1851.9993383590527</c:v>
                </c:pt>
                <c:pt idx="8">
                  <c:v>1315.179384147508</c:v>
                </c:pt>
                <c:pt idx="9">
                  <c:v>938.76394593396674</c:v>
                </c:pt>
                <c:pt idx="10">
                  <c:v>685.00275387293925</c:v>
                </c:pt>
                <c:pt idx="11">
                  <c:v>488.38509413209243</c:v>
                </c:pt>
                <c:pt idx="12">
                  <c:v>336.38451833494616</c:v>
                </c:pt>
                <c:pt idx="13">
                  <c:v>243.62538224911069</c:v>
                </c:pt>
                <c:pt idx="14">
                  <c:v>175.15072425450597</c:v>
                </c:pt>
                <c:pt idx="15">
                  <c:v>133.54632216848472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5.3075941400558833</c:v>
                  </c:pt>
                  <c:pt idx="1">
                    <c:v>5.2385589621574367</c:v>
                  </c:pt>
                  <c:pt idx="2">
                    <c:v>5.2171458778829551</c:v>
                  </c:pt>
                  <c:pt idx="3">
                    <c:v>5.1552023346432394</c:v>
                  </c:pt>
                  <c:pt idx="4">
                    <c:v>5.0589304974251004</c:v>
                  </c:pt>
                  <c:pt idx="5">
                    <c:v>4.9179094474515628</c:v>
                  </c:pt>
                  <c:pt idx="6">
                    <c:v>4.6359405134712892</c:v>
                  </c:pt>
                  <c:pt idx="7">
                    <c:v>3.5514863867901219</c:v>
                  </c:pt>
                  <c:pt idx="8">
                    <c:v>3.0581403208849367</c:v>
                  </c:pt>
                  <c:pt idx="9">
                    <c:v>2.3486994036889626</c:v>
                  </c:pt>
                  <c:pt idx="10">
                    <c:v>1.1986103064243467</c:v>
                  </c:pt>
                  <c:pt idx="11">
                    <c:v>0.25055493963954845</c:v>
                  </c:pt>
                  <c:pt idx="12">
                    <c:v>7.4535599249992993E-2</c:v>
                  </c:pt>
                  <c:pt idx="13">
                    <c:v>8.3333333333333329E-2</c:v>
                  </c:pt>
                  <c:pt idx="14">
                    <c:v>7.6376261582597332E-2</c:v>
                  </c:pt>
                  <c:pt idx="15">
                    <c:v>6.2360956446232352E-2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5.3075941400558833</c:v>
                  </c:pt>
                  <c:pt idx="1">
                    <c:v>5.2385589621574367</c:v>
                  </c:pt>
                  <c:pt idx="2">
                    <c:v>5.2171458778829551</c:v>
                  </c:pt>
                  <c:pt idx="3">
                    <c:v>5.1552023346432394</c:v>
                  </c:pt>
                  <c:pt idx="4">
                    <c:v>5.0589304974251004</c:v>
                  </c:pt>
                  <c:pt idx="5">
                    <c:v>4.9179094474515628</c:v>
                  </c:pt>
                  <c:pt idx="6">
                    <c:v>4.6359405134712892</c:v>
                  </c:pt>
                  <c:pt idx="7">
                    <c:v>3.5514863867901219</c:v>
                  </c:pt>
                  <c:pt idx="8">
                    <c:v>3.0581403208849367</c:v>
                  </c:pt>
                  <c:pt idx="9">
                    <c:v>2.3486994036889626</c:v>
                  </c:pt>
                  <c:pt idx="10">
                    <c:v>1.1986103064243467</c:v>
                  </c:pt>
                  <c:pt idx="11">
                    <c:v>0.25055493963954845</c:v>
                  </c:pt>
                  <c:pt idx="12">
                    <c:v>7.4535599249992993E-2</c:v>
                  </c:pt>
                  <c:pt idx="13">
                    <c:v>8.3333333333333329E-2</c:v>
                  </c:pt>
                  <c:pt idx="14">
                    <c:v>7.6376261582597332E-2</c:v>
                  </c:pt>
                  <c:pt idx="15">
                    <c:v>6.2360956446232352E-2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687.60006573265184</c:v>
                </c:pt>
                <c:pt idx="1">
                  <c:v>677.77720765075685</c:v>
                </c:pt>
                <c:pt idx="2">
                  <c:v>667.95434956886186</c:v>
                </c:pt>
                <c:pt idx="3">
                  <c:v>658.13149148696687</c:v>
                </c:pt>
                <c:pt idx="4">
                  <c:v>648.30863340507176</c:v>
                </c:pt>
                <c:pt idx="5">
                  <c:v>638.48577532317677</c:v>
                </c:pt>
                <c:pt idx="6">
                  <c:v>628.66291724128178</c:v>
                </c:pt>
                <c:pt idx="7">
                  <c:v>618.84005915938678</c:v>
                </c:pt>
                <c:pt idx="8">
                  <c:v>609.01720107749179</c:v>
                </c:pt>
                <c:pt idx="9">
                  <c:v>599.1943429955968</c:v>
                </c:pt>
                <c:pt idx="10">
                  <c:v>589.37148491370169</c:v>
                </c:pt>
                <c:pt idx="11">
                  <c:v>579.5486268318067</c:v>
                </c:pt>
                <c:pt idx="12">
                  <c:v>569.72576874991159</c:v>
                </c:pt>
                <c:pt idx="13">
                  <c:v>559.9029106680166</c:v>
                </c:pt>
                <c:pt idx="14">
                  <c:v>550.08005258612161</c:v>
                </c:pt>
                <c:pt idx="15">
                  <c:v>540.25719450422662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1681.5666666666666</c:v>
                </c:pt>
                <c:pt idx="1">
                  <c:v>1640.1166666666666</c:v>
                </c:pt>
                <c:pt idx="2">
                  <c:v>1628.05</c:v>
                </c:pt>
                <c:pt idx="3">
                  <c:v>1590.8333333333333</c:v>
                </c:pt>
                <c:pt idx="4">
                  <c:v>1532.6666666666667</c:v>
                </c:pt>
                <c:pt idx="5">
                  <c:v>1449.15</c:v>
                </c:pt>
                <c:pt idx="6">
                  <c:v>1287.4833333333333</c:v>
                </c:pt>
                <c:pt idx="7">
                  <c:v>755.51666666666665</c:v>
                </c:pt>
                <c:pt idx="8">
                  <c:v>560.26666666666665</c:v>
                </c:pt>
                <c:pt idx="9">
                  <c:v>330.18333333333334</c:v>
                </c:pt>
                <c:pt idx="10">
                  <c:v>85.566666666666663</c:v>
                </c:pt>
                <c:pt idx="11">
                  <c:v>3.4666666666666668</c:v>
                </c:pt>
                <c:pt idx="12">
                  <c:v>0.1</c:v>
                </c:pt>
                <c:pt idx="13">
                  <c:v>0.15</c:v>
                </c:pt>
                <c:pt idx="14">
                  <c:v>0.18333333333333332</c:v>
                </c:pt>
                <c:pt idx="15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CERN-0006_QC5_20171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3.9267433509999994E-12</v>
          </cell>
          <cell r="B7">
            <v>2.4688955882425762E-13</v>
          </cell>
          <cell r="C7">
            <v>-8.5208282340000005E-12</v>
          </cell>
          <cell r="D7">
            <v>2.5886947711924434E-13</v>
          </cell>
        </row>
      </sheetData>
      <sheetData sheetId="2">
        <row r="7">
          <cell r="A7">
            <v>3.6311576494999983E-12</v>
          </cell>
          <cell r="B7">
            <v>2.7670551227004119E-13</v>
          </cell>
          <cell r="C7">
            <v>-1.2694272680000005E-11</v>
          </cell>
          <cell r="D7">
            <v>2.7321049932870607E-13</v>
          </cell>
        </row>
      </sheetData>
      <sheetData sheetId="3">
        <row r="7">
          <cell r="A7">
            <v>4.073399407500001E-12</v>
          </cell>
          <cell r="B7">
            <v>2.9793532757896226E-13</v>
          </cell>
          <cell r="C7">
            <v>-1.8634409660000002E-11</v>
          </cell>
          <cell r="D7">
            <v>2.8644572925498573E-13</v>
          </cell>
        </row>
      </sheetData>
      <sheetData sheetId="4">
        <row r="7">
          <cell r="A7">
            <v>4.4155968415000008E-12</v>
          </cell>
          <cell r="B7">
            <v>2.5938294184827727E-13</v>
          </cell>
          <cell r="C7">
            <v>-2.6938096049999997E-11</v>
          </cell>
          <cell r="D7">
            <v>3.1594725563455123E-13</v>
          </cell>
        </row>
      </sheetData>
      <sheetData sheetId="5">
        <row r="7">
          <cell r="A7">
            <v>4.8828497124999969E-12</v>
          </cell>
          <cell r="B7">
            <v>2.6400696494960902E-13</v>
          </cell>
          <cell r="C7">
            <v>-4.0638496899999996E-11</v>
          </cell>
          <cell r="D7">
            <v>3.9158248460669267E-13</v>
          </cell>
        </row>
      </sheetData>
      <sheetData sheetId="6">
        <row r="7">
          <cell r="A7">
            <v>4.8055425124999992E-12</v>
          </cell>
          <cell r="B7">
            <v>2.7290875257147933E-13</v>
          </cell>
          <cell r="C7">
            <v>-5.9042122299999985E-11</v>
          </cell>
          <cell r="D7">
            <v>4.4994345741647691E-13</v>
          </cell>
        </row>
      </sheetData>
      <sheetData sheetId="7">
        <row r="7">
          <cell r="A7">
            <v>4.1700332275000007E-12</v>
          </cell>
          <cell r="B7">
            <v>2.6856070096334842E-13</v>
          </cell>
          <cell r="C7">
            <v>-8.333017814999996E-11</v>
          </cell>
          <cell r="D7">
            <v>5.7944025952376231E-13</v>
          </cell>
        </row>
      </sheetData>
      <sheetData sheetId="8">
        <row r="7">
          <cell r="A7">
            <v>4.0211034489999999E-12</v>
          </cell>
          <cell r="B7">
            <v>4.4721414101417468E-13</v>
          </cell>
          <cell r="C7">
            <v>-1.1856399859999995E-10</v>
          </cell>
          <cell r="D7">
            <v>7.1815435413301733E-13</v>
          </cell>
        </row>
      </sheetData>
      <sheetData sheetId="9">
        <row r="7">
          <cell r="A7">
            <v>4.6338755179999953E-12</v>
          </cell>
          <cell r="B7">
            <v>3.5218884410413769E-13</v>
          </cell>
          <cell r="C7">
            <v>-1.679870845E-10</v>
          </cell>
          <cell r="D7">
            <v>9.7198665239405948E-13</v>
          </cell>
        </row>
      </sheetData>
      <sheetData sheetId="10">
        <row r="7">
          <cell r="A7">
            <v>4.1700331215000017E-12</v>
          </cell>
          <cell r="B7">
            <v>2.9078056224599251E-13</v>
          </cell>
          <cell r="C7">
            <v>-2.3765437450000003E-10</v>
          </cell>
          <cell r="D7">
            <v>1.4833879556103138E-12</v>
          </cell>
        </row>
      </sheetData>
      <sheetData sheetId="11">
        <row r="7">
          <cell r="A7">
            <v>4.2575720124999987E-12</v>
          </cell>
          <cell r="B7">
            <v>3.4358744244703664E-13</v>
          </cell>
          <cell r="C7">
            <v>-3.3999867849999996E-10</v>
          </cell>
          <cell r="D7">
            <v>1.8548892503584725E-12</v>
          </cell>
        </row>
      </sheetData>
      <sheetData sheetId="12">
        <row r="7">
          <cell r="A7">
            <v>4.3257840904999976E-12</v>
          </cell>
          <cell r="B7">
            <v>3.1036196012338416E-13</v>
          </cell>
          <cell r="C7">
            <v>-4.8598735499999979E-10</v>
          </cell>
          <cell r="D7">
            <v>2.8944791120181567E-12</v>
          </cell>
        </row>
      </sheetData>
      <sheetData sheetId="13">
        <row r="7">
          <cell r="A7">
            <v>3.4879123565000014E-12</v>
          </cell>
          <cell r="B7">
            <v>3.7933528199199528E-13</v>
          </cell>
          <cell r="C7">
            <v>-6.9708562500000018E-10</v>
          </cell>
          <cell r="D7">
            <v>4.1520984739637192E-12</v>
          </cell>
        </row>
      </sheetData>
      <sheetData sheetId="14">
        <row r="7">
          <cell r="A7">
            <v>3.0081537419999999E-12</v>
          </cell>
          <cell r="B7">
            <v>3.402128608188417E-13</v>
          </cell>
          <cell r="C7">
            <v>-1.0043379584999994E-9</v>
          </cell>
          <cell r="D7">
            <v>5.8525174945022955E-12</v>
          </cell>
        </row>
      </sheetData>
      <sheetData sheetId="15">
        <row r="7">
          <cell r="A7">
            <v>3.4128789049999995E-12</v>
          </cell>
          <cell r="B7">
            <v>3.867938858517847E-13</v>
          </cell>
          <cell r="C7">
            <v>-1.4389252199999997E-9</v>
          </cell>
          <cell r="D7">
            <v>8.539664730303407E-12</v>
          </cell>
        </row>
      </sheetData>
      <sheetData sheetId="16">
        <row r="7">
          <cell r="A7">
            <v>1.5711520459999997E-12</v>
          </cell>
          <cell r="B7">
            <v>4.5827618694181632E-13</v>
          </cell>
          <cell r="C7">
            <v>-2.1975654380000012E-9</v>
          </cell>
          <cell r="D7">
            <v>1.4027614180975907E-11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8" workbookViewId="0">
      <selection activeCell="A2" sqref="A2:B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t="s">
        <v>108</v>
      </c>
      <c r="C2" s="36" t="s">
        <v>95</v>
      </c>
      <c r="D2" s="37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3896.8</v>
      </c>
      <c r="G6" s="14">
        <v>700</v>
      </c>
      <c r="H6" s="15">
        <v>0.62569444444444444</v>
      </c>
      <c r="I6" s="16">
        <v>977</v>
      </c>
      <c r="J6" s="17">
        <v>22.5</v>
      </c>
      <c r="K6" s="18">
        <v>260</v>
      </c>
      <c r="L6" s="12">
        <f>SQRT(K6)</f>
        <v>16.124515496597098</v>
      </c>
      <c r="M6" s="14">
        <v>101154</v>
      </c>
      <c r="N6" s="23">
        <f>SQRT(M6)</f>
        <v>318.04716631342592</v>
      </c>
      <c r="O6" s="40">
        <f>'[1]700uA'!A7</f>
        <v>1.5711520459999997E-12</v>
      </c>
      <c r="P6" s="12">
        <f>'[1]700uA'!B7</f>
        <v>4.5827618694181632E-13</v>
      </c>
      <c r="Q6" s="41">
        <f>'[1]700uA'!C7</f>
        <v>-2.1975654380000012E-9</v>
      </c>
      <c r="R6" s="41">
        <f>'[1]700uA'!D7</f>
        <v>1.4027614180975907E-11</v>
      </c>
    </row>
    <row r="7" spans="1:18">
      <c r="A7" s="9" t="s">
        <v>3</v>
      </c>
      <c r="B7" s="11">
        <v>4</v>
      </c>
      <c r="C7"/>
      <c r="D7"/>
      <c r="E7" s="58"/>
      <c r="F7" s="13"/>
      <c r="G7" s="14">
        <v>690</v>
      </c>
      <c r="H7" s="15">
        <v>0.63541666666666663</v>
      </c>
      <c r="I7" s="16">
        <v>977</v>
      </c>
      <c r="J7" s="17">
        <v>22.5</v>
      </c>
      <c r="K7" s="18">
        <v>193</v>
      </c>
      <c r="L7" s="12">
        <f t="shared" ref="L7:L21" si="0">SQRT(K7)</f>
        <v>13.892443989449804</v>
      </c>
      <c r="M7" s="18">
        <v>98600</v>
      </c>
      <c r="N7" s="23">
        <f t="shared" ref="N7:N21" si="1">SQRT(M7)</f>
        <v>314.00636936215164</v>
      </c>
      <c r="O7" s="40">
        <f>'[1]690uA'!A7</f>
        <v>3.4128789049999995E-12</v>
      </c>
      <c r="P7" s="41">
        <f>'[1]690uA'!B7</f>
        <v>3.867938858517847E-13</v>
      </c>
      <c r="Q7" s="41">
        <f>'[1]690uA'!C7</f>
        <v>-1.4389252199999997E-9</v>
      </c>
      <c r="R7" s="41">
        <f>'[1]690uA'!D7</f>
        <v>8.539664730303407E-12</v>
      </c>
    </row>
    <row r="8" spans="1:18">
      <c r="A8" s="9" t="s">
        <v>28</v>
      </c>
      <c r="B8" s="11">
        <v>100</v>
      </c>
      <c r="C8"/>
      <c r="D8"/>
      <c r="E8" s="58"/>
      <c r="F8" s="13"/>
      <c r="G8" s="14">
        <v>680</v>
      </c>
      <c r="H8" s="15">
        <v>0.63958333333333328</v>
      </c>
      <c r="I8" s="16">
        <v>977</v>
      </c>
      <c r="J8" s="17">
        <v>22.5</v>
      </c>
      <c r="K8" s="18">
        <v>152</v>
      </c>
      <c r="L8" s="12">
        <f t="shared" si="0"/>
        <v>12.328828005937952</v>
      </c>
      <c r="M8" s="14">
        <v>97835</v>
      </c>
      <c r="N8" s="23">
        <f t="shared" si="1"/>
        <v>312.78586924603866</v>
      </c>
      <c r="O8" s="40">
        <f>'[1]680uA'!A7</f>
        <v>3.0081537419999999E-12</v>
      </c>
      <c r="P8" s="41">
        <f>'[1]680uA'!B7</f>
        <v>3.402128608188417E-13</v>
      </c>
      <c r="Q8" s="41">
        <f>'[1]680uA'!C7</f>
        <v>-1.0043379584999994E-9</v>
      </c>
      <c r="R8" s="41">
        <f>'[1]680uA'!D7</f>
        <v>5.8525174945022955E-12</v>
      </c>
    </row>
    <row r="9" spans="1:18" ht="15" customHeight="1">
      <c r="A9" s="9" t="s">
        <v>29</v>
      </c>
      <c r="B9" s="11">
        <v>100</v>
      </c>
      <c r="C9" s="4"/>
      <c r="D9" s="6"/>
      <c r="E9" s="58"/>
      <c r="F9" s="13"/>
      <c r="G9" s="14">
        <v>670</v>
      </c>
      <c r="H9" s="15">
        <v>0.64374999999999993</v>
      </c>
      <c r="I9" s="16">
        <v>977</v>
      </c>
      <c r="J9" s="17">
        <v>22.5</v>
      </c>
      <c r="K9" s="18">
        <v>112</v>
      </c>
      <c r="L9" s="12">
        <f t="shared" si="0"/>
        <v>10.583005244258363</v>
      </c>
      <c r="M9" s="14">
        <v>95562</v>
      </c>
      <c r="N9" s="23">
        <f t="shared" si="1"/>
        <v>309.13104017552166</v>
      </c>
      <c r="O9" s="40">
        <f>'[1]670uA'!A7</f>
        <v>3.4879123565000014E-12</v>
      </c>
      <c r="P9" s="41">
        <f>'[1]670uA'!B7</f>
        <v>3.7933528199199528E-13</v>
      </c>
      <c r="Q9" s="41">
        <f>'[1]670uA'!C7</f>
        <v>-6.9708562500000018E-10</v>
      </c>
      <c r="R9" s="41">
        <f>'[1]670uA'!D7</f>
        <v>4.1520984739637192E-12</v>
      </c>
    </row>
    <row r="10" spans="1:18">
      <c r="A10" s="43" t="s">
        <v>23</v>
      </c>
      <c r="B10" s="44"/>
      <c r="C10" s="4"/>
      <c r="D10" s="6"/>
      <c r="E10" s="58"/>
      <c r="F10" s="13"/>
      <c r="G10" s="14">
        <v>660</v>
      </c>
      <c r="H10" s="15">
        <v>0.65208333333333335</v>
      </c>
      <c r="I10" s="16">
        <v>977</v>
      </c>
      <c r="J10" s="17">
        <v>22.5</v>
      </c>
      <c r="K10" s="18">
        <v>87</v>
      </c>
      <c r="L10" s="12">
        <f t="shared" si="0"/>
        <v>9.3273790530888157</v>
      </c>
      <c r="M10" s="14">
        <v>92047</v>
      </c>
      <c r="N10" s="23">
        <f t="shared" si="1"/>
        <v>303.39248507502623</v>
      </c>
      <c r="O10" s="40">
        <f>'[1]660uA'!A7</f>
        <v>4.3257840904999976E-12</v>
      </c>
      <c r="P10" s="41">
        <f>'[1]660uA'!B7</f>
        <v>3.1036196012338416E-13</v>
      </c>
      <c r="Q10" s="41">
        <f>'[1]660uA'!C7</f>
        <v>-4.8598735499999979E-10</v>
      </c>
      <c r="R10" s="41">
        <f>'[1]660uA'!D7</f>
        <v>2.8944791120181567E-12</v>
      </c>
    </row>
    <row r="11" spans="1:18">
      <c r="A11" s="45"/>
      <c r="B11" s="46"/>
      <c r="C11" s="4"/>
      <c r="D11" s="6"/>
      <c r="E11" s="58"/>
      <c r="F11" s="13"/>
      <c r="G11" s="14">
        <v>650</v>
      </c>
      <c r="H11" s="15">
        <v>0.65486111111111112</v>
      </c>
      <c r="I11" s="16">
        <v>977</v>
      </c>
      <c r="J11" s="17">
        <v>22.5</v>
      </c>
      <c r="K11" s="18">
        <v>60</v>
      </c>
      <c r="L11" s="12">
        <f t="shared" si="0"/>
        <v>7.745966692414834</v>
      </c>
      <c r="M11" s="14">
        <v>87009</v>
      </c>
      <c r="N11" s="23">
        <f t="shared" si="1"/>
        <v>294.97288010934159</v>
      </c>
      <c r="O11" s="40">
        <f>'[1]650uA'!A7</f>
        <v>4.2575720124999987E-12</v>
      </c>
      <c r="P11" s="41">
        <f>'[1]650uA'!B7</f>
        <v>3.4358744244703664E-13</v>
      </c>
      <c r="Q11" s="41">
        <f>'[1]650uA'!C7</f>
        <v>-3.3999867849999996E-10</v>
      </c>
      <c r="R11" s="41">
        <f>'[1]650uA'!D7</f>
        <v>1.8548892503584725E-12</v>
      </c>
    </row>
    <row r="12" spans="1:18">
      <c r="A12" s="9" t="s">
        <v>57</v>
      </c>
      <c r="B12" s="11" t="s">
        <v>109</v>
      </c>
      <c r="C12" s="4"/>
      <c r="D12" s="6"/>
      <c r="E12" s="58"/>
      <c r="F12" s="13"/>
      <c r="G12" s="14">
        <v>640</v>
      </c>
      <c r="H12" s="15">
        <v>0.66527777777777775</v>
      </c>
      <c r="I12" s="16">
        <v>977</v>
      </c>
      <c r="J12" s="17">
        <v>22.5</v>
      </c>
      <c r="K12" s="18">
        <v>61</v>
      </c>
      <c r="L12" s="12">
        <f t="shared" si="0"/>
        <v>7.810249675906654</v>
      </c>
      <c r="M12" s="14">
        <v>77310</v>
      </c>
      <c r="N12" s="23">
        <f>SQRT(M12)</f>
        <v>278.04675865760419</v>
      </c>
      <c r="O12" s="40">
        <f>'[1]640uA'!A7</f>
        <v>4.1700331215000017E-12</v>
      </c>
      <c r="P12" s="41">
        <f>'[1]640uA'!B7</f>
        <v>2.9078056224599251E-13</v>
      </c>
      <c r="Q12" s="41">
        <f>'[1]640uA'!C7</f>
        <v>-2.3765437450000003E-10</v>
      </c>
      <c r="R12" s="41">
        <f>'[1]640uA'!D7</f>
        <v>1.4833879556103138E-12</v>
      </c>
    </row>
    <row r="13" spans="1:18">
      <c r="A13" s="9" t="s">
        <v>45</v>
      </c>
      <c r="B13" s="11" t="s">
        <v>97</v>
      </c>
      <c r="C13" s="4"/>
      <c r="D13" s="6"/>
      <c r="E13" s="58"/>
      <c r="F13" s="13"/>
      <c r="G13" s="14">
        <v>630</v>
      </c>
      <c r="H13" s="15">
        <v>0.67013888888888884</v>
      </c>
      <c r="I13" s="16">
        <v>977</v>
      </c>
      <c r="J13" s="17">
        <v>22.5</v>
      </c>
      <c r="K13" s="18">
        <v>38</v>
      </c>
      <c r="L13" s="12">
        <f t="shared" si="0"/>
        <v>6.164414002968976</v>
      </c>
      <c r="M13" s="14">
        <v>45369</v>
      </c>
      <c r="N13" s="23">
        <f t="shared" si="1"/>
        <v>213</v>
      </c>
      <c r="O13" s="40">
        <f>'[1]630uA'!A7</f>
        <v>4.6338755179999953E-12</v>
      </c>
      <c r="P13" s="41">
        <f>'[1]630uA'!B7</f>
        <v>3.5218884410413769E-13</v>
      </c>
      <c r="Q13" s="41">
        <f>'[1]630uA'!C7</f>
        <v>-1.679870845E-10</v>
      </c>
      <c r="R13" s="41">
        <f>'[1]630uA'!D7</f>
        <v>9.7198665239405948E-13</v>
      </c>
    </row>
    <row r="14" spans="1:18">
      <c r="A14" s="9" t="s">
        <v>54</v>
      </c>
      <c r="B14" s="11" t="s">
        <v>98</v>
      </c>
      <c r="C14" s="4"/>
      <c r="D14" s="6"/>
      <c r="E14" s="58"/>
      <c r="F14" s="13"/>
      <c r="G14" s="14">
        <v>620</v>
      </c>
      <c r="H14" s="15">
        <v>0.67986111111111114</v>
      </c>
      <c r="I14" s="16">
        <v>977</v>
      </c>
      <c r="J14" s="17">
        <v>22.5</v>
      </c>
      <c r="K14" s="18">
        <v>26</v>
      </c>
      <c r="L14" s="12">
        <f t="shared" si="0"/>
        <v>5.0990195135927845</v>
      </c>
      <c r="M14" s="14">
        <v>33642</v>
      </c>
      <c r="N14" s="23">
        <f t="shared" si="1"/>
        <v>183.41755641159327</v>
      </c>
      <c r="O14" s="40">
        <f>'[1]620uA'!A7</f>
        <v>4.0211034489999999E-12</v>
      </c>
      <c r="P14" s="41">
        <f>'[1]620uA'!B7</f>
        <v>4.4721414101417468E-13</v>
      </c>
      <c r="Q14" s="41">
        <f>'[1]620uA'!C7</f>
        <v>-1.1856399859999995E-10</v>
      </c>
      <c r="R14" s="41">
        <f>'[1]620uA'!D7</f>
        <v>7.1815435413301733E-13</v>
      </c>
    </row>
    <row r="15" spans="1:18">
      <c r="A15" s="9" t="s">
        <v>55</v>
      </c>
      <c r="B15" s="11" t="s">
        <v>99</v>
      </c>
      <c r="C15" s="4"/>
      <c r="D15" s="6"/>
      <c r="E15" s="58"/>
      <c r="F15" s="13"/>
      <c r="G15" s="14">
        <v>610</v>
      </c>
      <c r="H15" s="15">
        <v>0.68541666666666667</v>
      </c>
      <c r="I15" s="16">
        <v>977</v>
      </c>
      <c r="J15" s="17">
        <v>22.5</v>
      </c>
      <c r="K15" s="18">
        <v>24</v>
      </c>
      <c r="L15" s="12">
        <f t="shared" si="0"/>
        <v>4.8989794855663558</v>
      </c>
      <c r="M15" s="14">
        <v>19835</v>
      </c>
      <c r="N15" s="23">
        <f t="shared" si="1"/>
        <v>140.83678496756448</v>
      </c>
      <c r="O15" s="40">
        <f>'[1]610uA'!A7</f>
        <v>4.1700332275000007E-12</v>
      </c>
      <c r="P15" s="41">
        <f>'[1]610uA'!B7</f>
        <v>2.6856070096334842E-13</v>
      </c>
      <c r="Q15" s="41">
        <f>'[1]610uA'!C7</f>
        <v>-8.333017814999996E-11</v>
      </c>
      <c r="R15" s="41">
        <f>'[1]610uA'!D7</f>
        <v>5.7944025952376231E-13</v>
      </c>
    </row>
    <row r="16" spans="1:18">
      <c r="A16" s="9" t="s">
        <v>49</v>
      </c>
      <c r="B16" s="11">
        <v>5</v>
      </c>
      <c r="C16" s="4"/>
      <c r="D16" s="6"/>
      <c r="E16" s="58"/>
      <c r="F16" s="13"/>
      <c r="G16" s="14">
        <v>600</v>
      </c>
      <c r="H16" s="15">
        <v>0.69652777777777775</v>
      </c>
      <c r="I16" s="16">
        <v>977</v>
      </c>
      <c r="J16" s="17">
        <v>22.5</v>
      </c>
      <c r="K16" s="18">
        <v>19</v>
      </c>
      <c r="L16" s="12">
        <f t="shared" si="0"/>
        <v>4.358898943540674</v>
      </c>
      <c r="M16" s="14">
        <v>5153</v>
      </c>
      <c r="N16" s="23">
        <f t="shared" si="1"/>
        <v>71.784399419372448</v>
      </c>
      <c r="O16" s="40">
        <f>'[1]600uA'!A7</f>
        <v>4.8055425124999992E-12</v>
      </c>
      <c r="P16" s="41">
        <f>'[1]600uA'!B7</f>
        <v>2.7290875257147933E-13</v>
      </c>
      <c r="Q16" s="41">
        <f>'[1]600uA'!C7</f>
        <v>-5.9042122299999985E-11</v>
      </c>
      <c r="R16" s="41">
        <f>'[1]600uA'!D7</f>
        <v>4.4994345741647691E-13</v>
      </c>
    </row>
    <row r="17" spans="1:20">
      <c r="A17" s="9" t="s">
        <v>62</v>
      </c>
      <c r="B17" s="11">
        <v>5.6</v>
      </c>
      <c r="C17" s="4"/>
      <c r="D17" s="6"/>
      <c r="E17" s="58"/>
      <c r="F17" s="13"/>
      <c r="G17" s="14">
        <v>590</v>
      </c>
      <c r="H17" s="15">
        <v>0.70277777777777783</v>
      </c>
      <c r="I17" s="16">
        <v>977</v>
      </c>
      <c r="J17" s="17">
        <v>22.5</v>
      </c>
      <c r="K17" s="18">
        <v>9</v>
      </c>
      <c r="L17" s="12">
        <f t="shared" si="0"/>
        <v>3</v>
      </c>
      <c r="M17" s="14">
        <v>217</v>
      </c>
      <c r="N17" s="23">
        <f t="shared" si="1"/>
        <v>14.730919862656235</v>
      </c>
      <c r="O17" s="40">
        <f>'[1]590uA'!A7</f>
        <v>4.8828497124999969E-12</v>
      </c>
      <c r="P17" s="41">
        <f>'[1]590uA'!B7</f>
        <v>2.6400696494960902E-13</v>
      </c>
      <c r="Q17" s="41">
        <f>'[1]590uA'!C7</f>
        <v>-4.0638496899999996E-11</v>
      </c>
      <c r="R17" s="41">
        <f>'[1]590uA'!D7</f>
        <v>3.9158248460669267E-13</v>
      </c>
    </row>
    <row r="18" spans="1:20" ht="14" customHeight="1">
      <c r="A18" s="9" t="s">
        <v>63</v>
      </c>
      <c r="B18" s="11">
        <v>4.62</v>
      </c>
      <c r="C18" s="4"/>
      <c r="D18" s="6"/>
      <c r="E18" s="58"/>
      <c r="F18" s="13"/>
      <c r="G18" s="14">
        <v>580</v>
      </c>
      <c r="H18" s="15">
        <v>0.71180555555555547</v>
      </c>
      <c r="I18" s="16">
        <v>977</v>
      </c>
      <c r="J18" s="17">
        <v>22.5</v>
      </c>
      <c r="K18" s="18">
        <v>7</v>
      </c>
      <c r="L18" s="12">
        <f t="shared" si="0"/>
        <v>2.6457513110645907</v>
      </c>
      <c r="M18" s="14">
        <v>13</v>
      </c>
      <c r="N18" s="23">
        <f t="shared" si="1"/>
        <v>3.6055512754639891</v>
      </c>
      <c r="O18" s="40">
        <f>'[1]580uA'!A7</f>
        <v>4.4155968415000008E-12</v>
      </c>
      <c r="P18" s="41">
        <f>'[1]580uA'!B7</f>
        <v>2.5938294184827727E-13</v>
      </c>
      <c r="Q18" s="41">
        <f>'[1]580uA'!C7</f>
        <v>-2.6938096049999997E-11</v>
      </c>
      <c r="R18" s="41">
        <f>'[1]580uA'!D7</f>
        <v>3.1594725563455123E-13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58"/>
      <c r="F19" s="13"/>
      <c r="G19" s="14">
        <v>570</v>
      </c>
      <c r="H19" s="15">
        <v>0.71666666666666667</v>
      </c>
      <c r="I19" s="16">
        <v>977</v>
      </c>
      <c r="J19" s="17">
        <v>22.5</v>
      </c>
      <c r="K19" s="18">
        <v>8</v>
      </c>
      <c r="L19" s="12">
        <f t="shared" si="0"/>
        <v>2.8284271247461903</v>
      </c>
      <c r="M19" s="14">
        <v>17</v>
      </c>
      <c r="N19" s="23">
        <f t="shared" si="1"/>
        <v>4.1231056256176606</v>
      </c>
      <c r="O19" s="40">
        <f>'[1]570uA'!A7</f>
        <v>4.073399407500001E-12</v>
      </c>
      <c r="P19" s="41">
        <f>'[1]570uA'!B7</f>
        <v>2.9793532757896226E-13</v>
      </c>
      <c r="Q19" s="41">
        <f>'[1]570uA'!C7</f>
        <v>-1.8634409660000002E-11</v>
      </c>
      <c r="R19" s="41">
        <f>'[1]570uA'!D7</f>
        <v>2.8644572925498573E-13</v>
      </c>
    </row>
    <row r="20" spans="1:20">
      <c r="A20" s="9" t="s">
        <v>65</v>
      </c>
      <c r="B20" s="11">
        <v>0.56200000000000006</v>
      </c>
      <c r="C20" s="4"/>
      <c r="D20" s="6"/>
      <c r="E20" s="58"/>
      <c r="F20" s="13"/>
      <c r="G20" s="14">
        <v>560</v>
      </c>
      <c r="H20" s="15">
        <v>0.7270833333333333</v>
      </c>
      <c r="I20" s="16">
        <v>977</v>
      </c>
      <c r="J20" s="17">
        <v>22.5</v>
      </c>
      <c r="K20" s="18">
        <v>5</v>
      </c>
      <c r="L20" s="12">
        <f t="shared" si="0"/>
        <v>2.2360679774997898</v>
      </c>
      <c r="M20" s="14">
        <v>16</v>
      </c>
      <c r="N20" s="23">
        <f t="shared" si="1"/>
        <v>4</v>
      </c>
      <c r="O20" s="40">
        <f>'[1]560uA'!A7</f>
        <v>3.6311576494999983E-12</v>
      </c>
      <c r="P20" s="41">
        <f>'[1]560uA'!B7</f>
        <v>2.7670551227004119E-13</v>
      </c>
      <c r="Q20" s="41">
        <f>'[1]560uA'!C7</f>
        <v>-1.2694272680000005E-11</v>
      </c>
      <c r="R20" s="41">
        <f>'[1]560uA'!D7</f>
        <v>2.7321049932870607E-13</v>
      </c>
    </row>
    <row r="21" spans="1:20">
      <c r="A21" s="9" t="s">
        <v>66</v>
      </c>
      <c r="B21" s="11">
        <v>0.436</v>
      </c>
      <c r="C21" s="4"/>
      <c r="D21" s="6"/>
      <c r="E21" s="59"/>
      <c r="F21" s="13"/>
      <c r="G21" s="14">
        <v>550</v>
      </c>
      <c r="H21" s="15">
        <v>0.73125000000000007</v>
      </c>
      <c r="I21" s="16">
        <v>977</v>
      </c>
      <c r="J21" s="17">
        <v>22.5</v>
      </c>
      <c r="K21" s="18">
        <v>3</v>
      </c>
      <c r="L21" s="12">
        <f t="shared" si="0"/>
        <v>1.7320508075688772</v>
      </c>
      <c r="M21" s="14">
        <v>11</v>
      </c>
      <c r="N21" s="23">
        <f t="shared" si="1"/>
        <v>3.3166247903553998</v>
      </c>
      <c r="O21" s="40">
        <f>'[1]550uA'!A7</f>
        <v>3.9267433509999994E-12</v>
      </c>
      <c r="P21" s="41">
        <f>'[1]550uA'!B7</f>
        <v>2.4688955882425762E-13</v>
      </c>
      <c r="Q21" s="41">
        <f>'[1]550uA'!C7</f>
        <v>-8.5208282340000005E-12</v>
      </c>
      <c r="R21" s="41">
        <f>'[1]550uA'!D7</f>
        <v>2.5886947711924434E-13</v>
      </c>
      <c r="T21" s="2"/>
    </row>
    <row r="22" spans="1:20">
      <c r="A22" s="9" t="s">
        <v>67</v>
      </c>
      <c r="B22" s="11">
        <v>0.54700000000000004</v>
      </c>
      <c r="C22" s="4"/>
      <c r="D22" s="6"/>
    </row>
    <row r="23" spans="1:20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0</v>
      </c>
      <c r="E30" s="29">
        <f t="shared" ref="E30:E45" si="2">G6*(AVERAGE($J$6:$J$21)+273.15)/(AVERAGE($I$6:$I$21))*($I$48/$I$49)</f>
        <v>687.60006573265184</v>
      </c>
      <c r="F30" s="29">
        <f t="shared" ref="F30:F45" si="3">F6*(AVERAGE($J$6:$J$21)+273.15)/(AVERAGE($I$6:$I$21))*($I$48/$I$49)</f>
        <v>3827.7713373528541</v>
      </c>
      <c r="G30" s="29">
        <f>E30*'Data Summary'!$B$18*(AVERAGE($J$6:$J$21)+273.15)/(AVERAGE($I$6:$I$21))*($I$48/$I$49)</f>
        <v>3120.4394126106113</v>
      </c>
      <c r="H30" s="31">
        <f>(M6-K6)/$B$42</f>
        <v>1681.5666666666666</v>
      </c>
      <c r="I30" s="32">
        <f>(1/$B$42)*SQRT(N6^2+L6^2)</f>
        <v>5.3075941400558833</v>
      </c>
      <c r="J30" s="33">
        <f>Q6-O6</f>
        <v>-2.1991365900460014E-9</v>
      </c>
      <c r="K30" s="33">
        <f>SQRT(P6^2+R6^2)</f>
        <v>1.4035098028650683E-11</v>
      </c>
      <c r="L30" s="32">
        <f>ABS(J30)/($H$30*$F$24*$L$24)</f>
        <v>23593.887493741709</v>
      </c>
      <c r="M30" s="33">
        <f>SQRT( ( 1 / ($H$30*$F$24*$L$24 ) )^2 * (K30^2+J30^2*( ($I$30/$H$30)^2+($F$25/$F$24)^2)))</f>
        <v>259.4718385216072</v>
      </c>
    </row>
    <row r="31" spans="1:20">
      <c r="A31" s="9" t="s">
        <v>27</v>
      </c>
      <c r="B31" s="11">
        <v>400</v>
      </c>
      <c r="E31" s="29">
        <f t="shared" si="2"/>
        <v>677.77720765075685</v>
      </c>
      <c r="F31" s="29">
        <f t="shared" si="3"/>
        <v>0</v>
      </c>
      <c r="G31" s="29">
        <f>E31*'Data Summary'!$B$18*(AVERAGE($J$6:$J$21)+273.15)/(AVERAGE($I$6:$I$21))*($I$48/$I$49)</f>
        <v>3075.8617067161745</v>
      </c>
      <c r="H31" s="31">
        <f>(M7-K7)/$B$42</f>
        <v>1640.1166666666666</v>
      </c>
      <c r="I31" s="32">
        <f t="shared" ref="I31:I45" si="4">(1/$B$42)*SQRT(N7^2+L7^2)</f>
        <v>5.2385589621574367</v>
      </c>
      <c r="J31" s="33">
        <f t="shared" ref="J31:J45" si="5">Q7-O7</f>
        <v>-1.4423380989049996E-9</v>
      </c>
      <c r="K31" s="33">
        <f t="shared" ref="K31:K45" si="6">SQRT(P7^2+R7^2)</f>
        <v>8.5484199251160028E-12</v>
      </c>
      <c r="L31" s="32">
        <f>ABS(J31)/($H$30*$F$24*$L$24)</f>
        <v>15474.419818911758</v>
      </c>
      <c r="M31" s="33">
        <f t="shared" ref="M31:M45" si="7">SQRT( ( 1 / ($H$30*$F$24*$L$24 ) )^2 * (K31^2+J31^2*( ($I$30/$H$30)^2+($F$25/$F$24)^2)))</f>
        <v>166.18891547078061</v>
      </c>
    </row>
    <row r="32" spans="1:20">
      <c r="A32" s="43" t="s">
        <v>52</v>
      </c>
      <c r="B32" s="44"/>
      <c r="E32" s="29">
        <f t="shared" si="2"/>
        <v>667.95434956886186</v>
      </c>
      <c r="F32" s="29">
        <f t="shared" si="3"/>
        <v>0</v>
      </c>
      <c r="G32" s="29">
        <f>E32*'Data Summary'!$B$18*(AVERAGE($J$6:$J$21)+273.15)/(AVERAGE($I$6:$I$21))*($I$48/$I$49)</f>
        <v>3031.2840008217372</v>
      </c>
      <c r="H32" s="31">
        <f t="shared" ref="H32:H45" si="8">(M8-K8)/$B$42</f>
        <v>1628.05</v>
      </c>
      <c r="I32" s="32">
        <f t="shared" si="4"/>
        <v>5.2171458778829551</v>
      </c>
      <c r="J32" s="33">
        <f t="shared" si="5"/>
        <v>-1.0073461122419995E-9</v>
      </c>
      <c r="K32" s="33">
        <f t="shared" si="6"/>
        <v>5.8623976165151036E-12</v>
      </c>
      <c r="L32" s="32">
        <f t="shared" ref="L32:L45" si="9">ABS(J32)/($H$30*$F$24*$L$24)</f>
        <v>10807.519163236098</v>
      </c>
      <c r="M32" s="33">
        <f t="shared" si="7"/>
        <v>115.43338301388133</v>
      </c>
    </row>
    <row r="33" spans="1:14">
      <c r="A33" s="45"/>
      <c r="B33" s="46"/>
      <c r="E33" s="29">
        <f t="shared" si="2"/>
        <v>658.13149148696687</v>
      </c>
      <c r="F33" s="29">
        <f t="shared" si="3"/>
        <v>0</v>
      </c>
      <c r="G33" s="29">
        <f>E33*'Data Summary'!$B$18*(AVERAGE($J$6:$J$21)+273.15)/(AVERAGE($I$6:$I$21))*($I$48/$I$49)</f>
        <v>2986.7062949273</v>
      </c>
      <c r="H33" s="31">
        <f t="shared" si="8"/>
        <v>1590.8333333333333</v>
      </c>
      <c r="I33" s="32">
        <f t="shared" si="4"/>
        <v>5.1552023346432394</v>
      </c>
      <c r="J33" s="33">
        <f t="shared" si="5"/>
        <v>-7.0057353735650017E-10</v>
      </c>
      <c r="K33" s="33">
        <f t="shared" si="6"/>
        <v>4.1693904822714545E-12</v>
      </c>
      <c r="L33" s="32">
        <f t="shared" si="9"/>
        <v>7516.2467380601229</v>
      </c>
      <c r="M33" s="33">
        <f t="shared" si="7"/>
        <v>80.823658433241533</v>
      </c>
    </row>
    <row r="34" spans="1:14">
      <c r="A34" s="9" t="s">
        <v>56</v>
      </c>
      <c r="B34" s="11" t="s">
        <v>101</v>
      </c>
      <c r="E34" s="29">
        <f t="shared" si="2"/>
        <v>648.30863340507176</v>
      </c>
      <c r="F34" s="29">
        <f t="shared" si="3"/>
        <v>0</v>
      </c>
      <c r="G34" s="29">
        <f>E34*'Data Summary'!$B$18*(AVERAGE($J$6:$J$21)+273.15)/(AVERAGE($I$6:$I$21))*($I$48/$I$49)</f>
        <v>2942.1285890328622</v>
      </c>
      <c r="H34" s="31">
        <f t="shared" si="8"/>
        <v>1532.6666666666667</v>
      </c>
      <c r="I34" s="32">
        <f t="shared" si="4"/>
        <v>5.0589304974251004</v>
      </c>
      <c r="J34" s="33">
        <f t="shared" si="5"/>
        <v>-4.9031313909049978E-10</v>
      </c>
      <c r="K34" s="33">
        <f t="shared" si="6"/>
        <v>2.9110709156942647E-12</v>
      </c>
      <c r="L34" s="32">
        <f t="shared" si="9"/>
        <v>5260.42497440443</v>
      </c>
      <c r="M34" s="33">
        <f t="shared" si="7"/>
        <v>56.524977521961247</v>
      </c>
    </row>
    <row r="35" spans="1:14">
      <c r="A35" s="9" t="s">
        <v>20</v>
      </c>
      <c r="B35" s="11" t="s">
        <v>102</v>
      </c>
      <c r="E35" s="29">
        <f t="shared" si="2"/>
        <v>638.48577532317677</v>
      </c>
      <c r="F35" s="29">
        <f t="shared" si="3"/>
        <v>0</v>
      </c>
      <c r="G35" s="29">
        <f>E35*'Data Summary'!$B$18*(AVERAGE($J$6:$J$21)+273.15)/(AVERAGE($I$6:$I$21))*($I$48/$I$49)</f>
        <v>2897.550883138425</v>
      </c>
      <c r="H35" s="31">
        <f t="shared" si="8"/>
        <v>1449.15</v>
      </c>
      <c r="I35" s="32">
        <f t="shared" si="4"/>
        <v>4.9179094474515628</v>
      </c>
      <c r="J35" s="33">
        <f t="shared" si="5"/>
        <v>-3.4425625051249996E-10</v>
      </c>
      <c r="K35" s="33">
        <f t="shared" si="6"/>
        <v>1.8864428063693612E-12</v>
      </c>
      <c r="L35" s="32">
        <f t="shared" si="9"/>
        <v>3693.4237192785663</v>
      </c>
      <c r="M35" s="33">
        <f t="shared" si="7"/>
        <v>38.779167810324253</v>
      </c>
      <c r="N35" s="3"/>
    </row>
    <row r="36" spans="1:14">
      <c r="A36" s="9" t="s">
        <v>21</v>
      </c>
      <c r="B36" s="11" t="s">
        <v>103</v>
      </c>
      <c r="E36" s="29">
        <f t="shared" si="2"/>
        <v>628.66291724128178</v>
      </c>
      <c r="F36" s="29">
        <f t="shared" si="3"/>
        <v>0</v>
      </c>
      <c r="G36" s="29">
        <f>E36*'Data Summary'!$B$18*(AVERAGE($J$6:$J$21)+273.15)/(AVERAGE($I$6:$I$21))*($I$48/$I$49)</f>
        <v>2852.9731772439882</v>
      </c>
      <c r="H36" s="31">
        <f t="shared" si="8"/>
        <v>1287.4833333333333</v>
      </c>
      <c r="I36" s="32">
        <f t="shared" si="4"/>
        <v>4.6359405134712892</v>
      </c>
      <c r="J36" s="33">
        <f t="shared" si="5"/>
        <v>-2.4182440762150005E-10</v>
      </c>
      <c r="K36" s="33">
        <f t="shared" si="6"/>
        <v>1.5116193840480618E-12</v>
      </c>
      <c r="L36" s="32">
        <f t="shared" si="9"/>
        <v>2594.4627052670062</v>
      </c>
      <c r="M36" s="33">
        <f t="shared" si="7"/>
        <v>28.336209822211792</v>
      </c>
      <c r="N36" s="3"/>
    </row>
    <row r="37" spans="1:14">
      <c r="A37" s="9" t="s">
        <v>22</v>
      </c>
      <c r="B37" s="11" t="s">
        <v>104</v>
      </c>
      <c r="E37" s="29">
        <f t="shared" si="2"/>
        <v>618.84005915938678</v>
      </c>
      <c r="F37" s="29">
        <f t="shared" si="3"/>
        <v>0</v>
      </c>
      <c r="G37" s="29">
        <f>E37*'Data Summary'!$B$18*(AVERAGE($J$6:$J$21)+273.15)/(AVERAGE($I$6:$I$21))*($I$48/$I$49)</f>
        <v>2808.3954713495509</v>
      </c>
      <c r="H37" s="31">
        <f t="shared" si="8"/>
        <v>755.51666666666665</v>
      </c>
      <c r="I37" s="32">
        <f t="shared" si="4"/>
        <v>3.5514863867901219</v>
      </c>
      <c r="J37" s="33">
        <f t="shared" si="5"/>
        <v>-1.72620960018E-10</v>
      </c>
      <c r="K37" s="33">
        <f t="shared" si="6"/>
        <v>1.0338254370751471E-12</v>
      </c>
      <c r="L37" s="32">
        <f t="shared" si="9"/>
        <v>1851.9993383590527</v>
      </c>
      <c r="M37" s="33">
        <f t="shared" si="7"/>
        <v>19.953527407834308</v>
      </c>
    </row>
    <row r="38" spans="1:14">
      <c r="A38" s="43" t="s">
        <v>11</v>
      </c>
      <c r="B38" s="44"/>
      <c r="E38" s="29">
        <f t="shared" si="2"/>
        <v>609.01720107749179</v>
      </c>
      <c r="F38" s="29">
        <f t="shared" si="3"/>
        <v>0</v>
      </c>
      <c r="G38" s="29">
        <f>E38*'Data Summary'!$B$18*(AVERAGE($J$6:$J$21)+273.15)/(AVERAGE($I$6:$I$21))*($I$48/$I$49)</f>
        <v>2763.8177654551141</v>
      </c>
      <c r="H38" s="31">
        <f t="shared" si="8"/>
        <v>560.26666666666665</v>
      </c>
      <c r="I38" s="32">
        <f t="shared" si="4"/>
        <v>3.0581403208849367</v>
      </c>
      <c r="J38" s="33">
        <f t="shared" si="5"/>
        <v>-1.2258510204899995E-10</v>
      </c>
      <c r="K38" s="33">
        <f t="shared" si="6"/>
        <v>8.4601782740274301E-13</v>
      </c>
      <c r="L38" s="32">
        <f t="shared" si="9"/>
        <v>1315.179384147508</v>
      </c>
      <c r="M38" s="33">
        <f t="shared" si="7"/>
        <v>14.870393199048621</v>
      </c>
    </row>
    <row r="39" spans="1:14">
      <c r="A39" s="47"/>
      <c r="B39" s="48"/>
      <c r="E39" s="29">
        <f t="shared" si="2"/>
        <v>599.1943429955968</v>
      </c>
      <c r="F39" s="29">
        <f t="shared" si="3"/>
        <v>0</v>
      </c>
      <c r="G39" s="29">
        <f>E39*'Data Summary'!$B$18*(AVERAGE($J$6:$J$21)+273.15)/(AVERAGE($I$6:$I$21))*($I$48/$I$49)</f>
        <v>2719.2400595606764</v>
      </c>
      <c r="H39" s="31">
        <f t="shared" si="8"/>
        <v>330.18333333333334</v>
      </c>
      <c r="I39" s="32">
        <f t="shared" si="4"/>
        <v>2.3486994036889626</v>
      </c>
      <c r="J39" s="33">
        <f t="shared" si="5"/>
        <v>-8.7500211377499958E-11</v>
      </c>
      <c r="K39" s="33">
        <f t="shared" si="6"/>
        <v>6.3865159865053977E-13</v>
      </c>
      <c r="L39" s="32">
        <f t="shared" si="9"/>
        <v>938.76394593396674</v>
      </c>
      <c r="M39" s="33">
        <f t="shared" si="7"/>
        <v>10.846091643082952</v>
      </c>
      <c r="N39" s="3"/>
    </row>
    <row r="40" spans="1:14">
      <c r="A40" s="45"/>
      <c r="B40" s="46"/>
      <c r="E40" s="29">
        <f t="shared" si="2"/>
        <v>589.37148491370169</v>
      </c>
      <c r="F40" s="29">
        <f t="shared" si="3"/>
        <v>0</v>
      </c>
      <c r="G40" s="29">
        <f>E40*'Data Summary'!$B$18*(AVERAGE($J$6:$J$21)+273.15)/(AVERAGE($I$6:$I$21))*($I$48/$I$49)</f>
        <v>2674.6623536662391</v>
      </c>
      <c r="H40" s="31">
        <f t="shared" si="8"/>
        <v>85.566666666666663</v>
      </c>
      <c r="I40" s="32">
        <f t="shared" si="4"/>
        <v>1.1986103064243467</v>
      </c>
      <c r="J40" s="33">
        <f t="shared" si="5"/>
        <v>-6.3847664812499979E-11</v>
      </c>
      <c r="K40" s="33">
        <f t="shared" si="6"/>
        <v>5.2623977624464485E-13</v>
      </c>
      <c r="L40" s="32">
        <f t="shared" si="9"/>
        <v>685.00275387293925</v>
      </c>
      <c r="M40" s="33">
        <f t="shared" si="7"/>
        <v>8.3374859117305249</v>
      </c>
      <c r="N40" s="3"/>
    </row>
    <row r="41" spans="1:14">
      <c r="A41" s="9" t="s">
        <v>56</v>
      </c>
      <c r="B41" s="11" t="s">
        <v>105</v>
      </c>
      <c r="E41" s="29">
        <f t="shared" si="2"/>
        <v>579.5486268318067</v>
      </c>
      <c r="F41" s="29">
        <f t="shared" si="3"/>
        <v>0</v>
      </c>
      <c r="G41" s="29">
        <f>E41*'Data Summary'!$B$18*(AVERAGE($J$6:$J$21)+273.15)/(AVERAGE($I$6:$I$21))*($I$48/$I$49)</f>
        <v>2630.0846477718019</v>
      </c>
      <c r="H41" s="31">
        <f t="shared" si="8"/>
        <v>3.4666666666666668</v>
      </c>
      <c r="I41" s="32">
        <f t="shared" si="4"/>
        <v>0.25055493963954845</v>
      </c>
      <c r="J41" s="33">
        <f t="shared" si="5"/>
        <v>-4.5521346612499995E-11</v>
      </c>
      <c r="K41" s="33">
        <f t="shared" si="6"/>
        <v>4.7226742402229563E-13</v>
      </c>
      <c r="L41" s="32">
        <f t="shared" si="9"/>
        <v>488.38509413209243</v>
      </c>
      <c r="M41" s="33">
        <f t="shared" si="7"/>
        <v>6.6936406167384765</v>
      </c>
      <c r="N41" s="3"/>
    </row>
    <row r="42" spans="1:14">
      <c r="A42" s="9" t="s">
        <v>24</v>
      </c>
      <c r="B42" s="11">
        <v>60</v>
      </c>
      <c r="E42" s="29">
        <f t="shared" si="2"/>
        <v>569.72576874991159</v>
      </c>
      <c r="F42" s="29">
        <f t="shared" si="3"/>
        <v>0</v>
      </c>
      <c r="G42" s="29">
        <f>E42*'Data Summary'!$B$18*(AVERAGE($J$6:$J$21)+273.15)/(AVERAGE($I$6:$I$21))*($I$48/$I$49)</f>
        <v>2585.5069418773642</v>
      </c>
      <c r="H42" s="31">
        <f t="shared" si="8"/>
        <v>0.1</v>
      </c>
      <c r="I42" s="32">
        <f t="shared" si="4"/>
        <v>7.4535599249992993E-2</v>
      </c>
      <c r="J42" s="33">
        <f t="shared" si="5"/>
        <v>-3.1353692891499998E-11</v>
      </c>
      <c r="K42" s="33">
        <f t="shared" si="6"/>
        <v>4.0878133380191329E-13</v>
      </c>
      <c r="L42" s="32">
        <f t="shared" si="9"/>
        <v>336.38451833494616</v>
      </c>
      <c r="M42" s="33">
        <f t="shared" si="7"/>
        <v>5.3207775895884666</v>
      </c>
      <c r="N42" s="3"/>
    </row>
    <row r="43" spans="1:14">
      <c r="A43" s="43" t="s">
        <v>12</v>
      </c>
      <c r="B43" s="44"/>
      <c r="E43" s="29">
        <f t="shared" si="2"/>
        <v>559.9029106680166</v>
      </c>
      <c r="F43" s="29">
        <f t="shared" si="3"/>
        <v>0</v>
      </c>
      <c r="G43" s="29">
        <f>E43*'Data Summary'!$B$18*(AVERAGE($J$6:$J$21)+273.15)/(AVERAGE($I$6:$I$21))*($I$48/$I$49)</f>
        <v>2540.9292359829265</v>
      </c>
      <c r="H43" s="31">
        <f t="shared" si="8"/>
        <v>0.15</v>
      </c>
      <c r="I43" s="32">
        <f t="shared" si="4"/>
        <v>8.3333333333333329E-2</v>
      </c>
      <c r="J43" s="33">
        <f t="shared" si="5"/>
        <v>-2.2707809067500003E-11</v>
      </c>
      <c r="K43" s="33">
        <f t="shared" si="6"/>
        <v>4.1329966758758004E-13</v>
      </c>
      <c r="L43" s="32">
        <f t="shared" si="9"/>
        <v>243.62538224911069</v>
      </c>
      <c r="M43" s="33">
        <f t="shared" si="7"/>
        <v>4.9419346411899365</v>
      </c>
      <c r="N43" s="3"/>
    </row>
    <row r="44" spans="1:14">
      <c r="A44" s="45"/>
      <c r="B44" s="46"/>
      <c r="E44" s="29">
        <f t="shared" si="2"/>
        <v>550.08005258612161</v>
      </c>
      <c r="F44" s="29">
        <f t="shared" si="3"/>
        <v>0</v>
      </c>
      <c r="G44" s="29">
        <f>E44*'Data Summary'!$B$18*(AVERAGE($J$6:$J$21)+273.15)/(AVERAGE($I$6:$I$21))*($I$48/$I$49)</f>
        <v>2496.3515300884897</v>
      </c>
      <c r="H44" s="31">
        <f t="shared" si="8"/>
        <v>0.18333333333333332</v>
      </c>
      <c r="I44" s="32">
        <f t="shared" si="4"/>
        <v>7.6376261582597332E-2</v>
      </c>
      <c r="J44" s="33">
        <f t="shared" si="5"/>
        <v>-1.6325430329500003E-11</v>
      </c>
      <c r="K44" s="33">
        <f t="shared" si="6"/>
        <v>3.8885719417810289E-13</v>
      </c>
      <c r="L44" s="32">
        <f t="shared" si="9"/>
        <v>175.15072425450597</v>
      </c>
      <c r="M44" s="33">
        <f t="shared" si="7"/>
        <v>4.4571023967162384</v>
      </c>
      <c r="N44" s="3"/>
    </row>
    <row r="45" spans="1:14">
      <c r="A45" s="9" t="s">
        <v>13</v>
      </c>
      <c r="B45" s="11" t="s">
        <v>106</v>
      </c>
      <c r="E45" s="29">
        <f t="shared" si="2"/>
        <v>540.25719450422662</v>
      </c>
      <c r="F45" s="29">
        <f t="shared" si="3"/>
        <v>0</v>
      </c>
      <c r="G45" s="29">
        <f>E45*'Data Summary'!$B$18*(AVERAGE($J$6:$J$21)+273.15)/(AVERAGE($I$6:$I$21))*($I$48/$I$49)</f>
        <v>2451.7738241940528</v>
      </c>
      <c r="H45" s="31">
        <f t="shared" si="8"/>
        <v>0.13333333333333333</v>
      </c>
      <c r="I45" s="32">
        <f t="shared" si="4"/>
        <v>6.2360956446232352E-2</v>
      </c>
      <c r="J45" s="33">
        <f t="shared" si="5"/>
        <v>-1.2447571585000001E-11</v>
      </c>
      <c r="K45" s="33">
        <f t="shared" si="6"/>
        <v>3.5772595718011231E-13</v>
      </c>
      <c r="L45" s="32">
        <f t="shared" si="9"/>
        <v>133.54632216848472</v>
      </c>
      <c r="M45" s="33">
        <f t="shared" si="7"/>
        <v>4.0199883336434574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295.64999999999998</v>
      </c>
      <c r="H48" s="34" t="s">
        <v>87</v>
      </c>
      <c r="I48" s="34">
        <v>964.4</v>
      </c>
      <c r="L48" s="35" t="str">
        <f>CONCATENATE(E30,",",L30,",",M30)</f>
        <v>687.600065732652,23593.8874937417,259.471838521607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677.777207650757,15474.4198189118,166.188915470781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977</v>
      </c>
      <c r="L50" s="35" t="str">
        <f t="shared" si="10"/>
        <v>667.954349568862,10807.5191632361,115.433383013881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658.131491486967,7516.24673806012,80.8236584332415</v>
      </c>
    </row>
    <row r="52" spans="1:14">
      <c r="E52" s="8" t="s">
        <v>78</v>
      </c>
      <c r="F52" s="30">
        <f>EXP(INDEX(LINEST(LN(L30:L45),E30:E45),1,2))</f>
        <v>7.3832068241193769E-7</v>
      </c>
      <c r="L52" s="35" t="str">
        <f t="shared" si="10"/>
        <v>648.308633405072,5260.42497440443,56.5249775219612</v>
      </c>
    </row>
    <row r="53" spans="1:14">
      <c r="E53" s="8" t="s">
        <v>79</v>
      </c>
      <c r="F53" s="30">
        <f>INDEX(LINEST(LN(L30:L45),E30:E45),1)</f>
        <v>3.5032465901330148E-2</v>
      </c>
      <c r="L53" s="35" t="str">
        <f t="shared" si="10"/>
        <v>638.485775323177,3693.42371927857,38.7791678103243</v>
      </c>
      <c r="N53" s="3"/>
    </row>
    <row r="54" spans="1:14">
      <c r="L54" s="35" t="str">
        <f t="shared" si="10"/>
        <v>628.662917241282,2594.46270526701,28.3362098222118</v>
      </c>
      <c r="N54" s="3"/>
    </row>
    <row r="55" spans="1:14">
      <c r="L55" s="35" t="str">
        <f t="shared" si="10"/>
        <v>618.840059159387,1851.99933835905,19.9535274078343</v>
      </c>
      <c r="N55" s="3"/>
    </row>
    <row r="56" spans="1:14">
      <c r="L56" s="35" t="str">
        <f t="shared" si="10"/>
        <v>609.017201077492,1315.17938414751,14.8703931990486</v>
      </c>
      <c r="N56" s="3"/>
    </row>
    <row r="57" spans="1:14">
      <c r="L57" s="35" t="str">
        <f t="shared" si="10"/>
        <v>599.194342995597,938.763945933967,10.846091643083</v>
      </c>
      <c r="N57" s="3"/>
    </row>
    <row r="58" spans="1:14">
      <c r="L58" s="35" t="str">
        <f t="shared" si="10"/>
        <v>589.371484913702,685.002753872939,8.33748591173052</v>
      </c>
      <c r="N58" s="3"/>
    </row>
    <row r="59" spans="1:14">
      <c r="L59" s="35" t="str">
        <f t="shared" si="10"/>
        <v>579.548626831807,488.385094132092,6.69364061673848</v>
      </c>
      <c r="N59" s="3"/>
    </row>
    <row r="60" spans="1:14">
      <c r="L60" s="35" t="str">
        <f t="shared" si="10"/>
        <v>569.725768749912,336.384518334946,5.32077758958847</v>
      </c>
    </row>
    <row r="61" spans="1:14">
      <c r="L61" s="35" t="str">
        <f t="shared" si="10"/>
        <v>559.902910668017,243.625382249111,4.94193464118994</v>
      </c>
    </row>
    <row r="62" spans="1:14">
      <c r="L62" s="35" t="str">
        <f t="shared" si="10"/>
        <v>550.080052586122,175.150724254506,4.45710239671624</v>
      </c>
    </row>
    <row r="63" spans="1:14">
      <c r="L63" s="35" t="str">
        <f t="shared" si="10"/>
        <v>540.257194504227,133.546322168485,4.01998833364346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2018-07-14T08:58:57Z</dcterms:modified>
</cp:coreProperties>
</file>