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771BBB5A-9AF5-E74E-B181-7D3516CEAB84}" xr6:coauthVersionLast="34" xr6:coauthVersionMax="34" xr10:uidLastSave="{00000000-0000-0000-0000-000000000000}"/>
  <bookViews>
    <workbookView xWindow="0" yWindow="0" windowWidth="25600" windowHeight="1600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 l="1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 s="1"/>
  <c r="I30" i="1"/>
  <c r="K31" i="1"/>
  <c r="I49" i="1"/>
  <c r="J32" i="1"/>
  <c r="L32" i="1" s="1"/>
  <c r="K32" i="1"/>
  <c r="J33" i="1"/>
  <c r="L33" i="1" s="1"/>
  <c r="K33" i="1"/>
  <c r="M33" i="1" s="1"/>
  <c r="J34" i="1"/>
  <c r="L34" i="1"/>
  <c r="K34" i="1"/>
  <c r="J35" i="1"/>
  <c r="L35" i="1" s="1"/>
  <c r="K35" i="1"/>
  <c r="J36" i="1"/>
  <c r="L36" i="1" s="1"/>
  <c r="K36" i="1"/>
  <c r="J37" i="1"/>
  <c r="L37" i="1" s="1"/>
  <c r="K37" i="1"/>
  <c r="M37" i="1" s="1"/>
  <c r="J38" i="1"/>
  <c r="L38" i="1" s="1"/>
  <c r="K38" i="1"/>
  <c r="J39" i="1"/>
  <c r="L39" i="1" s="1"/>
  <c r="K39" i="1"/>
  <c r="J40" i="1"/>
  <c r="L40" i="1"/>
  <c r="K40" i="1"/>
  <c r="J41" i="1"/>
  <c r="L41" i="1" s="1"/>
  <c r="K41" i="1"/>
  <c r="M41" i="1"/>
  <c r="J42" i="1"/>
  <c r="L42" i="1"/>
  <c r="K42" i="1"/>
  <c r="J43" i="1"/>
  <c r="L43" i="1" s="1"/>
  <c r="K43" i="1"/>
  <c r="J44" i="1"/>
  <c r="L44" i="1" s="1"/>
  <c r="K44" i="1"/>
  <c r="J45" i="1"/>
  <c r="L45" i="1" s="1"/>
  <c r="K45" i="1"/>
  <c r="M45" i="1" s="1"/>
  <c r="K30" i="1"/>
  <c r="J30" i="1"/>
  <c r="L30" i="1" s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M42" i="1" l="1"/>
  <c r="M38" i="1"/>
  <c r="M34" i="1"/>
  <c r="M43" i="1"/>
  <c r="M39" i="1"/>
  <c r="M35" i="1"/>
  <c r="M44" i="1"/>
  <c r="M40" i="1"/>
  <c r="M36" i="1"/>
  <c r="M32" i="1"/>
  <c r="M31" i="1"/>
  <c r="M30" i="1"/>
  <c r="L56" i="1" l="1"/>
  <c r="L48" i="1"/>
  <c r="F52" i="1"/>
  <c r="L55" i="1"/>
  <c r="L63" i="1"/>
  <c r="L54" i="1"/>
  <c r="L53" i="1"/>
  <c r="L50" i="1"/>
  <c r="L58" i="1"/>
  <c r="L49" i="1"/>
  <c r="L57" i="1"/>
  <c r="L62" i="1"/>
  <c r="L61" i="1"/>
  <c r="L52" i="1"/>
  <c r="L60" i="1"/>
  <c r="L51" i="1"/>
  <c r="L59" i="1"/>
  <c r="F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<sst xmlns="http://schemas.openxmlformats.org/spreadsheetml/2006/main" count="457" uniqueCount="111">
  <si>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</si>
  <si>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</si>
  <si>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</si>
  <si>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</si>
  <si>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</si>
  <si>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</si>
  <si>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</si>
  <si>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</si>
  <si>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</si>
  <si>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</si>
  <si>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</si>
  <si>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</si>
  <si>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</si>
  <si>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</si>
  <si>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</si>
  <si>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</si>
  <si>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</si>
  <si>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</si>
  <si>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</si>
  <si>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</si>
  <si>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</si>
  <si>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</si>
  <si>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</si>
  <si>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</si>
  <si>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</si>
  <si>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</si>
  <si>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</si>
  <si>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</si>
  <si>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</si>
  <si>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</si>
  <si>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</si>
  <si>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</si>
  <si>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</si>
  <si>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</si>
  <si>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</si>
  <si>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</si>
  <si>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</si>
  <si>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</si>
  <si>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</si>
  <si>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</si>
  <si>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</si>
  <si>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</si>
  <si>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</si>
  <si>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</si>
  <si>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</si>
  <si>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</si>
  <si>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</si>
  <si>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</si>
  <si>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</si>
  <si>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</si>
  <si>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</si>
  <si>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</si>
  <si>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</si>
  <si>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</si>
  <si>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</si>
  <si>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</si>
  <si>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</si>
  <si>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</si>
  <si>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</si>
  <si>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</si>
  <si>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</si>
  <si>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</si>
  <si>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</si>
  <si>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</si>
  <si>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</si>
  <si>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</si>
  <si>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</si>
  <si>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</si>
  <si>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</si>
  <si>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</si>
  <si>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</si>
  <si>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</si>
  <si>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</si>
  <si>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</si>
  <si>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</si>
  <si>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</si>
  <si>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</si>
  <si>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</si>
  <si>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</si>
  <si>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</si>
  <si>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</si>
  <si>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</si>
  <si>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</si>
  <si>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</si>
  <si>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</si>
  <si>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</si>
  <si>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</si>
  <si>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</si>
  <si>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</si>
  <si>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</si>
  <si>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</si>
  <si>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</si>
  <si>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</si>
  <si>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</si>
  <si>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</si>
  <si>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</si>
  <si>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Saleh</t>
  </si>
  <si>
    <t>474 Timing Filter Amp - ORTEC</t>
  </si>
  <si>
    <t>GE11-X-L-CERN-0004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</si>
  <si>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</si>
  <si>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</si>
  <si>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</si>
  <si>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</si>
  <si>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</si>
  <si>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</si>
  <si>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</si>
  <si>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</si>
  <si>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</si>
  <si>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</si>
  <si>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</si>
  <si>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2 layers Cu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</si>
</sst>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0" fontId="4" fillId="2" borderId="1" xfId="0" applyFont="1" applyFill="1" applyBorder="1" applyAlignment="1">
      <alignment horizontal="center" vertical="center"/>
    </xf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Protection="1"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169.29225429379497</c:v>
                  </c:pt>
                  <c:pt idx="1">
                    <c:v>115.53443784450315</c:v>
                  </c:pt>
                  <c:pt idx="2">
                    <c:v>81.617086620937499</c:v>
                  </c:pt>
                  <c:pt idx="3">
                    <c:v>57.394984382404083</c:v>
                  </c:pt>
                  <c:pt idx="4">
                    <c:v>39.145097237850557</c:v>
                  </c:pt>
                  <c:pt idx="5">
                    <c:v>28.469687414317658</c:v>
                  </c:pt>
                  <c:pt idx="6">
                    <c:v>19.778714540151544</c:v>
                  </c:pt>
                  <c:pt idx="7">
                    <c:v>13.803450104622346</c:v>
                  </c:pt>
                  <c:pt idx="8">
                    <c:v>9.7921369179988513</c:v>
                  </c:pt>
                  <c:pt idx="9">
                    <c:v>7.7388974537043067</c:v>
                  </c:pt>
                  <c:pt idx="10">
                    <c:v>5.0282365734172716</c:v>
                  </c:pt>
                  <c:pt idx="11">
                    <c:v>3.5712744456129397</c:v>
                  </c:pt>
                  <c:pt idx="12">
                    <c:v>2.8008934533008643</c:v>
                  </c:pt>
                  <c:pt idx="13">
                    <c:v>2.1215650917892539</c:v>
                  </c:pt>
                  <c:pt idx="14">
                    <c:v>1.7358650107812854</c:v>
                  </c:pt>
                  <c:pt idx="15">
                    <c:v>2.8192832533746306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169.29225429379497</c:v>
                  </c:pt>
                  <c:pt idx="1">
                    <c:v>115.53443784450315</c:v>
                  </c:pt>
                  <c:pt idx="2">
                    <c:v>81.617086620937499</c:v>
                  </c:pt>
                  <c:pt idx="3">
                    <c:v>57.394984382404083</c:v>
                  </c:pt>
                  <c:pt idx="4">
                    <c:v>39.145097237850557</c:v>
                  </c:pt>
                  <c:pt idx="5">
                    <c:v>28.469687414317658</c:v>
                  </c:pt>
                  <c:pt idx="6">
                    <c:v>19.778714540151544</c:v>
                  </c:pt>
                  <c:pt idx="7">
                    <c:v>13.803450104622346</c:v>
                  </c:pt>
                  <c:pt idx="8">
                    <c:v>9.7921369179988513</c:v>
                  </c:pt>
                  <c:pt idx="9">
                    <c:v>7.7388974537043067</c:v>
                  </c:pt>
                  <c:pt idx="10">
                    <c:v>5.0282365734172716</c:v>
                  </c:pt>
                  <c:pt idx="11">
                    <c:v>3.5712744456129397</c:v>
                  </c:pt>
                  <c:pt idx="12">
                    <c:v>2.8008934533008643</c:v>
                  </c:pt>
                  <c:pt idx="13">
                    <c:v>2.1215650917892539</c:v>
                  </c:pt>
                  <c:pt idx="14">
                    <c:v>1.7358650107812854</c:v>
                  </c:pt>
                  <c:pt idx="15">
                    <c:v>2.8192832533746306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15360.017519118264</c:v>
                </c:pt>
                <c:pt idx="1">
                  <c:v>10728.703347411451</c:v>
                </c:pt>
                <c:pt idx="2">
                  <c:v>7522.8814750467272</c:v>
                </c:pt>
                <c:pt idx="3">
                  <c:v>5218.8845942902635</c:v>
                </c:pt>
                <c:pt idx="4">
                  <c:v>3629.5540386685207</c:v>
                </c:pt>
                <c:pt idx="5">
                  <c:v>2576.9521643955704</c:v>
                </c:pt>
                <c:pt idx="6">
                  <c:v>1796.1497967745802</c:v>
                </c:pt>
                <c:pt idx="7">
                  <c:v>1265.4440976608867</c:v>
                </c:pt>
                <c:pt idx="8">
                  <c:v>899.57741077607909</c:v>
                </c:pt>
                <c:pt idx="9">
                  <c:v>636.18936399743575</c:v>
                </c:pt>
                <c:pt idx="10">
                  <c:v>449.75017620155398</c:v>
                </c:pt>
                <c:pt idx="11">
                  <c:v>315.79597077216994</c:v>
                </c:pt>
                <c:pt idx="12">
                  <c:v>227.82873836300189</c:v>
                </c:pt>
                <c:pt idx="13">
                  <c:v>159.90774805787697</c:v>
                </c:pt>
                <c:pt idx="14">
                  <c:v>115.25635047650781</c:v>
                </c:pt>
                <c:pt idx="15">
                  <c:v>85.976740481227779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8-2442-9318-802817C0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15456"/>
        <c:axId val="-2078682304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5.1752079936730828</c:v>
                  </c:pt>
                  <c:pt idx="1">
                    <c:v>5.1360652903430521</c:v>
                  </c:pt>
                  <c:pt idx="2">
                    <c:v>5.0330573875793094</c:v>
                  </c:pt>
                  <c:pt idx="3">
                    <c:v>4.8864040402369966</c:v>
                  </c:pt>
                  <c:pt idx="4">
                    <c:v>4.8093947413138975</c:v>
                  </c:pt>
                  <c:pt idx="5">
                    <c:v>4.7478065110813708</c:v>
                  </c:pt>
                  <c:pt idx="6">
                    <c:v>4.7025406844480235</c:v>
                  </c:pt>
                  <c:pt idx="7">
                    <c:v>4.6026260620070651</c:v>
                  </c:pt>
                  <c:pt idx="8">
                    <c:v>4.3608103222528118</c:v>
                  </c:pt>
                  <c:pt idx="9">
                    <c:v>3.6592728482278791</c:v>
                  </c:pt>
                  <c:pt idx="10">
                    <c:v>3.0058276730378273</c:v>
                  </c:pt>
                  <c:pt idx="11">
                    <c:v>2.4709422404328989</c:v>
                  </c:pt>
                  <c:pt idx="12">
                    <c:v>1.5550991393905835</c:v>
                  </c:pt>
                  <c:pt idx="13">
                    <c:v>0.53150729063673252</c:v>
                  </c:pt>
                  <c:pt idx="14">
                    <c:v>7.4535599249992993E-2</c:v>
                  </c:pt>
                  <c:pt idx="15">
                    <c:v>5.5277079839256664E-2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5.1752079936730828</c:v>
                  </c:pt>
                  <c:pt idx="1">
                    <c:v>5.1360652903430521</c:v>
                  </c:pt>
                  <c:pt idx="2">
                    <c:v>5.0330573875793094</c:v>
                  </c:pt>
                  <c:pt idx="3">
                    <c:v>4.8864040402369966</c:v>
                  </c:pt>
                  <c:pt idx="4">
                    <c:v>4.8093947413138975</c:v>
                  </c:pt>
                  <c:pt idx="5">
                    <c:v>4.7478065110813708</c:v>
                  </c:pt>
                  <c:pt idx="6">
                    <c:v>4.7025406844480235</c:v>
                  </c:pt>
                  <c:pt idx="7">
                    <c:v>4.6026260620070651</c:v>
                  </c:pt>
                  <c:pt idx="8">
                    <c:v>4.3608103222528118</c:v>
                  </c:pt>
                  <c:pt idx="9">
                    <c:v>3.6592728482278791</c:v>
                  </c:pt>
                  <c:pt idx="10">
                    <c:v>3.0058276730378273</c:v>
                  </c:pt>
                  <c:pt idx="11">
                    <c:v>2.4709422404328989</c:v>
                  </c:pt>
                  <c:pt idx="12">
                    <c:v>1.5550991393905835</c:v>
                  </c:pt>
                  <c:pt idx="13">
                    <c:v>0.53150729063673252</c:v>
                  </c:pt>
                  <c:pt idx="14">
                    <c:v>7.4535599249992993E-2</c:v>
                  </c:pt>
                  <c:pt idx="15">
                    <c:v>5.5277079839256664E-2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1597.1333333333334</c:v>
                </c:pt>
                <c:pt idx="1">
                  <c:v>1572.8833333333334</c:v>
                </c:pt>
                <c:pt idx="2">
                  <c:v>1512.3333333333333</c:v>
                </c:pt>
                <c:pt idx="3">
                  <c:v>1425.6166666666666</c:v>
                </c:pt>
                <c:pt idx="4">
                  <c:v>1381.9166666666667</c:v>
                </c:pt>
                <c:pt idx="5">
                  <c:v>1347.9333333333334</c:v>
                </c:pt>
                <c:pt idx="6">
                  <c:v>1323.2333333333333</c:v>
                </c:pt>
                <c:pt idx="7">
                  <c:v>1268.1833333333334</c:v>
                </c:pt>
                <c:pt idx="8">
                  <c:v>1138.7666666666667</c:v>
                </c:pt>
                <c:pt idx="9">
                  <c:v>802.2166666666667</c:v>
                </c:pt>
                <c:pt idx="10">
                  <c:v>541.1</c:v>
                </c:pt>
                <c:pt idx="11">
                  <c:v>365.6</c:v>
                </c:pt>
                <c:pt idx="12">
                  <c:v>144.30000000000001</c:v>
                </c:pt>
                <c:pt idx="13">
                  <c:v>16.816666666666666</c:v>
                </c:pt>
                <c:pt idx="14">
                  <c:v>0.16666666666666666</c:v>
                </c:pt>
                <c:pt idx="15">
                  <c:v>1.6666666666666666E-2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88-2442-9318-802817C0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71248"/>
        <c:axId val="-2079006384"/>
      </c:scatterChart>
      <c:valAx>
        <c:axId val="-2078915456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82304"/>
        <c:crosses val="autoZero"/>
        <c:crossBetween val="midCat"/>
      </c:valAx>
      <c:valAx>
        <c:axId val="-2078682304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915456"/>
        <c:crosses val="autoZero"/>
        <c:crossBetween val="midCat"/>
      </c:valAx>
      <c:valAx>
        <c:axId val="-20790063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78971248"/>
        <c:crosses val="max"/>
        <c:crossBetween val="midCat"/>
      </c:valAx>
      <c:valAx>
        <c:axId val="-207897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900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cr7/Downloads/GE11-X-L-CERN-0008_QC5_20171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5.0238213549999997E-12</v>
          </cell>
          <cell r="B7">
            <v>1.4659135854245704E-13</v>
          </cell>
          <cell r="C7">
            <v>-2.5875123049999997E-12</v>
          </cell>
          <cell r="D7">
            <v>1.9006750126759293E-13</v>
          </cell>
        </row>
      </sheetData>
      <sheetData sheetId="2">
        <row r="7">
          <cell r="A7">
            <v>4.498588254999999E-12</v>
          </cell>
          <cell r="B7">
            <v>8.2421279173808859E-14</v>
          </cell>
          <cell r="C7">
            <v>-5.7048055349999977E-12</v>
          </cell>
          <cell r="D7">
            <v>9.1734319859897492E-14</v>
          </cell>
        </row>
      </sheetData>
      <sheetData sheetId="3">
        <row r="7">
          <cell r="A7">
            <v>4.4303760550000024E-12</v>
          </cell>
          <cell r="B7">
            <v>7.6827321599003702E-14</v>
          </cell>
          <cell r="C7">
            <v>-9.7259087550000178E-12</v>
          </cell>
          <cell r="D7">
            <v>1.1485128631441486E-13</v>
          </cell>
        </row>
      </sheetData>
      <sheetData sheetId="4">
        <row r="7">
          <cell r="A7">
            <v>4.3041836649999983E-12</v>
          </cell>
          <cell r="B7">
            <v>7.4046985930486433E-14</v>
          </cell>
          <cell r="C7">
            <v>-1.5864998549999996E-11</v>
          </cell>
          <cell r="D7">
            <v>1.5215542028025261E-13</v>
          </cell>
        </row>
      </sheetData>
      <sheetData sheetId="5">
        <row r="7">
          <cell r="A7">
            <v>3.931290791999997E-12</v>
          </cell>
          <cell r="B7">
            <v>7.7577940462982252E-14</v>
          </cell>
          <cell r="C7">
            <v>-2.4025439000000004E-11</v>
          </cell>
          <cell r="D7">
            <v>1.7557091815275096E-13</v>
          </cell>
        </row>
      </sheetData>
      <sheetData sheetId="6">
        <row r="7">
          <cell r="A7">
            <v>4.2814462750000016E-12</v>
          </cell>
          <cell r="B7">
            <v>9.3040781493182413E-14</v>
          </cell>
          <cell r="C7">
            <v>-3.5533957699999986E-11</v>
          </cell>
          <cell r="D7">
            <v>2.4795765612038911E-13</v>
          </cell>
        </row>
      </sheetData>
      <sheetData sheetId="7">
        <row r="7">
          <cell r="A7">
            <v>4.1120529349999974E-12</v>
          </cell>
          <cell r="B7">
            <v>2.5388314008764398E-13</v>
          </cell>
          <cell r="C7">
            <v>-5.2208406450000009E-11</v>
          </cell>
          <cell r="D7">
            <v>3.8572006938932805E-13</v>
          </cell>
        </row>
      </sheetData>
      <sheetData sheetId="8">
        <row r="7">
          <cell r="A7">
            <v>3.9983660599999983E-12</v>
          </cell>
          <cell r="B7">
            <v>7.1599135768362831E-14</v>
          </cell>
          <cell r="C7">
            <v>-7.5639263699999943E-11</v>
          </cell>
          <cell r="D7">
            <v>4.839677816687888E-13</v>
          </cell>
        </row>
      </sheetData>
      <sheetData sheetId="9">
        <row r="7">
          <cell r="A7">
            <v>3.8676262434999994E-12</v>
          </cell>
          <cell r="B7">
            <v>8.4815332446916151E-14</v>
          </cell>
          <cell r="C7">
            <v>-1.0815938479999995E-10</v>
          </cell>
          <cell r="D7">
            <v>6.8750111788881228E-13</v>
          </cell>
        </row>
      </sheetData>
      <sheetData sheetId="10">
        <row r="7">
          <cell r="A7">
            <v>3.759623718500002E-12</v>
          </cell>
          <cell r="B7">
            <v>8.6556975350929249E-14</v>
          </cell>
          <cell r="C7">
            <v>-1.5524960750000004E-10</v>
          </cell>
          <cell r="D7">
            <v>1.0083323150301887E-12</v>
          </cell>
        </row>
      </sheetData>
      <sheetData sheetId="11">
        <row r="7">
          <cell r="A7">
            <v>3.5322499859999988E-12</v>
          </cell>
          <cell r="B7">
            <v>1.065609227645681E-13</v>
          </cell>
          <cell r="C7">
            <v>-2.2459971499999992E-10</v>
          </cell>
          <cell r="D7">
            <v>1.4623027599397848E-12</v>
          </cell>
        </row>
      </sheetData>
      <sheetData sheetId="12">
        <row r="7">
          <cell r="A7">
            <v>3.3560353589999994E-12</v>
          </cell>
          <cell r="B7">
            <v>8.8064989560687606E-14</v>
          </cell>
          <cell r="C7">
            <v>-3.1796048199999986E-10</v>
          </cell>
          <cell r="D7">
            <v>1.9143030025254015E-12</v>
          </cell>
        </row>
      </sheetData>
      <sheetData sheetId="13">
        <row r="7">
          <cell r="A7">
            <v>2.8853719119999985E-12</v>
          </cell>
          <cell r="B7">
            <v>1.1828297287957276E-13</v>
          </cell>
          <cell r="C7">
            <v>-4.591311195E-10</v>
          </cell>
          <cell r="D7">
            <v>2.9268490712460941E-12</v>
          </cell>
        </row>
      </sheetData>
      <sheetData sheetId="14">
        <row r="7">
          <cell r="A7">
            <v>2.6091128720000013E-12</v>
          </cell>
          <cell r="B7">
            <v>2.0345821901388662E-13</v>
          </cell>
          <cell r="C7">
            <v>-6.6337520650000051E-10</v>
          </cell>
          <cell r="D7">
            <v>4.0434709308876204E-12</v>
          </cell>
        </row>
      </sheetData>
      <sheetData sheetId="15">
        <row r="7">
          <cell r="A7">
            <v>2.2748735299999998E-12</v>
          </cell>
          <cell r="B7">
            <v>2.3114995795165047E-13</v>
          </cell>
          <cell r="C7">
            <v>-9.4751387700000047E-10</v>
          </cell>
          <cell r="D7">
            <v>5.6316121701244498E-12</v>
          </cell>
        </row>
      </sheetData>
      <sheetData sheetId="16">
        <row r="7">
          <cell r="A7">
            <v>2.7239365949999988E-12</v>
          </cell>
          <cell r="B7">
            <v>1.7992412815021885E-13</v>
          </cell>
          <cell r="C7">
            <v>-1.3570649750000002E-9</v>
          </cell>
          <cell r="D7">
            <v>8.6759823121173269E-12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2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60" t="s">
        <v>81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8" ht="16">
      <c r="A2" s="9" t="s">
        <v>53</v>
      </c>
      <c r="B2" s="11" t="s">
        <v>96</v>
      </c>
      <c r="C2" s="36" t="s">
        <v>95</v>
      </c>
      <c r="D2" s="37" t="s">
        <v>93</v>
      </c>
      <c r="E2"/>
      <c r="F2" s="63" t="s">
        <v>7</v>
      </c>
      <c r="G2" s="64"/>
      <c r="H2" s="64"/>
      <c r="I2" s="64"/>
      <c r="J2" s="65"/>
      <c r="K2" s="66" t="s">
        <v>47</v>
      </c>
      <c r="L2" s="64"/>
      <c r="M2" s="64"/>
      <c r="N2" s="65"/>
      <c r="O2" s="66" t="s">
        <v>48</v>
      </c>
      <c r="P2" s="64"/>
      <c r="Q2" s="64"/>
      <c r="R2" s="67"/>
    </row>
    <row r="3" spans="1:18" ht="16">
      <c r="A3" s="43" t="s">
        <v>1</v>
      </c>
      <c r="B3" s="44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5"/>
      <c r="B4" s="46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57" t="s">
        <v>60</v>
      </c>
      <c r="F6" s="13">
        <v>3896.8</v>
      </c>
      <c r="G6" s="14">
        <v>700</v>
      </c>
      <c r="H6" s="15"/>
      <c r="I6" s="16">
        <v>974</v>
      </c>
      <c r="J6" s="17">
        <v>22.6</v>
      </c>
      <c r="K6" s="18">
        <v>295</v>
      </c>
      <c r="L6" s="12">
        <f>SQRT(K6)</f>
        <v>17.175564037317667</v>
      </c>
      <c r="M6" s="14">
        <v>96123</v>
      </c>
      <c r="N6" s="23">
        <f>SQRT(M6)</f>
        <v>310.03709455482903</v>
      </c>
      <c r="O6" s="41">
        <f>'[1]700uA'!A7</f>
        <v>2.7239365949999988E-12</v>
      </c>
      <c r="P6" s="12">
        <f>'[1]700uA'!B7</f>
        <v>1.7992412815021885E-13</v>
      </c>
      <c r="Q6" s="42">
        <f>'[1]700uA'!C7</f>
        <v>-1.3570649750000002E-9</v>
      </c>
      <c r="R6" s="42">
        <f>'[1]700uA'!D7</f>
        <v>8.6759823121173269E-12</v>
      </c>
    </row>
    <row r="7" spans="1:18">
      <c r="A7" s="9" t="s">
        <v>3</v>
      </c>
      <c r="B7" s="11">
        <v>4</v>
      </c>
      <c r="C7"/>
      <c r="D7"/>
      <c r="E7" s="58"/>
      <c r="F7" s="13">
        <v>3841.8</v>
      </c>
      <c r="G7" s="14">
        <v>690</v>
      </c>
      <c r="H7" s="15"/>
      <c r="I7" s="16"/>
      <c r="J7" s="17"/>
      <c r="K7" s="18">
        <v>296</v>
      </c>
      <c r="L7" s="12">
        <f t="shared" ref="L7:L21" si="0">SQRT(K7)</f>
        <v>17.204650534085253</v>
      </c>
      <c r="M7" s="18">
        <v>94669</v>
      </c>
      <c r="N7" s="23">
        <f t="shared" ref="N7:N21" si="1">SQRT(M7)</f>
        <v>307.68327871367984</v>
      </c>
      <c r="O7" s="41">
        <f>'[1]690uA'!A7</f>
        <v>2.2748735299999998E-12</v>
      </c>
      <c r="P7" s="42">
        <f>'[1]690uA'!B7</f>
        <v>2.3114995795165047E-13</v>
      </c>
      <c r="Q7" s="42">
        <f>'[1]690uA'!C7</f>
        <v>-9.4751387700000047E-10</v>
      </c>
      <c r="R7" s="42">
        <f>'[1]690uA'!D7</f>
        <v>5.6316121701244498E-12</v>
      </c>
    </row>
    <row r="8" spans="1:18">
      <c r="A8" s="9" t="s">
        <v>28</v>
      </c>
      <c r="B8" s="11">
        <v>500</v>
      </c>
      <c r="C8"/>
      <c r="D8"/>
      <c r="E8" s="58"/>
      <c r="F8" s="13">
        <v>3786.4</v>
      </c>
      <c r="G8" s="14">
        <v>680</v>
      </c>
      <c r="H8" s="15"/>
      <c r="I8" s="16"/>
      <c r="J8" s="17"/>
      <c r="K8" s="18">
        <v>227</v>
      </c>
      <c r="L8" s="12">
        <f t="shared" si="0"/>
        <v>15.066519173319364</v>
      </c>
      <c r="M8" s="14">
        <v>90967</v>
      </c>
      <c r="N8" s="23">
        <f t="shared" si="1"/>
        <v>301.60736065288592</v>
      </c>
      <c r="O8" s="41">
        <f>'[1]680uA'!A7</f>
        <v>2.6091128720000013E-12</v>
      </c>
      <c r="P8" s="42">
        <f>'[1]680uA'!B7</f>
        <v>2.0345821901388662E-13</v>
      </c>
      <c r="Q8" s="42">
        <f>'[1]680uA'!C7</f>
        <v>-6.6337520650000051E-10</v>
      </c>
      <c r="R8" s="42">
        <f>'[1]680uA'!D7</f>
        <v>4.0434709308876204E-12</v>
      </c>
    </row>
    <row r="9" spans="1:18" ht="15" customHeight="1">
      <c r="A9" s="9" t="s">
        <v>29</v>
      </c>
      <c r="B9" s="11">
        <v>500</v>
      </c>
      <c r="C9" s="4"/>
      <c r="D9" s="6"/>
      <c r="E9" s="58"/>
      <c r="F9" s="13">
        <v>3730.8</v>
      </c>
      <c r="G9" s="14">
        <v>670</v>
      </c>
      <c r="H9" s="15"/>
      <c r="I9" s="16"/>
      <c r="J9" s="17"/>
      <c r="K9" s="18">
        <v>210</v>
      </c>
      <c r="L9" s="12">
        <f t="shared" si="0"/>
        <v>14.491376746189438</v>
      </c>
      <c r="M9" s="14">
        <v>85747</v>
      </c>
      <c r="N9" s="23">
        <f t="shared" si="1"/>
        <v>292.82588683379754</v>
      </c>
      <c r="O9" s="41">
        <f>'[1]670uA'!A7</f>
        <v>2.8853719119999985E-12</v>
      </c>
      <c r="P9" s="42">
        <f>'[1]670uA'!B7</f>
        <v>1.1828297287957276E-13</v>
      </c>
      <c r="Q9" s="42">
        <f>'[1]670uA'!C7</f>
        <v>-4.591311195E-10</v>
      </c>
      <c r="R9" s="42">
        <f>'[1]670uA'!D7</f>
        <v>2.9268490712460941E-12</v>
      </c>
    </row>
    <row r="10" spans="1:18">
      <c r="A10" s="43" t="s">
        <v>23</v>
      </c>
      <c r="B10" s="44"/>
      <c r="C10" s="4"/>
      <c r="D10" s="6"/>
      <c r="E10" s="58"/>
      <c r="F10" s="13">
        <v>3675.2</v>
      </c>
      <c r="G10" s="14">
        <v>660</v>
      </c>
      <c r="H10" s="15"/>
      <c r="I10" s="16"/>
      <c r="J10" s="17"/>
      <c r="K10" s="18">
        <v>177</v>
      </c>
      <c r="L10" s="12">
        <f t="shared" si="0"/>
        <v>13.30413469565007</v>
      </c>
      <c r="M10" s="14">
        <v>83092</v>
      </c>
      <c r="N10" s="23">
        <f t="shared" si="1"/>
        <v>288.25682992775728</v>
      </c>
      <c r="O10" s="41">
        <f>'[1]660uA'!A7</f>
        <v>3.3560353589999994E-12</v>
      </c>
      <c r="P10" s="42">
        <f>'[1]660uA'!B7</f>
        <v>8.8064989560687606E-14</v>
      </c>
      <c r="Q10" s="42">
        <f>'[1]660uA'!C7</f>
        <v>-3.1796048199999986E-10</v>
      </c>
      <c r="R10" s="42">
        <f>'[1]660uA'!D7</f>
        <v>1.9143030025254015E-12</v>
      </c>
    </row>
    <row r="11" spans="1:18">
      <c r="A11" s="45"/>
      <c r="B11" s="46"/>
      <c r="C11" s="4"/>
      <c r="D11" s="6"/>
      <c r="E11" s="58"/>
      <c r="F11" s="13">
        <v>3619.8</v>
      </c>
      <c r="G11" s="14">
        <v>650</v>
      </c>
      <c r="H11" s="15"/>
      <c r="I11" s="16"/>
      <c r="J11" s="17"/>
      <c r="K11" s="18">
        <v>137</v>
      </c>
      <c r="L11" s="12">
        <f t="shared" si="0"/>
        <v>11.704699910719626</v>
      </c>
      <c r="M11" s="14">
        <v>81013</v>
      </c>
      <c r="N11" s="23">
        <f t="shared" si="1"/>
        <v>284.62782717085128</v>
      </c>
      <c r="O11" s="41">
        <f>'[1]650uA'!A7</f>
        <v>3.5322499859999988E-12</v>
      </c>
      <c r="P11" s="42">
        <f>'[1]650uA'!B7</f>
        <v>1.065609227645681E-13</v>
      </c>
      <c r="Q11" s="42">
        <f>'[1]650uA'!C7</f>
        <v>-2.2459971499999992E-10</v>
      </c>
      <c r="R11" s="42">
        <f>'[1]650uA'!D7</f>
        <v>1.4623027599397848E-12</v>
      </c>
    </row>
    <row r="12" spans="1:18">
      <c r="A12" s="9" t="s">
        <v>57</v>
      </c>
      <c r="B12" s="11" t="s">
        <v>98</v>
      </c>
      <c r="C12" s="4"/>
      <c r="D12" s="6"/>
      <c r="E12" s="58"/>
      <c r="F12" s="13">
        <v>3564.6</v>
      </c>
      <c r="G12" s="14">
        <v>640</v>
      </c>
      <c r="H12" s="15"/>
      <c r="I12" s="16"/>
      <c r="J12" s="17"/>
      <c r="K12" s="18">
        <v>108</v>
      </c>
      <c r="L12" s="12">
        <f t="shared" si="0"/>
        <v>10.392304845413264</v>
      </c>
      <c r="M12" s="14">
        <v>79502</v>
      </c>
      <c r="N12" s="23">
        <f>SQRT(M12)</f>
        <v>281.96099020963874</v>
      </c>
      <c r="O12" s="41">
        <f>'[1]640uA'!A7</f>
        <v>3.759623718500002E-12</v>
      </c>
      <c r="P12" s="42">
        <f>'[1]640uA'!B7</f>
        <v>8.6556975350929249E-14</v>
      </c>
      <c r="Q12" s="42">
        <f>'[1]640uA'!C7</f>
        <v>-1.5524960750000004E-10</v>
      </c>
      <c r="R12" s="42">
        <f>'[1]640uA'!D7</f>
        <v>1.0083323150301887E-12</v>
      </c>
    </row>
    <row r="13" spans="1:18">
      <c r="A13" s="9" t="s">
        <v>45</v>
      </c>
      <c r="B13" s="11" t="s">
        <v>99</v>
      </c>
      <c r="C13" s="4"/>
      <c r="D13" s="6"/>
      <c r="E13" s="58"/>
      <c r="F13" s="13">
        <v>3508.8</v>
      </c>
      <c r="G13" s="14">
        <v>630</v>
      </c>
      <c r="H13" s="15"/>
      <c r="I13" s="16"/>
      <c r="J13" s="17"/>
      <c r="K13" s="18">
        <v>86</v>
      </c>
      <c r="L13" s="12">
        <f t="shared" si="0"/>
        <v>9.2736184954957039</v>
      </c>
      <c r="M13" s="14">
        <v>76177</v>
      </c>
      <c r="N13" s="23">
        <f t="shared" si="1"/>
        <v>276.00181158825751</v>
      </c>
      <c r="O13" s="41">
        <f>'[1]630uA'!A7</f>
        <v>3.8676262434999994E-12</v>
      </c>
      <c r="P13" s="42">
        <f>'[1]630uA'!B7</f>
        <v>8.4815332446916151E-14</v>
      </c>
      <c r="Q13" s="42">
        <f>'[1]630uA'!C7</f>
        <v>-1.0815938479999995E-10</v>
      </c>
      <c r="R13" s="42">
        <f>'[1]630uA'!D7</f>
        <v>6.8750111788881228E-13</v>
      </c>
    </row>
    <row r="14" spans="1:18">
      <c r="A14" s="9" t="s">
        <v>54</v>
      </c>
      <c r="B14" s="11" t="s">
        <v>100</v>
      </c>
      <c r="C14" s="4"/>
      <c r="D14" s="6"/>
      <c r="E14" s="58"/>
      <c r="F14" s="13">
        <v>3453.6</v>
      </c>
      <c r="G14" s="14">
        <v>620</v>
      </c>
      <c r="H14" s="15"/>
      <c r="I14" s="16"/>
      <c r="J14" s="17"/>
      <c r="K14" s="18">
        <v>67</v>
      </c>
      <c r="L14" s="12">
        <f t="shared" si="0"/>
        <v>8.1853527718724504</v>
      </c>
      <c r="M14" s="14">
        <v>68393</v>
      </c>
      <c r="N14" s="23">
        <f t="shared" si="1"/>
        <v>261.52055368555642</v>
      </c>
      <c r="O14" s="41">
        <f>'[1]620uA'!A7</f>
        <v>3.9983660599999983E-12</v>
      </c>
      <c r="P14" s="42">
        <f>'[1]620uA'!B7</f>
        <v>7.1599135768362831E-14</v>
      </c>
      <c r="Q14" s="42">
        <f>'[1]620uA'!C7</f>
        <v>-7.5639263699999943E-11</v>
      </c>
      <c r="R14" s="42">
        <f>'[1]620uA'!D7</f>
        <v>4.839677816687888E-13</v>
      </c>
    </row>
    <row r="15" spans="1:18">
      <c r="A15" s="9" t="s">
        <v>55</v>
      </c>
      <c r="B15" s="11" t="s">
        <v>101</v>
      </c>
      <c r="C15" s="4"/>
      <c r="D15" s="6"/>
      <c r="E15" s="58"/>
      <c r="F15" s="13">
        <v>3398</v>
      </c>
      <c r="G15" s="14">
        <v>610</v>
      </c>
      <c r="H15" s="15"/>
      <c r="I15" s="16"/>
      <c r="J15" s="17"/>
      <c r="K15" s="18">
        <v>36</v>
      </c>
      <c r="L15" s="12">
        <f t="shared" si="0"/>
        <v>6</v>
      </c>
      <c r="M15" s="14">
        <v>48169</v>
      </c>
      <c r="N15" s="23">
        <f t="shared" si="1"/>
        <v>219.47437208020438</v>
      </c>
      <c r="O15" s="41">
        <f>'[1]610uA'!A7</f>
        <v>4.1120529349999974E-12</v>
      </c>
      <c r="P15" s="42">
        <f>'[1]610uA'!B7</f>
        <v>2.5388314008764398E-13</v>
      </c>
      <c r="Q15" s="42">
        <f>'[1]610uA'!C7</f>
        <v>-5.2208406450000009E-11</v>
      </c>
      <c r="R15" s="42">
        <f>'[1]610uA'!D7</f>
        <v>3.8572006938932805E-13</v>
      </c>
    </row>
    <row r="16" spans="1:18">
      <c r="A16" s="9" t="s">
        <v>49</v>
      </c>
      <c r="B16" s="11">
        <v>5</v>
      </c>
      <c r="C16" s="4"/>
      <c r="D16" s="6"/>
      <c r="E16" s="58"/>
      <c r="F16" s="13">
        <v>3342.6</v>
      </c>
      <c r="G16" s="14">
        <v>600</v>
      </c>
      <c r="H16" s="15"/>
      <c r="I16" s="16"/>
      <c r="J16" s="17"/>
      <c r="K16" s="18">
        <v>30</v>
      </c>
      <c r="L16" s="12">
        <f t="shared" si="0"/>
        <v>5.4772255750516612</v>
      </c>
      <c r="M16" s="14">
        <v>32496</v>
      </c>
      <c r="N16" s="23">
        <f t="shared" si="1"/>
        <v>180.26646942789998</v>
      </c>
      <c r="O16" s="41">
        <f>'[1]600uA'!A7</f>
        <v>4.2814462750000016E-12</v>
      </c>
      <c r="P16" s="42">
        <f>'[1]600uA'!B7</f>
        <v>9.3040781493182413E-14</v>
      </c>
      <c r="Q16" s="42">
        <f>'[1]600uA'!C7</f>
        <v>-3.5533957699999986E-11</v>
      </c>
      <c r="R16" s="42">
        <f>'[1]600uA'!D7</f>
        <v>2.4795765612038911E-13</v>
      </c>
    </row>
    <row r="17" spans="1:20">
      <c r="A17" s="9" t="s">
        <v>62</v>
      </c>
      <c r="B17" s="11">
        <v>5.58</v>
      </c>
      <c r="C17" s="4"/>
      <c r="D17" s="6"/>
      <c r="E17" s="58"/>
      <c r="F17" s="13">
        <v>3286.8</v>
      </c>
      <c r="G17" s="14">
        <v>590</v>
      </c>
      <c r="H17" s="15"/>
      <c r="I17" s="16"/>
      <c r="J17" s="17"/>
      <c r="K17" s="18">
        <v>22</v>
      </c>
      <c r="L17" s="12">
        <f t="shared" si="0"/>
        <v>4.6904157598234297</v>
      </c>
      <c r="M17" s="14">
        <v>21958</v>
      </c>
      <c r="N17" s="23">
        <f t="shared" si="1"/>
        <v>148.18232013300371</v>
      </c>
      <c r="O17" s="41">
        <f>'[1]590uA'!A7</f>
        <v>3.931290791999997E-12</v>
      </c>
      <c r="P17" s="42">
        <f>'[1]590uA'!B7</f>
        <v>7.7577940462982252E-14</v>
      </c>
      <c r="Q17" s="42">
        <f>'[1]590uA'!C7</f>
        <v>-2.4025439000000004E-11</v>
      </c>
      <c r="R17" s="42">
        <f>'[1]590uA'!D7</f>
        <v>1.7557091815275096E-13</v>
      </c>
    </row>
    <row r="18" spans="1:20" ht="14" customHeight="1">
      <c r="A18" s="9" t="s">
        <v>63</v>
      </c>
      <c r="B18" s="11">
        <v>1.57</v>
      </c>
      <c r="C18" s="4"/>
      <c r="D18" s="6"/>
      <c r="E18" s="58"/>
      <c r="F18" s="13">
        <v>3231.4</v>
      </c>
      <c r="G18" s="14">
        <v>580</v>
      </c>
      <c r="H18" s="15"/>
      <c r="I18" s="16"/>
      <c r="J18" s="17"/>
      <c r="K18" s="18">
        <v>24</v>
      </c>
      <c r="L18" s="12">
        <f t="shared" si="0"/>
        <v>4.8989794855663558</v>
      </c>
      <c r="M18" s="14">
        <v>8682</v>
      </c>
      <c r="N18" s="23">
        <f t="shared" si="1"/>
        <v>93.177250442369242</v>
      </c>
      <c r="O18" s="41">
        <f>'[1]580uA'!A7</f>
        <v>4.3041836649999983E-12</v>
      </c>
      <c r="P18" s="42">
        <f>'[1]580uA'!B7</f>
        <v>7.4046985930486433E-14</v>
      </c>
      <c r="Q18" s="42">
        <f>'[1]580uA'!C7</f>
        <v>-1.5864998549999996E-11</v>
      </c>
      <c r="R18" s="42">
        <f>'[1]580uA'!D7</f>
        <v>1.5215542028025261E-13</v>
      </c>
    </row>
    <row r="19" spans="1:20" ht="15" customHeight="1">
      <c r="A19" s="9" t="s">
        <v>64</v>
      </c>
      <c r="B19" s="11">
        <v>1.1200000000000001</v>
      </c>
      <c r="C19" s="4"/>
      <c r="D19" s="6"/>
      <c r="E19" s="58"/>
      <c r="F19" s="13">
        <v>3175.8</v>
      </c>
      <c r="G19" s="14">
        <v>570</v>
      </c>
      <c r="H19" s="15"/>
      <c r="I19" s="16"/>
      <c r="J19" s="17"/>
      <c r="K19" s="18">
        <v>4</v>
      </c>
      <c r="L19" s="12">
        <f t="shared" si="0"/>
        <v>2</v>
      </c>
      <c r="M19" s="14">
        <v>1013</v>
      </c>
      <c r="N19" s="23">
        <f t="shared" si="1"/>
        <v>31.827660925679098</v>
      </c>
      <c r="O19" s="41">
        <f>'[1]570uA'!A7</f>
        <v>4.4303760550000024E-12</v>
      </c>
      <c r="P19" s="42">
        <f>'[1]570uA'!B7</f>
        <v>7.6827321599003702E-14</v>
      </c>
      <c r="Q19" s="42">
        <f>'[1]570uA'!C7</f>
        <v>-9.7259087550000178E-12</v>
      </c>
      <c r="R19" s="42">
        <f>'[1]570uA'!D7</f>
        <v>1.1485128631441486E-13</v>
      </c>
    </row>
    <row r="20" spans="1:20">
      <c r="A20" s="9" t="s">
        <v>65</v>
      </c>
      <c r="B20" s="11">
        <v>0.56000000000000005</v>
      </c>
      <c r="C20" s="4"/>
      <c r="D20" s="6"/>
      <c r="E20" s="58"/>
      <c r="F20" s="13">
        <v>3120.4</v>
      </c>
      <c r="G20" s="14">
        <v>560</v>
      </c>
      <c r="H20" s="15"/>
      <c r="I20" s="16"/>
      <c r="J20" s="17"/>
      <c r="K20" s="18">
        <v>5</v>
      </c>
      <c r="L20" s="12">
        <f t="shared" si="0"/>
        <v>2.2360679774997898</v>
      </c>
      <c r="M20" s="14">
        <v>15</v>
      </c>
      <c r="N20" s="23">
        <f t="shared" si="1"/>
        <v>3.872983346207417</v>
      </c>
      <c r="O20" s="41">
        <f>'[1]560uA'!A7</f>
        <v>4.498588254999999E-12</v>
      </c>
      <c r="P20" s="42">
        <f>'[1]560uA'!B7</f>
        <v>8.2421279173808859E-14</v>
      </c>
      <c r="Q20" s="42">
        <f>'[1]560uA'!C7</f>
        <v>-5.7048055349999977E-12</v>
      </c>
      <c r="R20" s="42">
        <f>'[1]560uA'!D7</f>
        <v>9.1734319859897492E-14</v>
      </c>
    </row>
    <row r="21" spans="1:20">
      <c r="A21" s="9" t="s">
        <v>66</v>
      </c>
      <c r="B21" s="11">
        <v>0.437</v>
      </c>
      <c r="C21" s="4"/>
      <c r="D21" s="6"/>
      <c r="E21" s="59"/>
      <c r="F21" s="13">
        <v>3065</v>
      </c>
      <c r="G21" s="14">
        <v>550</v>
      </c>
      <c r="H21" s="15"/>
      <c r="I21" s="16"/>
      <c r="J21" s="17"/>
      <c r="K21" s="18">
        <v>5</v>
      </c>
      <c r="L21" s="12">
        <f t="shared" si="0"/>
        <v>2.2360679774997898</v>
      </c>
      <c r="M21" s="14">
        <v>6</v>
      </c>
      <c r="N21" s="23">
        <f t="shared" si="1"/>
        <v>2.4494897427831779</v>
      </c>
      <c r="O21" s="41">
        <f>'[1]550uA'!A7</f>
        <v>5.0238213549999997E-12</v>
      </c>
      <c r="P21" s="42">
        <f>'[1]550uA'!B7</f>
        <v>1.4659135854245704E-13</v>
      </c>
      <c r="Q21" s="42">
        <f>'[1]550uA'!C7</f>
        <v>-2.5875123049999997E-12</v>
      </c>
      <c r="R21" s="42">
        <f>'[1]550uA'!D7</f>
        <v>1.9006750126759293E-13</v>
      </c>
      <c r="T21" s="2"/>
    </row>
    <row r="22" spans="1:20">
      <c r="A22" s="9" t="s">
        <v>67</v>
      </c>
      <c r="B22" s="11">
        <v>0.54900000000000004</v>
      </c>
      <c r="C22" s="4"/>
      <c r="D22" s="6"/>
    </row>
    <row r="23" spans="1:20">
      <c r="A23" s="9" t="s">
        <v>68</v>
      </c>
      <c r="B23" s="11">
        <v>0.872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3"/>
      <c r="K23" s="54"/>
      <c r="L23" s="54"/>
      <c r="M23" s="55"/>
    </row>
    <row r="24" spans="1:20">
      <c r="A24" s="9" t="s">
        <v>69</v>
      </c>
      <c r="B24" s="11">
        <v>0.52400000000000002</v>
      </c>
      <c r="C24" s="5"/>
      <c r="D24" s="6"/>
      <c r="E24" s="19" t="s">
        <v>40</v>
      </c>
      <c r="F24" s="70">
        <v>346</v>
      </c>
      <c r="G24" s="8">
        <v>196</v>
      </c>
      <c r="H24" s="8">
        <v>322</v>
      </c>
      <c r="I24" s="8">
        <v>346</v>
      </c>
      <c r="J24" s="49" t="s">
        <v>41</v>
      </c>
      <c r="K24" s="49"/>
      <c r="L24" s="50">
        <v>1.602E-19</v>
      </c>
      <c r="M24" s="50"/>
    </row>
    <row r="25" spans="1:20">
      <c r="A25" s="9" t="s">
        <v>70</v>
      </c>
      <c r="B25" s="11">
        <v>6.2300000000000001E-2</v>
      </c>
      <c r="C25" s="5"/>
      <c r="D25" s="6"/>
      <c r="E25" s="19" t="s">
        <v>73</v>
      </c>
      <c r="F25" s="70">
        <v>2.9</v>
      </c>
      <c r="G25" s="8">
        <v>1.8</v>
      </c>
      <c r="H25" s="8">
        <v>2.8</v>
      </c>
      <c r="I25" s="8">
        <v>2.9</v>
      </c>
      <c r="J25" s="53"/>
      <c r="K25" s="54"/>
      <c r="L25" s="54"/>
      <c r="M25" s="55"/>
    </row>
    <row r="26" spans="1:20">
      <c r="A26" s="43" t="s">
        <v>0</v>
      </c>
      <c r="B26" s="44"/>
      <c r="D26" s="5"/>
      <c r="E26" s="52" t="s">
        <v>89</v>
      </c>
      <c r="F26" s="52"/>
      <c r="G26" s="52"/>
      <c r="H26" s="52"/>
      <c r="I26" s="52"/>
      <c r="J26" s="52"/>
      <c r="K26" s="52"/>
      <c r="L26" s="52"/>
      <c r="M26" s="52"/>
    </row>
    <row r="27" spans="1:20">
      <c r="A27" s="45"/>
      <c r="B27" s="46"/>
      <c r="E27" s="52"/>
      <c r="F27" s="52"/>
      <c r="G27" s="52"/>
      <c r="H27" s="52"/>
      <c r="I27" s="52"/>
      <c r="J27" s="52"/>
      <c r="K27" s="52"/>
      <c r="L27" s="52"/>
      <c r="M27" s="52"/>
    </row>
    <row r="28" spans="1:20">
      <c r="A28" s="9" t="s">
        <v>56</v>
      </c>
      <c r="B28" s="11" t="s">
        <v>102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103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>G6</f>
        <v>700</v>
      </c>
      <c r="F30" s="29">
        <f>F6</f>
        <v>3896.8</v>
      </c>
      <c r="G30" s="29">
        <f>E30*'Data Summary'!$B$18</f>
        <v>1099</v>
      </c>
      <c r="H30" s="31">
        <f>(M6-K6)/$B$42</f>
        <v>1597.1333333333334</v>
      </c>
      <c r="I30" s="32">
        <f>(1/$B$42)*SQRT(N6^2+L6^2)</f>
        <v>5.1752079936730828</v>
      </c>
      <c r="J30" s="33">
        <f>Q6-O6</f>
        <v>-1.3597889115950003E-9</v>
      </c>
      <c r="K30" s="33">
        <f>SQRT(P6^2+R6^2)</f>
        <v>8.6778477615168689E-12</v>
      </c>
      <c r="L30" s="32">
        <f>ABS(J30)/($H$30*$F$24*$L$24)</f>
        <v>15360.017519118264</v>
      </c>
      <c r="M30" s="33">
        <f>SQRT( ( 1 / ($H$30*$F$24*$L$24 ) )^2 * (K30^2+J30^2*( ($I$30/$H$30)^2+($F$25/$F$24)^2)))</f>
        <v>169.29225429379497</v>
      </c>
    </row>
    <row r="31" spans="1:20">
      <c r="A31" s="9" t="s">
        <v>27</v>
      </c>
      <c r="B31" s="11">
        <v>400</v>
      </c>
      <c r="E31" s="40">
        <f t="shared" ref="E31:E45" si="2">G7</f>
        <v>690</v>
      </c>
      <c r="F31" s="40">
        <f t="shared" ref="F31:F45" si="3">F7</f>
        <v>3841.8</v>
      </c>
      <c r="G31" s="40">
        <f>E31*'Data Summary'!$B$18</f>
        <v>1083.3</v>
      </c>
      <c r="H31" s="31">
        <f>(M7-K7)/$B$42</f>
        <v>1572.8833333333334</v>
      </c>
      <c r="I31" s="32">
        <f t="shared" ref="I31:I45" si="4">(1/$B$42)*SQRT(N7^2+L7^2)</f>
        <v>5.1360652903430521</v>
      </c>
      <c r="J31" s="33">
        <f t="shared" ref="J31:J45" si="5">Q7-O7</f>
        <v>-9.4978875053000036E-10</v>
      </c>
      <c r="K31" s="33">
        <f t="shared" ref="K31:K45" si="6">SQRT(P7^2+R7^2)</f>
        <v>5.6363539578130535E-12</v>
      </c>
      <c r="L31" s="32">
        <f>ABS(J31)/($H$30*$F$24*$L$24)</f>
        <v>10728.703347411451</v>
      </c>
      <c r="M31" s="33">
        <f t="shared" ref="M31:M45" si="7">SQRT( ( 1 / ($H$30*$F$24*$L$24 ) )^2 * (K31^2+J31^2*( ($I$30/$H$30)^2+($F$25/$F$24)^2)))</f>
        <v>115.53443784450315</v>
      </c>
    </row>
    <row r="32" spans="1:20">
      <c r="A32" s="43" t="s">
        <v>52</v>
      </c>
      <c r="B32" s="44"/>
      <c r="E32" s="40">
        <f t="shared" si="2"/>
        <v>680</v>
      </c>
      <c r="F32" s="40">
        <f t="shared" si="3"/>
        <v>3786.4</v>
      </c>
      <c r="G32" s="40">
        <f>E32*'Data Summary'!$B$18</f>
        <v>1067.6000000000001</v>
      </c>
      <c r="H32" s="31">
        <f t="shared" ref="H32:H45" si="8">(M8-K8)/$B$42</f>
        <v>1512.3333333333333</v>
      </c>
      <c r="I32" s="32">
        <f t="shared" si="4"/>
        <v>5.0330573875793094</v>
      </c>
      <c r="J32" s="33">
        <f t="shared" si="5"/>
        <v>-6.6598431937200047E-10</v>
      </c>
      <c r="K32" s="33">
        <f t="shared" si="6"/>
        <v>4.0485864713276782E-12</v>
      </c>
      <c r="L32" s="32">
        <f t="shared" ref="L32:L45" si="9">ABS(J32)/($H$30*$F$24*$L$24)</f>
        <v>7522.8814750467272</v>
      </c>
      <c r="M32" s="33">
        <f t="shared" si="7"/>
        <v>81.617086620937499</v>
      </c>
    </row>
    <row r="33" spans="1:14">
      <c r="A33" s="45"/>
      <c r="B33" s="46"/>
      <c r="E33" s="40">
        <f t="shared" si="2"/>
        <v>670</v>
      </c>
      <c r="F33" s="40">
        <f t="shared" si="3"/>
        <v>3730.8</v>
      </c>
      <c r="G33" s="40">
        <f>E33*'Data Summary'!$B$18</f>
        <v>1051.9000000000001</v>
      </c>
      <c r="H33" s="31">
        <f t="shared" si="8"/>
        <v>1425.6166666666666</v>
      </c>
      <c r="I33" s="32">
        <f t="shared" si="4"/>
        <v>4.8864040402369966</v>
      </c>
      <c r="J33" s="33">
        <f t="shared" si="5"/>
        <v>-4.6201649141199999E-10</v>
      </c>
      <c r="K33" s="33">
        <f t="shared" si="6"/>
        <v>2.929238185523218E-12</v>
      </c>
      <c r="L33" s="32">
        <f t="shared" si="9"/>
        <v>5218.8845942902635</v>
      </c>
      <c r="M33" s="33">
        <f t="shared" si="7"/>
        <v>57.394984382404083</v>
      </c>
    </row>
    <row r="34" spans="1:14">
      <c r="A34" s="9" t="s">
        <v>56</v>
      </c>
      <c r="B34" s="11" t="s">
        <v>104</v>
      </c>
      <c r="E34" s="40">
        <f t="shared" si="2"/>
        <v>660</v>
      </c>
      <c r="F34" s="40">
        <f t="shared" si="3"/>
        <v>3675.2</v>
      </c>
      <c r="G34" s="40">
        <f>E34*'Data Summary'!$B$18</f>
        <v>1036.2</v>
      </c>
      <c r="H34" s="31">
        <f t="shared" si="8"/>
        <v>1381.9166666666667</v>
      </c>
      <c r="I34" s="32">
        <f t="shared" si="4"/>
        <v>4.8093947413138975</v>
      </c>
      <c r="J34" s="33">
        <f t="shared" si="5"/>
        <v>-3.2131651735899986E-10</v>
      </c>
      <c r="K34" s="33">
        <f t="shared" si="6"/>
        <v>1.9163275888699436E-12</v>
      </c>
      <c r="L34" s="32">
        <f t="shared" si="9"/>
        <v>3629.5540386685207</v>
      </c>
      <c r="M34" s="33">
        <f t="shared" si="7"/>
        <v>39.145097237850557</v>
      </c>
    </row>
    <row r="35" spans="1:14">
      <c r="A35" s="9" t="s">
        <v>20</v>
      </c>
      <c r="B35" s="11" t="s">
        <v>105</v>
      </c>
      <c r="E35" s="40">
        <f t="shared" si="2"/>
        <v>650</v>
      </c>
      <c r="F35" s="40">
        <f t="shared" si="3"/>
        <v>3619.8</v>
      </c>
      <c r="G35" s="40">
        <f>E35*'Data Summary'!$B$18</f>
        <v>1020.5</v>
      </c>
      <c r="H35" s="31">
        <f t="shared" si="8"/>
        <v>1347.9333333333334</v>
      </c>
      <c r="I35" s="32">
        <f t="shared" si="4"/>
        <v>4.7478065110813708</v>
      </c>
      <c r="J35" s="33">
        <f t="shared" si="5"/>
        <v>-2.2813196498599992E-10</v>
      </c>
      <c r="K35" s="33">
        <f t="shared" si="6"/>
        <v>1.4661802726772545E-12</v>
      </c>
      <c r="L35" s="32">
        <f t="shared" si="9"/>
        <v>2576.9521643955704</v>
      </c>
      <c r="M35" s="33">
        <f t="shared" si="7"/>
        <v>28.469687414317658</v>
      </c>
      <c r="N35" s="3"/>
    </row>
    <row r="36" spans="1:14">
      <c r="A36" s="9" t="s">
        <v>21</v>
      </c>
      <c r="B36" s="11" t="s">
        <v>106</v>
      </c>
      <c r="E36" s="40">
        <f t="shared" si="2"/>
        <v>640</v>
      </c>
      <c r="F36" s="40">
        <f t="shared" si="3"/>
        <v>3564.6</v>
      </c>
      <c r="G36" s="40">
        <f>E36*'Data Summary'!$B$18</f>
        <v>1004.8000000000001</v>
      </c>
      <c r="H36" s="31">
        <f t="shared" si="8"/>
        <v>1323.2333333333333</v>
      </c>
      <c r="I36" s="32">
        <f t="shared" si="4"/>
        <v>4.7025406844480235</v>
      </c>
      <c r="J36" s="33">
        <f t="shared" si="5"/>
        <v>-1.5900923121850005E-10</v>
      </c>
      <c r="K36" s="33">
        <f t="shared" si="6"/>
        <v>1.0120405957845965E-12</v>
      </c>
      <c r="L36" s="32">
        <f t="shared" si="9"/>
        <v>1796.1497967745802</v>
      </c>
      <c r="M36" s="33">
        <f t="shared" si="7"/>
        <v>19.778714540151544</v>
      </c>
      <c r="N36" s="3"/>
    </row>
    <row r="37" spans="1:14">
      <c r="A37" s="9" t="s">
        <v>22</v>
      </c>
      <c r="B37" s="11" t="s">
        <v>107</v>
      </c>
      <c r="E37" s="40">
        <f t="shared" si="2"/>
        <v>630</v>
      </c>
      <c r="F37" s="40">
        <f t="shared" si="3"/>
        <v>3508.8</v>
      </c>
      <c r="G37" s="40">
        <f>E37*'Data Summary'!$B$18</f>
        <v>989.1</v>
      </c>
      <c r="H37" s="31">
        <f t="shared" si="8"/>
        <v>1268.1833333333334</v>
      </c>
      <c r="I37" s="32">
        <f t="shared" si="4"/>
        <v>4.6026260620070651</v>
      </c>
      <c r="J37" s="33">
        <f t="shared" si="5"/>
        <v>-1.1202701104349994E-10</v>
      </c>
      <c r="K37" s="33">
        <f t="shared" si="6"/>
        <v>6.9271309191933677E-13</v>
      </c>
      <c r="L37" s="32">
        <f t="shared" si="9"/>
        <v>1265.4440976608867</v>
      </c>
      <c r="M37" s="33">
        <f t="shared" si="7"/>
        <v>13.803450104622346</v>
      </c>
    </row>
    <row r="38" spans="1:14">
      <c r="A38" s="43" t="s">
        <v>11</v>
      </c>
      <c r="B38" s="44"/>
      <c r="E38" s="40">
        <f t="shared" si="2"/>
        <v>620</v>
      </c>
      <c r="F38" s="40">
        <f t="shared" si="3"/>
        <v>3453.6</v>
      </c>
      <c r="G38" s="40">
        <f>E38*'Data Summary'!$B$18</f>
        <v>973.40000000000009</v>
      </c>
      <c r="H38" s="31">
        <f t="shared" si="8"/>
        <v>1138.7666666666667</v>
      </c>
      <c r="I38" s="32">
        <f t="shared" si="4"/>
        <v>4.3608103222528118</v>
      </c>
      <c r="J38" s="33">
        <f t="shared" si="5"/>
        <v>-7.9637629759999941E-11</v>
      </c>
      <c r="K38" s="33">
        <f t="shared" si="6"/>
        <v>4.8923537273605321E-13</v>
      </c>
      <c r="L38" s="32">
        <f t="shared" si="9"/>
        <v>899.57741077607909</v>
      </c>
      <c r="M38" s="33">
        <f t="shared" si="7"/>
        <v>9.7921369179988513</v>
      </c>
    </row>
    <row r="39" spans="1:14">
      <c r="A39" s="47"/>
      <c r="B39" s="48"/>
      <c r="E39" s="40">
        <f t="shared" si="2"/>
        <v>610</v>
      </c>
      <c r="F39" s="40">
        <f t="shared" si="3"/>
        <v>3398</v>
      </c>
      <c r="G39" s="40">
        <f>E39*'Data Summary'!$B$18</f>
        <v>957.7</v>
      </c>
      <c r="H39" s="31">
        <f t="shared" si="8"/>
        <v>802.2166666666667</v>
      </c>
      <c r="I39" s="32">
        <f t="shared" si="4"/>
        <v>3.6592728482278791</v>
      </c>
      <c r="J39" s="33">
        <f t="shared" si="5"/>
        <v>-5.6320459385000003E-11</v>
      </c>
      <c r="K39" s="33">
        <f t="shared" si="6"/>
        <v>4.6177550904142832E-13</v>
      </c>
      <c r="L39" s="32">
        <f t="shared" si="9"/>
        <v>636.18936399743575</v>
      </c>
      <c r="M39" s="33">
        <f t="shared" si="7"/>
        <v>7.7388974537043067</v>
      </c>
      <c r="N39" s="3"/>
    </row>
    <row r="40" spans="1:14">
      <c r="A40" s="45"/>
      <c r="B40" s="46"/>
      <c r="E40" s="40">
        <f t="shared" si="2"/>
        <v>600</v>
      </c>
      <c r="F40" s="40">
        <f t="shared" si="3"/>
        <v>3342.6</v>
      </c>
      <c r="G40" s="40">
        <f>E40*'Data Summary'!$B$18</f>
        <v>942</v>
      </c>
      <c r="H40" s="31">
        <f t="shared" si="8"/>
        <v>541.1</v>
      </c>
      <c r="I40" s="32">
        <f t="shared" si="4"/>
        <v>3.0058276730378273</v>
      </c>
      <c r="J40" s="33">
        <f t="shared" si="5"/>
        <v>-3.9815403974999985E-11</v>
      </c>
      <c r="K40" s="33">
        <f t="shared" si="6"/>
        <v>2.6483879294691564E-13</v>
      </c>
      <c r="L40" s="32">
        <f t="shared" si="9"/>
        <v>449.75017620155398</v>
      </c>
      <c r="M40" s="33">
        <f t="shared" si="7"/>
        <v>5.0282365734172716</v>
      </c>
      <c r="N40" s="3"/>
    </row>
    <row r="41" spans="1:14">
      <c r="A41" s="9" t="s">
        <v>56</v>
      </c>
      <c r="B41" s="11" t="s">
        <v>108</v>
      </c>
      <c r="E41" s="40">
        <f t="shared" si="2"/>
        <v>590</v>
      </c>
      <c r="F41" s="40">
        <f t="shared" si="3"/>
        <v>3286.8</v>
      </c>
      <c r="G41" s="40">
        <f>E41*'Data Summary'!$B$18</f>
        <v>926.30000000000007</v>
      </c>
      <c r="H41" s="31">
        <f t="shared" si="8"/>
        <v>365.6</v>
      </c>
      <c r="I41" s="32">
        <f t="shared" si="4"/>
        <v>2.4709422404328989</v>
      </c>
      <c r="J41" s="33">
        <f t="shared" si="5"/>
        <v>-2.7956729791999999E-11</v>
      </c>
      <c r="K41" s="33">
        <f t="shared" si="6"/>
        <v>1.919465658652897E-13</v>
      </c>
      <c r="L41" s="32">
        <f t="shared" si="9"/>
        <v>315.79597077216994</v>
      </c>
      <c r="M41" s="33">
        <f t="shared" si="7"/>
        <v>3.5712744456129397</v>
      </c>
      <c r="N41" s="3"/>
    </row>
    <row r="42" spans="1:14">
      <c r="A42" s="9" t="s">
        <v>24</v>
      </c>
      <c r="B42" s="11">
        <v>60</v>
      </c>
      <c r="E42" s="40">
        <f t="shared" si="2"/>
        <v>580</v>
      </c>
      <c r="F42" s="40">
        <f t="shared" si="3"/>
        <v>3231.4</v>
      </c>
      <c r="G42" s="40">
        <f>E42*'Data Summary'!$B$18</f>
        <v>910.6</v>
      </c>
      <c r="H42" s="31">
        <f t="shared" si="8"/>
        <v>144.30000000000001</v>
      </c>
      <c r="I42" s="32">
        <f t="shared" si="4"/>
        <v>1.5550991393905835</v>
      </c>
      <c r="J42" s="33">
        <f t="shared" si="5"/>
        <v>-2.0169182214999996E-11</v>
      </c>
      <c r="K42" s="33">
        <f t="shared" si="6"/>
        <v>1.6921651233272114E-13</v>
      </c>
      <c r="L42" s="32">
        <f t="shared" si="9"/>
        <v>227.82873836300189</v>
      </c>
      <c r="M42" s="33">
        <f t="shared" si="7"/>
        <v>2.8008934533008643</v>
      </c>
      <c r="N42" s="3"/>
    </row>
    <row r="43" spans="1:14">
      <c r="A43" s="43" t="s">
        <v>12</v>
      </c>
      <c r="B43" s="44"/>
      <c r="E43" s="40">
        <f t="shared" si="2"/>
        <v>570</v>
      </c>
      <c r="F43" s="40">
        <f t="shared" si="3"/>
        <v>3175.8</v>
      </c>
      <c r="G43" s="40">
        <f>E43*'Data Summary'!$B$18</f>
        <v>894.90000000000009</v>
      </c>
      <c r="H43" s="31">
        <f t="shared" si="8"/>
        <v>16.816666666666666</v>
      </c>
      <c r="I43" s="32">
        <f t="shared" si="4"/>
        <v>0.53150729063673252</v>
      </c>
      <c r="J43" s="33">
        <f t="shared" si="5"/>
        <v>-1.4156284810000019E-11</v>
      </c>
      <c r="K43" s="33">
        <f t="shared" si="6"/>
        <v>1.3817834603204815E-13</v>
      </c>
      <c r="L43" s="32">
        <f t="shared" si="9"/>
        <v>159.90774805787697</v>
      </c>
      <c r="M43" s="33">
        <f t="shared" si="7"/>
        <v>2.1215650917892539</v>
      </c>
      <c r="N43" s="3"/>
    </row>
    <row r="44" spans="1:14">
      <c r="A44" s="45"/>
      <c r="B44" s="46"/>
      <c r="E44" s="40">
        <f t="shared" si="2"/>
        <v>560</v>
      </c>
      <c r="F44" s="40">
        <f t="shared" si="3"/>
        <v>3120.4</v>
      </c>
      <c r="G44" s="40">
        <f>E44*'Data Summary'!$B$18</f>
        <v>879.2</v>
      </c>
      <c r="H44" s="31">
        <f t="shared" si="8"/>
        <v>0.16666666666666666</v>
      </c>
      <c r="I44" s="32">
        <f t="shared" si="4"/>
        <v>7.4535599249992993E-2</v>
      </c>
      <c r="J44" s="33">
        <f t="shared" si="5"/>
        <v>-1.0203393789999996E-11</v>
      </c>
      <c r="K44" s="33">
        <f t="shared" si="6"/>
        <v>1.2332255552333045E-13</v>
      </c>
      <c r="L44" s="32">
        <f t="shared" si="9"/>
        <v>115.25635047650781</v>
      </c>
      <c r="M44" s="33">
        <f t="shared" si="7"/>
        <v>1.7358650107812854</v>
      </c>
      <c r="N44" s="3"/>
    </row>
    <row r="45" spans="1:14">
      <c r="A45" s="9" t="s">
        <v>13</v>
      </c>
      <c r="B45" s="11" t="s">
        <v>109</v>
      </c>
      <c r="E45" s="40">
        <f t="shared" si="2"/>
        <v>550</v>
      </c>
      <c r="F45" s="40">
        <f t="shared" si="3"/>
        <v>3065</v>
      </c>
      <c r="G45" s="40">
        <f>E45*'Data Summary'!$B$18</f>
        <v>863.5</v>
      </c>
      <c r="H45" s="31">
        <f t="shared" si="8"/>
        <v>1.6666666666666666E-2</v>
      </c>
      <c r="I45" s="32">
        <f t="shared" si="4"/>
        <v>5.5277079839256664E-2</v>
      </c>
      <c r="J45" s="33">
        <f t="shared" si="5"/>
        <v>-7.611333659999999E-12</v>
      </c>
      <c r="K45" s="33">
        <f t="shared" si="6"/>
        <v>2.4003058437921953E-13</v>
      </c>
      <c r="L45" s="32">
        <f t="shared" si="9"/>
        <v>85.976740481227779</v>
      </c>
      <c r="M45" s="33">
        <f t="shared" si="7"/>
        <v>2.8192832533746306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1" t="s">
        <v>76</v>
      </c>
      <c r="F47" s="51"/>
      <c r="H47" s="56" t="s">
        <v>86</v>
      </c>
      <c r="I47" s="56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295.75</v>
      </c>
      <c r="H48" s="34" t="s">
        <v>87</v>
      </c>
      <c r="I48" s="34">
        <v>964.4</v>
      </c>
      <c r="L48" s="35" t="str">
        <f>CONCATENATE(E30,",",L30,",",M30)</f>
        <v>700,15360.0175191183,169.292254293795</v>
      </c>
      <c r="N48" s="3"/>
    </row>
    <row r="49" spans="1:14">
      <c r="A49" s="9" t="s">
        <v>71</v>
      </c>
      <c r="B49" s="11" t="s">
        <v>110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690,10728.7033474115,115.534437844503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974</v>
      </c>
      <c r="L50" s="35" t="str">
        <f t="shared" si="10"/>
        <v>680,7522.88147504673,81.6170866209375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670,5218.88459429026,57.3949843824041</v>
      </c>
    </row>
    <row r="52" spans="1:14">
      <c r="E52" s="8" t="s">
        <v>78</v>
      </c>
      <c r="F52" s="30">
        <f>EXP(INDEX(LINEST(LN(L30:L45),E30:E45),1,2))</f>
        <v>3.9448154004508581E-7</v>
      </c>
      <c r="L52" s="35" t="str">
        <f t="shared" si="10"/>
        <v>660,3629.55403866852,39.1450972378506</v>
      </c>
    </row>
    <row r="53" spans="1:14">
      <c r="E53" s="8" t="s">
        <v>79</v>
      </c>
      <c r="F53" s="30">
        <f>INDEX(LINEST(LN(L30:L45),E30:E45),1)</f>
        <v>3.4785048408923672E-2</v>
      </c>
      <c r="L53" s="35" t="str">
        <f t="shared" si="10"/>
        <v>650,2576.95216439557,28.4696874143177</v>
      </c>
      <c r="N53" s="3"/>
    </row>
    <row r="54" spans="1:14">
      <c r="L54" s="35" t="str">
        <f t="shared" si="10"/>
        <v>640,1796.14979677458,19.7787145401515</v>
      </c>
      <c r="N54" s="3"/>
    </row>
    <row r="55" spans="1:14">
      <c r="L55" s="35" t="str">
        <f t="shared" si="10"/>
        <v>630,1265.44409766089,13.8034501046223</v>
      </c>
      <c r="N55" s="3"/>
    </row>
    <row r="56" spans="1:14">
      <c r="L56" s="35" t="str">
        <f t="shared" si="10"/>
        <v>620,899.577410776079,9.79213691799885</v>
      </c>
      <c r="N56" s="3"/>
    </row>
    <row r="57" spans="1:14">
      <c r="L57" s="35" t="str">
        <f t="shared" si="10"/>
        <v>610,636.189363997436,7.73889745370431</v>
      </c>
      <c r="N57" s="3"/>
    </row>
    <row r="58" spans="1:14">
      <c r="L58" s="35" t="str">
        <f t="shared" si="10"/>
        <v>600,449.750176201554,5.02823657341727</v>
      </c>
      <c r="N58" s="3"/>
    </row>
    <row r="59" spans="1:14">
      <c r="L59" s="35" t="str">
        <f t="shared" si="10"/>
        <v>590,315.79597077217,3.57127444561294</v>
      </c>
      <c r="N59" s="3"/>
    </row>
    <row r="60" spans="1:14">
      <c r="L60" s="35" t="str">
        <f t="shared" si="10"/>
        <v>580,227.828738363002,2.80089345330086</v>
      </c>
    </row>
    <row r="61" spans="1:14">
      <c r="L61" s="35" t="str">
        <f t="shared" si="10"/>
        <v>570,159.907748057877,2.12156509178925</v>
      </c>
    </row>
    <row r="62" spans="1:14">
      <c r="L62" s="35" t="str">
        <f t="shared" si="10"/>
        <v>560,115.256350476508,1.73586501078129</v>
      </c>
    </row>
    <row r="63" spans="1:14">
      <c r="L63" s="35" t="str">
        <f t="shared" si="10"/>
        <v>550,85.9767404812278,2.81928325337463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2018-07-12T14:27:57Z</dcterms:modified>
</cp:coreProperties>
</file>