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Excel/QC5_SansCorrections/"/>
    </mc:Choice>
  </mc:AlternateContent>
  <xr:revisionPtr revIDLastSave="0" documentId="8_{0A56E5BB-3F3F-544E-892A-C22B95938C42}" xr6:coauthVersionLast="34" xr6:coauthVersionMax="34" xr10:uidLastSave="{00000000-0000-0000-0000-000000000000}"/>
  <bookViews>
    <workbookView xWindow="0" yWindow="440" windowWidth="2490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G30" i="1" l="1"/>
  <c r="R21" i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M33" i="1" s="1"/>
  <c r="K31" i="1"/>
  <c r="I49" i="1"/>
  <c r="J32" i="1"/>
  <c r="L32" i="1"/>
  <c r="K32" i="1"/>
  <c r="J33" i="1"/>
  <c r="L33" i="1" s="1"/>
  <c r="K33" i="1"/>
  <c r="J34" i="1"/>
  <c r="L34" i="1" s="1"/>
  <c r="K34" i="1"/>
  <c r="J35" i="1"/>
  <c r="L35" i="1" s="1"/>
  <c r="K35" i="1"/>
  <c r="J36" i="1"/>
  <c r="L36" i="1" s="1"/>
  <c r="K36" i="1"/>
  <c r="J37" i="1"/>
  <c r="L37" i="1" s="1"/>
  <c r="K37" i="1"/>
  <c r="J38" i="1"/>
  <c r="L38" i="1" s="1"/>
  <c r="K38" i="1"/>
  <c r="J39" i="1"/>
  <c r="L39" i="1" s="1"/>
  <c r="K39" i="1"/>
  <c r="J40" i="1"/>
  <c r="L40" i="1" s="1"/>
  <c r="K40" i="1"/>
  <c r="J41" i="1"/>
  <c r="L41" i="1" s="1"/>
  <c r="K41" i="1"/>
  <c r="J42" i="1"/>
  <c r="L42" i="1"/>
  <c r="K42" i="1"/>
  <c r="J43" i="1"/>
  <c r="L43" i="1" s="1"/>
  <c r="K43" i="1"/>
  <c r="J44" i="1"/>
  <c r="L44" i="1" s="1"/>
  <c r="K44" i="1"/>
  <c r="J45" i="1"/>
  <c r="L45" i="1" s="1"/>
  <c r="K45" i="1"/>
  <c r="K30" i="1"/>
  <c r="J30" i="1"/>
  <c r="L30" i="1" s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37" i="1" l="1"/>
  <c r="M45" i="1"/>
  <c r="M41" i="1"/>
  <c r="M42" i="1"/>
  <c r="M38" i="1"/>
  <c r="M34" i="1"/>
  <c r="M43" i="1"/>
  <c r="M39" i="1"/>
  <c r="M35" i="1"/>
  <c r="M44" i="1"/>
  <c r="M40" i="1"/>
  <c r="M36" i="1"/>
  <c r="M32" i="1"/>
  <c r="M31" i="1"/>
  <c r="M30" i="1"/>
  <c r="L56" i="1" l="1"/>
  <c r="L48" i="1"/>
  <c r="F52" i="1"/>
  <c r="L55" i="1"/>
  <c r="L63" i="1"/>
  <c r="L54" i="1"/>
  <c r="L53" i="1"/>
  <c r="L50" i="1"/>
  <c r="L58" i="1"/>
  <c r="L49" i="1"/>
  <c r="L57" i="1"/>
  <c r="L62" i="1"/>
  <c r="L61" i="1"/>
  <c r="L52" i="1"/>
  <c r="L60" i="1"/>
  <c r="L51" i="1"/>
  <c r="L59" i="1"/>
  <c r="F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<sst xmlns="http://schemas.openxmlformats.org/spreadsheetml/2006/main" count="456" uniqueCount="110">
  <si>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</si>
  <si>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</si>
  <si>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</si>
  <si>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</si>
  <si>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</si>
  <si>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</si>
  <si>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</si>
  <si>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</si>
  <si>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</si>
  <si>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</si>
  <si>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</si>
  <si>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</si>
  <si>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</si>
  <si>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</si>
  <si>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</si>
  <si>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</si>
  <si>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</si>
  <si>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</si>
  <si>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</si>
  <si>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</si>
  <si>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</si>
  <si>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</si>
  <si>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</si>
  <si>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</si>
  <si>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</si>
  <si>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</si>
  <si>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</si>
  <si>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</si>
  <si>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</si>
  <si>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</si>
  <si>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</si>
  <si>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</si>
  <si>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</si>
  <si>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</si>
  <si>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</si>
  <si>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</si>
  <si>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</si>
  <si>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</si>
  <si>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</si>
  <si>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</si>
  <si>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</si>
  <si>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</si>
  <si>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</si>
  <si>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</si>
  <si>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</si>
  <si>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</si>
  <si>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</si>
  <si>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</si>
  <si>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</si>
  <si>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</si>
  <si>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</si>
  <si>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</si>
  <si>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</si>
  <si>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</si>
  <si>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</si>
  <si>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</si>
  <si>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</si>
  <si>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</si>
  <si>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</si>
  <si>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</si>
  <si>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</si>
  <si>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</si>
  <si>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</si>
  <si>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</si>
  <si>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</si>
  <si>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</si>
  <si>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</si>
  <si>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</si>
  <si>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</si>
  <si>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</si>
  <si>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</si>
  <si>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</si>
  <si>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</si>
  <si>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</si>
  <si>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</si>
  <si>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</si>
  <si>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</si>
  <si>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</si>
  <si>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</si>
  <si>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</si>
  <si>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</si>
  <si>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</si>
  <si>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</si>
  <si>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</si>
  <si>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</si>
  <si>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</si>
  <si>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</si>
  <si>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</si>
  <si>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</si>
  <si>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</si>
  <si>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</si>
  <si>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</si>
  <si>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</si>
  <si>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</si>
  <si>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</si>
  <si>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</si>
  <si>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474 Timing Filter Amp - ORTEC</t>
  </si>
  <si>
    <t>GE11-X-L-CERN-0004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</si>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</sst>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Protection="1">
      <protection locked="0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200.78488405754962</c:v>
                  </c:pt>
                  <c:pt idx="1">
                    <c:v>146.05972567958761</c:v>
                  </c:pt>
                  <c:pt idx="2">
                    <c:v>97.211862485050602</c:v>
                  </c:pt>
                  <c:pt idx="3">
                    <c:v>68.632590083502777</c:v>
                  </c:pt>
                  <c:pt idx="4">
                    <c:v>46.825372096867902</c:v>
                  </c:pt>
                  <c:pt idx="5">
                    <c:v>32.70622997500233</c:v>
                  </c:pt>
                  <c:pt idx="6">
                    <c:v>22.929685426235736</c:v>
                  </c:pt>
                  <c:pt idx="7">
                    <c:v>16.566922780625131</c:v>
                  </c:pt>
                  <c:pt idx="8">
                    <c:v>11.232823948311832</c:v>
                  </c:pt>
                  <c:pt idx="9">
                    <c:v>8.3091528550779987</c:v>
                  </c:pt>
                  <c:pt idx="10">
                    <c:v>5.470937903589653</c:v>
                  </c:pt>
                  <c:pt idx="11">
                    <c:v>4.0107910419783543</c:v>
                  </c:pt>
                  <c:pt idx="12">
                    <c:v>2.9149734211077933</c:v>
                  </c:pt>
                  <c:pt idx="13">
                    <c:v>2.1782714428087671</c:v>
                  </c:pt>
                  <c:pt idx="14">
                    <c:v>1.6901926841400341</c:v>
                  </c:pt>
                  <c:pt idx="15">
                    <c:v>1.3551075118689127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200.78488405754962</c:v>
                  </c:pt>
                  <c:pt idx="1">
                    <c:v>146.05972567958761</c:v>
                  </c:pt>
                  <c:pt idx="2">
                    <c:v>97.211862485050602</c:v>
                  </c:pt>
                  <c:pt idx="3">
                    <c:v>68.632590083502777</c:v>
                  </c:pt>
                  <c:pt idx="4">
                    <c:v>46.825372096867902</c:v>
                  </c:pt>
                  <c:pt idx="5">
                    <c:v>32.70622997500233</c:v>
                  </c:pt>
                  <c:pt idx="6">
                    <c:v>22.929685426235736</c:v>
                  </c:pt>
                  <c:pt idx="7">
                    <c:v>16.566922780625131</c:v>
                  </c:pt>
                  <c:pt idx="8">
                    <c:v>11.232823948311832</c:v>
                  </c:pt>
                  <c:pt idx="9">
                    <c:v>8.3091528550779987</c:v>
                  </c:pt>
                  <c:pt idx="10">
                    <c:v>5.470937903589653</c:v>
                  </c:pt>
                  <c:pt idx="11">
                    <c:v>4.0107910419783543</c:v>
                  </c:pt>
                  <c:pt idx="12">
                    <c:v>2.9149734211077933</c:v>
                  </c:pt>
                  <c:pt idx="13">
                    <c:v>2.1782714428087671</c:v>
                  </c:pt>
                  <c:pt idx="14">
                    <c:v>1.6901926841400341</c:v>
                  </c:pt>
                  <c:pt idx="15">
                    <c:v>1.3551075118689127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18598.826217830603</c:v>
                </c:pt>
                <c:pt idx="1">
                  <c:v>13100.419712226872</c:v>
                </c:pt>
                <c:pt idx="2">
                  <c:v>9015.4632501835586</c:v>
                </c:pt>
                <c:pt idx="3">
                  <c:v>6317.0380416880289</c:v>
                </c:pt>
                <c:pt idx="4">
                  <c:v>4332.8760117810198</c:v>
                </c:pt>
                <c:pt idx="5">
                  <c:v>3038.4614178666334</c:v>
                </c:pt>
                <c:pt idx="6">
                  <c:v>2126.6603705824077</c:v>
                </c:pt>
                <c:pt idx="7">
                  <c:v>1482.8845088022381</c:v>
                </c:pt>
                <c:pt idx="8">
                  <c:v>1049.034517436435</c:v>
                </c:pt>
                <c:pt idx="9">
                  <c:v>735.71903763165574</c:v>
                </c:pt>
                <c:pt idx="10">
                  <c:v>520.98670137849922</c:v>
                </c:pt>
                <c:pt idx="11">
                  <c:v>366.39774537232012</c:v>
                </c:pt>
                <c:pt idx="12">
                  <c:v>261.02603202438939</c:v>
                </c:pt>
                <c:pt idx="13">
                  <c:v>186.89666639290215</c:v>
                </c:pt>
                <c:pt idx="14">
                  <c:v>135.04080450054147</c:v>
                </c:pt>
                <c:pt idx="15">
                  <c:v>94.866752235425594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8-2442-9318-802817C0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15456"/>
        <c:axId val="-2078682304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5.2675104809261342</c:v>
                  </c:pt>
                  <c:pt idx="1">
                    <c:v>5.1508359623570916</c:v>
                  </c:pt>
                  <c:pt idx="2">
                    <c:v>5.0868840058417781</c:v>
                  </c:pt>
                  <c:pt idx="3">
                    <c:v>5.0174694817208403</c:v>
                  </c:pt>
                  <c:pt idx="4">
                    <c:v>4.9565613080037654</c:v>
                  </c:pt>
                  <c:pt idx="5">
                    <c:v>4.9036267757197383</c:v>
                  </c:pt>
                  <c:pt idx="6">
                    <c:v>4.8427207687873608</c:v>
                  </c:pt>
                  <c:pt idx="7">
                    <c:v>4.7478357642661182</c:v>
                  </c:pt>
                  <c:pt idx="8">
                    <c:v>4.5983088678822392</c:v>
                  </c:pt>
                  <c:pt idx="9">
                    <c:v>4.2930175867331357</c:v>
                  </c:pt>
                  <c:pt idx="10">
                    <c:v>3.2824872006181867</c:v>
                  </c:pt>
                  <c:pt idx="11">
                    <c:v>2.8123734539432075</c:v>
                  </c:pt>
                  <c:pt idx="12">
                    <c:v>2.0785277909563247</c:v>
                  </c:pt>
                  <c:pt idx="13">
                    <c:v>0.99498743710661997</c:v>
                  </c:pt>
                  <c:pt idx="14">
                    <c:v>0.19002923751652298</c:v>
                  </c:pt>
                  <c:pt idx="15">
                    <c:v>9.1287092917527679E-2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5.2675104809261342</c:v>
                  </c:pt>
                  <c:pt idx="1">
                    <c:v>5.1508359623570916</c:v>
                  </c:pt>
                  <c:pt idx="2">
                    <c:v>5.0868840058417781</c:v>
                  </c:pt>
                  <c:pt idx="3">
                    <c:v>5.0174694817208403</c:v>
                  </c:pt>
                  <c:pt idx="4">
                    <c:v>4.9565613080037654</c:v>
                  </c:pt>
                  <c:pt idx="5">
                    <c:v>4.9036267757197383</c:v>
                  </c:pt>
                  <c:pt idx="6">
                    <c:v>4.8427207687873608</c:v>
                  </c:pt>
                  <c:pt idx="7">
                    <c:v>4.7478357642661182</c:v>
                  </c:pt>
                  <c:pt idx="8">
                    <c:v>4.5983088678822392</c:v>
                  </c:pt>
                  <c:pt idx="9">
                    <c:v>4.2930175867331357</c:v>
                  </c:pt>
                  <c:pt idx="10">
                    <c:v>3.2824872006181867</c:v>
                  </c:pt>
                  <c:pt idx="11">
                    <c:v>2.8123734539432075</c:v>
                  </c:pt>
                  <c:pt idx="12">
                    <c:v>2.0785277909563247</c:v>
                  </c:pt>
                  <c:pt idx="13">
                    <c:v>0.99498743710661997</c:v>
                  </c:pt>
                  <c:pt idx="14">
                    <c:v>0.19002923751652298</c:v>
                  </c:pt>
                  <c:pt idx="15">
                    <c:v>9.1287092917527679E-2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1655.6666666666667</c:v>
                </c:pt>
                <c:pt idx="1">
                  <c:v>1581.9666666666667</c:v>
                </c:pt>
                <c:pt idx="2">
                  <c:v>1544.6166666666666</c:v>
                </c:pt>
                <c:pt idx="3">
                  <c:v>1502.3</c:v>
                </c:pt>
                <c:pt idx="4">
                  <c:v>1467.6833333333334</c:v>
                </c:pt>
                <c:pt idx="5">
                  <c:v>1437.5666666666666</c:v>
                </c:pt>
                <c:pt idx="6">
                  <c:v>1403.0166666666667</c:v>
                </c:pt>
                <c:pt idx="7">
                  <c:v>1349.3833333333334</c:v>
                </c:pt>
                <c:pt idx="8">
                  <c:v>1266.4666666666667</c:v>
                </c:pt>
                <c:pt idx="9">
                  <c:v>1104.0333333333333</c:v>
                </c:pt>
                <c:pt idx="10">
                  <c:v>644.91666666666663</c:v>
                </c:pt>
                <c:pt idx="11">
                  <c:v>473.63333333333333</c:v>
                </c:pt>
                <c:pt idx="12">
                  <c:v>258.64999999999998</c:v>
                </c:pt>
                <c:pt idx="13">
                  <c:v>58.8</c:v>
                </c:pt>
                <c:pt idx="14">
                  <c:v>1.8</c:v>
                </c:pt>
                <c:pt idx="15">
                  <c:v>3.3333333333333333E-2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88-2442-9318-802817C0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71248"/>
        <c:axId val="-2079006384"/>
      </c:scatterChart>
      <c:valAx>
        <c:axId val="-2078915456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82304"/>
        <c:crosses val="autoZero"/>
        <c:crossBetween val="midCat"/>
      </c:valAx>
      <c:valAx>
        <c:axId val="-2078682304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915456"/>
        <c:crosses val="autoZero"/>
        <c:crossBetween val="midCat"/>
      </c:valAx>
      <c:valAx>
        <c:axId val="-20790063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78971248"/>
        <c:crosses val="max"/>
        <c:crossBetween val="midCat"/>
      </c:valAx>
      <c:valAx>
        <c:axId val="-207897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900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cr7/Downloads/GE11-X-L-CERN-0010_QC5_201711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4.5110937550000011E-12</v>
          </cell>
          <cell r="B7">
            <v>5.4645808751091605E-14</v>
          </cell>
          <cell r="C7">
            <v>-4.195044280000001E-12</v>
          </cell>
          <cell r="D7">
            <v>7.9922834023257408E-14</v>
          </cell>
        </row>
      </sheetData>
      <sheetData sheetId="2">
        <row r="7">
          <cell r="A7">
            <v>4.6054539049999976E-12</v>
          </cell>
          <cell r="B7">
            <v>5.6043647843338762E-14</v>
          </cell>
          <cell r="C7">
            <v>-7.7875484549999899E-12</v>
          </cell>
          <cell r="D7">
            <v>9.260190987586962E-14</v>
          </cell>
        </row>
      </sheetData>
      <sheetData sheetId="3">
        <row r="7">
          <cell r="A7">
            <v>4.1256953399999997E-12</v>
          </cell>
          <cell r="B7">
            <v>4.9084761072967651E-14</v>
          </cell>
          <cell r="C7">
            <v>-1.3026237635000009E-11</v>
          </cell>
          <cell r="D7">
            <v>1.1793326850201023E-13</v>
          </cell>
        </row>
      </sheetData>
      <sheetData sheetId="4">
        <row r="7">
          <cell r="A7">
            <v>4.0029135349999988E-12</v>
          </cell>
          <cell r="B7">
            <v>5.8468873879252005E-14</v>
          </cell>
          <cell r="C7">
            <v>-1.9952040249999996E-11</v>
          </cell>
          <cell r="D7">
            <v>1.4840686789259663E-13</v>
          </cell>
        </row>
      </sheetData>
      <sheetData sheetId="5">
        <row r="7">
          <cell r="A7">
            <v>4.0984104900000011E-12</v>
          </cell>
          <cell r="B7">
            <v>6.2267549515555528E-14</v>
          </cell>
          <cell r="C7">
            <v>-2.9526745549999978E-11</v>
          </cell>
          <cell r="D7">
            <v>2.0182424984446215E-13</v>
          </cell>
        </row>
      </sheetData>
      <sheetData sheetId="6">
        <row r="7">
          <cell r="A7">
            <v>4.3962700100000031E-12</v>
          </cell>
          <cell r="B7">
            <v>5.7128983968643232E-14</v>
          </cell>
          <cell r="C7">
            <v>-4.3415866799999976E-11</v>
          </cell>
          <cell r="D7">
            <v>2.5513060593701366E-13</v>
          </cell>
        </row>
      </sheetData>
      <sheetData sheetId="7">
        <row r="7">
          <cell r="A7">
            <v>4.155253889999999E-12</v>
          </cell>
          <cell r="B7">
            <v>6.6513995669305696E-14</v>
          </cell>
          <cell r="C7">
            <v>-6.336335875000001E-11</v>
          </cell>
          <cell r="D7">
            <v>4.5898075077560992E-13</v>
          </cell>
        </row>
      </sheetData>
      <sheetData sheetId="8">
        <row r="7">
          <cell r="A7">
            <v>4.2462033549999955E-12</v>
          </cell>
          <cell r="B7">
            <v>6.4350116403899954E-14</v>
          </cell>
          <cell r="C7">
            <v>-9.2026084849999985E-11</v>
          </cell>
          <cell r="D7">
            <v>5.6002070775632414E-13</v>
          </cell>
        </row>
      </sheetData>
      <sheetData sheetId="9">
        <row r="7">
          <cell r="A7">
            <v>3.88581602E-12</v>
          </cell>
          <cell r="B7">
            <v>6.2926450449172841E-14</v>
          </cell>
          <cell r="C7">
            <v>-1.3220187455000007E-10</v>
          </cell>
          <cell r="D7">
            <v>9.0506273359165314E-13</v>
          </cell>
        </row>
      </sheetData>
      <sheetData sheetId="10">
        <row r="7">
          <cell r="A7">
            <v>3.8915004419999986E-12</v>
          </cell>
          <cell r="B7">
            <v>6.4576607101960764E-14</v>
          </cell>
          <cell r="C7">
            <v>-1.912769680000001E-10</v>
          </cell>
          <cell r="D7">
            <v>1.167277514426328E-12</v>
          </cell>
        </row>
      </sheetData>
      <sheetData sheetId="11">
        <row r="7">
          <cell r="A7">
            <v>3.9403858634999975E-12</v>
          </cell>
          <cell r="B7">
            <v>6.9028174292975504E-14</v>
          </cell>
          <cell r="C7">
            <v>-2.7490614250000002E-10</v>
          </cell>
          <cell r="D7">
            <v>1.6598395367303384E-12</v>
          </cell>
        </row>
      </sheetData>
      <sheetData sheetId="12">
        <row r="7">
          <cell r="A7">
            <v>3.2650858590000007E-12</v>
          </cell>
          <cell r="B7">
            <v>1.1046527773167391E-13</v>
          </cell>
          <cell r="C7">
            <v>-3.9437281949999993E-10</v>
          </cell>
          <cell r="D7">
            <v>2.3971471675303637E-12</v>
          </cell>
        </row>
      </sheetData>
      <sheetData sheetId="13">
        <row r="7">
          <cell r="A7">
            <v>3.6288838520000007E-12</v>
          </cell>
          <cell r="B7">
            <v>1.0843344523348269E-13</v>
          </cell>
          <cell r="C7">
            <v>-5.7610009249999995E-10</v>
          </cell>
          <cell r="D7">
            <v>3.5564708980886132E-12</v>
          </cell>
        </row>
      </sheetData>
      <sheetData sheetId="14">
        <row r="7">
          <cell r="A7">
            <v>3.3310244070000012E-12</v>
          </cell>
          <cell r="B7">
            <v>2.1982000306646043E-13</v>
          </cell>
          <cell r="C7">
            <v>-8.2403858249999992E-10</v>
          </cell>
          <cell r="D7">
            <v>4.9522372679918257E-12</v>
          </cell>
        </row>
      </sheetData>
      <sheetData sheetId="15">
        <row r="7">
          <cell r="A7">
            <v>2.0145307275000014E-12</v>
          </cell>
          <cell r="B7">
            <v>2.5415546530947816E-13</v>
          </cell>
          <cell r="C7">
            <v>-1.2002408395000005E-9</v>
          </cell>
          <cell r="D7">
            <v>7.9648222420948733E-12</v>
          </cell>
        </row>
      </sheetData>
      <sheetData sheetId="16">
        <row r="7">
          <cell r="A7">
            <v>2.5465850155000006E-12</v>
          </cell>
          <cell r="B7">
            <v>2.6762346078345463E-13</v>
          </cell>
          <cell r="C7">
            <v>-1.7043100799999998E-9</v>
          </cell>
          <cell r="D7">
            <v>1.0262188652618294E-11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7" t="s">
        <v>81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</row>
    <row r="2" spans="1:18" ht="16">
      <c r="A2" s="9" t="s">
        <v>53</v>
      </c>
      <c r="B2" s="11"/>
      <c r="C2" s="36" t="s">
        <v>95</v>
      </c>
      <c r="D2" s="37" t="s">
        <v>93</v>
      </c>
      <c r="E2"/>
      <c r="F2" s="50" t="s">
        <v>7</v>
      </c>
      <c r="G2" s="51"/>
      <c r="H2" s="51"/>
      <c r="I2" s="51"/>
      <c r="J2" s="52"/>
      <c r="K2" s="53" t="s">
        <v>47</v>
      </c>
      <c r="L2" s="51"/>
      <c r="M2" s="51"/>
      <c r="N2" s="52"/>
      <c r="O2" s="53" t="s">
        <v>48</v>
      </c>
      <c r="P2" s="51"/>
      <c r="Q2" s="51"/>
      <c r="R2" s="54"/>
    </row>
    <row r="3" spans="1:18" ht="16">
      <c r="A3" s="55" t="s">
        <v>1</v>
      </c>
      <c r="B3" s="56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7"/>
      <c r="B4" s="58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4" t="s">
        <v>60</v>
      </c>
      <c r="F6" s="13">
        <v>3896.2</v>
      </c>
      <c r="G6" s="14">
        <v>700</v>
      </c>
      <c r="H6" s="15"/>
      <c r="I6" s="16">
        <v>971</v>
      </c>
      <c r="J6" s="17">
        <v>22.3</v>
      </c>
      <c r="K6" s="18">
        <v>274</v>
      </c>
      <c r="L6" s="12">
        <f>SQRT(K6)</f>
        <v>16.552945357246848</v>
      </c>
      <c r="M6" s="14">
        <v>99614</v>
      </c>
      <c r="N6" s="23">
        <f>SQRT(M6)</f>
        <v>315.61685633058323</v>
      </c>
      <c r="O6" s="40">
        <f>'[1]700uA'!A7</f>
        <v>2.5465850155000006E-12</v>
      </c>
      <c r="P6" s="12">
        <f>'[1]700uA'!B7</f>
        <v>2.6762346078345463E-13</v>
      </c>
      <c r="Q6" s="41">
        <f>'[1]700uA'!C7</f>
        <v>-1.7043100799999998E-9</v>
      </c>
      <c r="R6" s="41">
        <f>'[1]700uA'!D7</f>
        <v>1.0262188652618294E-11</v>
      </c>
    </row>
    <row r="7" spans="1:18">
      <c r="A7" s="9" t="s">
        <v>3</v>
      </c>
      <c r="B7" s="11">
        <v>4</v>
      </c>
      <c r="C7"/>
      <c r="D7"/>
      <c r="E7" s="45"/>
      <c r="F7" s="13">
        <v>3841.2</v>
      </c>
      <c r="G7" s="14">
        <v>690</v>
      </c>
      <c r="H7" s="15"/>
      <c r="I7" s="16"/>
      <c r="J7" s="17"/>
      <c r="K7" s="18">
        <v>297</v>
      </c>
      <c r="L7" s="12">
        <f t="shared" ref="L7:L21" si="0">SQRT(K7)</f>
        <v>17.233687939614086</v>
      </c>
      <c r="M7" s="18">
        <v>95215</v>
      </c>
      <c r="N7" s="23">
        <f t="shared" ref="N7:N21" si="1">SQRT(M7)</f>
        <v>308.56927909304255</v>
      </c>
      <c r="O7" s="40">
        <f>'[1]690uA'!A7</f>
        <v>2.0145307275000014E-12</v>
      </c>
      <c r="P7" s="41">
        <f>'[1]690uA'!B7</f>
        <v>2.5415546530947816E-13</v>
      </c>
      <c r="Q7" s="41">
        <f>'[1]690uA'!C7</f>
        <v>-1.2002408395000005E-9</v>
      </c>
      <c r="R7" s="41">
        <f>'[1]690uA'!D7</f>
        <v>7.9648222420948733E-12</v>
      </c>
    </row>
    <row r="8" spans="1:18">
      <c r="A8" s="9" t="s">
        <v>28</v>
      </c>
      <c r="B8" s="11">
        <v>500</v>
      </c>
      <c r="C8"/>
      <c r="D8"/>
      <c r="E8" s="45"/>
      <c r="F8" s="13">
        <v>3785.4</v>
      </c>
      <c r="G8" s="14">
        <v>680</v>
      </c>
      <c r="H8" s="15"/>
      <c r="I8" s="16"/>
      <c r="J8" s="17"/>
      <c r="K8" s="18">
        <v>239</v>
      </c>
      <c r="L8" s="12">
        <f t="shared" si="0"/>
        <v>15.459624833740307</v>
      </c>
      <c r="M8" s="18">
        <v>92916</v>
      </c>
      <c r="N8" s="23">
        <f t="shared" si="1"/>
        <v>304.82125910113291</v>
      </c>
      <c r="O8" s="40">
        <f>'[1]680uA'!A7</f>
        <v>3.3310244070000012E-12</v>
      </c>
      <c r="P8" s="41">
        <f>'[1]680uA'!B7</f>
        <v>2.1982000306646043E-13</v>
      </c>
      <c r="Q8" s="41">
        <f>'[1]680uA'!C7</f>
        <v>-8.2403858249999992E-10</v>
      </c>
      <c r="R8" s="41">
        <f>'[1]680uA'!D7</f>
        <v>4.9522372679918257E-12</v>
      </c>
    </row>
    <row r="9" spans="1:18" ht="15" customHeight="1">
      <c r="A9" s="9" t="s">
        <v>29</v>
      </c>
      <c r="B9" s="11">
        <v>500</v>
      </c>
      <c r="C9" s="4"/>
      <c r="D9" s="6"/>
      <c r="E9" s="45"/>
      <c r="F9" s="13">
        <v>3730</v>
      </c>
      <c r="G9" s="14">
        <v>670</v>
      </c>
      <c r="H9" s="15"/>
      <c r="I9" s="16"/>
      <c r="J9" s="17"/>
      <c r="K9" s="18">
        <v>246</v>
      </c>
      <c r="L9" s="12">
        <f t="shared" si="0"/>
        <v>15.684387141358123</v>
      </c>
      <c r="M9" s="14">
        <v>90384</v>
      </c>
      <c r="N9" s="23">
        <f t="shared" si="1"/>
        <v>300.63931878581684</v>
      </c>
      <c r="O9" s="40">
        <f>'[1]670uA'!A7</f>
        <v>3.6288838520000007E-12</v>
      </c>
      <c r="P9" s="41">
        <f>'[1]670uA'!B7</f>
        <v>1.0843344523348269E-13</v>
      </c>
      <c r="Q9" s="41">
        <f>'[1]670uA'!C7</f>
        <v>-5.7610009249999995E-10</v>
      </c>
      <c r="R9" s="41">
        <f>'[1]670uA'!D7</f>
        <v>3.5564708980886132E-12</v>
      </c>
    </row>
    <row r="10" spans="1:18">
      <c r="A10" s="55" t="s">
        <v>23</v>
      </c>
      <c r="B10" s="56"/>
      <c r="C10" s="4"/>
      <c r="D10" s="6"/>
      <c r="E10" s="45"/>
      <c r="F10" s="13">
        <v>3674.6</v>
      </c>
      <c r="G10" s="14">
        <v>660</v>
      </c>
      <c r="H10" s="15"/>
      <c r="I10" s="16"/>
      <c r="J10" s="17"/>
      <c r="K10" s="18">
        <v>191</v>
      </c>
      <c r="L10" s="12">
        <f t="shared" si="0"/>
        <v>13.820274961085254</v>
      </c>
      <c r="M10" s="14">
        <v>88252</v>
      </c>
      <c r="N10" s="23">
        <f t="shared" si="1"/>
        <v>297.07238175232646</v>
      </c>
      <c r="O10" s="40">
        <f>'[1]660uA'!A7</f>
        <v>3.2650858590000007E-12</v>
      </c>
      <c r="P10" s="41">
        <f>'[1]660uA'!B7</f>
        <v>1.1046527773167391E-13</v>
      </c>
      <c r="Q10" s="41">
        <f>'[1]660uA'!C7</f>
        <v>-3.9437281949999993E-10</v>
      </c>
      <c r="R10" s="41">
        <f>'[1]660uA'!D7</f>
        <v>2.3971471675303637E-12</v>
      </c>
    </row>
    <row r="11" spans="1:18">
      <c r="A11" s="57"/>
      <c r="B11" s="58"/>
      <c r="C11" s="4"/>
      <c r="D11" s="6"/>
      <c r="E11" s="45"/>
      <c r="F11" s="13">
        <v>3619.6</v>
      </c>
      <c r="G11" s="14">
        <v>650</v>
      </c>
      <c r="H11" s="15"/>
      <c r="I11" s="16"/>
      <c r="J11" s="17"/>
      <c r="K11" s="18">
        <v>155</v>
      </c>
      <c r="L11" s="12">
        <f t="shared" si="0"/>
        <v>12.449899597988733</v>
      </c>
      <c r="M11" s="14">
        <v>86409</v>
      </c>
      <c r="N11" s="23">
        <f t="shared" si="1"/>
        <v>293.95407804621453</v>
      </c>
      <c r="O11" s="40">
        <f>'[1]650uA'!A7</f>
        <v>3.9403858634999975E-12</v>
      </c>
      <c r="P11" s="41">
        <f>'[1]650uA'!B7</f>
        <v>6.9028174292975504E-14</v>
      </c>
      <c r="Q11" s="41">
        <f>'[1]650uA'!C7</f>
        <v>-2.7490614250000002E-10</v>
      </c>
      <c r="R11" s="41">
        <f>'[1]650uA'!D7</f>
        <v>1.6598395367303384E-12</v>
      </c>
    </row>
    <row r="12" spans="1:18">
      <c r="A12" s="9" t="s">
        <v>57</v>
      </c>
      <c r="B12" s="11" t="s">
        <v>97</v>
      </c>
      <c r="C12" s="4"/>
      <c r="D12" s="6"/>
      <c r="E12" s="45"/>
      <c r="F12" s="13">
        <v>3563.8</v>
      </c>
      <c r="G12" s="14">
        <v>640</v>
      </c>
      <c r="H12" s="15"/>
      <c r="I12" s="16"/>
      <c r="J12" s="17"/>
      <c r="K12" s="18">
        <v>123</v>
      </c>
      <c r="L12" s="12">
        <f t="shared" si="0"/>
        <v>11.090536506409418</v>
      </c>
      <c r="M12" s="14">
        <v>84304</v>
      </c>
      <c r="N12" s="23">
        <f>SQRT(M12)</f>
        <v>290.3515111033521</v>
      </c>
      <c r="O12" s="40">
        <f>'[1]640uA'!A7</f>
        <v>3.8915004419999986E-12</v>
      </c>
      <c r="P12" s="41">
        <f>'[1]640uA'!B7</f>
        <v>6.4576607101960764E-14</v>
      </c>
      <c r="Q12" s="41">
        <f>'[1]640uA'!C7</f>
        <v>-1.912769680000001E-10</v>
      </c>
      <c r="R12" s="41">
        <f>'[1]640uA'!D7</f>
        <v>1.167277514426328E-12</v>
      </c>
    </row>
    <row r="13" spans="1:18">
      <c r="A13" s="9" t="s">
        <v>45</v>
      </c>
      <c r="B13" s="11" t="s">
        <v>98</v>
      </c>
      <c r="C13" s="4"/>
      <c r="D13" s="6"/>
      <c r="E13" s="45"/>
      <c r="F13" s="13">
        <v>3508.6</v>
      </c>
      <c r="G13" s="14">
        <v>630</v>
      </c>
      <c r="H13" s="15"/>
      <c r="I13" s="16"/>
      <c r="J13" s="17"/>
      <c r="K13" s="18">
        <v>94</v>
      </c>
      <c r="L13" s="12">
        <f t="shared" si="0"/>
        <v>9.6953597148326587</v>
      </c>
      <c r="M13" s="14">
        <v>81057</v>
      </c>
      <c r="N13" s="23">
        <f t="shared" si="1"/>
        <v>284.70511059691216</v>
      </c>
      <c r="O13" s="40">
        <f>'[1]630uA'!A7</f>
        <v>3.88581602E-12</v>
      </c>
      <c r="P13" s="41">
        <f>'[1]630uA'!B7</f>
        <v>6.2926450449172841E-14</v>
      </c>
      <c r="Q13" s="41">
        <f>'[1]630uA'!C7</f>
        <v>-1.3220187455000007E-10</v>
      </c>
      <c r="R13" s="41">
        <f>'[1]630uA'!D7</f>
        <v>9.0506273359165314E-13</v>
      </c>
    </row>
    <row r="14" spans="1:18">
      <c r="A14" s="9" t="s">
        <v>54</v>
      </c>
      <c r="B14" s="11" t="s">
        <v>99</v>
      </c>
      <c r="C14" s="4"/>
      <c r="D14" s="6"/>
      <c r="E14" s="45"/>
      <c r="F14" s="13">
        <v>3453</v>
      </c>
      <c r="G14" s="14">
        <v>620</v>
      </c>
      <c r="H14" s="15"/>
      <c r="I14" s="16"/>
      <c r="J14" s="17"/>
      <c r="K14" s="18">
        <v>66</v>
      </c>
      <c r="L14" s="12">
        <f t="shared" si="0"/>
        <v>8.1240384046359608</v>
      </c>
      <c r="M14" s="14">
        <v>76054</v>
      </c>
      <c r="N14" s="23">
        <f t="shared" si="1"/>
        <v>275.77889694463568</v>
      </c>
      <c r="O14" s="40">
        <f>'[1]620uA'!A7</f>
        <v>4.2462033549999955E-12</v>
      </c>
      <c r="P14" s="41">
        <f>'[1]620uA'!B7</f>
        <v>6.4350116403899954E-14</v>
      </c>
      <c r="Q14" s="41">
        <f>'[1]620uA'!C7</f>
        <v>-9.2026084849999985E-11</v>
      </c>
      <c r="R14" s="41">
        <f>'[1]620uA'!D7</f>
        <v>5.6002070775632414E-13</v>
      </c>
    </row>
    <row r="15" spans="1:18">
      <c r="A15" s="9" t="s">
        <v>55</v>
      </c>
      <c r="B15" s="11" t="s">
        <v>100</v>
      </c>
      <c r="C15" s="4"/>
      <c r="D15" s="6"/>
      <c r="E15" s="45"/>
      <c r="F15" s="13">
        <v>3397.6</v>
      </c>
      <c r="G15" s="14">
        <v>610</v>
      </c>
      <c r="H15" s="15"/>
      <c r="I15" s="16"/>
      <c r="J15" s="17"/>
      <c r="K15" s="18">
        <v>53</v>
      </c>
      <c r="L15" s="12">
        <f t="shared" si="0"/>
        <v>7.2801098892805181</v>
      </c>
      <c r="M15" s="14">
        <v>66295</v>
      </c>
      <c r="N15" s="23">
        <f t="shared" si="1"/>
        <v>257.47815441314629</v>
      </c>
      <c r="O15" s="40">
        <f>'[1]610uA'!A7</f>
        <v>4.155253889999999E-12</v>
      </c>
      <c r="P15" s="41">
        <f>'[1]610uA'!B7</f>
        <v>6.6513995669305696E-14</v>
      </c>
      <c r="Q15" s="41">
        <f>'[1]610uA'!C7</f>
        <v>-6.336335875000001E-11</v>
      </c>
      <c r="R15" s="41">
        <f>'[1]610uA'!D7</f>
        <v>4.5898075077560992E-13</v>
      </c>
    </row>
    <row r="16" spans="1:18">
      <c r="A16" s="9" t="s">
        <v>49</v>
      </c>
      <c r="B16" s="11">
        <v>5</v>
      </c>
      <c r="C16" s="4"/>
      <c r="D16" s="6"/>
      <c r="E16" s="45"/>
      <c r="F16" s="13">
        <v>3342.2</v>
      </c>
      <c r="G16" s="14">
        <v>600</v>
      </c>
      <c r="H16" s="15"/>
      <c r="I16" s="16"/>
      <c r="J16" s="17"/>
      <c r="K16" s="18">
        <v>47</v>
      </c>
      <c r="L16" s="12">
        <f t="shared" si="0"/>
        <v>6.8556546004010439</v>
      </c>
      <c r="M16" s="14">
        <v>38742</v>
      </c>
      <c r="N16" s="23">
        <f t="shared" si="1"/>
        <v>196.82987578109172</v>
      </c>
      <c r="O16" s="40">
        <f>'[1]600uA'!A7</f>
        <v>4.3962700100000031E-12</v>
      </c>
      <c r="P16" s="41">
        <f>'[1]600uA'!B7</f>
        <v>5.7128983968643232E-14</v>
      </c>
      <c r="Q16" s="41">
        <f>'[1]600uA'!C7</f>
        <v>-4.3415866799999976E-11</v>
      </c>
      <c r="R16" s="41">
        <f>'[1]600uA'!D7</f>
        <v>2.5513060593701366E-13</v>
      </c>
    </row>
    <row r="17" spans="1:20">
      <c r="A17" s="9" t="s">
        <v>62</v>
      </c>
      <c r="B17" s="11">
        <v>5.67</v>
      </c>
      <c r="C17" s="4"/>
      <c r="D17" s="6"/>
      <c r="E17" s="45"/>
      <c r="F17" s="13">
        <v>3286.4</v>
      </c>
      <c r="G17" s="14">
        <v>590</v>
      </c>
      <c r="H17" s="15"/>
      <c r="I17" s="16"/>
      <c r="J17" s="17"/>
      <c r="K17" s="18">
        <v>28</v>
      </c>
      <c r="L17" s="12">
        <f t="shared" si="0"/>
        <v>5.2915026221291814</v>
      </c>
      <c r="M17" s="14">
        <v>28446</v>
      </c>
      <c r="N17" s="23">
        <f t="shared" si="1"/>
        <v>168.6594201341864</v>
      </c>
      <c r="O17" s="40">
        <f>'[1]590uA'!A7</f>
        <v>4.0984104900000011E-12</v>
      </c>
      <c r="P17" s="41">
        <f>'[1]590uA'!B7</f>
        <v>6.2267549515555528E-14</v>
      </c>
      <c r="Q17" s="41">
        <f>'[1]590uA'!C7</f>
        <v>-2.9526745549999978E-11</v>
      </c>
      <c r="R17" s="41">
        <f>'[1]590uA'!D7</f>
        <v>2.0182424984446215E-13</v>
      </c>
    </row>
    <row r="18" spans="1:20" ht="14" customHeight="1">
      <c r="A18" s="9" t="s">
        <v>63</v>
      </c>
      <c r="B18" s="11">
        <v>4.6100000000000003</v>
      </c>
      <c r="C18" s="4"/>
      <c r="D18" s="6"/>
      <c r="E18" s="45"/>
      <c r="F18" s="13">
        <v>3231</v>
      </c>
      <c r="G18" s="14">
        <v>580</v>
      </c>
      <c r="H18" s="15"/>
      <c r="I18" s="16"/>
      <c r="J18" s="17"/>
      <c r="K18" s="18">
        <v>17</v>
      </c>
      <c r="L18" s="12">
        <f t="shared" si="0"/>
        <v>4.1231056256176606</v>
      </c>
      <c r="M18" s="14">
        <v>15536</v>
      </c>
      <c r="N18" s="23">
        <f t="shared" si="1"/>
        <v>124.64349160706307</v>
      </c>
      <c r="O18" s="40">
        <f>'[1]580uA'!A7</f>
        <v>4.0029135349999988E-12</v>
      </c>
      <c r="P18" s="41">
        <f>'[1]580uA'!B7</f>
        <v>5.8468873879252005E-14</v>
      </c>
      <c r="Q18" s="41">
        <f>'[1]580uA'!C7</f>
        <v>-1.9952040249999996E-11</v>
      </c>
      <c r="R18" s="41">
        <f>'[1]580uA'!D7</f>
        <v>1.4840686789259663E-13</v>
      </c>
    </row>
    <row r="19" spans="1:20" ht="15" customHeight="1">
      <c r="A19" s="9" t="s">
        <v>64</v>
      </c>
      <c r="B19" s="11">
        <v>1.113</v>
      </c>
      <c r="C19" s="4"/>
      <c r="D19" s="6"/>
      <c r="E19" s="45"/>
      <c r="F19" s="13">
        <v>3175.6</v>
      </c>
      <c r="G19" s="14">
        <v>570</v>
      </c>
      <c r="H19" s="15"/>
      <c r="I19" s="16"/>
      <c r="J19" s="17"/>
      <c r="K19" s="18">
        <v>18</v>
      </c>
      <c r="L19" s="12">
        <f t="shared" si="0"/>
        <v>4.2426406871192848</v>
      </c>
      <c r="M19" s="14">
        <v>3546</v>
      </c>
      <c r="N19" s="23">
        <f t="shared" si="1"/>
        <v>59.548299723837623</v>
      </c>
      <c r="O19" s="40">
        <f>'[1]570uA'!A7</f>
        <v>4.1256953399999997E-12</v>
      </c>
      <c r="P19" s="41">
        <f>'[1]570uA'!B7</f>
        <v>4.9084761072967651E-14</v>
      </c>
      <c r="Q19" s="41">
        <f>'[1]570uA'!C7</f>
        <v>-1.3026237635000009E-11</v>
      </c>
      <c r="R19" s="41">
        <f>'[1]570uA'!D7</f>
        <v>1.1793326850201023E-13</v>
      </c>
    </row>
    <row r="20" spans="1:20">
      <c r="A20" s="9" t="s">
        <v>65</v>
      </c>
      <c r="B20" s="11">
        <v>0.56299999999999994</v>
      </c>
      <c r="C20" s="4"/>
      <c r="D20" s="6"/>
      <c r="E20" s="45"/>
      <c r="F20" s="13">
        <v>3120.4</v>
      </c>
      <c r="G20" s="14">
        <v>560</v>
      </c>
      <c r="H20" s="15"/>
      <c r="I20" s="16"/>
      <c r="J20" s="17"/>
      <c r="K20" s="18">
        <v>11</v>
      </c>
      <c r="L20" s="12">
        <f t="shared" si="0"/>
        <v>3.3166247903553998</v>
      </c>
      <c r="M20" s="14">
        <v>119</v>
      </c>
      <c r="N20" s="23">
        <f t="shared" si="1"/>
        <v>10.908712114635714</v>
      </c>
      <c r="O20" s="40">
        <f>'[1]560uA'!A7</f>
        <v>4.6054539049999976E-12</v>
      </c>
      <c r="P20" s="41">
        <f>'[1]560uA'!B7</f>
        <v>5.6043647843338762E-14</v>
      </c>
      <c r="Q20" s="41">
        <f>'[1]560uA'!C7</f>
        <v>-7.7875484549999899E-12</v>
      </c>
      <c r="R20" s="41">
        <f>'[1]560uA'!D7</f>
        <v>9.260190987586962E-14</v>
      </c>
    </row>
    <row r="21" spans="1:20">
      <c r="A21" s="9" t="s">
        <v>66</v>
      </c>
      <c r="B21" s="11">
        <v>0.437</v>
      </c>
      <c r="C21" s="4"/>
      <c r="D21" s="6"/>
      <c r="E21" s="46"/>
      <c r="F21" s="13">
        <v>3064.4</v>
      </c>
      <c r="G21" s="14">
        <v>550</v>
      </c>
      <c r="H21" s="15"/>
      <c r="I21" s="16"/>
      <c r="J21" s="17"/>
      <c r="K21" s="18">
        <v>14</v>
      </c>
      <c r="L21" s="12">
        <f t="shared" si="0"/>
        <v>3.7416573867739413</v>
      </c>
      <c r="M21" s="14">
        <v>16</v>
      </c>
      <c r="N21" s="23">
        <f t="shared" si="1"/>
        <v>4</v>
      </c>
      <c r="O21" s="40">
        <f>'[1]550uA'!A7</f>
        <v>4.5110937550000011E-12</v>
      </c>
      <c r="P21" s="41">
        <f>'[1]550uA'!B7</f>
        <v>5.4645808751091605E-14</v>
      </c>
      <c r="Q21" s="41">
        <f>'[1]550uA'!C7</f>
        <v>-4.195044280000001E-12</v>
      </c>
      <c r="R21" s="41">
        <f>'[1]550uA'!D7</f>
        <v>7.9922834023257408E-14</v>
      </c>
      <c r="T21" s="2"/>
    </row>
    <row r="22" spans="1:20">
      <c r="A22" s="9" t="s">
        <v>67</v>
      </c>
      <c r="B22" s="11">
        <v>0.55100000000000005</v>
      </c>
      <c r="C22" s="4"/>
      <c r="D22" s="6"/>
    </row>
    <row r="23" spans="1:20">
      <c r="A23" s="9" t="s">
        <v>68</v>
      </c>
      <c r="B23" s="11">
        <v>0.873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2"/>
      <c r="K23" s="63"/>
      <c r="L23" s="63"/>
      <c r="M23" s="64"/>
    </row>
    <row r="24" spans="1:20">
      <c r="A24" s="9" t="s">
        <v>69</v>
      </c>
      <c r="B24" s="11">
        <v>0.52600000000000002</v>
      </c>
      <c r="C24" s="5"/>
      <c r="D24" s="6"/>
      <c r="E24" s="19" t="s">
        <v>40</v>
      </c>
      <c r="F24" s="43">
        <v>346</v>
      </c>
      <c r="G24" s="8">
        <v>196</v>
      </c>
      <c r="H24" s="8">
        <v>322</v>
      </c>
      <c r="I24" s="8">
        <v>346</v>
      </c>
      <c r="J24" s="68" t="s">
        <v>41</v>
      </c>
      <c r="K24" s="68"/>
      <c r="L24" s="59">
        <v>1.602E-19</v>
      </c>
      <c r="M24" s="59"/>
    </row>
    <row r="25" spans="1:20">
      <c r="A25" s="9" t="s">
        <v>70</v>
      </c>
      <c r="B25" s="11">
        <v>0.626</v>
      </c>
      <c r="C25" s="5"/>
      <c r="D25" s="6"/>
      <c r="E25" s="19" t="s">
        <v>73</v>
      </c>
      <c r="F25" s="43">
        <v>2.9</v>
      </c>
      <c r="G25" s="8">
        <v>1.8</v>
      </c>
      <c r="H25" s="8">
        <v>2.8</v>
      </c>
      <c r="I25" s="8">
        <v>2.9</v>
      </c>
      <c r="J25" s="62"/>
      <c r="K25" s="63"/>
      <c r="L25" s="63"/>
      <c r="M25" s="64"/>
    </row>
    <row r="26" spans="1:20">
      <c r="A26" s="55" t="s">
        <v>0</v>
      </c>
      <c r="B26" s="56"/>
      <c r="D26" s="5"/>
      <c r="E26" s="61" t="s">
        <v>89</v>
      </c>
      <c r="F26" s="61"/>
      <c r="G26" s="61"/>
      <c r="H26" s="61"/>
      <c r="I26" s="61"/>
      <c r="J26" s="61"/>
      <c r="K26" s="61"/>
      <c r="L26" s="61"/>
      <c r="M26" s="61"/>
    </row>
    <row r="27" spans="1:20">
      <c r="A27" s="57"/>
      <c r="B27" s="58"/>
      <c r="E27" s="61"/>
      <c r="F27" s="61"/>
      <c r="G27" s="61"/>
      <c r="H27" s="61"/>
      <c r="I27" s="61"/>
      <c r="J27" s="61"/>
      <c r="K27" s="61"/>
      <c r="L27" s="61"/>
      <c r="M27" s="61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102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>F6</f>
        <v>3896.2</v>
      </c>
      <c r="G30" s="29">
        <f>E30*'Data Summary'!$B$18</f>
        <v>3227</v>
      </c>
      <c r="H30" s="31">
        <f>(M6-K6)/$B$42</f>
        <v>1655.6666666666667</v>
      </c>
      <c r="I30" s="32">
        <f>(1/$B$42)*SQRT(N6^2+L6^2)</f>
        <v>5.2675104809261342</v>
      </c>
      <c r="J30" s="33">
        <f>Q6-O6</f>
        <v>-1.7068566650154999E-9</v>
      </c>
      <c r="K30" s="33">
        <f>SQRT(P6^2+R6^2)</f>
        <v>1.0265677681414382E-11</v>
      </c>
      <c r="L30" s="32">
        <f>ABS(J30)/($H$30*$F$24*$L$24)</f>
        <v>18598.826217830603</v>
      </c>
      <c r="M30" s="33">
        <f>SQRT( ( 1 / ($H$30*$F$24*$L$24 ) )^2 * (K30^2+J30^2*( ($I$30/$H$30)^2+($F$25/$F$24)^2)))</f>
        <v>200.78488405754962</v>
      </c>
    </row>
    <row r="31" spans="1:20">
      <c r="A31" s="9" t="s">
        <v>27</v>
      </c>
      <c r="B31" s="11">
        <v>400</v>
      </c>
      <c r="E31" s="42">
        <f t="shared" ref="E31:E45" si="2">G7</f>
        <v>690</v>
      </c>
      <c r="F31" s="42">
        <f t="shared" ref="F31:F45" si="3">F7</f>
        <v>3841.2</v>
      </c>
      <c r="G31" s="42">
        <f>E31*'Data Summary'!$B$18</f>
        <v>3180.9</v>
      </c>
      <c r="H31" s="31">
        <f>(M7-K7)/$B$42</f>
        <v>1581.9666666666667</v>
      </c>
      <c r="I31" s="32">
        <f t="shared" ref="I31:I45" si="4">(1/$B$42)*SQRT(N7^2+L7^2)</f>
        <v>5.1508359623570916</v>
      </c>
      <c r="J31" s="33">
        <f t="shared" ref="J31:J45" si="5">Q7-O7</f>
        <v>-1.2022553702275005E-9</v>
      </c>
      <c r="K31" s="33">
        <f t="shared" ref="K31:K45" si="6">SQRT(P7^2+R7^2)</f>
        <v>7.9688762287235884E-12</v>
      </c>
      <c r="L31" s="32">
        <f>ABS(J31)/($H$30*$F$24*$L$24)</f>
        <v>13100.419712226872</v>
      </c>
      <c r="M31" s="33">
        <f t="shared" ref="M31:M45" si="7">SQRT( ( 1 / ($H$30*$F$24*$L$24 ) )^2 * (K31^2+J31^2*( ($I$30/$H$30)^2+($F$25/$F$24)^2)))</f>
        <v>146.05972567958761</v>
      </c>
    </row>
    <row r="32" spans="1:20">
      <c r="A32" s="55" t="s">
        <v>52</v>
      </c>
      <c r="B32" s="56"/>
      <c r="E32" s="42">
        <f t="shared" si="2"/>
        <v>680</v>
      </c>
      <c r="F32" s="42">
        <f t="shared" si="3"/>
        <v>3785.4</v>
      </c>
      <c r="G32" s="42">
        <f>E32*'Data Summary'!$B$18</f>
        <v>3134.8</v>
      </c>
      <c r="H32" s="31">
        <f t="shared" ref="H32:H45" si="8">(M8-K8)/$B$42</f>
        <v>1544.6166666666666</v>
      </c>
      <c r="I32" s="32">
        <f t="shared" si="4"/>
        <v>5.0868840058417781</v>
      </c>
      <c r="J32" s="33">
        <f t="shared" si="5"/>
        <v>-8.2736960690699987E-10</v>
      </c>
      <c r="K32" s="33">
        <f t="shared" si="6"/>
        <v>4.9571135545027901E-12</v>
      </c>
      <c r="L32" s="32">
        <f t="shared" ref="L32:L45" si="9">ABS(J32)/($H$30*$F$24*$L$24)</f>
        <v>9015.4632501835586</v>
      </c>
      <c r="M32" s="33">
        <f t="shared" si="7"/>
        <v>97.211862485050602</v>
      </c>
    </row>
    <row r="33" spans="1:14">
      <c r="A33" s="57"/>
      <c r="B33" s="58"/>
      <c r="E33" s="42">
        <f t="shared" si="2"/>
        <v>670</v>
      </c>
      <c r="F33" s="42">
        <f t="shared" si="3"/>
        <v>3730</v>
      </c>
      <c r="G33" s="42">
        <f>E33*'Data Summary'!$B$18</f>
        <v>3088.7000000000003</v>
      </c>
      <c r="H33" s="31">
        <f t="shared" si="8"/>
        <v>1502.3</v>
      </c>
      <c r="I33" s="32">
        <f t="shared" si="4"/>
        <v>5.0174694817208403</v>
      </c>
      <c r="J33" s="33">
        <f t="shared" si="5"/>
        <v>-5.7972897635199994E-10</v>
      </c>
      <c r="K33" s="33">
        <f t="shared" si="6"/>
        <v>3.5581235308792232E-12</v>
      </c>
      <c r="L33" s="32">
        <f t="shared" si="9"/>
        <v>6317.0380416880289</v>
      </c>
      <c r="M33" s="33">
        <f t="shared" si="7"/>
        <v>68.632590083502777</v>
      </c>
    </row>
    <row r="34" spans="1:14">
      <c r="A34" s="9" t="s">
        <v>56</v>
      </c>
      <c r="B34" s="11" t="s">
        <v>103</v>
      </c>
      <c r="E34" s="42">
        <f t="shared" si="2"/>
        <v>660</v>
      </c>
      <c r="F34" s="42">
        <f t="shared" si="3"/>
        <v>3674.6</v>
      </c>
      <c r="G34" s="42">
        <f>E34*'Data Summary'!$B$18</f>
        <v>3042.6000000000004</v>
      </c>
      <c r="H34" s="31">
        <f t="shared" si="8"/>
        <v>1467.6833333333334</v>
      </c>
      <c r="I34" s="32">
        <f t="shared" si="4"/>
        <v>4.9565613080037654</v>
      </c>
      <c r="J34" s="33">
        <f t="shared" si="5"/>
        <v>-3.9763790535899991E-10</v>
      </c>
      <c r="K34" s="33">
        <f t="shared" si="6"/>
        <v>2.3996910468606541E-12</v>
      </c>
      <c r="L34" s="32">
        <f t="shared" si="9"/>
        <v>4332.8760117810198</v>
      </c>
      <c r="M34" s="33">
        <f t="shared" si="7"/>
        <v>46.825372096867902</v>
      </c>
    </row>
    <row r="35" spans="1:14">
      <c r="A35" s="9" t="s">
        <v>20</v>
      </c>
      <c r="B35" s="11" t="s">
        <v>104</v>
      </c>
      <c r="E35" s="42">
        <f t="shared" si="2"/>
        <v>650</v>
      </c>
      <c r="F35" s="42">
        <f t="shared" si="3"/>
        <v>3619.6</v>
      </c>
      <c r="G35" s="42">
        <f>E35*'Data Summary'!$B$18</f>
        <v>2996.5</v>
      </c>
      <c r="H35" s="31">
        <f t="shared" si="8"/>
        <v>1437.5666666666666</v>
      </c>
      <c r="I35" s="32">
        <f t="shared" si="4"/>
        <v>4.9036267757197383</v>
      </c>
      <c r="J35" s="33">
        <f t="shared" si="5"/>
        <v>-2.7884652836350001E-10</v>
      </c>
      <c r="K35" s="33">
        <f t="shared" si="6"/>
        <v>1.6612742628896066E-12</v>
      </c>
      <c r="L35" s="32">
        <f t="shared" si="9"/>
        <v>3038.4614178666334</v>
      </c>
      <c r="M35" s="33">
        <f t="shared" si="7"/>
        <v>32.70622997500233</v>
      </c>
      <c r="N35" s="3"/>
    </row>
    <row r="36" spans="1:14">
      <c r="A36" s="9" t="s">
        <v>21</v>
      </c>
      <c r="B36" s="11" t="s">
        <v>105</v>
      </c>
      <c r="E36" s="42">
        <f t="shared" si="2"/>
        <v>640</v>
      </c>
      <c r="F36" s="42">
        <f t="shared" si="3"/>
        <v>3563.8</v>
      </c>
      <c r="G36" s="42">
        <f>E36*'Data Summary'!$B$18</f>
        <v>2950.4</v>
      </c>
      <c r="H36" s="31">
        <f t="shared" si="8"/>
        <v>1403.0166666666667</v>
      </c>
      <c r="I36" s="32">
        <f t="shared" si="4"/>
        <v>4.8427207687873608</v>
      </c>
      <c r="J36" s="33">
        <f t="shared" si="5"/>
        <v>-1.9516846844200009E-10</v>
      </c>
      <c r="K36" s="33">
        <f t="shared" si="6"/>
        <v>1.1690624165843788E-12</v>
      </c>
      <c r="L36" s="32">
        <f t="shared" si="9"/>
        <v>2126.6603705824077</v>
      </c>
      <c r="M36" s="33">
        <f t="shared" si="7"/>
        <v>22.929685426235736</v>
      </c>
      <c r="N36" s="3"/>
    </row>
    <row r="37" spans="1:14">
      <c r="A37" s="9" t="s">
        <v>22</v>
      </c>
      <c r="B37" s="11" t="s">
        <v>106</v>
      </c>
      <c r="E37" s="42">
        <f t="shared" si="2"/>
        <v>630</v>
      </c>
      <c r="F37" s="42">
        <f t="shared" si="3"/>
        <v>3508.6</v>
      </c>
      <c r="G37" s="42">
        <f>E37*'Data Summary'!$B$18</f>
        <v>2904.3</v>
      </c>
      <c r="H37" s="31">
        <f t="shared" si="8"/>
        <v>1349.3833333333334</v>
      </c>
      <c r="I37" s="32">
        <f t="shared" si="4"/>
        <v>4.7478357642661182</v>
      </c>
      <c r="J37" s="33">
        <f t="shared" si="5"/>
        <v>-1.3608769057000007E-10</v>
      </c>
      <c r="K37" s="33">
        <f t="shared" si="6"/>
        <v>9.0724764530007351E-13</v>
      </c>
      <c r="L37" s="32">
        <f t="shared" si="9"/>
        <v>1482.8845088022381</v>
      </c>
      <c r="M37" s="33">
        <f t="shared" si="7"/>
        <v>16.566922780625131</v>
      </c>
    </row>
    <row r="38" spans="1:14">
      <c r="A38" s="55" t="s">
        <v>11</v>
      </c>
      <c r="B38" s="56"/>
      <c r="E38" s="42">
        <f t="shared" si="2"/>
        <v>620</v>
      </c>
      <c r="F38" s="42">
        <f t="shared" si="3"/>
        <v>3453</v>
      </c>
      <c r="G38" s="42">
        <f>E38*'Data Summary'!$B$18</f>
        <v>2858.2000000000003</v>
      </c>
      <c r="H38" s="31">
        <f t="shared" si="8"/>
        <v>1266.4666666666667</v>
      </c>
      <c r="I38" s="32">
        <f t="shared" si="4"/>
        <v>4.5983088678822392</v>
      </c>
      <c r="J38" s="33">
        <f t="shared" si="5"/>
        <v>-9.6272288204999987E-11</v>
      </c>
      <c r="K38" s="33">
        <f t="shared" si="6"/>
        <v>5.6370571275896234E-13</v>
      </c>
      <c r="L38" s="32">
        <f t="shared" si="9"/>
        <v>1049.034517436435</v>
      </c>
      <c r="M38" s="33">
        <f t="shared" si="7"/>
        <v>11.232823948311832</v>
      </c>
    </row>
    <row r="39" spans="1:14">
      <c r="A39" s="66"/>
      <c r="B39" s="67"/>
      <c r="E39" s="42">
        <f t="shared" si="2"/>
        <v>610</v>
      </c>
      <c r="F39" s="42">
        <f t="shared" si="3"/>
        <v>3397.6</v>
      </c>
      <c r="G39" s="42">
        <f>E39*'Data Summary'!$B$18</f>
        <v>2812.1000000000004</v>
      </c>
      <c r="H39" s="31">
        <f t="shared" si="8"/>
        <v>1104.0333333333333</v>
      </c>
      <c r="I39" s="32">
        <f t="shared" si="4"/>
        <v>4.2930175867331357</v>
      </c>
      <c r="J39" s="33">
        <f t="shared" si="5"/>
        <v>-6.7518612640000009E-11</v>
      </c>
      <c r="K39" s="33">
        <f t="shared" si="6"/>
        <v>4.6377520546320596E-13</v>
      </c>
      <c r="L39" s="32">
        <f t="shared" si="9"/>
        <v>735.71903763165574</v>
      </c>
      <c r="M39" s="33">
        <f t="shared" si="7"/>
        <v>8.3091528550779987</v>
      </c>
      <c r="N39" s="3"/>
    </row>
    <row r="40" spans="1:14">
      <c r="A40" s="57"/>
      <c r="B40" s="58"/>
      <c r="E40" s="42">
        <f t="shared" si="2"/>
        <v>600</v>
      </c>
      <c r="F40" s="42">
        <f t="shared" si="3"/>
        <v>3342.2</v>
      </c>
      <c r="G40" s="42">
        <f>E40*'Data Summary'!$B$18</f>
        <v>2766</v>
      </c>
      <c r="H40" s="31">
        <f t="shared" si="8"/>
        <v>644.91666666666663</v>
      </c>
      <c r="I40" s="32">
        <f t="shared" si="4"/>
        <v>3.2824872006181867</v>
      </c>
      <c r="J40" s="33">
        <f t="shared" si="5"/>
        <v>-4.781213680999998E-11</v>
      </c>
      <c r="K40" s="33">
        <f t="shared" si="6"/>
        <v>2.6144855496842439E-13</v>
      </c>
      <c r="L40" s="32">
        <f t="shared" si="9"/>
        <v>520.98670137849922</v>
      </c>
      <c r="M40" s="33">
        <f t="shared" si="7"/>
        <v>5.470937903589653</v>
      </c>
      <c r="N40" s="3"/>
    </row>
    <row r="41" spans="1:14">
      <c r="A41" s="9" t="s">
        <v>56</v>
      </c>
      <c r="B41" s="11" t="s">
        <v>107</v>
      </c>
      <c r="E41" s="42">
        <f t="shared" si="2"/>
        <v>590</v>
      </c>
      <c r="F41" s="42">
        <f t="shared" si="3"/>
        <v>3286.4</v>
      </c>
      <c r="G41" s="42">
        <f>E41*'Data Summary'!$B$18</f>
        <v>2719.9</v>
      </c>
      <c r="H41" s="31">
        <f t="shared" si="8"/>
        <v>473.63333333333333</v>
      </c>
      <c r="I41" s="32">
        <f t="shared" si="4"/>
        <v>2.8123734539432075</v>
      </c>
      <c r="J41" s="33">
        <f t="shared" si="5"/>
        <v>-3.3625156039999979E-11</v>
      </c>
      <c r="K41" s="33">
        <f t="shared" si="6"/>
        <v>2.1121144748320827E-13</v>
      </c>
      <c r="L41" s="32">
        <f t="shared" si="9"/>
        <v>366.39774537232012</v>
      </c>
      <c r="M41" s="33">
        <f t="shared" si="7"/>
        <v>4.0107910419783543</v>
      </c>
      <c r="N41" s="3"/>
    </row>
    <row r="42" spans="1:14">
      <c r="A42" s="9" t="s">
        <v>24</v>
      </c>
      <c r="B42" s="11">
        <v>60</v>
      </c>
      <c r="E42" s="42">
        <f t="shared" si="2"/>
        <v>580</v>
      </c>
      <c r="F42" s="42">
        <f t="shared" si="3"/>
        <v>3231</v>
      </c>
      <c r="G42" s="42">
        <f>E42*'Data Summary'!$B$18</f>
        <v>2673.8</v>
      </c>
      <c r="H42" s="31">
        <f t="shared" si="8"/>
        <v>258.64999999999998</v>
      </c>
      <c r="I42" s="32">
        <f t="shared" si="4"/>
        <v>2.0785277909563247</v>
      </c>
      <c r="J42" s="33">
        <f t="shared" si="5"/>
        <v>-2.3954953784999996E-11</v>
      </c>
      <c r="K42" s="33">
        <f t="shared" si="6"/>
        <v>1.5950927136188198E-13</v>
      </c>
      <c r="L42" s="32">
        <f t="shared" si="9"/>
        <v>261.02603202438939</v>
      </c>
      <c r="M42" s="33">
        <f t="shared" si="7"/>
        <v>2.9149734211077933</v>
      </c>
      <c r="N42" s="3"/>
    </row>
    <row r="43" spans="1:14">
      <c r="A43" s="55" t="s">
        <v>12</v>
      </c>
      <c r="B43" s="56"/>
      <c r="E43" s="42">
        <f t="shared" si="2"/>
        <v>570</v>
      </c>
      <c r="F43" s="42">
        <f t="shared" si="3"/>
        <v>3175.6</v>
      </c>
      <c r="G43" s="42">
        <f>E43*'Data Summary'!$B$18</f>
        <v>2627.7000000000003</v>
      </c>
      <c r="H43" s="31">
        <f t="shared" si="8"/>
        <v>58.8</v>
      </c>
      <c r="I43" s="32">
        <f t="shared" si="4"/>
        <v>0.99498743710661997</v>
      </c>
      <c r="J43" s="33">
        <f t="shared" si="5"/>
        <v>-1.7151932975000009E-11</v>
      </c>
      <c r="K43" s="33">
        <f t="shared" si="6"/>
        <v>1.2774024263777472E-13</v>
      </c>
      <c r="L43" s="32">
        <f t="shared" si="9"/>
        <v>186.89666639290215</v>
      </c>
      <c r="M43" s="33">
        <f t="shared" si="7"/>
        <v>2.1782714428087671</v>
      </c>
      <c r="N43" s="3"/>
    </row>
    <row r="44" spans="1:14">
      <c r="A44" s="57"/>
      <c r="B44" s="58"/>
      <c r="E44" s="42">
        <f t="shared" si="2"/>
        <v>560</v>
      </c>
      <c r="F44" s="42">
        <f t="shared" si="3"/>
        <v>3120.4</v>
      </c>
      <c r="G44" s="42">
        <f>E44*'Data Summary'!$B$18</f>
        <v>2581.6000000000004</v>
      </c>
      <c r="H44" s="31">
        <f t="shared" si="8"/>
        <v>1.8</v>
      </c>
      <c r="I44" s="32">
        <f t="shared" si="4"/>
        <v>0.19002923751652298</v>
      </c>
      <c r="J44" s="33">
        <f t="shared" si="5"/>
        <v>-1.2393002359999988E-11</v>
      </c>
      <c r="K44" s="33">
        <f t="shared" si="6"/>
        <v>1.0824049231339836E-13</v>
      </c>
      <c r="L44" s="32">
        <f t="shared" si="9"/>
        <v>135.04080450054147</v>
      </c>
      <c r="M44" s="33">
        <f t="shared" si="7"/>
        <v>1.6901926841400341</v>
      </c>
      <c r="N44" s="3"/>
    </row>
    <row r="45" spans="1:14">
      <c r="A45" s="9" t="s">
        <v>13</v>
      </c>
      <c r="B45" s="11" t="s">
        <v>108</v>
      </c>
      <c r="E45" s="42">
        <f t="shared" si="2"/>
        <v>550</v>
      </c>
      <c r="F45" s="42">
        <f t="shared" si="3"/>
        <v>3064.4</v>
      </c>
      <c r="G45" s="42">
        <f>E45*'Data Summary'!$B$18</f>
        <v>2535.5</v>
      </c>
      <c r="H45" s="31">
        <f t="shared" si="8"/>
        <v>3.3333333333333333E-2</v>
      </c>
      <c r="I45" s="32">
        <f t="shared" si="4"/>
        <v>9.1287092917527679E-2</v>
      </c>
      <c r="J45" s="33">
        <f t="shared" si="5"/>
        <v>-8.7061380350000021E-12</v>
      </c>
      <c r="K45" s="33">
        <f t="shared" si="6"/>
        <v>9.6818509657864653E-14</v>
      </c>
      <c r="L45" s="32">
        <f t="shared" si="9"/>
        <v>94.866752235425594</v>
      </c>
      <c r="M45" s="33">
        <f t="shared" si="7"/>
        <v>1.3551075118689127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60" t="s">
        <v>76</v>
      </c>
      <c r="F47" s="60"/>
      <c r="H47" s="65" t="s">
        <v>86</v>
      </c>
      <c r="I47" s="65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str">
        <f>CONCATENATE(E30,",",L30,",",M30)</f>
        <v>700,18598.8262178306,200.78488405755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690,13100.4197122269,146.059725679588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971</v>
      </c>
      <c r="L50" s="35" t="str">
        <f t="shared" si="10"/>
        <v>680,9015.46325018356,97.2118624850506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670,6317.03804168803,68.6325900835028</v>
      </c>
    </row>
    <row r="52" spans="1:14">
      <c r="E52" s="8" t="s">
        <v>78</v>
      </c>
      <c r="F52" s="30">
        <f>EXP(INDEX(LINEST(LN(L30:L45),E30:E45),1,2))</f>
        <v>3.4964276517748736E-7</v>
      </c>
      <c r="L52" s="35" t="str">
        <f t="shared" si="10"/>
        <v>660,4332.87601178102,46.8253720968679</v>
      </c>
    </row>
    <row r="53" spans="1:14">
      <c r="E53" s="8" t="s">
        <v>79</v>
      </c>
      <c r="F53" s="30">
        <f>INDEX(LINEST(LN(L30:L45),E30:E45),1)</f>
        <v>3.5235690759570795E-2</v>
      </c>
      <c r="L53" s="35" t="str">
        <f t="shared" si="10"/>
        <v>650,3038.46141786663,32.7062299750023</v>
      </c>
      <c r="N53" s="3"/>
    </row>
    <row r="54" spans="1:14">
      <c r="L54" s="35" t="str">
        <f t="shared" si="10"/>
        <v>640,2126.66037058241,22.9296854262357</v>
      </c>
      <c r="N54" s="3"/>
    </row>
    <row r="55" spans="1:14">
      <c r="L55" s="35" t="str">
        <f t="shared" si="10"/>
        <v>630,1482.88450880224,16.5669227806251</v>
      </c>
      <c r="N55" s="3"/>
    </row>
    <row r="56" spans="1:14">
      <c r="L56" s="35" t="str">
        <f t="shared" si="10"/>
        <v>620,1049.03451743643,11.2328239483118</v>
      </c>
      <c r="N56" s="3"/>
    </row>
    <row r="57" spans="1:14">
      <c r="L57" s="35" t="str">
        <f t="shared" si="10"/>
        <v>610,735.719037631656,8.309152855078</v>
      </c>
      <c r="N57" s="3"/>
    </row>
    <row r="58" spans="1:14">
      <c r="L58" s="35" t="str">
        <f t="shared" si="10"/>
        <v>600,520.986701378499,5.47093790358965</v>
      </c>
      <c r="N58" s="3"/>
    </row>
    <row r="59" spans="1:14">
      <c r="L59" s="35" t="str">
        <f t="shared" si="10"/>
        <v>590,366.39774537232,4.01079104197835</v>
      </c>
      <c r="N59" s="3"/>
    </row>
    <row r="60" spans="1:14">
      <c r="L60" s="35" t="str">
        <f t="shared" si="10"/>
        <v>580,261.026032024389,2.91497342110779</v>
      </c>
    </row>
    <row r="61" spans="1:14">
      <c r="L61" s="35" t="str">
        <f t="shared" si="10"/>
        <v>570,186.896666392902,2.17827144280877</v>
      </c>
    </row>
    <row r="62" spans="1:14">
      <c r="L62" s="35" t="str">
        <f t="shared" si="10"/>
        <v>560,135.040804500541,1.69019268414003</v>
      </c>
    </row>
    <row r="63" spans="1:14">
      <c r="L63" s="35" t="str">
        <f t="shared" si="10"/>
        <v>550,94.8667522354256,1.35510751186891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2018-07-12T14:03:39Z</dcterms:modified>
</cp:coreProperties>
</file>