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5E323AE6-EF06-E64A-9339-82A524823746}" xr6:coauthVersionLast="34" xr6:coauthVersionMax="34" xr10:uidLastSave="{00000000-0000-0000-0000-000000000000}"/>
  <bookViews>
    <workbookView xWindow="0" yWindow="0" windowWidth="25600" windowHeight="1600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M31" i="1" s="1"/>
  <c r="K31" i="1"/>
  <c r="I49" i="1"/>
  <c r="J32" i="1"/>
  <c r="L32" i="1"/>
  <c r="K32" i="1"/>
  <c r="J33" i="1"/>
  <c r="L33" i="1" s="1"/>
  <c r="K33" i="1"/>
  <c r="J34" i="1"/>
  <c r="L34" i="1"/>
  <c r="K34" i="1"/>
  <c r="M34" i="1" s="1"/>
  <c r="J35" i="1"/>
  <c r="L35" i="1" s="1"/>
  <c r="K35" i="1"/>
  <c r="J36" i="1"/>
  <c r="L36" i="1"/>
  <c r="K36" i="1"/>
  <c r="J37" i="1"/>
  <c r="L37" i="1" s="1"/>
  <c r="K37" i="1"/>
  <c r="J38" i="1"/>
  <c r="L38" i="1"/>
  <c r="K38" i="1"/>
  <c r="M38" i="1" s="1"/>
  <c r="J39" i="1"/>
  <c r="L39" i="1" s="1"/>
  <c r="K39" i="1"/>
  <c r="J40" i="1"/>
  <c r="L40" i="1"/>
  <c r="K40" i="1"/>
  <c r="J41" i="1"/>
  <c r="L41" i="1" s="1"/>
  <c r="K41" i="1"/>
  <c r="J42" i="1"/>
  <c r="L42" i="1"/>
  <c r="K42" i="1"/>
  <c r="M42" i="1" s="1"/>
  <c r="J43" i="1"/>
  <c r="L43" i="1" s="1"/>
  <c r="K43" i="1"/>
  <c r="J44" i="1"/>
  <c r="L44" i="1"/>
  <c r="K44" i="1"/>
  <c r="J45" i="1"/>
  <c r="L45" i="1" s="1"/>
  <c r="K45" i="1"/>
  <c r="K30" i="1"/>
  <c r="J30" i="1"/>
  <c r="L30" i="1" s="1"/>
  <c r="M30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44" i="1" l="1"/>
  <c r="M40" i="1"/>
  <c r="M36" i="1"/>
  <c r="M32" i="1"/>
  <c r="L49" i="1"/>
  <c r="M45" i="1"/>
  <c r="L63" i="1" s="1"/>
  <c r="M43" i="1"/>
  <c r="L61" i="1" s="1"/>
  <c r="M41" i="1"/>
  <c r="L59" i="1" s="1"/>
  <c r="M39" i="1"/>
  <c r="L57" i="1" s="1"/>
  <c r="M37" i="1"/>
  <c r="L55" i="1" s="1"/>
  <c r="M35" i="1"/>
  <c r="L53" i="1" s="1"/>
  <c r="M33" i="1"/>
  <c r="L51" i="1" s="1"/>
  <c r="L56" i="1" l="1"/>
  <c r="F53" i="1"/>
  <c r="L48" i="1"/>
  <c r="F52" i="1"/>
  <c r="L50" i="1"/>
  <c r="L58" i="1"/>
  <c r="L52" i="1"/>
  <c r="L60" i="1"/>
  <c r="L54" i="1"/>
  <c r="L6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<sst xmlns="http://schemas.openxmlformats.org/spreadsheetml/2006/main" count="456" uniqueCount="107">
  <si>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</si>
  <si>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</si>
  <si>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</si>
  <si>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</si>
  <si>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</si>
  <si>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</si>
  <si>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</si>
  <si>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</si>
  <si>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</si>
  <si>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</si>
  <si>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</si>
  <si>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</si>
  <si>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</si>
  <si>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</si>
  <si>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</si>
  <si>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</si>
  <si>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</si>
  <si>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</si>
  <si>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</si>
  <si>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</si>
  <si>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</si>
  <si>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</si>
  <si>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</si>
  <si>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</si>
  <si>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</si>
  <si>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</si>
  <si>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</si>
  <si>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</si>
  <si>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</si>
  <si>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</si>
  <si>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</si>
  <si>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</si>
  <si>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</si>
  <si>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</si>
  <si>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</si>
  <si>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</si>
  <si>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</si>
  <si>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</si>
  <si>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</si>
  <si>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</si>
  <si>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</si>
  <si>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</si>
  <si>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</si>
  <si>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</si>
  <si>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</si>
  <si>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</si>
  <si>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</si>
  <si>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</si>
  <si>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</si>
  <si>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</si>
  <si>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</si>
  <si>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</si>
  <si>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</si>
  <si>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</si>
  <si>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</si>
  <si>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</si>
  <si>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</si>
  <si>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</si>
  <si>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</si>
  <si>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</si>
  <si>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</si>
  <si>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</si>
  <si>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</si>
  <si>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</si>
  <si>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</si>
  <si>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</si>
  <si>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</si>
  <si>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</si>
  <si>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</si>
  <si>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</si>
  <si>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</si>
  <si>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</si>
  <si>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</si>
  <si>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</si>
  <si>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</si>
  <si>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</si>
  <si>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</si>
  <si>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</si>
  <si>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</si>
  <si>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</si>
  <si>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</si>
  <si>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</si>
  <si>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</si>
  <si>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</si>
  <si>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</si>
  <si>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</si>
  <si>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</si>
  <si>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</si>
  <si>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</si>
  <si>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</si>
  <si>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</si>
  <si>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</si>
  <si>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</si>
  <si>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</si>
  <si>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</si>
  <si>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</si>
  <si>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Henning</t>
  </si>
  <si>
    <t>ORTEC 474</t>
  </si>
  <si>
    <t>GE11-X-L-CERN-0016</t>
  </si>
  <si>
    <t>Ar/CO2</t>
  </si>
  <si>
    <t>70/30</t>
  </si>
  <si>
    <t>LeCroy 623</t>
  </si>
  <si>
    <t>&lt;0.05</t>
  </si>
  <si>
    <t>Keithley 6485</t>
  </si>
  <si>
    <t>Custom</t>
  </si>
  <si>
    <t>AMPTEK MINI X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</si>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</sst>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446.11467853921431</c:v>
                  </c:pt>
                  <c:pt idx="1">
                    <c:v>294.97863096023389</c:v>
                  </c:pt>
                  <c:pt idx="2">
                    <c:v>198.19819932126597</c:v>
                  </c:pt>
                  <c:pt idx="3">
                    <c:v>133.86479940905477</c:v>
                  </c:pt>
                  <c:pt idx="4">
                    <c:v>87.197467604611532</c:v>
                  </c:pt>
                  <c:pt idx="5">
                    <c:v>63.822106366783594</c:v>
                  </c:pt>
                  <c:pt idx="6">
                    <c:v>48.037714373475453</c:v>
                  </c:pt>
                  <c:pt idx="7">
                    <c:v>33.316184736936364</c:v>
                  </c:pt>
                  <c:pt idx="8">
                    <c:v>21.455893871959645</c:v>
                  </c:pt>
                  <c:pt idx="9">
                    <c:v>17.912942949873109</c:v>
                  </c:pt>
                  <c:pt idx="10">
                    <c:v>18.94581334798519</c:v>
                  </c:pt>
                  <c:pt idx="11">
                    <c:v>7.9013565198298572</c:v>
                  </c:pt>
                  <c:pt idx="12">
                    <c:v>5.47585307766784</c:v>
                  </c:pt>
                  <c:pt idx="13">
                    <c:v>14.485993695294438</c:v>
                  </c:pt>
                  <c:pt idx="14">
                    <c:v>3.2146714581901064</c:v>
                  </c:pt>
                  <c:pt idx="15">
                    <c:v>2.3119644127572414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446.11467853921431</c:v>
                  </c:pt>
                  <c:pt idx="1">
                    <c:v>294.97863096023389</c:v>
                  </c:pt>
                  <c:pt idx="2">
                    <c:v>198.19819932126597</c:v>
                  </c:pt>
                  <c:pt idx="3">
                    <c:v>133.86479940905477</c:v>
                  </c:pt>
                  <c:pt idx="4">
                    <c:v>87.197467604611532</c:v>
                  </c:pt>
                  <c:pt idx="5">
                    <c:v>63.822106366783594</c:v>
                  </c:pt>
                  <c:pt idx="6">
                    <c:v>48.037714373475453</c:v>
                  </c:pt>
                  <c:pt idx="7">
                    <c:v>33.316184736936364</c:v>
                  </c:pt>
                  <c:pt idx="8">
                    <c:v>21.455893871959645</c:v>
                  </c:pt>
                  <c:pt idx="9">
                    <c:v>17.912942949873109</c:v>
                  </c:pt>
                  <c:pt idx="10">
                    <c:v>18.94581334798519</c:v>
                  </c:pt>
                  <c:pt idx="11">
                    <c:v>7.9013565198298572</c:v>
                  </c:pt>
                  <c:pt idx="12">
                    <c:v>5.47585307766784</c:v>
                  </c:pt>
                  <c:pt idx="13">
                    <c:v>14.485993695294438</c:v>
                  </c:pt>
                  <c:pt idx="14">
                    <c:v>3.2146714581901064</c:v>
                  </c:pt>
                  <c:pt idx="15">
                    <c:v>2.3119644127572414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20739.345515611774</c:v>
                </c:pt>
                <c:pt idx="1">
                  <c:v>14019.691492089831</c:v>
                </c:pt>
                <c:pt idx="2">
                  <c:v>9469.8270895715086</c:v>
                </c:pt>
                <c:pt idx="3">
                  <c:v>6454.4522819539507</c:v>
                </c:pt>
                <c:pt idx="4">
                  <c:v>4427.8986919544241</c:v>
                </c:pt>
                <c:pt idx="5">
                  <c:v>3110.4827702823477</c:v>
                </c:pt>
                <c:pt idx="6">
                  <c:v>2179.4152346714786</c:v>
                </c:pt>
                <c:pt idx="7">
                  <c:v>1539.3330902567254</c:v>
                </c:pt>
                <c:pt idx="8">
                  <c:v>1068.0716801934529</c:v>
                </c:pt>
                <c:pt idx="9">
                  <c:v>772.43856524742148</c:v>
                </c:pt>
                <c:pt idx="10">
                  <c:v>549.61026502600669</c:v>
                </c:pt>
                <c:pt idx="11">
                  <c:v>391.9612109176652</c:v>
                </c:pt>
                <c:pt idx="12">
                  <c:v>287.46150228736661</c:v>
                </c:pt>
                <c:pt idx="13">
                  <c:v>200.80452365418668</c:v>
                </c:pt>
                <c:pt idx="14">
                  <c:v>144.49902241928427</c:v>
                </c:pt>
                <c:pt idx="15">
                  <c:v>104.02350742641366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5-904A-974D-A385EE99A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947600"/>
        <c:axId val="-209930368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23.842347503042426</c:v>
                  </c:pt>
                  <c:pt idx="1">
                    <c:v>22.754041210079592</c:v>
                  </c:pt>
                  <c:pt idx="2">
                    <c:v>22.489979628349754</c:v>
                  </c:pt>
                  <c:pt idx="3">
                    <c:v>22.306382678362564</c:v>
                  </c:pt>
                  <c:pt idx="4">
                    <c:v>22.13845320348365</c:v>
                  </c:pt>
                  <c:pt idx="5">
                    <c:v>21.983902465453347</c:v>
                  </c:pt>
                  <c:pt idx="6">
                    <c:v>21.779074337308106</c:v>
                  </c:pt>
                  <c:pt idx="7">
                    <c:v>21.476777172553341</c:v>
                  </c:pt>
                  <c:pt idx="8">
                    <c:v>20.932961365043859</c:v>
                  </c:pt>
                  <c:pt idx="9">
                    <c:v>19.732115694668327</c:v>
                  </c:pt>
                  <c:pt idx="10">
                    <c:v>15.537302703600945</c:v>
                  </c:pt>
                  <c:pt idx="11">
                    <c:v>12.312651513068815</c:v>
                  </c:pt>
                  <c:pt idx="12">
                    <c:v>9.5886941824960417</c:v>
                  </c:pt>
                  <c:pt idx="13">
                    <c:v>5.5674650329791184</c:v>
                  </c:pt>
                  <c:pt idx="14">
                    <c:v>1.914201368268069</c:v>
                  </c:pt>
                  <c:pt idx="15">
                    <c:v>0.39826010661984079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23.842347503042426</c:v>
                  </c:pt>
                  <c:pt idx="1">
                    <c:v>22.754041210079592</c:v>
                  </c:pt>
                  <c:pt idx="2">
                    <c:v>22.489979628349754</c:v>
                  </c:pt>
                  <c:pt idx="3">
                    <c:v>22.306382678362564</c:v>
                  </c:pt>
                  <c:pt idx="4">
                    <c:v>22.13845320348365</c:v>
                  </c:pt>
                  <c:pt idx="5">
                    <c:v>21.983902465453347</c:v>
                  </c:pt>
                  <c:pt idx="6">
                    <c:v>21.779074337308106</c:v>
                  </c:pt>
                  <c:pt idx="7">
                    <c:v>21.476777172553341</c:v>
                  </c:pt>
                  <c:pt idx="8">
                    <c:v>20.932961365043859</c:v>
                  </c:pt>
                  <c:pt idx="9">
                    <c:v>19.732115694668327</c:v>
                  </c:pt>
                  <c:pt idx="10">
                    <c:v>15.537302703600945</c:v>
                  </c:pt>
                  <c:pt idx="11">
                    <c:v>12.312651513068815</c:v>
                  </c:pt>
                  <c:pt idx="12">
                    <c:v>9.5886941824960417</c:v>
                  </c:pt>
                  <c:pt idx="13">
                    <c:v>5.5674650329791184</c:v>
                  </c:pt>
                  <c:pt idx="14">
                    <c:v>1.914201368268069</c:v>
                  </c:pt>
                  <c:pt idx="15">
                    <c:v>0.39826010661984079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34096.783333333333</c:v>
                </c:pt>
                <c:pt idx="1">
                  <c:v>31054.583333333332</c:v>
                </c:pt>
                <c:pt idx="2">
                  <c:v>30338.983333333334</c:v>
                </c:pt>
                <c:pt idx="3">
                  <c:v>29845.216666666667</c:v>
                </c:pt>
                <c:pt idx="4">
                  <c:v>29400.433333333334</c:v>
                </c:pt>
                <c:pt idx="5">
                  <c:v>28990.583333333332</c:v>
                </c:pt>
                <c:pt idx="6">
                  <c:v>28455.383333333335</c:v>
                </c:pt>
                <c:pt idx="7">
                  <c:v>27671.583333333332</c:v>
                </c:pt>
                <c:pt idx="8">
                  <c:v>26287.5</c:v>
                </c:pt>
                <c:pt idx="9">
                  <c:v>23358.783333333333</c:v>
                </c:pt>
                <c:pt idx="10">
                  <c:v>14483.3</c:v>
                </c:pt>
                <c:pt idx="11">
                  <c:v>9094.5166666666664</c:v>
                </c:pt>
                <c:pt idx="12">
                  <c:v>5515.8833333333332</c:v>
                </c:pt>
                <c:pt idx="13">
                  <c:v>1859.4</c:v>
                </c:pt>
                <c:pt idx="14">
                  <c:v>219.28333333333333</c:v>
                </c:pt>
                <c:pt idx="15">
                  <c:v>8.6833333333333336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05-904A-974D-A385EE99A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039088"/>
        <c:axId val="-2132799920"/>
      </c:scatterChart>
      <c:valAx>
        <c:axId val="-210094760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303680"/>
        <c:crosses val="autoZero"/>
        <c:crossBetween val="midCat"/>
      </c:valAx>
      <c:valAx>
        <c:axId val="-209930368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47600"/>
        <c:crosses val="autoZero"/>
        <c:crossBetween val="midCat"/>
      </c:valAx>
      <c:valAx>
        <c:axId val="-21327999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100039088"/>
        <c:crosses val="max"/>
        <c:crossBetween val="midCat"/>
      </c:valAx>
      <c:valAx>
        <c:axId val="-210003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279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7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 t="s">
        <v>96</v>
      </c>
      <c r="C2" s="37" t="s">
        <v>95</v>
      </c>
      <c r="D2" s="38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3486</v>
      </c>
      <c r="G6" s="14">
        <v>700</v>
      </c>
      <c r="H6" s="15">
        <v>0.77916666666666667</v>
      </c>
      <c r="I6" s="16">
        <v>978.85</v>
      </c>
      <c r="J6" s="17">
        <v>23.58</v>
      </c>
      <c r="K6" s="18">
        <v>320</v>
      </c>
      <c r="L6" s="12">
        <v>17.888543819999999</v>
      </c>
      <c r="M6" s="14">
        <v>2046127</v>
      </c>
      <c r="N6" s="23">
        <v>1430.4290000000001</v>
      </c>
      <c r="O6" s="41">
        <v>-3.5199999999999999E-12</v>
      </c>
      <c r="P6" s="41">
        <v>5.0099999999999999E-12</v>
      </c>
      <c r="Q6" s="41">
        <v>-3.92E-8</v>
      </c>
      <c r="R6" s="41">
        <v>7.7600000000000001E-10</v>
      </c>
    </row>
    <row r="7" spans="1:18">
      <c r="A7" s="9" t="s">
        <v>3</v>
      </c>
      <c r="B7" s="11">
        <v>4.5</v>
      </c>
      <c r="C7"/>
      <c r="D7"/>
      <c r="E7" s="44"/>
      <c r="F7" s="13">
        <v>3436.2</v>
      </c>
      <c r="G7" s="14">
        <v>690</v>
      </c>
      <c r="H7" s="15">
        <v>0.78333333333333333</v>
      </c>
      <c r="I7" s="16">
        <v>978.85</v>
      </c>
      <c r="J7" s="17">
        <v>23.64</v>
      </c>
      <c r="K7" s="18">
        <v>306</v>
      </c>
      <c r="L7" s="12">
        <v>17.492855680000002</v>
      </c>
      <c r="M7" s="36">
        <v>1863581</v>
      </c>
      <c r="N7" s="23">
        <v>1365.1304</v>
      </c>
      <c r="O7" s="41">
        <v>-3.3800000000000001E-12</v>
      </c>
      <c r="P7" s="41">
        <v>4.2999999999999999E-12</v>
      </c>
      <c r="Q7" s="41">
        <v>-2.6499999999999999E-8</v>
      </c>
      <c r="R7" s="41">
        <v>5.1099999999999999E-10</v>
      </c>
    </row>
    <row r="8" spans="1:18">
      <c r="A8" s="9" t="s">
        <v>28</v>
      </c>
      <c r="B8" s="11">
        <v>100</v>
      </c>
      <c r="C8"/>
      <c r="D8"/>
      <c r="E8" s="44"/>
      <c r="F8" s="13">
        <v>3386.4</v>
      </c>
      <c r="G8" s="14">
        <v>680</v>
      </c>
      <c r="H8" s="15">
        <v>0.78749999999999998</v>
      </c>
      <c r="I8" s="16">
        <v>978.88</v>
      </c>
      <c r="J8" s="17">
        <v>23.71</v>
      </c>
      <c r="K8" s="18">
        <v>269</v>
      </c>
      <c r="L8" s="12">
        <v>16.401219470000001</v>
      </c>
      <c r="M8" s="36">
        <v>1820608</v>
      </c>
      <c r="N8" s="23">
        <v>1349.2991</v>
      </c>
      <c r="O8" s="41">
        <v>-2.4299999999999999E-12</v>
      </c>
      <c r="P8" s="41">
        <v>2.5700000000000002E-12</v>
      </c>
      <c r="Q8" s="41">
        <v>-1.7900000000000001E-8</v>
      </c>
      <c r="R8" s="41">
        <v>3.43E-10</v>
      </c>
    </row>
    <row r="9" spans="1:18" ht="15" customHeight="1">
      <c r="A9" s="9" t="s">
        <v>29</v>
      </c>
      <c r="B9" s="11">
        <v>100</v>
      </c>
      <c r="C9" s="4"/>
      <c r="D9" s="6"/>
      <c r="E9" s="44"/>
      <c r="F9" s="13">
        <v>3336.6</v>
      </c>
      <c r="G9" s="14">
        <v>670</v>
      </c>
      <c r="H9" s="15">
        <v>0.79236111111111107</v>
      </c>
      <c r="I9" s="16">
        <v>978.89</v>
      </c>
      <c r="J9" s="17">
        <v>23.87</v>
      </c>
      <c r="K9" s="18">
        <v>278</v>
      </c>
      <c r="L9" s="12">
        <v>16.673331999999998</v>
      </c>
      <c r="M9" s="14">
        <v>1790991</v>
      </c>
      <c r="N9" s="23">
        <v>1338.2791</v>
      </c>
      <c r="O9" s="41">
        <v>-1.3600000000000001E-12</v>
      </c>
      <c r="P9" s="41">
        <v>1.1000000000000001E-11</v>
      </c>
      <c r="Q9" s="41">
        <v>-1.22E-8</v>
      </c>
      <c r="R9" s="41">
        <v>2.31E-10</v>
      </c>
    </row>
    <row r="10" spans="1:18">
      <c r="A10" s="54" t="s">
        <v>23</v>
      </c>
      <c r="B10" s="55"/>
      <c r="C10" s="4"/>
      <c r="D10" s="6"/>
      <c r="E10" s="44"/>
      <c r="F10" s="13">
        <v>3286.8</v>
      </c>
      <c r="G10" s="14">
        <v>660</v>
      </c>
      <c r="H10" s="15">
        <v>0.7993055555555556</v>
      </c>
      <c r="I10" s="16">
        <v>978.91</v>
      </c>
      <c r="J10" s="17">
        <v>23.77</v>
      </c>
      <c r="K10" s="18">
        <v>187</v>
      </c>
      <c r="L10" s="12">
        <v>13.674794329999999</v>
      </c>
      <c r="M10" s="14">
        <v>1764213</v>
      </c>
      <c r="N10" s="23">
        <v>1328.2367999999999</v>
      </c>
      <c r="O10" s="41">
        <v>-1.46E-12</v>
      </c>
      <c r="P10" s="41">
        <v>1.9699999999999999E-12</v>
      </c>
      <c r="Q10" s="41">
        <v>-8.3699999999999998E-9</v>
      </c>
      <c r="R10" s="41">
        <v>1.49E-10</v>
      </c>
    </row>
    <row r="11" spans="1:18">
      <c r="A11" s="56"/>
      <c r="B11" s="57"/>
      <c r="C11" s="4"/>
      <c r="D11" s="6"/>
      <c r="E11" s="44"/>
      <c r="F11" s="13">
        <v>3237</v>
      </c>
      <c r="G11" s="14">
        <v>650</v>
      </c>
      <c r="H11" s="15">
        <v>0.8041666666666667</v>
      </c>
      <c r="I11" s="16">
        <v>978.91</v>
      </c>
      <c r="J11" s="17">
        <v>23.9</v>
      </c>
      <c r="K11" s="18">
        <v>208</v>
      </c>
      <c r="L11" s="12">
        <v>14.422205099999999</v>
      </c>
      <c r="M11" s="14">
        <v>1739643</v>
      </c>
      <c r="N11" s="23">
        <v>1318.9553000000001</v>
      </c>
      <c r="O11" s="41">
        <v>-1.32E-12</v>
      </c>
      <c r="P11" s="41">
        <v>2.1900000000000002E-12</v>
      </c>
      <c r="Q11" s="41">
        <v>-5.8800000000000004E-9</v>
      </c>
      <c r="R11" s="41">
        <v>1.0999999999999999E-10</v>
      </c>
    </row>
    <row r="12" spans="1:18">
      <c r="A12" s="9" t="s">
        <v>57</v>
      </c>
      <c r="B12" s="11" t="s">
        <v>98</v>
      </c>
      <c r="C12" s="4"/>
      <c r="D12" s="6"/>
      <c r="E12" s="44"/>
      <c r="F12" s="13">
        <v>3187.2</v>
      </c>
      <c r="G12" s="14">
        <v>640</v>
      </c>
      <c r="H12" s="15">
        <v>0.80833333333333324</v>
      </c>
      <c r="I12" s="16">
        <v>978.92</v>
      </c>
      <c r="J12" s="17">
        <v>23.94</v>
      </c>
      <c r="K12" s="18">
        <v>129</v>
      </c>
      <c r="L12" s="12">
        <v>11.35781669</v>
      </c>
      <c r="M12" s="14">
        <v>1707452</v>
      </c>
      <c r="N12" s="23">
        <v>1306.6950999999999</v>
      </c>
      <c r="O12" s="41">
        <v>-9.9799999999999999E-13</v>
      </c>
      <c r="P12" s="41">
        <v>1.8199999999999999E-12</v>
      </c>
      <c r="Q12" s="41">
        <v>-4.1199999999999998E-9</v>
      </c>
      <c r="R12" s="41">
        <v>8.3900000000000002E-11</v>
      </c>
    </row>
    <row r="13" spans="1:18">
      <c r="A13" s="9" t="s">
        <v>45</v>
      </c>
      <c r="B13" s="11">
        <v>4.2</v>
      </c>
      <c r="C13" s="4"/>
      <c r="D13" s="6"/>
      <c r="E13" s="44"/>
      <c r="F13" s="13">
        <v>3137.4</v>
      </c>
      <c r="G13" s="14">
        <v>630</v>
      </c>
      <c r="H13" s="15">
        <v>0.81388888888888899</v>
      </c>
      <c r="I13" s="16">
        <v>978.95</v>
      </c>
      <c r="J13" s="17">
        <v>23.94</v>
      </c>
      <c r="K13" s="18">
        <v>106</v>
      </c>
      <c r="L13" s="12">
        <v>10.29563014</v>
      </c>
      <c r="M13" s="14">
        <v>1660401</v>
      </c>
      <c r="N13" s="23">
        <v>1288.5654999999999</v>
      </c>
      <c r="O13" s="41">
        <v>-7.2600000000000004E-13</v>
      </c>
      <c r="P13" s="41">
        <v>1.42E-12</v>
      </c>
      <c r="Q13" s="41">
        <v>-2.9100000000000001E-9</v>
      </c>
      <c r="R13" s="41">
        <v>5.8E-11</v>
      </c>
    </row>
    <row r="14" spans="1:18">
      <c r="A14" s="9" t="s">
        <v>54</v>
      </c>
      <c r="B14" s="11" t="s">
        <v>99</v>
      </c>
      <c r="C14" s="4"/>
      <c r="D14" s="6"/>
      <c r="E14" s="44"/>
      <c r="F14" s="13">
        <v>3087.6</v>
      </c>
      <c r="G14" s="14">
        <v>620</v>
      </c>
      <c r="H14" s="15">
        <v>0.81805555555555554</v>
      </c>
      <c r="I14" s="16">
        <v>978.98</v>
      </c>
      <c r="J14" s="17">
        <v>23.95</v>
      </c>
      <c r="K14" s="18">
        <v>115</v>
      </c>
      <c r="L14" s="12">
        <v>10.72380529</v>
      </c>
      <c r="M14" s="14">
        <v>1577365</v>
      </c>
      <c r="N14" s="23">
        <v>1255.9319</v>
      </c>
      <c r="O14" s="41">
        <v>-1.3899999999999999E-12</v>
      </c>
      <c r="P14" s="41">
        <v>1.37E-12</v>
      </c>
      <c r="Q14" s="41">
        <v>-2.0200000000000001E-9</v>
      </c>
      <c r="R14" s="41">
        <v>3.6799999999999998E-11</v>
      </c>
    </row>
    <row r="15" spans="1:18">
      <c r="A15" s="9" t="s">
        <v>55</v>
      </c>
      <c r="B15" s="11" t="s">
        <v>100</v>
      </c>
      <c r="C15" s="4"/>
      <c r="D15" s="6"/>
      <c r="E15" s="44"/>
      <c r="F15" s="13">
        <v>3037.8</v>
      </c>
      <c r="G15" s="14">
        <v>610</v>
      </c>
      <c r="H15" s="15">
        <v>0.82361111111111107</v>
      </c>
      <c r="I15" s="16">
        <v>979.01</v>
      </c>
      <c r="J15" s="17">
        <v>23.94</v>
      </c>
      <c r="K15" s="18">
        <v>78</v>
      </c>
      <c r="L15" s="12">
        <v>8.8317608659999998</v>
      </c>
      <c r="M15" s="14">
        <v>1401605</v>
      </c>
      <c r="N15" s="23">
        <v>1183.894</v>
      </c>
      <c r="O15" s="41">
        <v>-1.24E-13</v>
      </c>
      <c r="P15" s="41">
        <v>1.8300000000000001E-11</v>
      </c>
      <c r="Q15" s="41">
        <v>-1.4599999999999999E-9</v>
      </c>
      <c r="R15" s="41">
        <v>2.5699999999999999E-11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2988</v>
      </c>
      <c r="G16" s="14">
        <v>600</v>
      </c>
      <c r="H16" s="15">
        <v>0.82916666666666661</v>
      </c>
      <c r="I16" s="16">
        <v>979.02</v>
      </c>
      <c r="J16" s="17">
        <v>23.94</v>
      </c>
      <c r="K16" s="18">
        <v>35</v>
      </c>
      <c r="L16" s="12">
        <v>5.9160797829999998</v>
      </c>
      <c r="M16" s="14">
        <v>869033</v>
      </c>
      <c r="N16" s="23">
        <v>932.21938999999998</v>
      </c>
      <c r="O16" s="41">
        <v>-1.2600000000000001E-12</v>
      </c>
      <c r="P16" s="41">
        <v>2.88E-11</v>
      </c>
      <c r="Q16" s="41">
        <v>-1.0399999999999999E-9</v>
      </c>
      <c r="R16" s="41">
        <v>1.9399999999999999E-11</v>
      </c>
    </row>
    <row r="17" spans="1:20">
      <c r="A17" s="9" t="s">
        <v>62</v>
      </c>
      <c r="B17" s="11">
        <v>4.9800000000000004</v>
      </c>
      <c r="C17" s="4"/>
      <c r="D17" s="6"/>
      <c r="E17" s="44"/>
      <c r="F17" s="13">
        <v>2938.2</v>
      </c>
      <c r="G17" s="14">
        <v>590</v>
      </c>
      <c r="H17" s="15">
        <v>0.8340277777777777</v>
      </c>
      <c r="I17" s="16">
        <v>979.02</v>
      </c>
      <c r="J17" s="17">
        <v>23.94</v>
      </c>
      <c r="K17" s="18">
        <v>47</v>
      </c>
      <c r="L17" s="12">
        <v>6.8556546000000003</v>
      </c>
      <c r="M17" s="14">
        <v>545718</v>
      </c>
      <c r="N17" s="23">
        <v>738.72727999999995</v>
      </c>
      <c r="O17" s="41">
        <v>-2.0999999999999999E-13</v>
      </c>
      <c r="P17" s="41">
        <v>1.3899999999999999E-12</v>
      </c>
      <c r="Q17" s="41">
        <v>-7.4100000000000003E-10</v>
      </c>
      <c r="R17" s="41">
        <v>1.35E-11</v>
      </c>
    </row>
    <row r="18" spans="1:20" ht="14" customHeight="1">
      <c r="A18" s="9" t="s">
        <v>63</v>
      </c>
      <c r="B18" s="11">
        <v>4.7</v>
      </c>
      <c r="C18" s="4"/>
      <c r="D18" s="6"/>
      <c r="E18" s="44"/>
      <c r="F18" s="13">
        <v>2888.4</v>
      </c>
      <c r="G18" s="14">
        <v>580</v>
      </c>
      <c r="H18" s="15">
        <v>0.84097222222222223</v>
      </c>
      <c r="I18" s="16">
        <v>979.06</v>
      </c>
      <c r="J18" s="17">
        <v>23.94</v>
      </c>
      <c r="K18" s="18">
        <v>21</v>
      </c>
      <c r="L18" s="12">
        <v>4.5825756950000001</v>
      </c>
      <c r="M18" s="14">
        <v>330974</v>
      </c>
      <c r="N18" s="23">
        <v>575.30340000000001</v>
      </c>
      <c r="O18" s="41">
        <v>-1.71E-12</v>
      </c>
      <c r="P18" s="41">
        <v>1.33E-12</v>
      </c>
      <c r="Q18" s="41">
        <v>-5.4499999999999998E-10</v>
      </c>
      <c r="R18" s="41">
        <v>9.1899999999999994E-12</v>
      </c>
    </row>
    <row r="19" spans="1:20" ht="15" customHeight="1">
      <c r="A19" s="9" t="s">
        <v>64</v>
      </c>
      <c r="B19" s="11">
        <v>1.121</v>
      </c>
      <c r="C19" s="4"/>
      <c r="D19" s="6"/>
      <c r="E19" s="44"/>
      <c r="F19" s="13">
        <v>2838.6</v>
      </c>
      <c r="G19" s="14">
        <v>570</v>
      </c>
      <c r="H19" s="15">
        <v>0.84444444444444444</v>
      </c>
      <c r="I19" s="16">
        <v>979.09</v>
      </c>
      <c r="J19" s="17">
        <v>23.94</v>
      </c>
      <c r="K19" s="18">
        <v>12</v>
      </c>
      <c r="L19" s="12">
        <v>3.4641016150000001</v>
      </c>
      <c r="M19" s="14">
        <v>111576</v>
      </c>
      <c r="N19" s="23">
        <v>334.02994000000001</v>
      </c>
      <c r="O19" s="41">
        <v>-4.8800000000000004E-13</v>
      </c>
      <c r="P19" s="41">
        <v>2.6000000000000001E-11</v>
      </c>
      <c r="Q19" s="41">
        <v>-3.7999999999999998E-10</v>
      </c>
      <c r="R19" s="41">
        <v>7.9599999999999992E-12</v>
      </c>
    </row>
    <row r="20" spans="1:20">
      <c r="A20" s="9" t="s">
        <v>65</v>
      </c>
      <c r="B20" s="11">
        <v>0.56000000000000005</v>
      </c>
      <c r="C20" s="4"/>
      <c r="D20" s="6"/>
      <c r="E20" s="44"/>
      <c r="F20" s="13">
        <v>2788.8</v>
      </c>
      <c r="G20" s="14">
        <v>560</v>
      </c>
      <c r="H20" s="15">
        <v>0.84861111111111109</v>
      </c>
      <c r="I20" s="16">
        <v>979.12</v>
      </c>
      <c r="J20" s="17">
        <v>23.95</v>
      </c>
      <c r="K20" s="18">
        <v>17</v>
      </c>
      <c r="L20" s="12">
        <v>4.1231056260000001</v>
      </c>
      <c r="M20" s="14">
        <v>13174</v>
      </c>
      <c r="N20" s="23">
        <v>114.77804999999999</v>
      </c>
      <c r="O20" s="41">
        <v>-9.0299999999999999E-13</v>
      </c>
      <c r="P20" s="41">
        <v>1.3100000000000001E-12</v>
      </c>
      <c r="Q20" s="41">
        <v>-2.7399999999999998E-10</v>
      </c>
      <c r="R20" s="41">
        <v>5.4699999999999999E-12</v>
      </c>
    </row>
    <row r="21" spans="1:20">
      <c r="A21" s="9" t="s">
        <v>66</v>
      </c>
      <c r="B21" s="11">
        <v>0.44</v>
      </c>
      <c r="C21" s="4"/>
      <c r="D21" s="6"/>
      <c r="E21" s="45"/>
      <c r="F21" s="13">
        <v>2739</v>
      </c>
      <c r="G21" s="14">
        <v>550</v>
      </c>
      <c r="H21" s="15">
        <v>0.85277777777777775</v>
      </c>
      <c r="I21" s="16">
        <v>979.11</v>
      </c>
      <c r="J21" s="17">
        <v>23.95</v>
      </c>
      <c r="K21" s="18">
        <v>25</v>
      </c>
      <c r="L21" s="12">
        <v>5</v>
      </c>
      <c r="M21" s="14">
        <v>546</v>
      </c>
      <c r="N21" s="23">
        <v>23.366643</v>
      </c>
      <c r="O21" s="41">
        <v>-1.9799999999999999E-10</v>
      </c>
      <c r="P21" s="41">
        <v>3.8399999999999998E-12</v>
      </c>
      <c r="Q21" s="41">
        <v>-1.4000000000000001E-12</v>
      </c>
      <c r="R21" s="41">
        <v>1.27E-12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0.86799999999999999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0.51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102</v>
      </c>
      <c r="E30" s="29">
        <f>G6</f>
        <v>700</v>
      </c>
      <c r="F30" s="29">
        <f>F6</f>
        <v>3486</v>
      </c>
      <c r="G30" s="29">
        <f>E30*'Data Summary'!$B$18</f>
        <v>3290</v>
      </c>
      <c r="H30" s="31">
        <f>(M6-K6)/$B$42</f>
        <v>34096.783333333333</v>
      </c>
      <c r="I30" s="32">
        <f>(1/$B$42)*SQRT(N6^2+L6^2)</f>
        <v>23.842347503042426</v>
      </c>
      <c r="J30" s="33">
        <f>Q6-O6</f>
        <v>-3.9196480000000003E-8</v>
      </c>
      <c r="K30" s="33">
        <f>SQRT(P6^2+R6^2)</f>
        <v>7.7601617257631944E-10</v>
      </c>
      <c r="L30" s="32">
        <f>ABS(J30)/($H$30*$F$24*$L$24)</f>
        <v>20739.345515611774</v>
      </c>
      <c r="M30" s="33">
        <f>SQRT( ( 1 / ($H$30*$F$24*$L$24 ) )^2 * (K30^2+J30^2*( ($I$30/$H$30)^2+($F$25/$F$24)^2)))</f>
        <v>446.11467853921431</v>
      </c>
    </row>
    <row r="31" spans="1:20">
      <c r="A31" s="9" t="s">
        <v>27</v>
      </c>
      <c r="B31" s="11">
        <v>200</v>
      </c>
      <c r="E31" s="42">
        <f t="shared" ref="E31:E45" si="0">G7</f>
        <v>690</v>
      </c>
      <c r="F31" s="42">
        <f t="shared" ref="F31:F45" si="1">F7</f>
        <v>3436.2</v>
      </c>
      <c r="G31" s="42">
        <f>E31*'Data Summary'!$B$18</f>
        <v>3243</v>
      </c>
      <c r="H31" s="31">
        <f>(M7-K7)/$B$42</f>
        <v>31054.583333333332</v>
      </c>
      <c r="I31" s="32">
        <f t="shared" ref="I31:I45" si="2">(1/$B$42)*SQRT(N7^2+L7^2)</f>
        <v>22.754041210079592</v>
      </c>
      <c r="J31" s="33">
        <f t="shared" ref="J31:J45" si="3">Q7-O7</f>
        <v>-2.649662E-8</v>
      </c>
      <c r="K31" s="33">
        <f t="shared" ref="K31:K45" si="4">SQRT(P7^2+R7^2)</f>
        <v>5.1101809165625436E-10</v>
      </c>
      <c r="L31" s="32">
        <f>ABS(J31)/($H$30*$F$24*$L$24)</f>
        <v>14019.691492089831</v>
      </c>
      <c r="M31" s="33">
        <f t="shared" ref="M31:M45" si="5">SQRT( ( 1 / ($H$30*$F$24*$L$24 ) )^2 * (K31^2+J31^2*( ($I$30/$H$30)^2+($F$25/$F$24)^2)))</f>
        <v>294.97863096023389</v>
      </c>
    </row>
    <row r="32" spans="1:20">
      <c r="A32" s="54" t="s">
        <v>52</v>
      </c>
      <c r="B32" s="55"/>
      <c r="E32" s="42">
        <f t="shared" si="0"/>
        <v>680</v>
      </c>
      <c r="F32" s="42">
        <f t="shared" si="1"/>
        <v>3386.4</v>
      </c>
      <c r="G32" s="42">
        <f>E32*'Data Summary'!$B$18</f>
        <v>3196</v>
      </c>
      <c r="H32" s="31">
        <f t="shared" ref="H32:H45" si="6">(M8-K8)/$B$42</f>
        <v>30338.983333333334</v>
      </c>
      <c r="I32" s="32">
        <f t="shared" si="2"/>
        <v>22.489979628349754</v>
      </c>
      <c r="J32" s="33">
        <f t="shared" si="3"/>
        <v>-1.7897570000000001E-8</v>
      </c>
      <c r="K32" s="33">
        <f t="shared" si="4"/>
        <v>3.4300962799898195E-10</v>
      </c>
      <c r="L32" s="32">
        <f t="shared" ref="L32:L45" si="7">ABS(J32)/($H$30*$F$24*$L$24)</f>
        <v>9469.8270895715086</v>
      </c>
      <c r="M32" s="33">
        <f t="shared" si="5"/>
        <v>198.19819932126597</v>
      </c>
    </row>
    <row r="33" spans="1:14">
      <c r="A33" s="56"/>
      <c r="B33" s="57"/>
      <c r="E33" s="42">
        <f t="shared" si="0"/>
        <v>670</v>
      </c>
      <c r="F33" s="42">
        <f t="shared" si="1"/>
        <v>3336.6</v>
      </c>
      <c r="G33" s="42">
        <f>E33*'Data Summary'!$B$18</f>
        <v>3149</v>
      </c>
      <c r="H33" s="31">
        <f t="shared" si="6"/>
        <v>29845.216666666667</v>
      </c>
      <c r="I33" s="32">
        <f t="shared" si="2"/>
        <v>22.306382678362564</v>
      </c>
      <c r="J33" s="33">
        <f t="shared" si="3"/>
        <v>-1.219864E-8</v>
      </c>
      <c r="K33" s="33">
        <f t="shared" si="4"/>
        <v>2.3126175645791503E-10</v>
      </c>
      <c r="L33" s="32">
        <f t="shared" si="7"/>
        <v>6454.4522819539507</v>
      </c>
      <c r="M33" s="33">
        <f t="shared" si="5"/>
        <v>133.86479940905477</v>
      </c>
    </row>
    <row r="34" spans="1:14">
      <c r="A34" s="9" t="s">
        <v>56</v>
      </c>
      <c r="B34" s="11" t="s">
        <v>103</v>
      </c>
      <c r="E34" s="42">
        <f t="shared" si="0"/>
        <v>660</v>
      </c>
      <c r="F34" s="42">
        <f t="shared" si="1"/>
        <v>3286.8</v>
      </c>
      <c r="G34" s="42">
        <f>E34*'Data Summary'!$B$18</f>
        <v>3102</v>
      </c>
      <c r="H34" s="31">
        <f t="shared" si="6"/>
        <v>29400.433333333334</v>
      </c>
      <c r="I34" s="32">
        <f t="shared" si="2"/>
        <v>22.13845320348365</v>
      </c>
      <c r="J34" s="33">
        <f t="shared" si="3"/>
        <v>-8.3685399999999993E-9</v>
      </c>
      <c r="K34" s="33">
        <f t="shared" si="4"/>
        <v>1.4901302258527607E-10</v>
      </c>
      <c r="L34" s="32">
        <f t="shared" si="7"/>
        <v>4427.8986919544241</v>
      </c>
      <c r="M34" s="33">
        <f t="shared" si="5"/>
        <v>87.197467604611532</v>
      </c>
    </row>
    <row r="35" spans="1:14">
      <c r="A35" s="9" t="s">
        <v>20</v>
      </c>
      <c r="B35" s="11" t="s">
        <v>80</v>
      </c>
      <c r="E35" s="42">
        <f t="shared" si="0"/>
        <v>650</v>
      </c>
      <c r="F35" s="42">
        <f t="shared" si="1"/>
        <v>3237</v>
      </c>
      <c r="G35" s="42">
        <f>E35*'Data Summary'!$B$18</f>
        <v>3055</v>
      </c>
      <c r="H35" s="31">
        <f t="shared" si="6"/>
        <v>28990.583333333332</v>
      </c>
      <c r="I35" s="32">
        <f t="shared" si="2"/>
        <v>21.983902465453347</v>
      </c>
      <c r="J35" s="33">
        <f t="shared" si="3"/>
        <v>-5.8786800000000006E-9</v>
      </c>
      <c r="K35" s="33">
        <f t="shared" si="4"/>
        <v>1.1002179829470158E-10</v>
      </c>
      <c r="L35" s="32">
        <f t="shared" si="7"/>
        <v>3110.4827702823477</v>
      </c>
      <c r="M35" s="33">
        <f t="shared" si="5"/>
        <v>63.822106366783594</v>
      </c>
      <c r="N35" s="3"/>
    </row>
    <row r="36" spans="1:14">
      <c r="A36" s="9" t="s">
        <v>21</v>
      </c>
      <c r="B36" s="11" t="s">
        <v>80</v>
      </c>
      <c r="E36" s="42">
        <f t="shared" si="0"/>
        <v>640</v>
      </c>
      <c r="F36" s="42">
        <f t="shared" si="1"/>
        <v>3187.2</v>
      </c>
      <c r="G36" s="42">
        <f>E36*'Data Summary'!$B$18</f>
        <v>3008</v>
      </c>
      <c r="H36" s="31">
        <f t="shared" si="6"/>
        <v>28455.383333333335</v>
      </c>
      <c r="I36" s="32">
        <f t="shared" si="2"/>
        <v>21.779074337308106</v>
      </c>
      <c r="J36" s="33">
        <f t="shared" si="3"/>
        <v>-4.1190020000000002E-9</v>
      </c>
      <c r="K36" s="33">
        <f t="shared" si="4"/>
        <v>8.3919737845157744E-11</v>
      </c>
      <c r="L36" s="32">
        <f t="shared" si="7"/>
        <v>2179.4152346714786</v>
      </c>
      <c r="M36" s="33">
        <f t="shared" si="5"/>
        <v>48.037714373475453</v>
      </c>
      <c r="N36" s="3"/>
    </row>
    <row r="37" spans="1:14">
      <c r="A37" s="9" t="s">
        <v>22</v>
      </c>
      <c r="B37" s="11" t="s">
        <v>80</v>
      </c>
      <c r="E37" s="42">
        <f t="shared" si="0"/>
        <v>630</v>
      </c>
      <c r="F37" s="42">
        <f t="shared" si="1"/>
        <v>3137.4</v>
      </c>
      <c r="G37" s="42">
        <f>E37*'Data Summary'!$B$18</f>
        <v>2961</v>
      </c>
      <c r="H37" s="31">
        <f t="shared" si="6"/>
        <v>27671.583333333332</v>
      </c>
      <c r="I37" s="32">
        <f t="shared" si="2"/>
        <v>21.476777172553341</v>
      </c>
      <c r="J37" s="33">
        <f t="shared" si="3"/>
        <v>-2.9092740000000003E-9</v>
      </c>
      <c r="K37" s="33">
        <f t="shared" si="4"/>
        <v>5.8017380154570921E-11</v>
      </c>
      <c r="L37" s="32">
        <f t="shared" si="7"/>
        <v>1539.3330902567254</v>
      </c>
      <c r="M37" s="33">
        <f t="shared" si="5"/>
        <v>33.316184736936364</v>
      </c>
    </row>
    <row r="38" spans="1:14">
      <c r="A38" s="54" t="s">
        <v>11</v>
      </c>
      <c r="B38" s="55"/>
      <c r="E38" s="42">
        <f t="shared" si="0"/>
        <v>620</v>
      </c>
      <c r="F38" s="42">
        <f t="shared" si="1"/>
        <v>3087.6</v>
      </c>
      <c r="G38" s="42">
        <f>E38*'Data Summary'!$B$18</f>
        <v>2914</v>
      </c>
      <c r="H38" s="31">
        <f t="shared" si="6"/>
        <v>26287.5</v>
      </c>
      <c r="I38" s="32">
        <f t="shared" si="2"/>
        <v>20.932961365043859</v>
      </c>
      <c r="J38" s="33">
        <f t="shared" si="3"/>
        <v>-2.0186099999999999E-9</v>
      </c>
      <c r="K38" s="33">
        <f t="shared" si="4"/>
        <v>3.682549252895336E-11</v>
      </c>
      <c r="L38" s="32">
        <f t="shared" si="7"/>
        <v>1068.0716801934529</v>
      </c>
      <c r="M38" s="33">
        <f t="shared" si="5"/>
        <v>21.455893871959645</v>
      </c>
    </row>
    <row r="39" spans="1:14">
      <c r="A39" s="65"/>
      <c r="B39" s="66"/>
      <c r="E39" s="42">
        <f t="shared" si="0"/>
        <v>610</v>
      </c>
      <c r="F39" s="42">
        <f t="shared" si="1"/>
        <v>3037.8</v>
      </c>
      <c r="G39" s="42">
        <f>E39*'Data Summary'!$B$18</f>
        <v>2867</v>
      </c>
      <c r="H39" s="31">
        <f t="shared" si="6"/>
        <v>23358.783333333333</v>
      </c>
      <c r="I39" s="32">
        <f t="shared" si="2"/>
        <v>19.732115694668327</v>
      </c>
      <c r="J39" s="33">
        <f t="shared" si="3"/>
        <v>-1.4598759999999999E-9</v>
      </c>
      <c r="K39" s="33">
        <f t="shared" si="4"/>
        <v>3.1549643421122843E-11</v>
      </c>
      <c r="L39" s="32">
        <f t="shared" si="7"/>
        <v>772.43856524742148</v>
      </c>
      <c r="M39" s="33">
        <f t="shared" si="5"/>
        <v>17.912942949873109</v>
      </c>
      <c r="N39" s="3"/>
    </row>
    <row r="40" spans="1:14">
      <c r="A40" s="56"/>
      <c r="B40" s="57"/>
      <c r="E40" s="42">
        <f t="shared" si="0"/>
        <v>600</v>
      </c>
      <c r="F40" s="42">
        <f t="shared" si="1"/>
        <v>2988</v>
      </c>
      <c r="G40" s="42">
        <f>E40*'Data Summary'!$B$18</f>
        <v>2820</v>
      </c>
      <c r="H40" s="31">
        <f t="shared" si="6"/>
        <v>14483.3</v>
      </c>
      <c r="I40" s="32">
        <f t="shared" si="2"/>
        <v>15.537302703600945</v>
      </c>
      <c r="J40" s="33">
        <f t="shared" si="3"/>
        <v>-1.0387399999999999E-9</v>
      </c>
      <c r="K40" s="33">
        <f t="shared" si="4"/>
        <v>3.4724631027557369E-11</v>
      </c>
      <c r="L40" s="32">
        <f t="shared" si="7"/>
        <v>549.61026502600669</v>
      </c>
      <c r="M40" s="33">
        <f t="shared" si="5"/>
        <v>18.94581334798519</v>
      </c>
      <c r="N40" s="3"/>
    </row>
    <row r="41" spans="1:14">
      <c r="A41" s="9" t="s">
        <v>56</v>
      </c>
      <c r="B41" s="11" t="s">
        <v>104</v>
      </c>
      <c r="E41" s="42">
        <f t="shared" si="0"/>
        <v>590</v>
      </c>
      <c r="F41" s="42">
        <f t="shared" si="1"/>
        <v>2938.2</v>
      </c>
      <c r="G41" s="42">
        <f>E41*'Data Summary'!$B$18</f>
        <v>2773</v>
      </c>
      <c r="H41" s="31">
        <f t="shared" si="6"/>
        <v>9094.5166666666664</v>
      </c>
      <c r="I41" s="32">
        <f t="shared" si="2"/>
        <v>12.312651513068815</v>
      </c>
      <c r="J41" s="33">
        <f t="shared" si="3"/>
        <v>-7.4078999999999998E-10</v>
      </c>
      <c r="K41" s="33">
        <f t="shared" si="4"/>
        <v>1.3571370601379951E-11</v>
      </c>
      <c r="L41" s="32">
        <f t="shared" si="7"/>
        <v>391.9612109176652</v>
      </c>
      <c r="M41" s="33">
        <f t="shared" si="5"/>
        <v>7.9013565198298572</v>
      </c>
      <c r="N41" s="3"/>
    </row>
    <row r="42" spans="1:14">
      <c r="A42" s="9" t="s">
        <v>24</v>
      </c>
      <c r="B42" s="11">
        <v>60</v>
      </c>
      <c r="E42" s="42">
        <f t="shared" si="0"/>
        <v>580</v>
      </c>
      <c r="F42" s="42">
        <f t="shared" si="1"/>
        <v>2888.4</v>
      </c>
      <c r="G42" s="42">
        <f>E42*'Data Summary'!$B$18</f>
        <v>2726</v>
      </c>
      <c r="H42" s="31">
        <f t="shared" si="6"/>
        <v>5515.8833333333332</v>
      </c>
      <c r="I42" s="32">
        <f t="shared" si="2"/>
        <v>9.5886941824960417</v>
      </c>
      <c r="J42" s="33">
        <f t="shared" si="3"/>
        <v>-5.4328999999999999E-10</v>
      </c>
      <c r="K42" s="33">
        <f t="shared" si="4"/>
        <v>9.2857417582011179E-12</v>
      </c>
      <c r="L42" s="32">
        <f t="shared" si="7"/>
        <v>287.46150228736661</v>
      </c>
      <c r="M42" s="33">
        <f t="shared" si="5"/>
        <v>5.47585307766784</v>
      </c>
      <c r="N42" s="3"/>
    </row>
    <row r="43" spans="1:14">
      <c r="A43" s="54" t="s">
        <v>12</v>
      </c>
      <c r="B43" s="55"/>
      <c r="E43" s="42">
        <f t="shared" si="0"/>
        <v>570</v>
      </c>
      <c r="F43" s="42">
        <f t="shared" si="1"/>
        <v>2838.6</v>
      </c>
      <c r="G43" s="42">
        <f>E43*'Data Summary'!$B$18</f>
        <v>2679</v>
      </c>
      <c r="H43" s="31">
        <f t="shared" si="6"/>
        <v>1859.4</v>
      </c>
      <c r="I43" s="32">
        <f t="shared" si="2"/>
        <v>5.5674650329791184</v>
      </c>
      <c r="J43" s="33">
        <f t="shared" si="3"/>
        <v>-3.7951199999999998E-10</v>
      </c>
      <c r="K43" s="33">
        <f t="shared" si="4"/>
        <v>2.7191204460266191E-11</v>
      </c>
      <c r="L43" s="32">
        <f t="shared" si="7"/>
        <v>200.80452365418668</v>
      </c>
      <c r="M43" s="33">
        <f t="shared" si="5"/>
        <v>14.485993695294438</v>
      </c>
      <c r="N43" s="3"/>
    </row>
    <row r="44" spans="1:14">
      <c r="A44" s="56"/>
      <c r="B44" s="57"/>
      <c r="E44" s="42">
        <f t="shared" si="0"/>
        <v>560</v>
      </c>
      <c r="F44" s="42">
        <f t="shared" si="1"/>
        <v>2788.8</v>
      </c>
      <c r="G44" s="42">
        <f>E44*'Data Summary'!$B$18</f>
        <v>2632</v>
      </c>
      <c r="H44" s="31">
        <f t="shared" si="6"/>
        <v>219.28333333333333</v>
      </c>
      <c r="I44" s="32">
        <f t="shared" si="2"/>
        <v>1.914201368268069</v>
      </c>
      <c r="J44" s="33">
        <f t="shared" si="3"/>
        <v>-2.7309699999999999E-10</v>
      </c>
      <c r="K44" s="33">
        <f t="shared" si="4"/>
        <v>5.6246777685481679E-12</v>
      </c>
      <c r="L44" s="32">
        <f t="shared" si="7"/>
        <v>144.49902241928427</v>
      </c>
      <c r="M44" s="33">
        <f t="shared" si="5"/>
        <v>3.2146714581901064</v>
      </c>
      <c r="N44" s="3"/>
    </row>
    <row r="45" spans="1:14">
      <c r="A45" s="9" t="s">
        <v>13</v>
      </c>
      <c r="B45" s="11" t="s">
        <v>105</v>
      </c>
      <c r="E45" s="42">
        <f t="shared" si="0"/>
        <v>550</v>
      </c>
      <c r="F45" s="42">
        <f t="shared" si="1"/>
        <v>2739</v>
      </c>
      <c r="G45" s="42">
        <f>E45*'Data Summary'!$B$18</f>
        <v>2585</v>
      </c>
      <c r="H45" s="31">
        <f t="shared" si="6"/>
        <v>8.6833333333333336</v>
      </c>
      <c r="I45" s="32">
        <f t="shared" si="2"/>
        <v>0.39826010661984079</v>
      </c>
      <c r="J45" s="33">
        <f t="shared" si="3"/>
        <v>1.966E-10</v>
      </c>
      <c r="K45" s="33">
        <f t="shared" si="4"/>
        <v>4.0445642534146988E-12</v>
      </c>
      <c r="L45" s="32">
        <f t="shared" si="7"/>
        <v>104.02350742641366</v>
      </c>
      <c r="M45" s="33">
        <f t="shared" si="5"/>
        <v>2.3119644127572414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297.01874999999995</v>
      </c>
      <c r="H48" s="34" t="s">
        <v>87</v>
      </c>
      <c r="I48" s="34">
        <v>964.4</v>
      </c>
      <c r="L48" s="35" t="str">
        <f>CONCATENATE(E30,",",L30,",",M30)</f>
        <v>700,20739.3455156118,446.114678539214</v>
      </c>
      <c r="N48" s="3"/>
    </row>
    <row r="49" spans="1:14">
      <c r="A49" s="9" t="s">
        <v>71</v>
      </c>
      <c r="B49" s="11" t="s">
        <v>106</v>
      </c>
      <c r="E49" s="8" t="s">
        <v>90</v>
      </c>
      <c r="F49" s="30">
        <f>_xlfn.STDEV.P(J6:J21)</f>
        <v>0.11910473332323986</v>
      </c>
      <c r="H49" s="34" t="s">
        <v>88</v>
      </c>
      <c r="I49" s="34">
        <f>297.1</f>
        <v>297.10000000000002</v>
      </c>
      <c r="L49" s="35" t="str">
        <f t="shared" ref="L49:L63" si="8">CONCATENATE(E31,",",L31,",",M31)</f>
        <v>690,14019.6914920898,294.978630960234</v>
      </c>
      <c r="N49" s="3"/>
    </row>
    <row r="50" spans="1:14">
      <c r="A50" s="9" t="s">
        <v>72</v>
      </c>
      <c r="B50" s="11" t="s">
        <v>106</v>
      </c>
      <c r="E50" s="8" t="s">
        <v>77</v>
      </c>
      <c r="F50" s="30">
        <f>AVERAGE(I6:I21)</f>
        <v>978.9731250000001</v>
      </c>
      <c r="L50" s="35" t="str">
        <f t="shared" si="8"/>
        <v>680,9469.82708957151,198.198199321266</v>
      </c>
    </row>
    <row r="51" spans="1:14">
      <c r="A51"/>
      <c r="B51"/>
      <c r="E51" s="8" t="s">
        <v>91</v>
      </c>
      <c r="F51" s="30">
        <f>_xlfn.STDEV.P(I6:I21)</f>
        <v>8.8226891450396736E-2</v>
      </c>
      <c r="H51"/>
      <c r="I51"/>
      <c r="L51" s="35" t="str">
        <f t="shared" si="8"/>
        <v>670,6454.45228195395,133.864799409055</v>
      </c>
    </row>
    <row r="52" spans="1:14">
      <c r="E52" s="8" t="s">
        <v>78</v>
      </c>
      <c r="F52" s="30">
        <f>EXP(INDEX(LINEST(LN(L30:L45),E30:E45),1,2))</f>
        <v>4.1198785275024007E-7</v>
      </c>
      <c r="L52" s="35" t="str">
        <f t="shared" si="8"/>
        <v>660,4427.89869195442,87.1974676046115</v>
      </c>
    </row>
    <row r="53" spans="1:14">
      <c r="E53" s="8" t="s">
        <v>79</v>
      </c>
      <c r="F53" s="30">
        <f>INDEX(LINEST(LN(L30:L45),E30:E45),1)</f>
        <v>3.5060172448705004E-2</v>
      </c>
      <c r="L53" s="35" t="str">
        <f t="shared" si="8"/>
        <v>650,3110.48277028235,63.8221063667836</v>
      </c>
      <c r="N53" s="3"/>
    </row>
    <row r="54" spans="1:14">
      <c r="L54" s="35" t="str">
        <f t="shared" si="8"/>
        <v>640,2179.41523467148,48.0377143734755</v>
      </c>
      <c r="N54" s="3"/>
    </row>
    <row r="55" spans="1:14">
      <c r="L55" s="35" t="str">
        <f t="shared" si="8"/>
        <v>630,1539.33309025673,33.3161847369364</v>
      </c>
      <c r="N55" s="3"/>
    </row>
    <row r="56" spans="1:14">
      <c r="L56" s="35" t="str">
        <f t="shared" si="8"/>
        <v>620,1068.07168019345,21.4558938719596</v>
      </c>
      <c r="N56" s="3"/>
    </row>
    <row r="57" spans="1:14">
      <c r="L57" s="35" t="str">
        <f t="shared" si="8"/>
        <v>610,772.438565247421,17.9129429498731</v>
      </c>
      <c r="N57" s="3"/>
    </row>
    <row r="58" spans="1:14">
      <c r="L58" s="35" t="str">
        <f t="shared" si="8"/>
        <v>600,549.610265026007,18.9458133479852</v>
      </c>
      <c r="N58" s="3"/>
    </row>
    <row r="59" spans="1:14">
      <c r="L59" s="35" t="str">
        <f t="shared" si="8"/>
        <v>590,391.961210917665,7.90135651982986</v>
      </c>
      <c r="N59" s="3"/>
    </row>
    <row r="60" spans="1:14">
      <c r="L60" s="35" t="str">
        <f t="shared" si="8"/>
        <v>580,287.461502287367,5.47585307766784</v>
      </c>
    </row>
    <row r="61" spans="1:14">
      <c r="L61" s="35" t="str">
        <f t="shared" si="8"/>
        <v>570,200.804523654187,14.4859936952944</v>
      </c>
    </row>
    <row r="62" spans="1:14">
      <c r="L62" s="35" t="str">
        <f t="shared" si="8"/>
        <v>560,144.499022419284,3.21467145819011</v>
      </c>
    </row>
    <row r="63" spans="1:14">
      <c r="L63" s="35" t="str">
        <f t="shared" si="8"/>
        <v>550,104.023507426414,2.31196441275724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2018-07-12T15:26:11Z</dcterms:modified>
</cp:coreProperties>
</file>