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EAD51CCA-CE17-044A-8149-1102E73F3168}" xr6:coauthVersionLast="34" xr6:coauthVersionMax="34" xr10:uidLastSave="{00000000-0000-0000-0000-000000000000}"/>
  <bookViews>
    <workbookView xWindow="0" yWindow="0" windowWidth="25600" windowHeight="1600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D7" i="38" l="1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I30" i="1"/>
  <c r="K31" i="1"/>
  <c r="I49" i="1"/>
  <c r="J32" i="1"/>
  <c r="K32" i="1"/>
  <c r="J33" i="1"/>
  <c r="L33" i="1" s="1"/>
  <c r="K33" i="1"/>
  <c r="J34" i="1"/>
  <c r="K34" i="1"/>
  <c r="M34" i="1" s="1"/>
  <c r="J35" i="1"/>
  <c r="K35" i="1"/>
  <c r="J36" i="1"/>
  <c r="K36" i="1"/>
  <c r="J37" i="1"/>
  <c r="L37" i="1" s="1"/>
  <c r="K37" i="1"/>
  <c r="J38" i="1"/>
  <c r="K38" i="1"/>
  <c r="M38" i="1" s="1"/>
  <c r="J39" i="1"/>
  <c r="K39" i="1"/>
  <c r="J40" i="1"/>
  <c r="K40" i="1"/>
  <c r="J41" i="1"/>
  <c r="L41" i="1" s="1"/>
  <c r="K41" i="1"/>
  <c r="J42" i="1"/>
  <c r="L42" i="1" s="1"/>
  <c r="K42" i="1"/>
  <c r="M42" i="1" s="1"/>
  <c r="J43" i="1"/>
  <c r="L43" i="1" s="1"/>
  <c r="K43" i="1"/>
  <c r="J44" i="1"/>
  <c r="L44" i="1" s="1"/>
  <c r="K44" i="1"/>
  <c r="M44" i="1" s="1"/>
  <c r="J45" i="1"/>
  <c r="L45" i="1" s="1"/>
  <c r="K45" i="1"/>
  <c r="K30" i="1"/>
  <c r="J30" i="1"/>
  <c r="M30" i="1"/>
  <c r="L30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M36" i="1" l="1"/>
  <c r="L35" i="1"/>
  <c r="L48" i="1"/>
  <c r="M31" i="1"/>
  <c r="M40" i="1"/>
  <c r="L39" i="1"/>
  <c r="M32" i="1"/>
  <c r="L60" i="1"/>
  <c r="L62" i="1"/>
  <c r="M45" i="1"/>
  <c r="L63" i="1" s="1"/>
  <c r="M43" i="1"/>
  <c r="L61" i="1" s="1"/>
  <c r="M41" i="1"/>
  <c r="L59" i="1" s="1"/>
  <c r="L40" i="1"/>
  <c r="L58" i="1" s="1"/>
  <c r="M39" i="1"/>
  <c r="L57" i="1" s="1"/>
  <c r="L38" i="1"/>
  <c r="M37" i="1"/>
  <c r="L55" i="1" s="1"/>
  <c r="L36" i="1"/>
  <c r="M35" i="1"/>
  <c r="L53" i="1" s="1"/>
  <c r="L34" i="1"/>
  <c r="M33" i="1"/>
  <c r="L51" i="1" s="1"/>
  <c r="L32" i="1"/>
  <c r="L50" i="1" s="1"/>
  <c r="L31" i="1"/>
  <c r="L49" i="1" s="1"/>
  <c r="F53" i="1"/>
  <c r="L52" i="1" l="1"/>
  <c r="L54" i="1"/>
  <c r="F52" i="1"/>
  <c r="L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<sst xmlns="http://schemas.openxmlformats.org/spreadsheetml/2006/main" count="456" uniqueCount="107">
  <si>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</si>
  <si>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</si>
  <si>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</si>
  <si>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</si>
  <si>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</si>
  <si>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</si>
  <si>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</si>
  <si>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</si>
  <si>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</si>
  <si>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</si>
  <si>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</si>
  <si>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</si>
  <si>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</si>
  <si>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</si>
  <si>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</si>
  <si>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</si>
  <si>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</si>
  <si>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</si>
  <si>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</si>
  <si>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</si>
  <si>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</si>
  <si>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</si>
  <si>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</si>
  <si>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</si>
  <si>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</si>
  <si>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</si>
  <si>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</si>
  <si>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</si>
  <si>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</si>
  <si>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</si>
  <si>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</si>
  <si>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</si>
  <si>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</si>
  <si>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</si>
  <si>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</si>
  <si>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</si>
  <si>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</si>
  <si>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</si>
  <si>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</si>
  <si>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</si>
  <si>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</si>
  <si>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</si>
  <si>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</si>
  <si>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</si>
  <si>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</si>
  <si>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</si>
  <si>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</si>
  <si>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</si>
  <si>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</si>
  <si>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</si>
  <si>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</si>
  <si>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</si>
  <si>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</si>
  <si>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</si>
  <si>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</si>
  <si>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</si>
  <si>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</si>
  <si>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</si>
  <si>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</si>
  <si>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</si>
  <si>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</si>
  <si>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</si>
  <si>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</si>
  <si>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</si>
  <si>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</si>
  <si>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</si>
  <si>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</si>
  <si>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</si>
  <si>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</si>
  <si>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</si>
  <si>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</si>
  <si>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</si>
  <si>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</si>
  <si>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</si>
  <si>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</si>
  <si>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</si>
  <si>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</si>
  <si>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</si>
  <si>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</si>
  <si>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</si>
  <si>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</si>
  <si>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</si>
  <si>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</si>
  <si>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</si>
  <si>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</si>
  <si>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</si>
  <si>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</si>
  <si>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</si>
  <si>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</si>
  <si>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</si>
  <si>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</si>
  <si>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</si>
  <si>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</si>
  <si>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</si>
  <si>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</si>
  <si>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</si>
  <si>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Henning</t>
  </si>
  <si>
    <t>ORTEC 474</t>
  </si>
  <si>
    <t>GE11-X-L-CERN-0026</t>
  </si>
  <si>
    <t>Ar/CO2</t>
  </si>
  <si>
    <t>70/30</t>
  </si>
  <si>
    <t>LeCroy 623</t>
  </si>
  <si>
    <t>&lt;0.05</t>
  </si>
  <si>
    <t>Keithley 6485</t>
  </si>
  <si>
    <t>Custom</t>
  </si>
  <si>
    <t>AMPTEK MINI X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</si>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</sst>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Protection="1">
      <protection locked="0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359.6172654264584</c:v>
                  </c:pt>
                  <c:pt idx="1">
                    <c:v>255.29329635994779</c:v>
                  </c:pt>
                  <c:pt idx="2">
                    <c:v>154.68910177551749</c:v>
                  </c:pt>
                  <c:pt idx="3">
                    <c:v>105.67021702643831</c:v>
                  </c:pt>
                  <c:pt idx="4">
                    <c:v>70.083931337866332</c:v>
                  </c:pt>
                  <c:pt idx="5">
                    <c:v>50.86789327193042</c:v>
                  </c:pt>
                  <c:pt idx="6">
                    <c:v>32.901685807475154</c:v>
                  </c:pt>
                  <c:pt idx="7">
                    <c:v>27.90104803760018</c:v>
                  </c:pt>
                  <c:pt idx="8">
                    <c:v>20.708843285296069</c:v>
                  </c:pt>
                  <c:pt idx="9">
                    <c:v>16.373556470409699</c:v>
                  </c:pt>
                  <c:pt idx="10">
                    <c:v>8.5512242716114226</c:v>
                  </c:pt>
                  <c:pt idx="11">
                    <c:v>9.4541494759575979</c:v>
                  </c:pt>
                  <c:pt idx="12">
                    <c:v>4.6510267053691994</c:v>
                  </c:pt>
                  <c:pt idx="13">
                    <c:v>3.6514268284758997</c:v>
                  </c:pt>
                  <c:pt idx="14">
                    <c:v>2.7985545419907321</c:v>
                  </c:pt>
                  <c:pt idx="15">
                    <c:v>2.3452610033518706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359.6172654264584</c:v>
                  </c:pt>
                  <c:pt idx="1">
                    <c:v>255.29329635994779</c:v>
                  </c:pt>
                  <c:pt idx="2">
                    <c:v>154.68910177551749</c:v>
                  </c:pt>
                  <c:pt idx="3">
                    <c:v>105.67021702643831</c:v>
                  </c:pt>
                  <c:pt idx="4">
                    <c:v>70.083931337866332</c:v>
                  </c:pt>
                  <c:pt idx="5">
                    <c:v>50.86789327193042</c:v>
                  </c:pt>
                  <c:pt idx="6">
                    <c:v>32.901685807475154</c:v>
                  </c:pt>
                  <c:pt idx="7">
                    <c:v>27.90104803760018</c:v>
                  </c:pt>
                  <c:pt idx="8">
                    <c:v>20.708843285296069</c:v>
                  </c:pt>
                  <c:pt idx="9">
                    <c:v>16.373556470409699</c:v>
                  </c:pt>
                  <c:pt idx="10">
                    <c:v>8.5512242716114226</c:v>
                  </c:pt>
                  <c:pt idx="11">
                    <c:v>9.4541494759575979</c:v>
                  </c:pt>
                  <c:pt idx="12">
                    <c:v>4.6510267053691994</c:v>
                  </c:pt>
                  <c:pt idx="13">
                    <c:v>3.6514268284758997</c:v>
                  </c:pt>
                  <c:pt idx="14">
                    <c:v>2.7985545419907321</c:v>
                  </c:pt>
                  <c:pt idx="15">
                    <c:v>2.3452610033518706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15781.167005453386</c:v>
                </c:pt>
                <c:pt idx="1">
                  <c:v>10590.549571526013</c:v>
                </c:pt>
                <c:pt idx="2">
                  <c:v>6950.7717770753852</c:v>
                </c:pt>
                <c:pt idx="3">
                  <c:v>4769.0909129880029</c:v>
                </c:pt>
                <c:pt idx="4">
                  <c:v>3281.6580769056245</c:v>
                </c:pt>
                <c:pt idx="5">
                  <c:v>2285.8857611360977</c:v>
                </c:pt>
                <c:pt idx="6">
                  <c:v>1591.7366418519548</c:v>
                </c:pt>
                <c:pt idx="7">
                  <c:v>1114.6241212691148</c:v>
                </c:pt>
                <c:pt idx="8">
                  <c:v>791.73975868040213</c:v>
                </c:pt>
                <c:pt idx="9">
                  <c:v>556.42538954825932</c:v>
                </c:pt>
                <c:pt idx="10">
                  <c:v>399.98827012157443</c:v>
                </c:pt>
                <c:pt idx="11">
                  <c:v>284.57652396312966</c:v>
                </c:pt>
                <c:pt idx="12">
                  <c:v>202.96279964719017</c:v>
                </c:pt>
                <c:pt idx="13">
                  <c:v>146.149910976874</c:v>
                </c:pt>
                <c:pt idx="14">
                  <c:v>105.49842670309337</c:v>
                </c:pt>
                <c:pt idx="15">
                  <c:v>76.607960967978272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F-4D45-9458-386BC280E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516752"/>
        <c:axId val="-2077247808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20.710873147788107</c:v>
                  </c:pt>
                  <c:pt idx="1">
                    <c:v>20.449843091206784</c:v>
                  </c:pt>
                  <c:pt idx="2">
                    <c:v>20.252502822274518</c:v>
                  </c:pt>
                  <c:pt idx="3">
                    <c:v>20.077025989134899</c:v>
                  </c:pt>
                  <c:pt idx="4">
                    <c:v>19.909811173701353</c:v>
                  </c:pt>
                  <c:pt idx="5">
                    <c:v>19.714504208360644</c:v>
                  </c:pt>
                  <c:pt idx="6">
                    <c:v>19.35500987169614</c:v>
                  </c:pt>
                  <c:pt idx="7">
                    <c:v>18.57469949135638</c:v>
                  </c:pt>
                  <c:pt idx="8">
                    <c:v>16.208699678611215</c:v>
                  </c:pt>
                  <c:pt idx="9">
                    <c:v>12.294025149975345</c:v>
                  </c:pt>
                  <c:pt idx="10">
                    <c:v>9.8679475066160105</c:v>
                  </c:pt>
                  <c:pt idx="11">
                    <c:v>6.5558498037606219</c:v>
                  </c:pt>
                  <c:pt idx="12">
                    <c:v>2.9751751179084702</c:v>
                  </c:pt>
                  <c:pt idx="13">
                    <c:v>1.0563301265933602</c:v>
                  </c:pt>
                  <c:pt idx="14">
                    <c:v>0.45154057801068104</c:v>
                  </c:pt>
                  <c:pt idx="15">
                    <c:v>0.26457512828775531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20.710873147788107</c:v>
                  </c:pt>
                  <c:pt idx="1">
                    <c:v>20.449843091206784</c:v>
                  </c:pt>
                  <c:pt idx="2">
                    <c:v>20.252502822274518</c:v>
                  </c:pt>
                  <c:pt idx="3">
                    <c:v>20.077025989134899</c:v>
                  </c:pt>
                  <c:pt idx="4">
                    <c:v>19.909811173701353</c:v>
                  </c:pt>
                  <c:pt idx="5">
                    <c:v>19.714504208360644</c:v>
                  </c:pt>
                  <c:pt idx="6">
                    <c:v>19.35500987169614</c:v>
                  </c:pt>
                  <c:pt idx="7">
                    <c:v>18.57469949135638</c:v>
                  </c:pt>
                  <c:pt idx="8">
                    <c:v>16.208699678611215</c:v>
                  </c:pt>
                  <c:pt idx="9">
                    <c:v>12.294025149975345</c:v>
                  </c:pt>
                  <c:pt idx="10">
                    <c:v>9.8679475066160105</c:v>
                  </c:pt>
                  <c:pt idx="11">
                    <c:v>6.5558498037606219</c:v>
                  </c:pt>
                  <c:pt idx="12">
                    <c:v>2.9751751179084702</c:v>
                  </c:pt>
                  <c:pt idx="13">
                    <c:v>1.0563301265933602</c:v>
                  </c:pt>
                  <c:pt idx="14">
                    <c:v>0.45154057801068104</c:v>
                  </c:pt>
                  <c:pt idx="15">
                    <c:v>0.26457512828775531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25718.516666666666</c:v>
                </c:pt>
                <c:pt idx="1">
                  <c:v>25073.7</c:v>
                </c:pt>
                <c:pt idx="2">
                  <c:v>24597.166666666668</c:v>
                </c:pt>
                <c:pt idx="3">
                  <c:v>24174.483333333334</c:v>
                </c:pt>
                <c:pt idx="4">
                  <c:v>23773.5</c:v>
                </c:pt>
                <c:pt idx="5">
                  <c:v>23311.7</c:v>
                </c:pt>
                <c:pt idx="6">
                  <c:v>22469.25</c:v>
                </c:pt>
                <c:pt idx="7">
                  <c:v>20694.2</c:v>
                </c:pt>
                <c:pt idx="8">
                  <c:v>15757.05</c:v>
                </c:pt>
                <c:pt idx="9">
                  <c:v>9063.85</c:v>
                </c:pt>
                <c:pt idx="10">
                  <c:v>5837.9833333333336</c:v>
                </c:pt>
                <c:pt idx="11">
                  <c:v>2574.4833333333331</c:v>
                </c:pt>
                <c:pt idx="12">
                  <c:v>527.23333333333335</c:v>
                </c:pt>
                <c:pt idx="13">
                  <c:v>63.616666666666667</c:v>
                </c:pt>
                <c:pt idx="14">
                  <c:v>9.1999999999999993</c:v>
                </c:pt>
                <c:pt idx="15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F-4D45-9458-386BC280E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453440"/>
        <c:axId val="-2077676144"/>
      </c:scatterChart>
      <c:valAx>
        <c:axId val="-2075516752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247808"/>
        <c:crosses val="autoZero"/>
        <c:crossBetween val="midCat"/>
      </c:valAx>
      <c:valAx>
        <c:axId val="-2077247808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516752"/>
        <c:crosses val="autoZero"/>
        <c:crossBetween val="midCat"/>
      </c:valAx>
      <c:valAx>
        <c:axId val="-20776761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79453440"/>
        <c:crosses val="max"/>
        <c:crossBetween val="midCat"/>
      </c:valAx>
      <c:valAx>
        <c:axId val="-207945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767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6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16">
      <c r="A2" s="9" t="s">
        <v>53</v>
      </c>
      <c r="B2" s="11" t="s">
        <v>96</v>
      </c>
      <c r="C2" s="37" t="s">
        <v>95</v>
      </c>
      <c r="D2" s="38" t="s">
        <v>93</v>
      </c>
      <c r="E2"/>
      <c r="F2" s="49" t="s">
        <v>7</v>
      </c>
      <c r="G2" s="50"/>
      <c r="H2" s="50"/>
      <c r="I2" s="50"/>
      <c r="J2" s="51"/>
      <c r="K2" s="52" t="s">
        <v>47</v>
      </c>
      <c r="L2" s="50"/>
      <c r="M2" s="50"/>
      <c r="N2" s="51"/>
      <c r="O2" s="52" t="s">
        <v>48</v>
      </c>
      <c r="P2" s="50"/>
      <c r="Q2" s="50"/>
      <c r="R2" s="53"/>
    </row>
    <row r="3" spans="1:18" ht="16">
      <c r="A3" s="54" t="s">
        <v>1</v>
      </c>
      <c r="B3" s="55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6"/>
      <c r="B4" s="57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3" t="s">
        <v>60</v>
      </c>
      <c r="F6" s="13">
        <v>3493</v>
      </c>
      <c r="G6" s="14">
        <v>700</v>
      </c>
      <c r="H6" s="15">
        <v>0.46875</v>
      </c>
      <c r="I6" s="16">
        <v>988.7</v>
      </c>
      <c r="J6" s="17">
        <v>26.48</v>
      </c>
      <c r="K6" s="18">
        <v>537</v>
      </c>
      <c r="L6" s="12">
        <v>23.173260450000001</v>
      </c>
      <c r="M6" s="14">
        <v>1543648</v>
      </c>
      <c r="N6" s="23">
        <v>1242.4363000000001</v>
      </c>
      <c r="O6" s="41">
        <v>-3.0500000000000001E-12</v>
      </c>
      <c r="P6" s="41">
        <v>5.6599999999999997E-11</v>
      </c>
      <c r="Q6" s="41">
        <v>-2.25E-8</v>
      </c>
      <c r="R6" s="41">
        <v>4.7300000000000002E-10</v>
      </c>
    </row>
    <row r="7" spans="1:18">
      <c r="A7" s="9" t="s">
        <v>3</v>
      </c>
      <c r="B7" s="11">
        <v>4.5</v>
      </c>
      <c r="C7"/>
      <c r="D7"/>
      <c r="E7" s="44"/>
      <c r="F7" s="13">
        <v>3443.1</v>
      </c>
      <c r="G7" s="14">
        <v>690</v>
      </c>
      <c r="H7" s="15">
        <v>0.47222222222222227</v>
      </c>
      <c r="I7" s="16">
        <v>988.77</v>
      </c>
      <c r="J7" s="17">
        <v>26.48</v>
      </c>
      <c r="K7" s="18">
        <v>542</v>
      </c>
      <c r="L7" s="12">
        <v>23.280893450000001</v>
      </c>
      <c r="M7" s="36">
        <v>1504964</v>
      </c>
      <c r="N7" s="23">
        <v>1226.7697000000001</v>
      </c>
      <c r="O7" s="41">
        <v>-2.5700000000000002E-12</v>
      </c>
      <c r="P7" s="41">
        <v>2.79E-12</v>
      </c>
      <c r="Q7" s="41">
        <v>-1.51E-8</v>
      </c>
      <c r="R7" s="41">
        <v>3.4100000000000001E-10</v>
      </c>
    </row>
    <row r="8" spans="1:18">
      <c r="A8" s="9" t="s">
        <v>28</v>
      </c>
      <c r="B8" s="11">
        <v>100</v>
      </c>
      <c r="C8"/>
      <c r="D8"/>
      <c r="E8" s="44"/>
      <c r="F8" s="13">
        <v>3393.2</v>
      </c>
      <c r="G8" s="14">
        <v>680</v>
      </c>
      <c r="H8" s="15">
        <v>0.47500000000000003</v>
      </c>
      <c r="I8" s="16">
        <v>988.66</v>
      </c>
      <c r="J8" s="17">
        <v>26.48</v>
      </c>
      <c r="K8" s="18">
        <v>380</v>
      </c>
      <c r="L8" s="12">
        <v>19.493588689999999</v>
      </c>
      <c r="M8" s="36">
        <v>1476210</v>
      </c>
      <c r="N8" s="23">
        <v>1214.9938</v>
      </c>
      <c r="O8" s="41">
        <v>-1.28E-12</v>
      </c>
      <c r="P8" s="41">
        <v>7.1600000000000002E-12</v>
      </c>
      <c r="Q8" s="41">
        <v>-9.9100000000000007E-9</v>
      </c>
      <c r="R8" s="41">
        <v>2.0399999999999999E-10</v>
      </c>
    </row>
    <row r="9" spans="1:18" ht="15" customHeight="1">
      <c r="A9" s="9" t="s">
        <v>29</v>
      </c>
      <c r="B9" s="11">
        <v>100</v>
      </c>
      <c r="C9" s="4"/>
      <c r="D9" s="6"/>
      <c r="E9" s="44"/>
      <c r="F9" s="13">
        <v>3343.3</v>
      </c>
      <c r="G9" s="14">
        <v>670</v>
      </c>
      <c r="H9" s="15">
        <v>0.47916666666666669</v>
      </c>
      <c r="I9" s="16">
        <v>988.91</v>
      </c>
      <c r="J9" s="17">
        <v>26.48</v>
      </c>
      <c r="K9" s="18">
        <v>322</v>
      </c>
      <c r="L9" s="12">
        <v>17.944358439999998</v>
      </c>
      <c r="M9" s="14">
        <v>1450791</v>
      </c>
      <c r="N9" s="23">
        <v>1204.4879000000001</v>
      </c>
      <c r="O9" s="41">
        <v>-1.3899999999999999E-12</v>
      </c>
      <c r="P9" s="41">
        <v>9.6999999999999995E-12</v>
      </c>
      <c r="Q9" s="41">
        <v>-6.7999999999999997E-9</v>
      </c>
      <c r="R9" s="41">
        <v>1.3900000000000001E-10</v>
      </c>
    </row>
    <row r="10" spans="1:18">
      <c r="A10" s="54" t="s">
        <v>23</v>
      </c>
      <c r="B10" s="55"/>
      <c r="C10" s="4"/>
      <c r="D10" s="6"/>
      <c r="E10" s="44"/>
      <c r="F10" s="13">
        <v>3293.4</v>
      </c>
      <c r="G10" s="14">
        <v>660</v>
      </c>
      <c r="H10" s="15">
        <v>0.48194444444444445</v>
      </c>
      <c r="I10" s="16">
        <v>988.89</v>
      </c>
      <c r="J10" s="17">
        <v>26.48</v>
      </c>
      <c r="K10" s="18">
        <v>316</v>
      </c>
      <c r="L10" s="12">
        <v>17.776388829999998</v>
      </c>
      <c r="M10" s="14">
        <v>1426726</v>
      </c>
      <c r="N10" s="23">
        <v>1194.4564</v>
      </c>
      <c r="O10" s="41">
        <v>-1.81E-12</v>
      </c>
      <c r="P10" s="41">
        <v>1.6900000000000001E-12</v>
      </c>
      <c r="Q10" s="41">
        <v>-4.6800000000000004E-9</v>
      </c>
      <c r="R10" s="41">
        <v>9.1799999999999996E-11</v>
      </c>
    </row>
    <row r="11" spans="1:18">
      <c r="A11" s="56"/>
      <c r="B11" s="57"/>
      <c r="C11" s="4"/>
      <c r="D11" s="6"/>
      <c r="E11" s="44"/>
      <c r="F11" s="13">
        <v>3243.5</v>
      </c>
      <c r="G11" s="14">
        <v>650</v>
      </c>
      <c r="H11" s="15">
        <v>0.48541666666666666</v>
      </c>
      <c r="I11" s="16">
        <v>988.89</v>
      </c>
      <c r="J11" s="17">
        <v>26.48</v>
      </c>
      <c r="K11" s="18">
        <v>240</v>
      </c>
      <c r="L11" s="12">
        <v>15.491933380000001</v>
      </c>
      <c r="M11" s="14">
        <v>1398942</v>
      </c>
      <c r="N11" s="23">
        <v>1182.7688000000001</v>
      </c>
      <c r="O11" s="41">
        <v>-1.3399999999999999E-12</v>
      </c>
      <c r="P11" s="41">
        <v>1.7800000000000001E-12</v>
      </c>
      <c r="Q11" s="41">
        <v>-3.2599999999999999E-9</v>
      </c>
      <c r="R11" s="41">
        <v>6.7100000000000006E-11</v>
      </c>
    </row>
    <row r="12" spans="1:18">
      <c r="A12" s="9" t="s">
        <v>57</v>
      </c>
      <c r="B12" s="11" t="s">
        <v>98</v>
      </c>
      <c r="C12" s="4"/>
      <c r="D12" s="6"/>
      <c r="E12" s="44"/>
      <c r="F12" s="13">
        <v>3193.6</v>
      </c>
      <c r="G12" s="14">
        <v>640</v>
      </c>
      <c r="H12" s="15">
        <v>0.4909722222222222</v>
      </c>
      <c r="I12" s="16">
        <v>989.08</v>
      </c>
      <c r="J12" s="17">
        <v>26.48</v>
      </c>
      <c r="K12" s="18">
        <v>232</v>
      </c>
      <c r="L12" s="12">
        <v>15.231546209999999</v>
      </c>
      <c r="M12" s="14">
        <v>1348387</v>
      </c>
      <c r="N12" s="23">
        <v>1161.2007000000001</v>
      </c>
      <c r="O12" s="41">
        <v>-8.8900000000000005E-13</v>
      </c>
      <c r="P12" s="41">
        <v>1.7400000000000001E-12</v>
      </c>
      <c r="Q12" s="41">
        <v>-2.2699999999999998E-9</v>
      </c>
      <c r="R12" s="41">
        <v>4.2799999999999997E-11</v>
      </c>
    </row>
    <row r="13" spans="1:18">
      <c r="A13" s="9" t="s">
        <v>45</v>
      </c>
      <c r="B13" s="11">
        <v>4.2</v>
      </c>
      <c r="C13" s="4"/>
      <c r="D13" s="6"/>
      <c r="E13" s="44"/>
      <c r="F13" s="13">
        <v>3143.7</v>
      </c>
      <c r="G13" s="14">
        <v>630</v>
      </c>
      <c r="H13" s="15">
        <v>0.49791666666666662</v>
      </c>
      <c r="I13" s="16">
        <v>989.18</v>
      </c>
      <c r="J13" s="17">
        <v>26.84</v>
      </c>
      <c r="K13" s="18">
        <v>209</v>
      </c>
      <c r="L13" s="12">
        <v>14.456832289999999</v>
      </c>
      <c r="M13" s="14">
        <v>1241861</v>
      </c>
      <c r="N13" s="23">
        <v>1114.3882000000001</v>
      </c>
      <c r="O13" s="41">
        <v>-1.04E-12</v>
      </c>
      <c r="P13" s="41">
        <v>9.9899999999999992E-12</v>
      </c>
      <c r="Q13" s="41">
        <v>-1.5900000000000001E-9</v>
      </c>
      <c r="R13" s="41">
        <v>3.6099999999999997E-11</v>
      </c>
    </row>
    <row r="14" spans="1:18">
      <c r="A14" s="9" t="s">
        <v>54</v>
      </c>
      <c r="B14" s="11" t="s">
        <v>99</v>
      </c>
      <c r="C14" s="4"/>
      <c r="D14" s="6"/>
      <c r="E14" s="44"/>
      <c r="F14" s="13">
        <v>3093.8</v>
      </c>
      <c r="G14" s="14">
        <v>620</v>
      </c>
      <c r="H14" s="15">
        <v>0.50347222222222221</v>
      </c>
      <c r="I14" s="16">
        <v>989.48</v>
      </c>
      <c r="J14" s="17">
        <v>26.84</v>
      </c>
      <c r="K14" s="18">
        <v>188</v>
      </c>
      <c r="L14" s="12">
        <v>13.711309200000001</v>
      </c>
      <c r="M14" s="14">
        <v>945611</v>
      </c>
      <c r="N14" s="23">
        <v>972.42532000000006</v>
      </c>
      <c r="O14" s="41">
        <v>-1.33E-12</v>
      </c>
      <c r="P14" s="41">
        <v>9.9999999999999994E-12</v>
      </c>
      <c r="Q14" s="41">
        <v>-1.13E-9</v>
      </c>
      <c r="R14" s="41">
        <v>2.6099999999999999E-11</v>
      </c>
    </row>
    <row r="15" spans="1:18">
      <c r="A15" s="9" t="s">
        <v>55</v>
      </c>
      <c r="B15" s="11" t="s">
        <v>100</v>
      </c>
      <c r="C15" s="4"/>
      <c r="D15" s="6"/>
      <c r="E15" s="44"/>
      <c r="F15" s="13">
        <v>3043.9</v>
      </c>
      <c r="G15" s="14">
        <v>610</v>
      </c>
      <c r="H15" s="15">
        <v>0.50972222222222219</v>
      </c>
      <c r="I15" s="16">
        <v>989.67</v>
      </c>
      <c r="J15" s="17">
        <v>26.84</v>
      </c>
      <c r="K15" s="18">
        <v>142</v>
      </c>
      <c r="L15" s="12">
        <v>11.91637529</v>
      </c>
      <c r="M15" s="14">
        <v>543973</v>
      </c>
      <c r="N15" s="23">
        <v>737.54525000000001</v>
      </c>
      <c r="O15" s="41">
        <v>-7.8399999999999999E-13</v>
      </c>
      <c r="P15" s="41">
        <v>1.71E-12</v>
      </c>
      <c r="Q15" s="41">
        <v>-7.9400000000000005E-10</v>
      </c>
      <c r="R15" s="41">
        <v>2.23E-11</v>
      </c>
    </row>
    <row r="16" spans="1:18">
      <c r="A16" s="9" t="s">
        <v>49</v>
      </c>
      <c r="B16" s="11">
        <v>5</v>
      </c>
      <c r="C16" s="4"/>
      <c r="D16" s="6"/>
      <c r="E16" s="44"/>
      <c r="F16" s="13">
        <v>2994</v>
      </c>
      <c r="G16" s="14">
        <v>600</v>
      </c>
      <c r="H16" s="15">
        <v>0.5131944444444444</v>
      </c>
      <c r="I16" s="16">
        <v>989.67</v>
      </c>
      <c r="J16" s="17">
        <v>26.84</v>
      </c>
      <c r="K16" s="18">
        <v>138</v>
      </c>
      <c r="L16" s="12">
        <v>11.74734012</v>
      </c>
      <c r="M16" s="14">
        <v>350417</v>
      </c>
      <c r="N16" s="23">
        <v>591.96029999999996</v>
      </c>
      <c r="O16" s="41">
        <v>-7.9400000000000005E-13</v>
      </c>
      <c r="P16" s="41">
        <v>1.5299999999999999E-12</v>
      </c>
      <c r="Q16" s="41">
        <v>-5.7099999999999999E-10</v>
      </c>
      <c r="R16" s="41">
        <v>1.1100000000000001E-11</v>
      </c>
    </row>
    <row r="17" spans="1:20">
      <c r="A17" s="9" t="s">
        <v>62</v>
      </c>
      <c r="B17" s="11">
        <v>4.99</v>
      </c>
      <c r="C17" s="4"/>
      <c r="D17" s="6"/>
      <c r="E17" s="44"/>
      <c r="F17" s="13">
        <v>2944.1</v>
      </c>
      <c r="G17" s="14">
        <v>590</v>
      </c>
      <c r="H17" s="15">
        <v>0.51666666666666672</v>
      </c>
      <c r="I17" s="16">
        <v>989.67</v>
      </c>
      <c r="J17" s="17">
        <v>26.84</v>
      </c>
      <c r="K17" s="18">
        <v>128</v>
      </c>
      <c r="L17" s="12">
        <v>11.313708500000001</v>
      </c>
      <c r="M17" s="14">
        <v>154597</v>
      </c>
      <c r="N17" s="23">
        <v>393.18824999999998</v>
      </c>
      <c r="O17" s="41">
        <v>-1.32E-12</v>
      </c>
      <c r="P17" s="41">
        <v>9.4800000000000008E-12</v>
      </c>
      <c r="Q17" s="41">
        <v>-4.0699999999999999E-10</v>
      </c>
      <c r="R17" s="41">
        <v>8.9500000000000004E-12</v>
      </c>
    </row>
    <row r="18" spans="1:20" ht="14" customHeight="1">
      <c r="A18" s="9" t="s">
        <v>63</v>
      </c>
      <c r="B18" s="11">
        <v>4.7</v>
      </c>
      <c r="C18" s="4"/>
      <c r="D18" s="6"/>
      <c r="E18" s="44"/>
      <c r="F18" s="13">
        <v>2894.2</v>
      </c>
      <c r="G18" s="14">
        <v>580</v>
      </c>
      <c r="H18" s="15">
        <v>0.52013888888888882</v>
      </c>
      <c r="I18" s="16">
        <v>989.67</v>
      </c>
      <c r="J18" s="17">
        <v>26.84</v>
      </c>
      <c r="K18" s="18">
        <v>116</v>
      </c>
      <c r="L18" s="12">
        <v>10.770329609999999</v>
      </c>
      <c r="M18" s="14">
        <v>31750</v>
      </c>
      <c r="N18" s="23">
        <v>178.18530000000001</v>
      </c>
      <c r="O18" s="41">
        <v>-6.6499999999999999E-13</v>
      </c>
      <c r="P18" s="41">
        <v>1.76E-12</v>
      </c>
      <c r="Q18" s="41">
        <v>-2.8999999999999998E-10</v>
      </c>
      <c r="R18" s="41">
        <v>5.9099999999999997E-12</v>
      </c>
    </row>
    <row r="19" spans="1:20" ht="15" customHeight="1">
      <c r="A19" s="9" t="s">
        <v>64</v>
      </c>
      <c r="B19" s="11">
        <v>1.1000000000000001</v>
      </c>
      <c r="C19" s="4"/>
      <c r="D19" s="6"/>
      <c r="E19" s="44"/>
      <c r="F19" s="13">
        <v>2844.3</v>
      </c>
      <c r="G19" s="14">
        <v>570</v>
      </c>
      <c r="H19" s="15">
        <v>0.5229166666666667</v>
      </c>
      <c r="I19" s="16">
        <v>989.67</v>
      </c>
      <c r="J19" s="17">
        <v>26.84</v>
      </c>
      <c r="K19" s="18">
        <v>100</v>
      </c>
      <c r="L19" s="12">
        <v>10</v>
      </c>
      <c r="M19" s="14">
        <v>3917</v>
      </c>
      <c r="N19" s="23">
        <v>62.585940999999998</v>
      </c>
      <c r="O19" s="41">
        <v>-6.5500000000000004E-13</v>
      </c>
      <c r="P19" s="41">
        <v>1.7699999999999999E-12</v>
      </c>
      <c r="Q19" s="41">
        <v>-2.09E-10</v>
      </c>
      <c r="R19" s="41">
        <v>4.5700000000000001E-12</v>
      </c>
    </row>
    <row r="20" spans="1:20">
      <c r="A20" s="9" t="s">
        <v>65</v>
      </c>
      <c r="B20" s="11">
        <v>0.56000000000000005</v>
      </c>
      <c r="C20" s="4"/>
      <c r="D20" s="6"/>
      <c r="E20" s="44"/>
      <c r="F20" s="13">
        <v>2794.4</v>
      </c>
      <c r="G20" s="14">
        <v>560</v>
      </c>
      <c r="H20" s="15">
        <v>0.52638888888888891</v>
      </c>
      <c r="I20" s="16">
        <v>989.68</v>
      </c>
      <c r="J20" s="17">
        <v>26.84</v>
      </c>
      <c r="K20" s="18">
        <v>91</v>
      </c>
      <c r="L20" s="12">
        <v>9.5393920140000006</v>
      </c>
      <c r="M20" s="14">
        <v>643</v>
      </c>
      <c r="N20" s="23">
        <v>25.357444999999998</v>
      </c>
      <c r="O20" s="41">
        <v>-6.0600000000000004E-13</v>
      </c>
      <c r="P20" s="41">
        <v>1.5299999999999999E-12</v>
      </c>
      <c r="Q20" s="41">
        <v>-1.51E-10</v>
      </c>
      <c r="R20" s="41">
        <v>3.4600000000000002E-12</v>
      </c>
    </row>
    <row r="21" spans="1:20">
      <c r="A21" s="9" t="s">
        <v>66</v>
      </c>
      <c r="B21" s="11">
        <v>0.44</v>
      </c>
      <c r="C21" s="4"/>
      <c r="D21" s="6"/>
      <c r="E21" s="45"/>
      <c r="F21" s="13">
        <v>2744.5</v>
      </c>
      <c r="G21" s="14">
        <v>550</v>
      </c>
      <c r="H21" s="15">
        <v>0.53194444444444444</v>
      </c>
      <c r="I21" s="16">
        <v>989.68</v>
      </c>
      <c r="J21" s="17">
        <v>26.84</v>
      </c>
      <c r="K21" s="18">
        <v>93</v>
      </c>
      <c r="L21" s="12">
        <v>9.643650761</v>
      </c>
      <c r="M21" s="14">
        <v>159</v>
      </c>
      <c r="N21" s="23">
        <v>12.60952</v>
      </c>
      <c r="O21" s="41">
        <v>-7.9099999999999996E-13</v>
      </c>
      <c r="P21" s="41">
        <v>1.8899999999999998E-12</v>
      </c>
      <c r="Q21" s="41">
        <v>-1.0999999999999999E-10</v>
      </c>
      <c r="R21" s="41">
        <v>2.5999999999999998E-12</v>
      </c>
      <c r="T21" s="2"/>
    </row>
    <row r="22" spans="1:20">
      <c r="A22" s="9" t="s">
        <v>67</v>
      </c>
      <c r="B22" s="11">
        <v>0.55000000000000004</v>
      </c>
      <c r="C22" s="4"/>
      <c r="D22" s="6"/>
    </row>
    <row r="23" spans="1:20">
      <c r="A23" s="9" t="s">
        <v>68</v>
      </c>
      <c r="B23" s="11">
        <v>0.87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1"/>
      <c r="K23" s="62"/>
      <c r="L23" s="62"/>
      <c r="M23" s="63"/>
    </row>
    <row r="24" spans="1:20">
      <c r="A24" s="9" t="s">
        <v>69</v>
      </c>
      <c r="B24" s="11">
        <v>0.52</v>
      </c>
      <c r="C24" s="5"/>
      <c r="D24" s="6"/>
      <c r="E24" s="19" t="s">
        <v>40</v>
      </c>
      <c r="F24" s="70">
        <v>346</v>
      </c>
      <c r="G24" s="8">
        <v>196</v>
      </c>
      <c r="H24" s="8">
        <v>322</v>
      </c>
      <c r="I24" s="8">
        <v>346</v>
      </c>
      <c r="J24" s="67" t="s">
        <v>41</v>
      </c>
      <c r="K24" s="67"/>
      <c r="L24" s="58">
        <v>1.602E-19</v>
      </c>
      <c r="M24" s="58"/>
    </row>
    <row r="25" spans="1:20">
      <c r="A25" s="9" t="s">
        <v>70</v>
      </c>
      <c r="B25" s="11">
        <v>0.66</v>
      </c>
      <c r="C25" s="5"/>
      <c r="D25" s="6"/>
      <c r="E25" s="19" t="s">
        <v>73</v>
      </c>
      <c r="F25" s="70">
        <v>2.9</v>
      </c>
      <c r="G25" s="8">
        <v>1.8</v>
      </c>
      <c r="H25" s="8">
        <v>2.8</v>
      </c>
      <c r="I25" s="8">
        <v>2.9</v>
      </c>
      <c r="J25" s="61"/>
      <c r="K25" s="62"/>
      <c r="L25" s="62"/>
      <c r="M25" s="63"/>
    </row>
    <row r="26" spans="1:20">
      <c r="A26" s="54" t="s">
        <v>0</v>
      </c>
      <c r="B26" s="55"/>
      <c r="D26" s="5"/>
      <c r="E26" s="60" t="s">
        <v>89</v>
      </c>
      <c r="F26" s="60"/>
      <c r="G26" s="60"/>
      <c r="H26" s="60"/>
      <c r="I26" s="60"/>
      <c r="J26" s="60"/>
      <c r="K26" s="60"/>
      <c r="L26" s="60"/>
      <c r="M26" s="60"/>
    </row>
    <row r="27" spans="1:20">
      <c r="A27" s="56"/>
      <c r="B27" s="57"/>
      <c r="E27" s="60"/>
      <c r="F27" s="60"/>
      <c r="G27" s="60"/>
      <c r="H27" s="60"/>
      <c r="I27" s="60"/>
      <c r="J27" s="60"/>
      <c r="K27" s="60"/>
      <c r="L27" s="60"/>
      <c r="M27" s="60"/>
    </row>
    <row r="28" spans="1:20">
      <c r="A28" s="9" t="s">
        <v>56</v>
      </c>
      <c r="B28" s="11" t="s">
        <v>101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-100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 t="s">
        <v>102</v>
      </c>
      <c r="E30" s="29">
        <f>G6</f>
        <v>700</v>
      </c>
      <c r="F30" s="29">
        <f>F6</f>
        <v>3493</v>
      </c>
      <c r="G30" s="29">
        <f>E30*'Data Summary'!$B$18</f>
        <v>3290</v>
      </c>
      <c r="H30" s="31">
        <f>(M6-K6)/$B$42</f>
        <v>25718.516666666666</v>
      </c>
      <c r="I30" s="32">
        <f>(1/$B$42)*SQRT(N6^2+L6^2)</f>
        <v>20.710873147788107</v>
      </c>
      <c r="J30" s="33">
        <f>Q6-O6</f>
        <v>-2.249695E-8</v>
      </c>
      <c r="K30" s="33">
        <f>SQRT(P6^2+R6^2)</f>
        <v>4.7637439057951043E-10</v>
      </c>
      <c r="L30" s="32">
        <f>ABS(J30)/($H$30*$F$24*$L$24)</f>
        <v>15781.167005453386</v>
      </c>
      <c r="M30" s="33">
        <f>SQRT( ( 1 / ($H$30*$F$24*$L$24 ) )^2 * (K30^2+J30^2*( ($I$30/$H$30)^2+($F$25/$F$24)^2)))</f>
        <v>359.6172654264584</v>
      </c>
    </row>
    <row r="31" spans="1:20">
      <c r="A31" s="9" t="s">
        <v>27</v>
      </c>
      <c r="B31" s="11">
        <v>200</v>
      </c>
      <c r="E31" s="42">
        <f t="shared" ref="E31:E45" si="0">G7</f>
        <v>690</v>
      </c>
      <c r="F31" s="42">
        <f t="shared" ref="F31:F45" si="1">F7</f>
        <v>3443.1</v>
      </c>
      <c r="G31" s="42">
        <f>E31*'Data Summary'!$B$18</f>
        <v>3243</v>
      </c>
      <c r="H31" s="31">
        <f>(M7-K7)/$B$42</f>
        <v>25073.7</v>
      </c>
      <c r="I31" s="32">
        <f t="shared" ref="I31:I45" si="2">(1/$B$42)*SQRT(N7^2+L7^2)</f>
        <v>20.449843091206784</v>
      </c>
      <c r="J31" s="33">
        <f t="shared" ref="J31:J45" si="3">Q7-O7</f>
        <v>-1.5097430000000001E-8</v>
      </c>
      <c r="K31" s="33">
        <f t="shared" ref="K31:K45" si="4">SQRT(P7^2+R7^2)</f>
        <v>3.4101141344535673E-10</v>
      </c>
      <c r="L31" s="32">
        <f>ABS(J31)/($H$30*$F$24*$L$24)</f>
        <v>10590.549571526013</v>
      </c>
      <c r="M31" s="33">
        <f t="shared" ref="M31:M45" si="5">SQRT( ( 1 / ($H$30*$F$24*$L$24 ) )^2 * (K31^2+J31^2*( ($I$30/$H$30)^2+($F$25/$F$24)^2)))</f>
        <v>255.29329635994779</v>
      </c>
    </row>
    <row r="32" spans="1:20">
      <c r="A32" s="54" t="s">
        <v>52</v>
      </c>
      <c r="B32" s="55"/>
      <c r="E32" s="42">
        <f t="shared" si="0"/>
        <v>680</v>
      </c>
      <c r="F32" s="42">
        <f t="shared" si="1"/>
        <v>3393.2</v>
      </c>
      <c r="G32" s="42">
        <f>E32*'Data Summary'!$B$18</f>
        <v>3196</v>
      </c>
      <c r="H32" s="31">
        <f t="shared" ref="H32:H45" si="6">(M8-K8)/$B$42</f>
        <v>24597.166666666668</v>
      </c>
      <c r="I32" s="32">
        <f t="shared" si="2"/>
        <v>20.252502822274518</v>
      </c>
      <c r="J32" s="33">
        <f t="shared" si="3"/>
        <v>-9.9087200000000013E-9</v>
      </c>
      <c r="K32" s="33">
        <f t="shared" si="4"/>
        <v>2.0412561230771604E-10</v>
      </c>
      <c r="L32" s="32">
        <f t="shared" ref="L32:L45" si="7">ABS(J32)/($H$30*$F$24*$L$24)</f>
        <v>6950.7717770753852</v>
      </c>
      <c r="M32" s="33">
        <f t="shared" si="5"/>
        <v>154.68910177551749</v>
      </c>
    </row>
    <row r="33" spans="1:14">
      <c r="A33" s="56"/>
      <c r="B33" s="57"/>
      <c r="E33" s="42">
        <f t="shared" si="0"/>
        <v>670</v>
      </c>
      <c r="F33" s="42">
        <f t="shared" si="1"/>
        <v>3343.3</v>
      </c>
      <c r="G33" s="42">
        <f>E33*'Data Summary'!$B$18</f>
        <v>3149</v>
      </c>
      <c r="H33" s="31">
        <f t="shared" si="6"/>
        <v>24174.483333333334</v>
      </c>
      <c r="I33" s="32">
        <f t="shared" si="2"/>
        <v>20.077025989134899</v>
      </c>
      <c r="J33" s="33">
        <f t="shared" si="3"/>
        <v>-6.79861E-9</v>
      </c>
      <c r="K33" s="33">
        <f t="shared" si="4"/>
        <v>1.3933804218518359E-10</v>
      </c>
      <c r="L33" s="32">
        <f t="shared" si="7"/>
        <v>4769.0909129880029</v>
      </c>
      <c r="M33" s="33">
        <f t="shared" si="5"/>
        <v>105.67021702643831</v>
      </c>
    </row>
    <row r="34" spans="1:14">
      <c r="A34" s="9" t="s">
        <v>56</v>
      </c>
      <c r="B34" s="11" t="s">
        <v>103</v>
      </c>
      <c r="E34" s="42">
        <f t="shared" si="0"/>
        <v>660</v>
      </c>
      <c r="F34" s="42">
        <f t="shared" si="1"/>
        <v>3293.4</v>
      </c>
      <c r="G34" s="42">
        <f>E34*'Data Summary'!$B$18</f>
        <v>3102</v>
      </c>
      <c r="H34" s="31">
        <f t="shared" si="6"/>
        <v>23773.5</v>
      </c>
      <c r="I34" s="32">
        <f t="shared" si="2"/>
        <v>19.909811173701353</v>
      </c>
      <c r="J34" s="33">
        <f t="shared" si="3"/>
        <v>-4.6781900000000008E-9</v>
      </c>
      <c r="K34" s="33">
        <f t="shared" si="4"/>
        <v>9.1815554782400575E-11</v>
      </c>
      <c r="L34" s="32">
        <f t="shared" si="7"/>
        <v>3281.6580769056245</v>
      </c>
      <c r="M34" s="33">
        <f t="shared" si="5"/>
        <v>70.083931337866332</v>
      </c>
    </row>
    <row r="35" spans="1:14">
      <c r="A35" s="9" t="s">
        <v>20</v>
      </c>
      <c r="B35" s="11" t="s">
        <v>80</v>
      </c>
      <c r="E35" s="42">
        <f t="shared" si="0"/>
        <v>650</v>
      </c>
      <c r="F35" s="42">
        <f t="shared" si="1"/>
        <v>3243.5</v>
      </c>
      <c r="G35" s="42">
        <f>E35*'Data Summary'!$B$18</f>
        <v>3055</v>
      </c>
      <c r="H35" s="31">
        <f t="shared" si="6"/>
        <v>23311.7</v>
      </c>
      <c r="I35" s="32">
        <f t="shared" si="2"/>
        <v>19.714504208360644</v>
      </c>
      <c r="J35" s="33">
        <f t="shared" si="3"/>
        <v>-3.25866E-9</v>
      </c>
      <c r="K35" s="33">
        <f t="shared" si="4"/>
        <v>6.7123605385884929E-11</v>
      </c>
      <c r="L35" s="32">
        <f t="shared" si="7"/>
        <v>2285.8857611360977</v>
      </c>
      <c r="M35" s="33">
        <f t="shared" si="5"/>
        <v>50.86789327193042</v>
      </c>
      <c r="N35" s="3"/>
    </row>
    <row r="36" spans="1:14">
      <c r="A36" s="9" t="s">
        <v>21</v>
      </c>
      <c r="B36" s="11" t="s">
        <v>80</v>
      </c>
      <c r="E36" s="42">
        <f t="shared" si="0"/>
        <v>640</v>
      </c>
      <c r="F36" s="42">
        <f t="shared" si="1"/>
        <v>3193.6</v>
      </c>
      <c r="G36" s="42">
        <f>E36*'Data Summary'!$B$18</f>
        <v>3008</v>
      </c>
      <c r="H36" s="31">
        <f t="shared" si="6"/>
        <v>22469.25</v>
      </c>
      <c r="I36" s="32">
        <f t="shared" si="2"/>
        <v>19.35500987169614</v>
      </c>
      <c r="J36" s="33">
        <f t="shared" si="3"/>
        <v>-2.2691109999999997E-9</v>
      </c>
      <c r="K36" s="33">
        <f t="shared" si="4"/>
        <v>4.2835354556721016E-11</v>
      </c>
      <c r="L36" s="32">
        <f t="shared" si="7"/>
        <v>1591.7366418519548</v>
      </c>
      <c r="M36" s="33">
        <f t="shared" si="5"/>
        <v>32.901685807475154</v>
      </c>
      <c r="N36" s="3"/>
    </row>
    <row r="37" spans="1:14">
      <c r="A37" s="9" t="s">
        <v>22</v>
      </c>
      <c r="B37" s="11" t="s">
        <v>80</v>
      </c>
      <c r="E37" s="42">
        <f t="shared" si="0"/>
        <v>630</v>
      </c>
      <c r="F37" s="42">
        <f t="shared" si="1"/>
        <v>3143.7</v>
      </c>
      <c r="G37" s="42">
        <f>E37*'Data Summary'!$B$18</f>
        <v>2961</v>
      </c>
      <c r="H37" s="31">
        <f t="shared" si="6"/>
        <v>20694.2</v>
      </c>
      <c r="I37" s="32">
        <f t="shared" si="2"/>
        <v>18.57469949135638</v>
      </c>
      <c r="J37" s="33">
        <f t="shared" si="3"/>
        <v>-1.5889600000000001E-9</v>
      </c>
      <c r="K37" s="33">
        <f t="shared" si="4"/>
        <v>3.7456776422965176E-11</v>
      </c>
      <c r="L37" s="32">
        <f t="shared" si="7"/>
        <v>1114.6241212691148</v>
      </c>
      <c r="M37" s="33">
        <f t="shared" si="5"/>
        <v>27.90104803760018</v>
      </c>
    </row>
    <row r="38" spans="1:14">
      <c r="A38" s="54" t="s">
        <v>11</v>
      </c>
      <c r="B38" s="55"/>
      <c r="E38" s="42">
        <f t="shared" si="0"/>
        <v>620</v>
      </c>
      <c r="F38" s="42">
        <f t="shared" si="1"/>
        <v>3093.8</v>
      </c>
      <c r="G38" s="42">
        <f>E38*'Data Summary'!$B$18</f>
        <v>2914</v>
      </c>
      <c r="H38" s="31">
        <f t="shared" si="6"/>
        <v>15757.05</v>
      </c>
      <c r="I38" s="32">
        <f t="shared" si="2"/>
        <v>16.208699678611215</v>
      </c>
      <c r="J38" s="33">
        <f t="shared" si="3"/>
        <v>-1.12867E-9</v>
      </c>
      <c r="K38" s="33">
        <f t="shared" si="4"/>
        <v>2.7950134167835403E-11</v>
      </c>
      <c r="L38" s="32">
        <f t="shared" si="7"/>
        <v>791.73975868040213</v>
      </c>
      <c r="M38" s="33">
        <f t="shared" si="5"/>
        <v>20.708843285296069</v>
      </c>
    </row>
    <row r="39" spans="1:14">
      <c r="A39" s="65"/>
      <c r="B39" s="66"/>
      <c r="E39" s="42">
        <f t="shared" si="0"/>
        <v>610</v>
      </c>
      <c r="F39" s="42">
        <f t="shared" si="1"/>
        <v>3043.9</v>
      </c>
      <c r="G39" s="42">
        <f>E39*'Data Summary'!$B$18</f>
        <v>2867</v>
      </c>
      <c r="H39" s="31">
        <f t="shared" si="6"/>
        <v>9063.85</v>
      </c>
      <c r="I39" s="32">
        <f t="shared" si="2"/>
        <v>12.294025149975345</v>
      </c>
      <c r="J39" s="33">
        <f t="shared" si="3"/>
        <v>-7.9321600000000005E-10</v>
      </c>
      <c r="K39" s="33">
        <f t="shared" si="4"/>
        <v>2.2365466684153943E-11</v>
      </c>
      <c r="L39" s="32">
        <f t="shared" si="7"/>
        <v>556.42538954825932</v>
      </c>
      <c r="M39" s="33">
        <f t="shared" si="5"/>
        <v>16.373556470409699</v>
      </c>
      <c r="N39" s="3"/>
    </row>
    <row r="40" spans="1:14">
      <c r="A40" s="56"/>
      <c r="B40" s="57"/>
      <c r="E40" s="42">
        <f t="shared" si="0"/>
        <v>600</v>
      </c>
      <c r="F40" s="42">
        <f t="shared" si="1"/>
        <v>2994</v>
      </c>
      <c r="G40" s="42">
        <f>E40*'Data Summary'!$B$18</f>
        <v>2820</v>
      </c>
      <c r="H40" s="31">
        <f t="shared" si="6"/>
        <v>5837.9833333333336</v>
      </c>
      <c r="I40" s="32">
        <f t="shared" si="2"/>
        <v>9.8679475066160105</v>
      </c>
      <c r="J40" s="33">
        <f t="shared" si="3"/>
        <v>-5.7020600000000001E-10</v>
      </c>
      <c r="K40" s="33">
        <f t="shared" si="4"/>
        <v>1.1204949799084332E-11</v>
      </c>
      <c r="L40" s="32">
        <f t="shared" si="7"/>
        <v>399.98827012157443</v>
      </c>
      <c r="M40" s="33">
        <f t="shared" si="5"/>
        <v>8.5512242716114226</v>
      </c>
      <c r="N40" s="3"/>
    </row>
    <row r="41" spans="1:14">
      <c r="A41" s="9" t="s">
        <v>56</v>
      </c>
      <c r="B41" s="11" t="s">
        <v>104</v>
      </c>
      <c r="E41" s="42">
        <f t="shared" si="0"/>
        <v>590</v>
      </c>
      <c r="F41" s="42">
        <f t="shared" si="1"/>
        <v>2944.1</v>
      </c>
      <c r="G41" s="42">
        <f>E41*'Data Summary'!$B$18</f>
        <v>2773</v>
      </c>
      <c r="H41" s="31">
        <f t="shared" si="6"/>
        <v>2574.4833333333331</v>
      </c>
      <c r="I41" s="32">
        <f t="shared" si="2"/>
        <v>6.5558498037606219</v>
      </c>
      <c r="J41" s="33">
        <f t="shared" si="3"/>
        <v>-4.0567999999999999E-10</v>
      </c>
      <c r="K41" s="33">
        <f t="shared" si="4"/>
        <v>1.3037365531425435E-11</v>
      </c>
      <c r="L41" s="32">
        <f t="shared" si="7"/>
        <v>284.57652396312966</v>
      </c>
      <c r="M41" s="33">
        <f t="shared" si="5"/>
        <v>9.4541494759575979</v>
      </c>
      <c r="N41" s="3"/>
    </row>
    <row r="42" spans="1:14">
      <c r="A42" s="9" t="s">
        <v>24</v>
      </c>
      <c r="B42" s="11">
        <v>60</v>
      </c>
      <c r="E42" s="42">
        <f t="shared" si="0"/>
        <v>580</v>
      </c>
      <c r="F42" s="42">
        <f t="shared" si="1"/>
        <v>2894.2</v>
      </c>
      <c r="G42" s="42">
        <f>E42*'Data Summary'!$B$18</f>
        <v>2726</v>
      </c>
      <c r="H42" s="31">
        <f t="shared" si="6"/>
        <v>527.23333333333335</v>
      </c>
      <c r="I42" s="32">
        <f t="shared" si="2"/>
        <v>2.9751751179084702</v>
      </c>
      <c r="J42" s="33">
        <f t="shared" si="3"/>
        <v>-2.8933499999999996E-10</v>
      </c>
      <c r="K42" s="33">
        <f t="shared" si="4"/>
        <v>6.1664981958969218E-12</v>
      </c>
      <c r="L42" s="32">
        <f t="shared" si="7"/>
        <v>202.96279964719017</v>
      </c>
      <c r="M42" s="33">
        <f t="shared" si="5"/>
        <v>4.6510267053691994</v>
      </c>
      <c r="N42" s="3"/>
    </row>
    <row r="43" spans="1:14">
      <c r="A43" s="54" t="s">
        <v>12</v>
      </c>
      <c r="B43" s="55"/>
      <c r="E43" s="42">
        <f t="shared" si="0"/>
        <v>570</v>
      </c>
      <c r="F43" s="42">
        <f t="shared" si="1"/>
        <v>2844.3</v>
      </c>
      <c r="G43" s="42">
        <f>E43*'Data Summary'!$B$18</f>
        <v>2679</v>
      </c>
      <c r="H43" s="31">
        <f t="shared" si="6"/>
        <v>63.616666666666667</v>
      </c>
      <c r="I43" s="32">
        <f t="shared" si="2"/>
        <v>1.0563301265933602</v>
      </c>
      <c r="J43" s="33">
        <f t="shared" si="3"/>
        <v>-2.0834499999999999E-10</v>
      </c>
      <c r="K43" s="33">
        <f t="shared" si="4"/>
        <v>4.9007958537364115E-12</v>
      </c>
      <c r="L43" s="32">
        <f t="shared" si="7"/>
        <v>146.149910976874</v>
      </c>
      <c r="M43" s="33">
        <f t="shared" si="5"/>
        <v>3.6514268284758997</v>
      </c>
      <c r="N43" s="3"/>
    </row>
    <row r="44" spans="1:14">
      <c r="A44" s="56"/>
      <c r="B44" s="57"/>
      <c r="E44" s="42">
        <f t="shared" si="0"/>
        <v>560</v>
      </c>
      <c r="F44" s="42">
        <f t="shared" si="1"/>
        <v>2794.4</v>
      </c>
      <c r="G44" s="42">
        <f>E44*'Data Summary'!$B$18</f>
        <v>2632</v>
      </c>
      <c r="H44" s="31">
        <f t="shared" si="6"/>
        <v>9.1999999999999993</v>
      </c>
      <c r="I44" s="32">
        <f t="shared" si="2"/>
        <v>0.45154057801068104</v>
      </c>
      <c r="J44" s="33">
        <f t="shared" si="3"/>
        <v>-1.5039399999999999E-10</v>
      </c>
      <c r="K44" s="33">
        <f t="shared" si="4"/>
        <v>3.7831864876053889E-12</v>
      </c>
      <c r="L44" s="32">
        <f t="shared" si="7"/>
        <v>105.49842670309337</v>
      </c>
      <c r="M44" s="33">
        <f t="shared" si="5"/>
        <v>2.7985545419907321</v>
      </c>
      <c r="N44" s="3"/>
    </row>
    <row r="45" spans="1:14">
      <c r="A45" s="9" t="s">
        <v>13</v>
      </c>
      <c r="B45" s="11" t="s">
        <v>105</v>
      </c>
      <c r="E45" s="42">
        <f t="shared" si="0"/>
        <v>550</v>
      </c>
      <c r="F45" s="42">
        <f t="shared" si="1"/>
        <v>2744.5</v>
      </c>
      <c r="G45" s="42">
        <f>E45*'Data Summary'!$B$18</f>
        <v>2585</v>
      </c>
      <c r="H45" s="31">
        <f t="shared" si="6"/>
        <v>1.1000000000000001</v>
      </c>
      <c r="I45" s="32">
        <f t="shared" si="2"/>
        <v>0.26457512828775531</v>
      </c>
      <c r="J45" s="33">
        <f t="shared" si="3"/>
        <v>-1.0920899999999999E-10</v>
      </c>
      <c r="K45" s="33">
        <f t="shared" si="4"/>
        <v>3.2143584118763106E-12</v>
      </c>
      <c r="L45" s="32">
        <f t="shared" si="7"/>
        <v>76.607960967978272</v>
      </c>
      <c r="M45" s="33">
        <f t="shared" si="5"/>
        <v>2.3452610033518706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9" t="s">
        <v>76</v>
      </c>
      <c r="F47" s="59"/>
      <c r="H47" s="64" t="s">
        <v>86</v>
      </c>
      <c r="I47" s="64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299.83249999999998</v>
      </c>
      <c r="H48" s="34" t="s">
        <v>87</v>
      </c>
      <c r="I48" s="34">
        <v>964.4</v>
      </c>
      <c r="L48" s="35" t="str">
        <f>CONCATENATE(E30,",",L30,",",M30)</f>
        <v>700,15781.1670054534,359.617265426458</v>
      </c>
      <c r="N48" s="3"/>
    </row>
    <row r="49" spans="1:14">
      <c r="A49" s="9" t="s">
        <v>71</v>
      </c>
      <c r="B49" s="11" t="s">
        <v>106</v>
      </c>
      <c r="E49" s="8" t="s">
        <v>90</v>
      </c>
      <c r="F49" s="30">
        <f>_xlfn.STDEV.P(J6:J21)</f>
        <v>0.17858821349685963</v>
      </c>
      <c r="H49" s="34" t="s">
        <v>88</v>
      </c>
      <c r="I49" s="34">
        <f>297.1</f>
        <v>297.10000000000002</v>
      </c>
      <c r="L49" s="35" t="str">
        <f t="shared" ref="L49:L63" si="8">CONCATENATE(E31,",",L31,",",M31)</f>
        <v>690,10590.549571526,255.293296359948</v>
      </c>
      <c r="N49" s="3"/>
    </row>
    <row r="50" spans="1:14">
      <c r="A50" s="9" t="s">
        <v>72</v>
      </c>
      <c r="B50" s="11" t="s">
        <v>106</v>
      </c>
      <c r="E50" s="8" t="s">
        <v>77</v>
      </c>
      <c r="F50" s="30">
        <f>AVERAGE(I6:I21)</f>
        <v>989.26687500000014</v>
      </c>
      <c r="L50" s="35" t="str">
        <f t="shared" si="8"/>
        <v>680,6950.77177707539,154.689101775517</v>
      </c>
    </row>
    <row r="51" spans="1:14">
      <c r="A51"/>
      <c r="B51"/>
      <c r="E51" s="8" t="s">
        <v>91</v>
      </c>
      <c r="F51" s="30">
        <f>_xlfn.STDEV.P(I6:I21)</f>
        <v>0.40231701974312201</v>
      </c>
      <c r="H51"/>
      <c r="I51"/>
      <c r="L51" s="35" t="str">
        <f t="shared" si="8"/>
        <v>670,4769.090912988,105.670217026438</v>
      </c>
    </row>
    <row r="52" spans="1:14">
      <c r="E52" s="8" t="s">
        <v>78</v>
      </c>
      <c r="F52" s="30">
        <f>EXP(INDEX(LINEST(LN(L30:L45),E30:E45),1,2))</f>
        <v>2.5971296542030023E-7</v>
      </c>
      <c r="L52" s="35" t="str">
        <f t="shared" si="8"/>
        <v>660,3281.65807690562,70.0839313378663</v>
      </c>
    </row>
    <row r="53" spans="1:14">
      <c r="E53" s="8" t="s">
        <v>79</v>
      </c>
      <c r="F53" s="30">
        <f>INDEX(LINEST(LN(L30:L45),E30:E45),1)</f>
        <v>3.5302255184584012E-2</v>
      </c>
      <c r="L53" s="35" t="str">
        <f t="shared" si="8"/>
        <v>650,2285.8857611361,50.8678932719304</v>
      </c>
      <c r="N53" s="3"/>
    </row>
    <row r="54" spans="1:14">
      <c r="L54" s="35" t="str">
        <f t="shared" si="8"/>
        <v>640,1591.73664185195,32.9016858074752</v>
      </c>
      <c r="N54" s="3"/>
    </row>
    <row r="55" spans="1:14">
      <c r="L55" s="35" t="str">
        <f t="shared" si="8"/>
        <v>630,1114.62412126911,27.9010480376002</v>
      </c>
      <c r="N55" s="3"/>
    </row>
    <row r="56" spans="1:14">
      <c r="L56" s="35" t="str">
        <f t="shared" si="8"/>
        <v>620,791.739758680402,20.7088432852961</v>
      </c>
      <c r="N56" s="3"/>
    </row>
    <row r="57" spans="1:14">
      <c r="L57" s="35" t="str">
        <f t="shared" si="8"/>
        <v>610,556.425389548259,16.3735564704097</v>
      </c>
      <c r="N57" s="3"/>
    </row>
    <row r="58" spans="1:14">
      <c r="L58" s="35" t="str">
        <f t="shared" si="8"/>
        <v>600,399.988270121574,8.55122427161142</v>
      </c>
      <c r="N58" s="3"/>
    </row>
    <row r="59" spans="1:14">
      <c r="L59" s="35" t="str">
        <f t="shared" si="8"/>
        <v>590,284.57652396313,9.4541494759576</v>
      </c>
      <c r="N59" s="3"/>
    </row>
    <row r="60" spans="1:14">
      <c r="L60" s="35" t="str">
        <f t="shared" si="8"/>
        <v>580,202.96279964719,4.6510267053692</v>
      </c>
    </row>
    <row r="61" spans="1:14">
      <c r="L61" s="35" t="str">
        <f t="shared" si="8"/>
        <v>570,146.149910976874,3.6514268284759</v>
      </c>
    </row>
    <row r="62" spans="1:14">
      <c r="L62" s="35" t="str">
        <f t="shared" si="8"/>
        <v>560,105.498426703093,2.79855454199073</v>
      </c>
    </row>
    <row r="63" spans="1:14">
      <c r="L63" s="35" t="str">
        <f t="shared" si="8"/>
        <v>550,76.6079609679783,2.34526100335187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2018-07-12T15:45:55Z</dcterms:modified>
</cp:coreProperties>
</file>